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0" firstSheet="0" activeTab="1"/>
  </bookViews>
  <sheets>
    <sheet name="Base de dados" sheetId="1" state="visible" r:id="rId2"/>
    <sheet name="Sheet2" sheetId="2" state="visible" r:id="rId3"/>
  </sheets>
  <definedNames>
    <definedName function="false" hidden="false" localSheetId="0" name="_xlnm._FilterDatabase" vbProcedure="false">'Base de dados'!$A$1:$xeq$355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Y1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Duas respostas assinaladas</t>
        </r>
      </text>
    </comment>
    <comment ref="DB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0,03 sentado</t>
        </r>
      </text>
    </comment>
    <comment ref="DF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2,75 - flexed
1,6 - twisted/bent
</t>
        </r>
      </text>
    </comment>
    <comment ref="DF1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</t>
        </r>
      </text>
    </comment>
    <comment ref="DF1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</t>
        </r>
      </text>
    </comment>
    <comment ref="DF2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tronco fletido</t>
        </r>
      </text>
    </comment>
    <comment ref="DF2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DF2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DF2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DF2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DF2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DF2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DF2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DF2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0,77 altura do ombro</t>
        </r>
      </text>
    </comment>
    <comment ref="DF3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DF3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fletido</t>
        </r>
      </text>
    </comment>
    <comment ref="DF3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fletido</t>
        </r>
      </text>
    </comment>
    <comment ref="DF3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DF3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DF3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DF3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DF3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DF3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DF3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GZ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GZ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GZ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GZ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GZ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GZ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GZ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GZ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GZ1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
</t>
        </r>
      </text>
    </comment>
    <comment ref="GZ1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
</t>
        </r>
      </text>
    </comment>
    <comment ref="GZ1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
</t>
        </r>
      </text>
    </comment>
    <comment ref="GZ1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
</t>
        </r>
      </text>
    </comment>
    <comment ref="GZ1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</t>
        </r>
      </text>
    </comment>
    <comment ref="GZ1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1,89 strong
6,91 medium
</t>
        </r>
      </text>
    </comment>
    <comment ref="GZ1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1,89 strong
6,91 medium
</t>
        </r>
      </text>
    </comment>
    <comment ref="GZ1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GZ1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1,89 strong
6,91 medium
</t>
        </r>
      </text>
    </comment>
    <comment ref="GZ1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1,89 strong
6,91 medium
</t>
        </r>
      </text>
    </comment>
    <comment ref="GZ1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1,89 strong
6,91 medium
</t>
        </r>
      </text>
    </comment>
    <comment ref="GZ1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GZ1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GZ1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1,89 strong
6,91 medium
</t>
        </r>
      </text>
    </comment>
    <comment ref="GZ1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1,89 strong
6,91 medium
</t>
        </r>
      </text>
    </comment>
    <comment ref="GZ1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</t>
        </r>
      </text>
    </comment>
    <comment ref="GZ2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 Medium arm restrained
</t>
        </r>
      </text>
    </comment>
    <comment ref="HB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HB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HB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HB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HB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HB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HB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HB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HB1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Easy (entrance in the front)</t>
        </r>
      </text>
    </comment>
    <comment ref="HB1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Easy (entrance in the front)</t>
        </r>
      </text>
    </comment>
    <comment ref="HB1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Easy (entrance in the front)</t>
        </r>
      </text>
    </comment>
    <comment ref="HB1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Easy (entrance in the front)</t>
        </r>
      </text>
    </comment>
    <comment ref="HB1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Easy (entrance in the front)</t>
        </r>
      </text>
    </comment>
    <comment ref="HB1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body restriction
</t>
        </r>
      </text>
    </comment>
    <comment ref="HB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
</t>
        </r>
      </text>
    </comment>
    <comment ref="HB1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</t>
        </r>
      </text>
    </comment>
    <comment ref="HB1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</t>
        </r>
      </text>
    </comment>
    <comment ref="HS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tempo total sentado</t>
        </r>
      </text>
    </comment>
    <comment ref="HS2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0,25 - sentado
restante - em pé</t>
        </r>
      </text>
    </comment>
    <comment ref="HS2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0,25 - sentado
restante - em pé</t>
        </r>
      </text>
    </comment>
    <comment ref="HS2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0,25 - sentado
restante - em pé</t>
        </r>
      </text>
    </comment>
    <comment ref="HS2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0,25 - sentado
restante - em pé</t>
        </r>
      </text>
    </comment>
    <comment ref="HS2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0,25 - sentado
restante - em pé</t>
        </r>
      </text>
    </comment>
    <comment ref="HS2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0,25 - sentado
restante - em pé</t>
        </r>
      </text>
    </comment>
    <comment ref="HS2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11,39 pé
13.64 sentado
</t>
        </r>
      </text>
    </comment>
    <comment ref="HS2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
</t>
        </r>
      </text>
    </comment>
    <comment ref="HW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tronco fletido</t>
        </r>
      </text>
    </comment>
    <comment ref="HW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tronco fletido</t>
        </r>
      </text>
    </comment>
    <comment ref="HW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tronco fletido</t>
        </r>
      </text>
    </comment>
    <comment ref="HW10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tronco fletido</t>
        </r>
      </text>
    </comment>
    <comment ref="HW1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tronco fletido</t>
        </r>
      </text>
    </comment>
    <comment ref="HW1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tronco fletido</t>
        </r>
      </text>
    </comment>
    <comment ref="HW1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tronco fletido</t>
        </r>
      </text>
    </comment>
    <comment ref="HW1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tronco fletido</t>
        </r>
      </text>
    </comment>
    <comment ref="HW2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16,58% com flexão do tronco</t>
        </r>
      </text>
    </comment>
    <comment ref="HW2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tronco fletido</t>
        </r>
      </text>
    </comment>
    <comment ref="HW2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tronco fletido</t>
        </r>
      </text>
    </comment>
    <comment ref="HW2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tronco fletido</t>
        </r>
      </text>
    </comment>
    <comment ref="HW2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tronco fletido</t>
        </r>
      </text>
    </comment>
    <comment ref="HW2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fletido</t>
        </r>
      </text>
    </comment>
    <comment ref="HW2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fletido</t>
        </r>
      </text>
    </comment>
    <comment ref="HW2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fletido</t>
        </r>
      </text>
    </comment>
    <comment ref="HW2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fletido</t>
        </r>
      </text>
    </comment>
    <comment ref="HW2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fletido</t>
        </r>
      </text>
    </comment>
    <comment ref="HW2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fletido</t>
        </r>
      </text>
    </comment>
    <comment ref="HW2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fletido</t>
        </r>
      </text>
    </comment>
    <comment ref="HW3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tronco fletido</t>
        </r>
      </text>
    </comment>
    <comment ref="HW3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fletido</t>
        </r>
      </text>
    </comment>
    <comment ref="HW3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10,37 flexed</t>
        </r>
      </text>
    </comment>
    <comment ref="HW3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fletido</t>
        </r>
      </text>
    </comment>
    <comment ref="HW3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fletido</t>
        </r>
      </text>
    </comment>
    <comment ref="HW3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fletido</t>
        </r>
      </text>
    </comment>
    <comment ref="HW3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fletido</t>
        </r>
      </text>
    </comment>
    <comment ref="LQ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 Medium arm restrained
</t>
        </r>
      </text>
    </comment>
    <comment ref="LQ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 Medium arm restrained
</t>
        </r>
      </text>
    </comment>
    <comment ref="LQ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 Medium arm restrained
</t>
        </r>
      </text>
    </comment>
    <comment ref="LQ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LQ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LQ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LQ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LQ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LQ10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 Medium arm restrained
</t>
        </r>
      </text>
    </comment>
    <comment ref="LQ1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 Medium arm restrained
</t>
        </r>
      </text>
    </comment>
    <comment ref="LQ1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 Medium arm restrained
</t>
        </r>
      </text>
    </comment>
    <comment ref="LQ1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LQ1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LQ1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LQ1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LQ1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LQ1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LQ1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 Medium arm restrained
</t>
        </r>
      </text>
    </comment>
    <comment ref="LQ1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 Medium arm restrained
</t>
        </r>
      </text>
    </comment>
    <comment ref="LQ1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LQ1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
</t>
        </r>
      </text>
    </comment>
    <comment ref="LQ1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
</t>
        </r>
      </text>
    </comment>
    <comment ref="LQ1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LQ1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LQ1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LQ1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
</t>
        </r>
      </text>
    </comment>
    <comment ref="LQ1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
</t>
        </r>
      </text>
    </comment>
    <comment ref="LQ1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LQ1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LQ2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 Medium arm restrained
</t>
        </r>
      </text>
    </comment>
    <comment ref="LQ2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 Medium arm restrained
</t>
        </r>
      </text>
    </comment>
    <comment ref="LQ2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 Medium arm restrained
</t>
        </r>
      </text>
    </comment>
    <comment ref="LQ2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 Medium arm restrained
</t>
        </r>
      </text>
    </comment>
    <comment ref="LQ3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 Medium arm restrained
</t>
        </r>
      </text>
    </comment>
    <comment ref="LS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LS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while body
</t>
        </r>
      </text>
    </comment>
    <comment ref="LS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while body
</t>
        </r>
      </text>
    </comment>
    <comment ref="LS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body restriction
</t>
        </r>
      </text>
    </comment>
    <comment ref="LS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body restriction
</t>
        </r>
      </text>
    </comment>
    <comment ref="LS1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Easy (entrance in the front)</t>
        </r>
      </text>
    </comment>
    <comment ref="LS1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body restriction
</t>
        </r>
      </text>
    </comment>
    <comment ref="LS1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
</t>
        </r>
      </text>
    </comment>
    <comment ref="LS1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
</t>
        </r>
      </text>
    </comment>
    <comment ref="LS2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LS2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body restriction
</t>
        </r>
      </text>
    </comment>
    <comment ref="LS3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whiole body
</t>
        </r>
      </text>
    </comment>
    <comment ref="MJ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2,32 kneeling
3,25 sitting
3,23 standing
</t>
        </r>
      </text>
    </comment>
    <comment ref="MJ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0,31 kneeling</t>
        </r>
      </text>
    </comment>
    <comment ref="MJ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0,31 kneeling</t>
        </r>
      </text>
    </comment>
    <comment ref="MJ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0,31 kneeling</t>
        </r>
      </text>
    </comment>
    <comment ref="MJ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0,31 kneeling</t>
        </r>
      </text>
    </comment>
    <comment ref="MJ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0,31 kneeling</t>
        </r>
      </text>
    </comment>
    <comment ref="MJ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0,31 kneeling</t>
        </r>
      </text>
    </comment>
    <comment ref="MJ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0,31 kneeling</t>
        </r>
      </text>
    </comment>
    <comment ref="MJ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0,31 kneeling</t>
        </r>
      </text>
    </comment>
    <comment ref="MJ1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0,28 sentado
</t>
        </r>
      </text>
    </comment>
    <comment ref="MJ1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0,28 sentado
</t>
        </r>
      </text>
    </comment>
    <comment ref="MJ1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
</t>
        </r>
      </text>
    </comment>
    <comment ref="MJ2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stand
</t>
        </r>
      </text>
    </comment>
    <comment ref="MJ2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stand
</t>
        </r>
      </text>
    </comment>
    <comment ref="MJ2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stand
</t>
        </r>
      </text>
    </comment>
    <comment ref="MJ2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stand
</t>
        </r>
      </text>
    </comment>
    <comment ref="MJ2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stand
</t>
        </r>
      </text>
    </comment>
    <comment ref="MJ2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stand
</t>
        </r>
      </text>
    </comment>
    <comment ref="MJ2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5,89 pé
12,74 sentado</t>
        </r>
      </text>
    </comment>
    <comment ref="MJ2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
</t>
        </r>
      </text>
    </comment>
    <comment ref="MJ2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
</t>
        </r>
      </text>
    </comment>
    <comment ref="MJ2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de tempo sentado
</t>
        </r>
      </text>
    </comment>
    <comment ref="MN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flexão do tronco
</t>
        </r>
      </text>
    </comment>
    <comment ref="MN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flexão do tronco
</t>
        </r>
      </text>
    </comment>
    <comment ref="MN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8,36 fletido
</t>
        </r>
      </text>
    </comment>
    <comment ref="MN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flexão do tronco
</t>
        </r>
      </text>
    </comment>
    <comment ref="MN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3,36 fletido
</t>
        </r>
      </text>
    </comment>
    <comment ref="MN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3,36 fletido
</t>
        </r>
      </text>
    </comment>
    <comment ref="MN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3,36 fletido
</t>
        </r>
      </text>
    </comment>
    <comment ref="MN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3,36 fletido
</t>
        </r>
      </text>
    </comment>
    <comment ref="MN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3,36 fletido
</t>
        </r>
      </text>
    </comment>
    <comment ref="MN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3,36 fletido
</t>
        </r>
      </text>
    </comment>
    <comment ref="MN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3,36 fletido
</t>
        </r>
      </text>
    </comment>
    <comment ref="MN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3,36 fletido
</t>
        </r>
      </text>
    </comment>
    <comment ref="MN10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flexão do tronco
</t>
        </r>
      </text>
    </comment>
    <comment ref="MN1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flexão do tronco
</t>
        </r>
      </text>
    </comment>
    <comment ref="MN1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flexão do tronco
</t>
        </r>
      </text>
    </comment>
    <comment ref="MN1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flexão do tronco
</t>
        </r>
      </text>
    </comment>
    <comment ref="MN1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flexão do tronco
</t>
        </r>
      </text>
    </comment>
    <comment ref="MN1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 do tronco
</t>
        </r>
      </text>
    </comment>
    <comment ref="MN2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16,58% com flexão do tronco</t>
        </r>
      </text>
    </comment>
    <comment ref="MN2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bent
</t>
        </r>
      </text>
    </comment>
    <comment ref="MN2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bent
</t>
        </r>
      </text>
    </comment>
    <comment ref="MN2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flexão do tronco
</t>
        </r>
      </text>
    </comment>
    <comment ref="MN2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flexão do tronco
</t>
        </r>
      </text>
    </comment>
    <comment ref="MN2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flexão do tronco
</t>
        </r>
      </text>
    </comment>
    <comment ref="MN2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flexão do tronco
</t>
        </r>
      </text>
    </comment>
    <comment ref="MN3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flexão do tronco
</t>
        </r>
      </text>
    </comment>
    <comment ref="MN3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10,37 flexed</t>
        </r>
      </text>
    </comment>
    <comment ref="MN3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21,88% fletido
</t>
        </r>
      </text>
    </comment>
    <comment ref="MN3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21,88% fletido
</t>
        </r>
      </text>
    </comment>
    <comment ref="MN3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21,88% fletido
</t>
        </r>
      </text>
    </comment>
    <comment ref="MN3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10,37 flexed</t>
        </r>
      </text>
    </comment>
    <comment ref="QH1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QH1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QH1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QH1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QH1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QH1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QH1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
</t>
        </r>
      </text>
    </comment>
    <comment ref="QH1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QH1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
</t>
        </r>
      </text>
    </comment>
    <comment ref="QH1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
</t>
        </r>
      </text>
    </comment>
    <comment ref="QH1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
</t>
        </r>
      </text>
    </comment>
    <comment ref="QH1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QH1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QH1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
</t>
        </r>
      </text>
    </comment>
    <comment ref="QH1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
</t>
        </r>
      </text>
    </comment>
    <comment ref="QH2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QH2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QH2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QH2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QH2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QH2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QH2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QH2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QH2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QJ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QJ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while body
</t>
        </r>
      </text>
    </comment>
    <comment ref="QJ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while body
</t>
        </r>
      </text>
    </comment>
    <comment ref="QJ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while body
</t>
        </r>
      </text>
    </comment>
    <comment ref="QJ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while body
</t>
        </r>
      </text>
    </comment>
    <comment ref="QJ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while body
</t>
        </r>
      </text>
    </comment>
    <comment ref="QJ1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while body
</t>
        </r>
      </text>
    </comment>
    <comment ref="QJ1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while body
</t>
        </r>
      </text>
    </comment>
    <comment ref="QJ1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while body
</t>
        </r>
      </text>
    </comment>
    <comment ref="QJ1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while body
</t>
        </r>
      </text>
    </comment>
    <comment ref="QJ1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while body
</t>
        </r>
      </text>
    </comment>
    <comment ref="QJ1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
</t>
        </r>
      </text>
    </comment>
    <comment ref="QJ1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
</t>
        </r>
      </text>
    </comment>
    <comment ref="QJ2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QJ3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whiole body
</t>
        </r>
      </text>
    </comment>
    <comment ref="QJ3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
</t>
        </r>
      </text>
    </comment>
    <comment ref="QJ3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whiole body
</t>
        </r>
      </text>
    </comment>
    <comment ref="QJ3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 light
1 medium
</t>
        </r>
      </text>
    </comment>
    <comment ref="QJ3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 light
1 medium
</t>
        </r>
      </text>
    </comment>
    <comment ref="QJ3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 light
1 medium
</t>
        </r>
      </text>
    </comment>
    <comment ref="RA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kneeling</t>
        </r>
      </text>
    </comment>
    <comment ref="RA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kneeling</t>
        </r>
      </text>
    </comment>
    <comment ref="RA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kneeling</t>
        </r>
      </text>
    </comment>
    <comment ref="RA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kneeling</t>
        </r>
      </text>
    </comment>
    <comment ref="RA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kneeling</t>
        </r>
      </text>
    </comment>
    <comment ref="RA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kneeling</t>
        </r>
      </text>
    </comment>
    <comment ref="RA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kneeling</t>
        </r>
      </text>
    </comment>
    <comment ref="RA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kneeling</t>
        </r>
      </text>
    </comment>
    <comment ref="RA1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sentado</t>
        </r>
      </text>
    </comment>
    <comment ref="RA1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sentado</t>
        </r>
      </text>
    </comment>
    <comment ref="RA1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6,03 sentado</t>
        </r>
      </text>
    </comment>
    <comment ref="RA1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
</t>
        </r>
      </text>
    </comment>
    <comment ref="RA1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de tempo sentado
</t>
        </r>
      </text>
    </comment>
    <comment ref="RA2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11,39 pé
13.64 sentado
</t>
        </r>
      </text>
    </comment>
    <comment ref="RA2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de tempo sentado
</t>
        </r>
      </text>
    </comment>
    <comment ref="RA2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
</t>
        </r>
      </text>
    </comment>
    <comment ref="RA2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
</t>
        </r>
      </text>
    </comment>
    <comment ref="RA2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de tempo sentado
</t>
        </r>
      </text>
    </comment>
    <comment ref="RA2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</t>
        </r>
      </text>
    </comment>
    <comment ref="RA2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
</t>
        </r>
      </text>
    </comment>
    <comment ref="RA2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
</t>
        </r>
      </text>
    </comment>
    <comment ref="RE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1,45 fletido
</t>
        </r>
      </text>
    </comment>
    <comment ref="RE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1,45 fletido
</t>
        </r>
      </text>
    </comment>
    <comment ref="RE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1,45 fletido
</t>
        </r>
      </text>
    </comment>
    <comment ref="RE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1,45 fletido
</t>
        </r>
      </text>
    </comment>
    <comment ref="RE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1,45 fletido
</t>
        </r>
      </text>
    </comment>
    <comment ref="RE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1,45 fletido
</t>
        </r>
      </text>
    </comment>
    <comment ref="RE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1,45 fletido
</t>
        </r>
      </text>
    </comment>
    <comment ref="RE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1,45 fletido
</t>
        </r>
      </text>
    </comment>
    <comment ref="RE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2,75 - flexed
1,6 - twisted/bent
</t>
        </r>
      </text>
    </comment>
    <comment ref="RE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2,75 - flexed
1,6 - twisted/bent
</t>
        </r>
      </text>
    </comment>
    <comment ref="RE1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 do tronco
</t>
        </r>
      </text>
    </comment>
    <comment ref="RE1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ao nivel do ombro</t>
        </r>
      </text>
    </comment>
    <comment ref="RE1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flexao do tronco
</t>
        </r>
      </text>
    </comment>
    <comment ref="RE1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Flexão do tronco</t>
        </r>
      </text>
    </comment>
    <comment ref="RE2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bent
</t>
        </r>
      </text>
    </comment>
    <comment ref="RE2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16,58% com flexão do tronco</t>
        </r>
      </text>
    </comment>
    <comment ref="RE2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16,58% com flexão do tronco</t>
        </r>
      </text>
    </comment>
    <comment ref="RE2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16,58% com flexão do tronco</t>
        </r>
      </text>
    </comment>
    <comment ref="RE2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10,37 flexed</t>
        </r>
      </text>
    </comment>
    <comment ref="RE2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10,37 flexed</t>
        </r>
      </text>
    </comment>
    <comment ref="RE2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10,37 flexed</t>
        </r>
      </text>
    </comment>
    <comment ref="RE2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10,37 flexed</t>
        </r>
      </text>
    </comment>
    <comment ref="RE2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10,37 flexed</t>
        </r>
      </text>
    </comment>
    <comment ref="RE2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10,37 flexed</t>
        </r>
      </text>
    </comment>
    <comment ref="RE2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10,37 flexed</t>
        </r>
      </text>
    </comment>
    <comment ref="RE2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0,77 altura do ombro</t>
        </r>
      </text>
    </comment>
    <comment ref="RE2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0,77 altura do ombro</t>
        </r>
      </text>
    </comment>
    <comment ref="RE2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0,77 altura do ombro</t>
        </r>
      </text>
    </comment>
    <comment ref="RE2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0,77 altura do ombro</t>
        </r>
      </text>
    </comment>
    <comment ref="RE3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 do tronco
</t>
        </r>
      </text>
    </comment>
    <comment ref="RE3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 do tronco
</t>
        </r>
      </text>
    </comment>
    <comment ref="RE3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 do tronco
</t>
        </r>
      </text>
    </comment>
    <comment ref="RE3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10,37 flexed</t>
        </r>
      </text>
    </comment>
    <comment ref="RE3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21,88% fletido
</t>
        </r>
      </text>
    </comment>
    <comment ref="RE3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10,37 flexed</t>
        </r>
      </text>
    </comment>
    <comment ref="RE3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10,37 flexed</t>
        </r>
      </text>
    </comment>
    <comment ref="RE3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10,37 flexed</t>
        </r>
      </text>
    </comment>
    <comment ref="RE3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10,37 flexed</t>
        </r>
      </text>
    </comment>
    <comment ref="RE3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21,88% fletido
</t>
        </r>
      </text>
    </comment>
    <comment ref="UY1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UY1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UY1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UY1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UY1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UY1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UY1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UY1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UY1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UY1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UY1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UY1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UY2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UY2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UY2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UY2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UY2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UY2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UY2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UY2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UY2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hand/arm
</t>
        </r>
      </text>
    </comment>
    <comment ref="UY3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
</t>
        </r>
      </text>
    </comment>
    <comment ref="UY3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
</t>
        </r>
      </text>
    </comment>
    <comment ref="UY3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
</t>
        </r>
      </text>
    </comment>
    <comment ref="VA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
</t>
        </r>
      </text>
    </comment>
    <comment ref="VA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
</t>
        </r>
      </text>
    </comment>
    <comment ref="VA1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
</t>
        </r>
      </text>
    </comment>
    <comment ref="VA1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
</t>
        </r>
      </text>
    </comment>
    <comment ref="VA1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</t>
        </r>
      </text>
    </comment>
    <comment ref="VA1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
</t>
        </r>
      </text>
    </comment>
    <comment ref="VA1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</t>
        </r>
      </text>
    </comment>
    <comment ref="VA1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VA2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VA2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VA2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VA2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VA2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VA2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VA3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 light
1 medium
</t>
        </r>
      </text>
    </comment>
    <comment ref="VA3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 light
1 medium
</t>
        </r>
      </text>
    </comment>
    <comment ref="VR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0,35 sitting
31,94 standing
</t>
        </r>
      </text>
    </comment>
    <comment ref="VR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tempo total sentado
</t>
        </r>
      </text>
    </comment>
    <comment ref="VR1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0,15 stand</t>
        </r>
      </text>
    </comment>
    <comment ref="VR1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0,15 stand</t>
        </r>
      </text>
    </comment>
    <comment ref="VR1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standing</t>
        </r>
      </text>
    </comment>
    <comment ref="VR1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de tempo sentado
</t>
        </r>
      </text>
    </comment>
    <comment ref="VR1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</t>
        </r>
      </text>
    </comment>
    <comment ref="VR2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11,39 pé
13.64 sentado
</t>
        </r>
      </text>
    </comment>
    <comment ref="VR2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11,39 pé
13.64 sentado
</t>
        </r>
      </text>
    </comment>
    <comment ref="VR2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5,89 pé
12,74 sentado</t>
        </r>
      </text>
    </comment>
    <comment ref="VR2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11,39 pé
13.64 sentado
</t>
        </r>
      </text>
    </comment>
    <comment ref="VR2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11,39 pé
13.64 sentado
</t>
        </r>
      </text>
    </comment>
    <comment ref="VR2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
</t>
        </r>
      </text>
    </comment>
    <comment ref="VR2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
</t>
        </r>
      </text>
    </comment>
    <comment ref="VR2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</t>
        </r>
      </text>
    </comment>
    <comment ref="VR2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de tempo sentado
</t>
        </r>
      </text>
    </comment>
    <comment ref="VR2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de tempo sentado
</t>
        </r>
      </text>
    </comment>
    <comment ref="VR2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</t>
        </r>
      </text>
    </comment>
    <comment ref="VR2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6,03 sentado</t>
        </r>
      </text>
    </comment>
    <comment ref="VR2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
</t>
        </r>
      </text>
    </comment>
    <comment ref="VR2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de tempo sentado
</t>
        </r>
      </text>
    </comment>
    <comment ref="VR2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de tempo sentado
</t>
        </r>
      </text>
    </comment>
    <comment ref="VV1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
</t>
        </r>
      </text>
    </comment>
    <comment ref="VV2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16,58% com flexão do tronco</t>
        </r>
      </text>
    </comment>
    <comment ref="VV2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bent
</t>
        </r>
      </text>
    </comment>
    <comment ref="VV2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16,58% com flexão do tronco</t>
        </r>
      </text>
    </comment>
    <comment ref="VV2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21,88% fletido
</t>
        </r>
      </text>
    </comment>
    <comment ref="VV2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21,88% fletido
</t>
        </r>
      </text>
    </comment>
    <comment ref="VV2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21,88% fletido
</t>
        </r>
      </text>
    </comment>
    <comment ref="VV2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21,88% fletido
</t>
        </r>
      </text>
    </comment>
    <comment ref="VV2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21,88% fletido
</t>
        </r>
      </text>
    </comment>
    <comment ref="VV2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21,88% fletido
</t>
        </r>
      </text>
    </comment>
    <comment ref="VV2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21,88% fletido
</t>
        </r>
      </text>
    </comment>
    <comment ref="VV2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flexao do tronco
</t>
        </r>
      </text>
    </comment>
    <comment ref="VV3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 do tronco
</t>
        </r>
      </text>
    </comment>
    <comment ref="VV3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ao nivel do ombro</t>
        </r>
      </text>
    </comment>
    <comment ref="VV3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Flexão do tronco</t>
        </r>
      </text>
    </comment>
    <comment ref="VV3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 do tronco
</t>
        </r>
      </text>
    </comment>
    <comment ref="VV3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ao nivel do ombro</t>
        </r>
      </text>
    </comment>
    <comment ref="VV3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 do tronco
</t>
        </r>
      </text>
    </comment>
    <comment ref="VV3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21,88% fletido
</t>
        </r>
      </text>
    </comment>
    <comment ref="VV3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21,88% fletido
</t>
        </r>
      </text>
    </comment>
    <comment ref="VV3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21,88% fletido
</t>
        </r>
      </text>
    </comment>
    <comment ref="VV3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21,88% fletido
</t>
        </r>
      </text>
    </comment>
    <comment ref="VV3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21,88% fletido
</t>
        </r>
      </text>
    </comment>
    <comment ref="ZP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strong</t>
        </r>
      </text>
    </comment>
    <comment ref="ZP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strong</t>
        </r>
      </text>
    </comment>
    <comment ref="ZP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strong</t>
        </r>
      </text>
    </comment>
    <comment ref="ZP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strong</t>
        </r>
      </text>
    </comment>
    <comment ref="ZP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strong</t>
        </r>
      </text>
    </comment>
    <comment ref="ZP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strong</t>
        </r>
      </text>
    </comment>
    <comment ref="ZP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strong</t>
        </r>
      </text>
    </comment>
    <comment ref="ZP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strong</t>
        </r>
      </text>
    </comment>
    <comment ref="ZP1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1,1 kneeling
5,69 standing</t>
        </r>
      </text>
    </comment>
    <comment ref="ZP2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 arm </t>
        </r>
      </text>
    </comment>
    <comment ref="ZP2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 arm </t>
        </r>
      </text>
    </comment>
    <comment ref="ZP2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 arm </t>
        </r>
      </text>
    </comment>
    <comment ref="ZP2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 arm </t>
        </r>
      </text>
    </comment>
    <comment ref="ZP2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 arm </t>
        </r>
      </text>
    </comment>
    <comment ref="ZP2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
</t>
        </r>
      </text>
    </comment>
    <comment ref="ZP2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
</t>
        </r>
      </text>
    </comment>
    <comment ref="ZP2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ZP2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
</t>
        </r>
      </text>
    </comment>
    <comment ref="ZP3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</t>
        </r>
      </text>
    </comment>
    <comment ref="ZP3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
</t>
        </r>
      </text>
    </comment>
    <comment ref="ZP30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
</t>
        </r>
      </text>
    </comment>
    <comment ref="ZP3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</t>
        </r>
      </text>
    </comment>
    <comment ref="ZP3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
</t>
        </r>
      </text>
    </comment>
    <comment ref="ZP3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</t>
        </r>
      </text>
    </comment>
    <comment ref="ZR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
</t>
        </r>
      </text>
    </comment>
    <comment ref="ZR1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whiole body
</t>
        </r>
      </text>
    </comment>
    <comment ref="ZR1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whiole body
</t>
        </r>
      </text>
    </comment>
    <comment ref="ZR1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whiole body
</t>
        </r>
      </text>
    </comment>
    <comment ref="ZR1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whiole body
</t>
        </r>
      </text>
    </comment>
    <comment ref="ZR1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whiole body
</t>
        </r>
      </text>
    </comment>
    <comment ref="ZR1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whiole body
</t>
        </r>
      </text>
    </comment>
    <comment ref="ZR1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</t>
        </r>
      </text>
    </comment>
    <comment ref="ZR1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</t>
        </r>
      </text>
    </comment>
    <comment ref="ZR1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</t>
        </r>
      </text>
    </comment>
    <comment ref="ZR1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</t>
        </r>
      </text>
    </comment>
    <comment ref="ZR2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ZR2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ZR2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ZR2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 light
1 medium
</t>
        </r>
      </text>
    </comment>
    <comment ref="ZR2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 light
1 medium
</t>
        </r>
      </text>
    </comment>
    <comment ref="ZR2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 light
1 medium
</t>
        </r>
      </text>
    </comment>
    <comment ref="ZR2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 light
1 medium
</t>
        </r>
      </text>
    </comment>
    <comment ref="ZR2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 light
1 medium
</t>
        </r>
      </text>
    </comment>
    <comment ref="ZR2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 light
1 medium
</t>
        </r>
      </text>
    </comment>
    <comment ref="ZR2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 light
1 medium
</t>
        </r>
      </text>
    </comment>
    <comment ref="ZR2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whole body</t>
        </r>
      </text>
    </comment>
    <comment ref="ZR2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whole body</t>
        </r>
      </text>
    </comment>
    <comment ref="ZR2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whole body</t>
        </r>
      </text>
    </comment>
    <comment ref="ZR2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whole body</t>
        </r>
      </text>
    </comment>
    <comment ref="ZR2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whole body</t>
        </r>
      </text>
    </comment>
    <comment ref="ZR30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ZR3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ZR3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ZR3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ZR3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whiole body
</t>
        </r>
      </text>
    </comment>
    <comment ref="ZR3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whiole body
</t>
        </r>
      </text>
    </comment>
    <comment ref="ZR3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whiole body
</t>
        </r>
      </text>
    </comment>
    <comment ref="ZR3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whiole body
</t>
        </r>
      </text>
    </comment>
    <comment ref="ZR3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Medio</t>
        </r>
      </text>
    </comment>
    <comment ref="ZR3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 light
1 medium
</t>
        </r>
      </text>
    </comment>
    <comment ref="ZR3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 light
1 medium
</t>
        </r>
      </text>
    </comment>
    <comment ref="ZR3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 light
1 medium
</t>
        </r>
      </text>
    </comment>
    <comment ref="ZR3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 light
1 medium
</t>
        </r>
      </text>
    </comment>
    <comment ref="ZR3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 light
1 medium
</t>
        </r>
      </text>
    </comment>
    <comment ref="AAI1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0,38 sitting</t>
        </r>
      </text>
    </comment>
    <comment ref="AAI1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0,38 sitting</t>
        </r>
      </text>
    </comment>
    <comment ref="AAI1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standing</t>
        </r>
      </text>
    </comment>
    <comment ref="AAI1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standing</t>
        </r>
      </text>
    </comment>
    <comment ref="AAI1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standing</t>
        </r>
      </text>
    </comment>
    <comment ref="AAI1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6,03 sentado</t>
        </r>
      </text>
    </comment>
    <comment ref="AAI2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5,89 pé
12,74 sentado</t>
        </r>
      </text>
    </comment>
    <comment ref="AAI2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5,89 pé
12,74 sentado</t>
        </r>
      </text>
    </comment>
    <comment ref="AAI2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1,58 sentado
2,85 pé</t>
        </r>
      </text>
    </comment>
    <comment ref="AAI2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5,89 pé
12,74 sentado</t>
        </r>
      </text>
    </comment>
    <comment ref="AAI2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5,89 pé
12,74 sentado</t>
        </r>
      </text>
    </comment>
    <comment ref="AAI2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de tempo sentado
</t>
        </r>
      </text>
    </comment>
    <comment ref="AAI2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de tempo sentado
</t>
        </r>
      </text>
    </comment>
    <comment ref="AAI2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6,03 sentado</t>
        </r>
      </text>
    </comment>
    <comment ref="AAI2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</t>
        </r>
      </text>
    </comment>
    <comment ref="AAI2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</t>
        </r>
      </text>
    </comment>
    <comment ref="AAI2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6,03 sentado</t>
        </r>
      </text>
    </comment>
    <comment ref="AAI2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de tempo sentado
</t>
        </r>
      </text>
    </comment>
    <comment ref="AAI2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</t>
        </r>
      </text>
    </comment>
    <comment ref="AAI2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</t>
        </r>
      </text>
    </comment>
    <comment ref="AAM1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ao nivel do ombro</t>
        </r>
      </text>
    </comment>
    <comment ref="AAM1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flexao do tronco
</t>
        </r>
      </text>
    </comment>
    <comment ref="AAM1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
</t>
        </r>
      </text>
    </comment>
    <comment ref="AAM2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bent
</t>
        </r>
      </text>
    </comment>
    <comment ref="AAM2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16,58% com flexão do tronco</t>
        </r>
      </text>
    </comment>
    <comment ref="AAM2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bent
</t>
        </r>
      </text>
    </comment>
    <comment ref="AAM2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16,58% com flexão do tronco</t>
        </r>
      </text>
    </comment>
    <comment ref="AAM2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16,58% com flexão do tronco</t>
        </r>
      </text>
    </comment>
    <comment ref="AAM2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flexao do tronco
</t>
        </r>
      </text>
    </comment>
    <comment ref="AAM2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flexao do tronco
</t>
        </r>
      </text>
    </comment>
    <comment ref="AAM2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10,79 feltido</t>
        </r>
      </text>
    </comment>
    <comment ref="AAM3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 do tronco
</t>
        </r>
      </text>
    </comment>
    <comment ref="AAM3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 do tronco
</t>
        </r>
      </text>
    </comment>
    <comment ref="AEG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</t>
        </r>
      </text>
    </comment>
    <comment ref="AEG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</t>
        </r>
      </text>
    </comment>
    <comment ref="AEG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</t>
        </r>
      </text>
    </comment>
    <comment ref="AEG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</t>
        </r>
      </text>
    </comment>
    <comment ref="AEG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</t>
        </r>
      </text>
    </comment>
    <comment ref="AEG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</t>
        </r>
      </text>
    </comment>
    <comment ref="AEG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</t>
        </r>
      </text>
    </comment>
    <comment ref="AEG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</t>
        </r>
      </text>
    </comment>
    <comment ref="AEG1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AEG1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1,1 kneeling
5,69 standing</t>
        </r>
      </text>
    </comment>
    <comment ref="AEG2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</t>
        </r>
      </text>
    </comment>
    <comment ref="AEG2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
</t>
        </r>
      </text>
    </comment>
    <comment ref="AEG2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</t>
        </r>
      </text>
    </comment>
    <comment ref="AEG2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
</t>
        </r>
      </text>
    </comment>
    <comment ref="AEG2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</t>
        </r>
      </text>
    </comment>
    <comment ref="AEG2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</t>
        </r>
      </text>
    </comment>
    <comment ref="AEG2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
</t>
        </r>
      </text>
    </comment>
    <comment ref="AEG2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
</t>
        </r>
      </text>
    </comment>
    <comment ref="AEG2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
</t>
        </r>
      </text>
    </comment>
    <comment ref="AEG2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AEG2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AEG2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AEG2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</t>
        </r>
      </text>
    </comment>
    <comment ref="AEG2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
</t>
        </r>
      </text>
    </comment>
    <comment ref="AEG3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
</t>
        </r>
      </text>
    </comment>
    <comment ref="AEG3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</t>
        </r>
      </text>
    </comment>
    <comment ref="AEG30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</t>
        </r>
      </text>
    </comment>
    <comment ref="AEG3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</t>
        </r>
      </text>
    </comment>
    <comment ref="AEI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AEI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AEI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Medio</t>
        </r>
      </text>
    </comment>
    <comment ref="AEI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Medio</t>
        </r>
      </text>
    </comment>
    <comment ref="AEI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Medio</t>
        </r>
      </text>
    </comment>
    <comment ref="AEI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Medio</t>
        </r>
      </text>
    </comment>
    <comment ref="AEI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Medio</t>
        </r>
      </text>
    </comment>
    <comment ref="AEI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Medio</t>
        </r>
      </text>
    </comment>
    <comment ref="AEI1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Medio</t>
        </r>
      </text>
    </comment>
    <comment ref="AEI1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Medio</t>
        </r>
      </text>
    </comment>
    <comment ref="AEI1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</t>
        </r>
      </text>
    </comment>
    <comment ref="AEI1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</t>
        </r>
      </text>
    </comment>
    <comment ref="AEI2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AEI2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AEI2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AEI2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AEI2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AEI2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AEI2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AEI2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AEI29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AEI3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AEI30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AEI3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AEI3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Medio</t>
        </r>
      </text>
    </comment>
    <comment ref="AEZ1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standing</t>
        </r>
      </text>
    </comment>
    <comment ref="AEZ1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standing</t>
        </r>
      </text>
    </comment>
    <comment ref="AEZ1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standing</t>
        </r>
      </text>
    </comment>
    <comment ref="AEZ1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standing</t>
        </r>
      </text>
    </comment>
    <comment ref="AEZ1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standing</t>
        </r>
      </text>
    </comment>
    <comment ref="AEZ1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standing</t>
        </r>
      </text>
    </comment>
    <comment ref="AEZ2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1,58 sentado
2,85 pé</t>
        </r>
      </text>
    </comment>
    <comment ref="AEZ2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1,58 sentado
2,85 pé</t>
        </r>
      </text>
    </comment>
    <comment ref="AEZ2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1,58 sentado
2,85 pé</t>
        </r>
      </text>
    </comment>
    <comment ref="AEZ2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1,58 sentado
2,85 pé</t>
        </r>
      </text>
    </comment>
    <comment ref="AEZ2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</t>
        </r>
      </text>
    </comment>
    <comment ref="AEZ2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</t>
        </r>
      </text>
    </comment>
    <comment ref="AEZ2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6,03 sentado</t>
        </r>
      </text>
    </comment>
    <comment ref="AEZ2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6,03 sentado</t>
        </r>
      </text>
    </comment>
    <comment ref="AEZ2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sentado</t>
        </r>
      </text>
    </comment>
    <comment ref="AEZ2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6,03 sentado</t>
        </r>
      </text>
    </comment>
    <comment ref="AEZ2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6,03 sentado</t>
        </r>
      </text>
    </comment>
    <comment ref="AFD1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ao nivel do ombro</t>
        </r>
      </text>
    </comment>
    <comment ref="AFD1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ao nivel do ombro</t>
        </r>
      </text>
    </comment>
    <comment ref="AFD1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ao nivel do ombro</t>
        </r>
      </text>
    </comment>
    <comment ref="AFD1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ao nivel do ombro</t>
        </r>
      </text>
    </comment>
    <comment ref="AFD1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ao nivel do ombro</t>
        </r>
      </text>
    </comment>
    <comment ref="AFD1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ao nivel do ombro</t>
        </r>
      </text>
    </comment>
    <comment ref="AFD1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2,75 - flexed
1,6 - twisted/bent
</t>
        </r>
      </text>
    </comment>
    <comment ref="AFD1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10,79 feltido</t>
        </r>
      </text>
    </comment>
    <comment ref="AFD2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bent
</t>
        </r>
      </text>
    </comment>
    <comment ref="AFD2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bent
</t>
        </r>
      </text>
    </comment>
    <comment ref="AFD2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bent
</t>
        </r>
      </text>
    </comment>
    <comment ref="AFD2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10,79 feltido</t>
        </r>
      </text>
    </comment>
    <comment ref="AFD2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flexao do tronco
</t>
        </r>
      </text>
    </comment>
    <comment ref="AFD2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flexao do tronco
</t>
        </r>
      </text>
    </comment>
    <comment ref="AFD2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10,79 feltido</t>
        </r>
      </text>
    </comment>
    <comment ref="AFD2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
</t>
        </r>
      </text>
    </comment>
    <comment ref="AFD2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flexao do tronco
</t>
        </r>
      </text>
    </comment>
    <comment ref="AFD2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flexao do tronco
</t>
        </r>
      </text>
    </comment>
    <comment ref="AFD3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Flexão do tronco</t>
        </r>
      </text>
    </comment>
    <comment ref="AFD3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ao nivel do ombro</t>
        </r>
      </text>
    </comment>
    <comment ref="AFD3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ao nivel do ombro</t>
        </r>
      </text>
    </comment>
    <comment ref="AFD3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do tempo ao nivel do ombro</t>
        </r>
      </text>
    </comment>
    <comment ref="AIX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hand/arm restrainded</t>
        </r>
      </text>
    </comment>
    <comment ref="AIX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
</t>
        </r>
      </text>
    </comment>
    <comment ref="AIX1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AIX1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
</t>
        </r>
      </text>
    </comment>
    <comment ref="AIX2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</t>
        </r>
      </text>
    </comment>
    <comment ref="AIX27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</t>
        </r>
      </text>
    </comment>
    <comment ref="AIX2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</t>
        </r>
      </text>
    </comment>
    <comment ref="AIX2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</t>
        </r>
      </text>
    </comment>
    <comment ref="AIX2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</t>
        </r>
      </text>
    </comment>
    <comment ref="AIX2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</t>
        </r>
      </text>
    </comment>
    <comment ref="AIX2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</t>
        </r>
      </text>
    </comment>
    <comment ref="AIX2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
</t>
        </r>
      </text>
    </comment>
    <comment ref="AIX2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</t>
        </r>
      </text>
    </comment>
    <comment ref="AIX2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</t>
        </r>
      </text>
    </comment>
    <comment ref="AIX2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</t>
        </r>
      </text>
    </comment>
    <comment ref="AIX2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AIX2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AIX2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AIX2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AIX2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1,1 kneeling
5,69 standing</t>
        </r>
      </text>
    </comment>
    <comment ref="AIX2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AIX2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AIX2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</t>
        </r>
      </text>
    </comment>
    <comment ref="AIX3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
</t>
        </r>
      </text>
    </comment>
    <comment ref="AIX3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hand</t>
        </r>
      </text>
    </comment>
    <comment ref="AIX3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arm
</t>
        </r>
      </text>
    </comment>
    <comment ref="AIZ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Medio</t>
        </r>
      </text>
    </comment>
    <comment ref="AIZ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Medio</t>
        </r>
      </text>
    </comment>
    <comment ref="AIZ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Medio</t>
        </r>
      </text>
    </comment>
    <comment ref="AIZ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Medio</t>
        </r>
      </text>
    </comment>
    <comment ref="AIZ7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Medio</t>
        </r>
      </text>
    </comment>
    <comment ref="AIZ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Medio</t>
        </r>
      </text>
    </comment>
    <comment ref="AIZ1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Medio</t>
        </r>
      </text>
    </comment>
    <comment ref="AIZ1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
</t>
        </r>
      </text>
    </comment>
    <comment ref="AIZ1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Medio</t>
        </r>
      </text>
    </comment>
    <comment ref="AIZ2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AIZ2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AIZ2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AIZ2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AIZ2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AIZ2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AIZ2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AIZ29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AIZ30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AIZ3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whole body
</t>
        </r>
      </text>
    </comment>
    <comment ref="AJQ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tempo total sentado
</t>
        </r>
      </text>
    </comment>
    <comment ref="AJQ1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tempo total sentado
</t>
        </r>
      </text>
    </comment>
    <comment ref="AJQ2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6,03 sentado</t>
        </r>
      </text>
    </comment>
    <comment ref="AJQ2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6,03 sentado</t>
        </r>
      </text>
    </comment>
    <comment ref="AJQ2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6,03 sentado</t>
        </r>
      </text>
    </comment>
    <comment ref="AJU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16,58% com flexão do tronco</t>
        </r>
      </text>
    </comment>
    <comment ref="AJU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2,75 - flexed
1,6 - twisted/bent
</t>
        </r>
      </text>
    </comment>
    <comment ref="AJU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2,75 - flexed
1,6 - twisted/bent
</t>
        </r>
      </text>
    </comment>
    <comment ref="AJU10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 do tronco
</t>
        </r>
      </text>
    </comment>
    <comment ref="AJU1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 do tronco
</t>
        </r>
      </text>
    </comment>
    <comment ref="AJU1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 do tronco
</t>
        </r>
      </text>
    </comment>
    <comment ref="AJU1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 do tronco
</t>
        </r>
      </text>
    </comment>
    <comment ref="AJU1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 do tronco
</t>
        </r>
      </text>
    </comment>
    <comment ref="AJU1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 do tronco
</t>
        </r>
      </text>
    </comment>
    <comment ref="AJU1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2,75 - flexed
1,6 - twisted/bent
</t>
        </r>
      </text>
    </comment>
    <comment ref="AJU1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
</t>
        </r>
      </text>
    </comment>
    <comment ref="AJU1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tempo total fletido
</t>
        </r>
      </text>
    </comment>
    <comment ref="AJU2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16,58% com flexão do tronco</t>
        </r>
      </text>
    </comment>
    <comment ref="AJU2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16,58% com flexão do tronco</t>
        </r>
      </text>
    </comment>
    <comment ref="AJU2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2,75 - flexed
1,6 - twisted/bent
</t>
        </r>
      </text>
    </comment>
    <comment ref="AJU2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flexao do tronco
</t>
        </r>
      </text>
    </comment>
    <comment ref="AJU28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flexao do tronco
</t>
        </r>
      </text>
    </comment>
    <comment ref="AJU2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
</t>
        </r>
      </text>
    </comment>
    <comment ref="AJU2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10,79 feltido</t>
        </r>
      </text>
    </comment>
    <comment ref="AJU2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10,79 feltido</t>
        </r>
      </text>
    </comment>
    <comment ref="AJU29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
</t>
        </r>
      </text>
    </comment>
    <comment ref="AJU29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flexao do tronco
</t>
        </r>
      </text>
    </comment>
    <comment ref="AJU2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10,79 feltido</t>
        </r>
      </text>
    </comment>
    <comment ref="AJU2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10,79 feltido</t>
        </r>
      </text>
    </comment>
    <comment ref="AJU3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16,58% com flexão do tronco</t>
        </r>
      </text>
    </comment>
    <comment ref="AJU3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Flexão do tronco</t>
        </r>
      </text>
    </comment>
    <comment ref="AJU3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 do tronco
</t>
        </r>
      </text>
    </comment>
    <comment ref="AJU3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Flexão do tronco</t>
        </r>
      </text>
    </comment>
    <comment ref="AJU3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em flexão do tronco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C1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Duas respostas assinaladas</t>
        </r>
      </text>
    </comment>
    <comment ref="BE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0,03 sentado</t>
        </r>
      </text>
    </comment>
    <comment ref="BI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2,75 - flexed
1,6 - twisted/bent
</t>
        </r>
      </text>
    </comment>
    <comment ref="BI1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</t>
        </r>
      </text>
    </comment>
    <comment ref="BI1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</t>
        </r>
      </text>
    </comment>
    <comment ref="BI2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tronco fletido</t>
        </r>
      </text>
    </comment>
    <comment ref="BI2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BI2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BI2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BI2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BI2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BI2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BI2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BI2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0,77 altura do ombro</t>
        </r>
      </text>
    </comment>
    <comment ref="BI3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BI34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fletido</t>
        </r>
      </text>
    </comment>
    <comment ref="BI34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fletido</t>
        </r>
      </text>
    </comment>
    <comment ref="BI3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BI3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BI3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BI3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BI3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BI3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BI3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total tronco fletido</t>
        </r>
      </text>
    </comment>
    <comment ref="BT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BT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BT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BT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BT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BT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BT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BT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</t>
        </r>
      </text>
    </comment>
    <comment ref="BT1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
</t>
        </r>
      </text>
    </comment>
    <comment ref="BT1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
</t>
        </r>
      </text>
    </comment>
    <comment ref="BT1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
</t>
        </r>
      </text>
    </comment>
    <comment ref="BT1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 hand
</t>
        </r>
      </text>
    </comment>
    <comment ref="BT1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</t>
        </r>
      </text>
    </comment>
    <comment ref="BT1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1,89 strong
6,91 medium
</t>
        </r>
      </text>
    </comment>
    <comment ref="BT1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1,89 strong
6,91 medium
</t>
        </r>
      </text>
    </comment>
    <comment ref="BT1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BT1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1,89 strong
6,91 medium
</t>
        </r>
      </text>
    </comment>
    <comment ref="BT1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1,89 strong
6,91 medium
</t>
        </r>
      </text>
    </comment>
    <comment ref="BT1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1,89 strong
6,91 medium
</t>
        </r>
      </text>
    </comment>
    <comment ref="BT1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BT18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medium</t>
        </r>
      </text>
    </comment>
    <comment ref="BT1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1,89 strong
6,91 medium
</t>
        </r>
      </text>
    </comment>
    <comment ref="BT18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1,89 strong
6,91 medium
</t>
        </r>
      </text>
    </comment>
    <comment ref="BT19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</t>
        </r>
      </text>
    </comment>
    <comment ref="BT2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 Medium arm restrained
</t>
        </r>
      </text>
    </comment>
    <comment ref="BV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BV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BV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BV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BV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BV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BV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BV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light whole body</t>
        </r>
      </text>
    </comment>
    <comment ref="BV1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Easy (entrance in the front)</t>
        </r>
      </text>
    </comment>
    <comment ref="BV1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Easy (entrance in the front)</t>
        </r>
      </text>
    </comment>
    <comment ref="BV1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Easy (entrance in the front)</t>
        </r>
      </text>
    </comment>
    <comment ref="BV1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Easy (entrance in the front)</t>
        </r>
      </text>
    </comment>
    <comment ref="BV1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Easy (entrance in the front)</t>
        </r>
      </text>
    </comment>
    <comment ref="BV16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Strong body restriction
</t>
        </r>
      </text>
    </comment>
    <comment ref="BV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 whole body
</t>
        </r>
      </text>
    </comment>
    <comment ref="BV1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</t>
        </r>
      </text>
    </comment>
    <comment ref="BV1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Frodo:
</t>
        </r>
        <r>
          <rPr>
            <sz val="9"/>
            <color rgb="FF000000"/>
            <rFont val="Tahoma"/>
            <family val="2"/>
            <charset val="1"/>
          </rPr>
          <t xml:space="preserve">light</t>
        </r>
      </text>
    </comment>
  </commentList>
</comments>
</file>

<file path=xl/sharedStrings.xml><?xml version="1.0" encoding="utf-8"?>
<sst xmlns="http://schemas.openxmlformats.org/spreadsheetml/2006/main" count="5183" uniqueCount="947">
  <si>
    <t>Cod_sujeito</t>
  </si>
  <si>
    <t>Data_preenchimento</t>
  </si>
  <si>
    <t>Genero</t>
  </si>
  <si>
    <t>Data_Admissao</t>
  </si>
  <si>
    <t>Data_Nascimento</t>
  </si>
  <si>
    <t>Idade</t>
  </si>
  <si>
    <t>Antiguidade</t>
  </si>
  <si>
    <t>Zona</t>
  </si>
  <si>
    <t>URQ</t>
  </si>
  <si>
    <t>Turno</t>
  </si>
  <si>
    <t>duracao_turno</t>
  </si>
  <si>
    <t>Peso</t>
  </si>
  <si>
    <t>Altura</t>
  </si>
  <si>
    <t>IMC</t>
  </si>
  <si>
    <t>hipertensao</t>
  </si>
  <si>
    <t>medicacao_H</t>
  </si>
  <si>
    <t>medicacao_H_qual</t>
  </si>
  <si>
    <t>diabetes</t>
  </si>
  <si>
    <t>medicacao_D</t>
  </si>
  <si>
    <t>medicacao_D_qual</t>
  </si>
  <si>
    <t>perda_peso</t>
  </si>
  <si>
    <t>Peso_kg</t>
  </si>
  <si>
    <t>exausto_7dias</t>
  </si>
  <si>
    <t>deslocamento</t>
  </si>
  <si>
    <t>Atividade_fisica</t>
  </si>
  <si>
    <t>Frequencia_AF</t>
  </si>
  <si>
    <t>duracao_AF</t>
  </si>
  <si>
    <t>tipo_AF</t>
  </si>
  <si>
    <t>Fuma</t>
  </si>
  <si>
    <t>cigarros_dia</t>
  </si>
  <si>
    <t>Pescoço_12m</t>
  </si>
  <si>
    <t>Pescoço_12m_Impedimento</t>
  </si>
  <si>
    <t>Pescoço_7dias</t>
  </si>
  <si>
    <t>Pescoço_Intensidade</t>
  </si>
  <si>
    <t>Ombro_12m</t>
  </si>
  <si>
    <t>Ombros_12m_Impedimento</t>
  </si>
  <si>
    <t>Ombro_7dias</t>
  </si>
  <si>
    <t>Ombro_Intensidade_direito</t>
  </si>
  <si>
    <t>Ombro_Intensidade_esquerdo</t>
  </si>
  <si>
    <t>Cotovelo_12m</t>
  </si>
  <si>
    <t>Cotovelo_12m_Impedimento</t>
  </si>
  <si>
    <t>Cotovelo_7dias</t>
  </si>
  <si>
    <t>Cotovelo_Intensidade_direito</t>
  </si>
  <si>
    <t>Cotovelo_Intensidade_esquerdo</t>
  </si>
  <si>
    <t>PunhoMao_12m</t>
  </si>
  <si>
    <t>PunhoMao_12m_Impedimento</t>
  </si>
  <si>
    <t>PunhoMao_7dias</t>
  </si>
  <si>
    <t>PunhoMao_Intensidade_direita</t>
  </si>
  <si>
    <t>PunhoMao_Intensidade_esquerda</t>
  </si>
  <si>
    <t>Toracica_12m</t>
  </si>
  <si>
    <t>Toracica_Impedimento</t>
  </si>
  <si>
    <t>Toracica_7dias</t>
  </si>
  <si>
    <t>Toracica_Intensidade</t>
  </si>
  <si>
    <t>Lombar_12m</t>
  </si>
  <si>
    <t>Lombar_Impedimento</t>
  </si>
  <si>
    <t>Lombar_7dias</t>
  </si>
  <si>
    <t>Lombar_Intensidade</t>
  </si>
  <si>
    <t>AncaCoxas_12m</t>
  </si>
  <si>
    <t>AncaCoxas_Impedimento</t>
  </si>
  <si>
    <t>AncaCoxas_7dias</t>
  </si>
  <si>
    <t>AncaCoxas_Intensidade</t>
  </si>
  <si>
    <t>Joelhos_12m</t>
  </si>
  <si>
    <t>Joelhos_Impedimento</t>
  </si>
  <si>
    <t>Joelhos_7dias</t>
  </si>
  <si>
    <t>Joelhos_Intensidade</t>
  </si>
  <si>
    <t>TornozeloPes_12m</t>
  </si>
  <si>
    <t>TornozeloPes_Impedimento</t>
  </si>
  <si>
    <t>TonozeloPes_7dias</t>
  </si>
  <si>
    <t>TornozeloPes_Intensidade</t>
  </si>
  <si>
    <t>Carga_mal_distribuida</t>
  </si>
  <si>
    <t>Terminar_tarefas</t>
  </si>
  <si>
    <t>Rapidez_trabalho</t>
  </si>
  <si>
    <t>Atencao_constante</t>
  </si>
  <si>
    <t>Decisões_dificeis</t>
  </si>
  <si>
    <t>Exigencia_emocional</t>
  </si>
  <si>
    <t>Influencia_trabalho</t>
  </si>
  <si>
    <t>inciativa</t>
  </si>
  <si>
    <t>aprendizagem</t>
  </si>
  <si>
    <t>Mudancas_local_trabalho</t>
  </si>
  <si>
    <t>infomacao</t>
  </si>
  <si>
    <t>responsabilidades</t>
  </si>
  <si>
    <t>Apreciado_gerencia</t>
  </si>
  <si>
    <t>Tratamento_justo</t>
  </si>
  <si>
    <t>Apoio_superior</t>
  </si>
  <si>
    <t>Ambiente_trabalho</t>
  </si>
  <si>
    <t>oportunidades_desenvolvimento</t>
  </si>
  <si>
    <t>Planeamento_trabalho</t>
  </si>
  <si>
    <t>satisfacao</t>
  </si>
  <si>
    <t>CT_atual</t>
  </si>
  <si>
    <t>Estacao</t>
  </si>
  <si>
    <t>Score</t>
  </si>
  <si>
    <t>Carga_trabalho</t>
  </si>
  <si>
    <t>Tempo_ciclo</t>
  </si>
  <si>
    <t>Score_Posture</t>
  </si>
  <si>
    <t>P_standwalk</t>
  </si>
  <si>
    <t>P_Standing_precision</t>
  </si>
  <si>
    <t>P_Stand_shoulderheight</t>
  </si>
  <si>
    <t>P_Stand_abovehead</t>
  </si>
  <si>
    <t>P_Stand_bent</t>
  </si>
  <si>
    <t>P_Stand_Strongly_bent</t>
  </si>
  <si>
    <t>P_sit</t>
  </si>
  <si>
    <t>P_Sit_shoulderheight</t>
  </si>
  <si>
    <t>P_sit_abovehead</t>
  </si>
  <si>
    <t>P_Sit_bent</t>
  </si>
  <si>
    <t>P_Sit_Strongly_bent</t>
  </si>
  <si>
    <t>P_twisted_bent</t>
  </si>
  <si>
    <t>P_60_range</t>
  </si>
  <si>
    <t>P_80_range</t>
  </si>
  <si>
    <t>P_100_range</t>
  </si>
  <si>
    <t>P_kneeling_crounching</t>
  </si>
  <si>
    <t>Score_MMC</t>
  </si>
  <si>
    <t>MMC_type</t>
  </si>
  <si>
    <t>MMC_weight1</t>
  </si>
  <si>
    <t>MMC_distance1</t>
  </si>
  <si>
    <t>MMC_frequency1</t>
  </si>
  <si>
    <t>MMC_weight2</t>
  </si>
  <si>
    <t>MMC_distance2</t>
  </si>
  <si>
    <t>MMC_frequency2</t>
  </si>
  <si>
    <t>MMC_weight3</t>
  </si>
  <si>
    <t>MMC_distance3</t>
  </si>
  <si>
    <t>MMC_frequency3</t>
  </si>
  <si>
    <t>MMC_weight4</t>
  </si>
  <si>
    <t>MMC_distance4</t>
  </si>
  <si>
    <t>MMC_frequency4</t>
  </si>
  <si>
    <t>Score_Force</t>
  </si>
  <si>
    <t>F_maobraco</t>
  </si>
  <si>
    <t>Intensity</t>
  </si>
  <si>
    <t>frequency</t>
  </si>
  <si>
    <t>Duration</t>
  </si>
  <si>
    <t>grip</t>
  </si>
  <si>
    <t>F_corpointeiro</t>
  </si>
  <si>
    <t>Intensity_1</t>
  </si>
  <si>
    <t>frequency_1</t>
  </si>
  <si>
    <t>Duration_</t>
  </si>
  <si>
    <t>F_direction_1</t>
  </si>
  <si>
    <t>Intensity_2</t>
  </si>
  <si>
    <t>frequency_2</t>
  </si>
  <si>
    <t>Duration_2</t>
  </si>
  <si>
    <t>F_direction_2</t>
  </si>
  <si>
    <t>Intensity_3</t>
  </si>
  <si>
    <t>frequency_3</t>
  </si>
  <si>
    <t>Duration_3</t>
  </si>
  <si>
    <t>F_direction_3</t>
  </si>
  <si>
    <t>Intensity_4</t>
  </si>
  <si>
    <t>frequency_4</t>
  </si>
  <si>
    <t>Duration_4</t>
  </si>
  <si>
    <t>F_direction_4</t>
  </si>
  <si>
    <t>Intensity_5</t>
  </si>
  <si>
    <t>frequency_5</t>
  </si>
  <si>
    <t>Duration_5</t>
  </si>
  <si>
    <t>F_direction_5</t>
  </si>
  <si>
    <t>Intensity_6</t>
  </si>
  <si>
    <t>frequency_6</t>
  </si>
  <si>
    <t>Duration_6</t>
  </si>
  <si>
    <t>F_direction_6</t>
  </si>
  <si>
    <t>Intensity_7</t>
  </si>
  <si>
    <t>frequency_7</t>
  </si>
  <si>
    <t>Duration_7</t>
  </si>
  <si>
    <t>F_direction_7</t>
  </si>
  <si>
    <t>Intensity_8</t>
  </si>
  <si>
    <t>frequency_8</t>
  </si>
  <si>
    <t>Duration_8</t>
  </si>
  <si>
    <t>F_direction_8</t>
  </si>
  <si>
    <t>Intensity_9</t>
  </si>
  <si>
    <t>frequency_9</t>
  </si>
  <si>
    <t>Duration_9</t>
  </si>
  <si>
    <t>F_direction_9</t>
  </si>
  <si>
    <t>Score_ferramenta</t>
  </si>
  <si>
    <t>ferramenta</t>
  </si>
  <si>
    <t>ferramenta_tipo</t>
  </si>
  <si>
    <t>ferramenta_torque</t>
  </si>
  <si>
    <t>ferramenta_tempo</t>
  </si>
  <si>
    <t>Score_jointposition</t>
  </si>
  <si>
    <t>jointposition_50</t>
  </si>
  <si>
    <t>jointposition_75</t>
  </si>
  <si>
    <t>jointposition_100</t>
  </si>
  <si>
    <t>Score_reduced acessibility</t>
  </si>
  <si>
    <t>reduced_accessibility</t>
  </si>
  <si>
    <t>Score_otherbodyloads</t>
  </si>
  <si>
    <t>entrance_car</t>
  </si>
  <si>
    <t>AE001</t>
  </si>
  <si>
    <t>B</t>
  </si>
  <si>
    <t>B3</t>
  </si>
  <si>
    <t>A</t>
  </si>
  <si>
    <t>Musculação</t>
  </si>
  <si>
    <t>37BL</t>
  </si>
  <si>
    <t>37F</t>
  </si>
  <si>
    <t>38BL</t>
  </si>
  <si>
    <t>39BL</t>
  </si>
  <si>
    <t>40BR</t>
  </si>
  <si>
    <t>40BL</t>
  </si>
  <si>
    <t>40F</t>
  </si>
  <si>
    <t>41F</t>
  </si>
  <si>
    <t>AE002</t>
  </si>
  <si>
    <t>B1</t>
  </si>
  <si>
    <t>27R</t>
  </si>
  <si>
    <t>27L</t>
  </si>
  <si>
    <t>27F</t>
  </si>
  <si>
    <t>28L</t>
  </si>
  <si>
    <t>29F</t>
  </si>
  <si>
    <t>30F</t>
  </si>
  <si>
    <t>31F</t>
  </si>
  <si>
    <t>31IT</t>
  </si>
  <si>
    <t>AE003</t>
  </si>
  <si>
    <t>AE004</t>
  </si>
  <si>
    <t>H</t>
  </si>
  <si>
    <t>H2</t>
  </si>
  <si>
    <t>17L</t>
  </si>
  <si>
    <t>17R</t>
  </si>
  <si>
    <t>19LR</t>
  </si>
  <si>
    <t>21B</t>
  </si>
  <si>
    <t>24LR</t>
  </si>
  <si>
    <t>AE005</t>
  </si>
  <si>
    <t>31IF</t>
  </si>
  <si>
    <t>AE006</t>
  </si>
  <si>
    <t>Caminhada</t>
  </si>
  <si>
    <t>AE007</t>
  </si>
  <si>
    <t>C</t>
  </si>
  <si>
    <t>C1</t>
  </si>
  <si>
    <t>ED20</t>
  </si>
  <si>
    <t>ED30</t>
  </si>
  <si>
    <t>ED40</t>
  </si>
  <si>
    <t>ED50R</t>
  </si>
  <si>
    <t>ED06</t>
  </si>
  <si>
    <t>ED07</t>
  </si>
  <si>
    <t>ED75</t>
  </si>
  <si>
    <t>ED76R</t>
  </si>
  <si>
    <t>AE008</t>
  </si>
  <si>
    <t>E</t>
  </si>
  <si>
    <t>E3</t>
  </si>
  <si>
    <t>65UL</t>
  </si>
  <si>
    <t>65UR</t>
  </si>
  <si>
    <t>66FL</t>
  </si>
  <si>
    <t>66FR</t>
  </si>
  <si>
    <t>67L</t>
  </si>
  <si>
    <t>67R</t>
  </si>
  <si>
    <t>68L</t>
  </si>
  <si>
    <t>68R</t>
  </si>
  <si>
    <t>AE009</t>
  </si>
  <si>
    <t>AE010</t>
  </si>
  <si>
    <t>E2</t>
  </si>
  <si>
    <t>Twynsta</t>
  </si>
  <si>
    <t>58R0</t>
  </si>
  <si>
    <t>58L</t>
  </si>
  <si>
    <t>59F</t>
  </si>
  <si>
    <t>60F</t>
  </si>
  <si>
    <t>61L</t>
  </si>
  <si>
    <t>61R</t>
  </si>
  <si>
    <t>62FL</t>
  </si>
  <si>
    <t>62FR</t>
  </si>
  <si>
    <t>AE011</t>
  </si>
  <si>
    <t>E5</t>
  </si>
  <si>
    <t>Coveram</t>
  </si>
  <si>
    <t>79R</t>
  </si>
  <si>
    <t>80L</t>
  </si>
  <si>
    <t>80R</t>
  </si>
  <si>
    <t>83B</t>
  </si>
  <si>
    <t>83F</t>
  </si>
  <si>
    <t>83BR</t>
  </si>
  <si>
    <t>83FR</t>
  </si>
  <si>
    <t>85L</t>
  </si>
  <si>
    <t>AE012</t>
  </si>
  <si>
    <t>A4</t>
  </si>
  <si>
    <t>23R</t>
  </si>
  <si>
    <t>24F</t>
  </si>
  <si>
    <t>24L</t>
  </si>
  <si>
    <t>24R</t>
  </si>
  <si>
    <t>25F1</t>
  </si>
  <si>
    <t>25F2</t>
  </si>
  <si>
    <t>25L</t>
  </si>
  <si>
    <t>25R</t>
  </si>
  <si>
    <t>AE013</t>
  </si>
  <si>
    <t>C4</t>
  </si>
  <si>
    <t>Caminhada/Corrida</t>
  </si>
  <si>
    <t>PA13R</t>
  </si>
  <si>
    <t>PA13L</t>
  </si>
  <si>
    <t>PA14R</t>
  </si>
  <si>
    <t>PA14L</t>
  </si>
  <si>
    <t>PA15L</t>
  </si>
  <si>
    <t>PA15R</t>
  </si>
  <si>
    <t>T18S1</t>
  </si>
  <si>
    <t>PA19R</t>
  </si>
  <si>
    <t>AE014</t>
  </si>
  <si>
    <t>B5</t>
  </si>
  <si>
    <t>Corrida</t>
  </si>
  <si>
    <t>54R</t>
  </si>
  <si>
    <t>54L</t>
  </si>
  <si>
    <t>54FR</t>
  </si>
  <si>
    <t>54FL</t>
  </si>
  <si>
    <t>55R</t>
  </si>
  <si>
    <t>55L</t>
  </si>
  <si>
    <t>56AR</t>
  </si>
  <si>
    <t>AE015</t>
  </si>
  <si>
    <t>Cardio/Musculação</t>
  </si>
  <si>
    <t>AE016</t>
  </si>
  <si>
    <t>Olmetec</t>
  </si>
  <si>
    <t>Corrida/Ciclismo/Futebol/Ginásio</t>
  </si>
  <si>
    <t>AE017</t>
  </si>
  <si>
    <t>A3</t>
  </si>
  <si>
    <t>16F</t>
  </si>
  <si>
    <t>16L</t>
  </si>
  <si>
    <t>16R</t>
  </si>
  <si>
    <t>18L</t>
  </si>
  <si>
    <t>18R</t>
  </si>
  <si>
    <t>19L</t>
  </si>
  <si>
    <t>AE018</t>
  </si>
  <si>
    <t>F</t>
  </si>
  <si>
    <t>F4</t>
  </si>
  <si>
    <t>Ginásio</t>
  </si>
  <si>
    <t>106L</t>
  </si>
  <si>
    <t>106R</t>
  </si>
  <si>
    <t>107L</t>
  </si>
  <si>
    <t>107R</t>
  </si>
  <si>
    <t>109L</t>
  </si>
  <si>
    <t>109R</t>
  </si>
  <si>
    <t>110L</t>
  </si>
  <si>
    <t>110R</t>
  </si>
  <si>
    <t>AE019</t>
  </si>
  <si>
    <t>Coveram 5mg/5mg</t>
  </si>
  <si>
    <t>AE020</t>
  </si>
  <si>
    <t>H4</t>
  </si>
  <si>
    <t>136F</t>
  </si>
  <si>
    <t>90B</t>
  </si>
  <si>
    <t>AE021</t>
  </si>
  <si>
    <t>H3</t>
  </si>
  <si>
    <t>125L</t>
  </si>
  <si>
    <t>125R</t>
  </si>
  <si>
    <t>126L</t>
  </si>
  <si>
    <t>126R</t>
  </si>
  <si>
    <t>127L</t>
  </si>
  <si>
    <t>127R</t>
  </si>
  <si>
    <t>128L</t>
  </si>
  <si>
    <t>128R</t>
  </si>
  <si>
    <t>AE022</t>
  </si>
  <si>
    <t>AE023</t>
  </si>
  <si>
    <t>Cardio-fitness</t>
  </si>
  <si>
    <t>AE024</t>
  </si>
  <si>
    <t>Basquetebol/Atletismo</t>
  </si>
  <si>
    <t>AE025</t>
  </si>
  <si>
    <t>TRX</t>
  </si>
  <si>
    <t>AE026</t>
  </si>
  <si>
    <t>AE027</t>
  </si>
  <si>
    <t>Xanax</t>
  </si>
  <si>
    <t>Corrida/Musculação</t>
  </si>
  <si>
    <t>AE028</t>
  </si>
  <si>
    <t>Artes Marciais</t>
  </si>
  <si>
    <t>AE029</t>
  </si>
  <si>
    <t>A1</t>
  </si>
  <si>
    <t>Body</t>
  </si>
  <si>
    <t>Futebol</t>
  </si>
  <si>
    <t>3L</t>
  </si>
  <si>
    <t>4F</t>
  </si>
  <si>
    <t>5F</t>
  </si>
  <si>
    <t>AE030</t>
  </si>
  <si>
    <t>Ginásio/Aulas de grupo</t>
  </si>
  <si>
    <t>2F</t>
  </si>
  <si>
    <t>5R</t>
  </si>
  <si>
    <t>6R</t>
  </si>
  <si>
    <t>7R</t>
  </si>
  <si>
    <t>AE031</t>
  </si>
  <si>
    <t>Taekwondo/Jiu-jitsu</t>
  </si>
  <si>
    <t>3R</t>
  </si>
  <si>
    <t>AE032</t>
  </si>
  <si>
    <t>2L</t>
  </si>
  <si>
    <t>2R</t>
  </si>
  <si>
    <t>4L</t>
  </si>
  <si>
    <t>AE033</t>
  </si>
  <si>
    <t>AE034</t>
  </si>
  <si>
    <t>BTT</t>
  </si>
  <si>
    <t>AE035</t>
  </si>
  <si>
    <t>7L</t>
  </si>
  <si>
    <t>AE036</t>
  </si>
  <si>
    <t>AE037</t>
  </si>
  <si>
    <t>6L</t>
  </si>
  <si>
    <t>AE038</t>
  </si>
  <si>
    <t>AE039</t>
  </si>
  <si>
    <t>Surf/Corrida</t>
  </si>
  <si>
    <t>AE040</t>
  </si>
  <si>
    <t>AE041</t>
  </si>
  <si>
    <t>AE042</t>
  </si>
  <si>
    <t>AE044</t>
  </si>
  <si>
    <t>Corrida/Zumba</t>
  </si>
  <si>
    <t>AE045</t>
  </si>
  <si>
    <t>A0</t>
  </si>
  <si>
    <t>01W</t>
  </si>
  <si>
    <t>01L</t>
  </si>
  <si>
    <t>01R</t>
  </si>
  <si>
    <t>02L</t>
  </si>
  <si>
    <t>02R</t>
  </si>
  <si>
    <t>F115</t>
  </si>
  <si>
    <t>AE046</t>
  </si>
  <si>
    <t>AE047</t>
  </si>
  <si>
    <t>AE048</t>
  </si>
  <si>
    <t>AE049</t>
  </si>
  <si>
    <t>Nebivolol</t>
  </si>
  <si>
    <t>Bicicleta/Passadeira</t>
  </si>
  <si>
    <t>AE050</t>
  </si>
  <si>
    <t>Hidroginástica</t>
  </si>
  <si>
    <t>AE051</t>
  </si>
  <si>
    <t>AE052</t>
  </si>
  <si>
    <t>AE053</t>
  </si>
  <si>
    <t>AE054</t>
  </si>
  <si>
    <t>C2</t>
  </si>
  <si>
    <t>ED78</t>
  </si>
  <si>
    <t>ED80L</t>
  </si>
  <si>
    <t>ED90</t>
  </si>
  <si>
    <t>ED10R</t>
  </si>
  <si>
    <t>ED11L</t>
  </si>
  <si>
    <t>ED12</t>
  </si>
  <si>
    <t>ED130L</t>
  </si>
  <si>
    <t>PA02R</t>
  </si>
  <si>
    <t>AE055</t>
  </si>
  <si>
    <t>AE056</t>
  </si>
  <si>
    <t>AE057</t>
  </si>
  <si>
    <t>ED77</t>
  </si>
  <si>
    <t>ED89</t>
  </si>
  <si>
    <t>ED11</t>
  </si>
  <si>
    <t>AE058</t>
  </si>
  <si>
    <t>AE059</t>
  </si>
  <si>
    <t>AE060</t>
  </si>
  <si>
    <t>Musculação/Cardio</t>
  </si>
  <si>
    <t>AE061</t>
  </si>
  <si>
    <t>AE062</t>
  </si>
  <si>
    <t>AE063</t>
  </si>
  <si>
    <t>AE064</t>
  </si>
  <si>
    <t>AE065</t>
  </si>
  <si>
    <t>AE066</t>
  </si>
  <si>
    <t>AE067</t>
  </si>
  <si>
    <t>Natação/Futebol</t>
  </si>
  <si>
    <t>AE068</t>
  </si>
  <si>
    <t>AE069</t>
  </si>
  <si>
    <t>AE070</t>
  </si>
  <si>
    <t>AE071</t>
  </si>
  <si>
    <t>AE072</t>
  </si>
  <si>
    <t>AE073</t>
  </si>
  <si>
    <t>85R</t>
  </si>
  <si>
    <t>AE074</t>
  </si>
  <si>
    <t>AE075</t>
  </si>
  <si>
    <t>Concor 5mg</t>
  </si>
  <si>
    <t>AE076</t>
  </si>
  <si>
    <t>AE077</t>
  </si>
  <si>
    <t>Atletismo</t>
  </si>
  <si>
    <t>AE078</t>
  </si>
  <si>
    <t>AE079</t>
  </si>
  <si>
    <t>AE080</t>
  </si>
  <si>
    <t>Fitness</t>
  </si>
  <si>
    <t>AE081</t>
  </si>
  <si>
    <t>E1</t>
  </si>
  <si>
    <t>57BR</t>
  </si>
  <si>
    <t>57CR</t>
  </si>
  <si>
    <t>57E</t>
  </si>
  <si>
    <t>57FR</t>
  </si>
  <si>
    <t>57FL</t>
  </si>
  <si>
    <t>57HL</t>
  </si>
  <si>
    <t>AE082</t>
  </si>
  <si>
    <t>57A</t>
  </si>
  <si>
    <t>57DF</t>
  </si>
  <si>
    <t>57F0</t>
  </si>
  <si>
    <t>AE083</t>
  </si>
  <si>
    <t>Natação/Bicicleta</t>
  </si>
  <si>
    <t>AE084</t>
  </si>
  <si>
    <t>69BL</t>
  </si>
  <si>
    <t>70L</t>
  </si>
  <si>
    <t>70R</t>
  </si>
  <si>
    <t>AE085</t>
  </si>
  <si>
    <t>AE086</t>
  </si>
  <si>
    <t>57GR</t>
  </si>
  <si>
    <t>AE087</t>
  </si>
  <si>
    <t>Caminhada/Ginásio</t>
  </si>
  <si>
    <t>AE088</t>
  </si>
  <si>
    <t>Futebol/Ginásio</t>
  </si>
  <si>
    <t>AE089</t>
  </si>
  <si>
    <t>AE090</t>
  </si>
  <si>
    <t>AE091</t>
  </si>
  <si>
    <t>Insulina</t>
  </si>
  <si>
    <t>AE092</t>
  </si>
  <si>
    <t>AE093</t>
  </si>
  <si>
    <t>AE094</t>
  </si>
  <si>
    <t>Natação</t>
  </si>
  <si>
    <t>AE095</t>
  </si>
  <si>
    <t>Canoagem/Ciclismo</t>
  </si>
  <si>
    <t>AE096</t>
  </si>
  <si>
    <t>Jiu-Jitsu</t>
  </si>
  <si>
    <t>AE097</t>
  </si>
  <si>
    <t>Cardio</t>
  </si>
  <si>
    <t>AE098</t>
  </si>
  <si>
    <t>Bicicleta</t>
  </si>
  <si>
    <t>AE099</t>
  </si>
  <si>
    <t>AE100</t>
  </si>
  <si>
    <t>AE101</t>
  </si>
  <si>
    <t>AE102</t>
  </si>
  <si>
    <t>AE103</t>
  </si>
  <si>
    <t>AE104</t>
  </si>
  <si>
    <t>AE105</t>
  </si>
  <si>
    <t>AE106</t>
  </si>
  <si>
    <t>AE107</t>
  </si>
  <si>
    <t>B2</t>
  </si>
  <si>
    <t>Caça submarina</t>
  </si>
  <si>
    <t>32B</t>
  </si>
  <si>
    <t>32F</t>
  </si>
  <si>
    <t>32R1</t>
  </si>
  <si>
    <t>33R2</t>
  </si>
  <si>
    <t>33F</t>
  </si>
  <si>
    <t>T34B</t>
  </si>
  <si>
    <t>T34R3</t>
  </si>
  <si>
    <t>35R4</t>
  </si>
  <si>
    <t>AE108</t>
  </si>
  <si>
    <t>9L</t>
  </si>
  <si>
    <t>10L</t>
  </si>
  <si>
    <t>10R</t>
  </si>
  <si>
    <t>11L</t>
  </si>
  <si>
    <t>11R</t>
  </si>
  <si>
    <t>12B</t>
  </si>
  <si>
    <t>13L</t>
  </si>
  <si>
    <t>13R</t>
  </si>
  <si>
    <t>AE109</t>
  </si>
  <si>
    <t>Ciclismo</t>
  </si>
  <si>
    <t>AE110</t>
  </si>
  <si>
    <t>AE111</t>
  </si>
  <si>
    <t>ED76L</t>
  </si>
  <si>
    <t>ED77L</t>
  </si>
  <si>
    <t>ED77R</t>
  </si>
  <si>
    <t>AE112</t>
  </si>
  <si>
    <t>A2</t>
  </si>
  <si>
    <t>Ginásio/BTT</t>
  </si>
  <si>
    <t>11B</t>
  </si>
  <si>
    <t>12R</t>
  </si>
  <si>
    <t>14L</t>
  </si>
  <si>
    <t>14R</t>
  </si>
  <si>
    <t>AE113</t>
  </si>
  <si>
    <t>12L</t>
  </si>
  <si>
    <t>AE114</t>
  </si>
  <si>
    <t>Musculção</t>
  </si>
  <si>
    <t>9R</t>
  </si>
  <si>
    <t>AE115</t>
  </si>
  <si>
    <t>AE116</t>
  </si>
  <si>
    <t>AE117</t>
  </si>
  <si>
    <t>Futsal</t>
  </si>
  <si>
    <t>AE118</t>
  </si>
  <si>
    <t>Caminhada/bicicleta</t>
  </si>
  <si>
    <t>26AL</t>
  </si>
  <si>
    <t>26UR</t>
  </si>
  <si>
    <t>26UF</t>
  </si>
  <si>
    <t>26SA</t>
  </si>
  <si>
    <t>AE119</t>
  </si>
  <si>
    <t>C3</t>
  </si>
  <si>
    <t>PA06S1</t>
  </si>
  <si>
    <t>PA07L</t>
  </si>
  <si>
    <t>PA07R</t>
  </si>
  <si>
    <t>PA09L</t>
  </si>
  <si>
    <t>PA10L</t>
  </si>
  <si>
    <t>PA10R</t>
  </si>
  <si>
    <t>PA11R</t>
  </si>
  <si>
    <t>PA11L</t>
  </si>
  <si>
    <t>AE120</t>
  </si>
  <si>
    <t>PA05R</t>
  </si>
  <si>
    <t>AE121</t>
  </si>
  <si>
    <t>AE122</t>
  </si>
  <si>
    <t>AE123</t>
  </si>
  <si>
    <t>Atividades de rua</t>
  </si>
  <si>
    <t>AE124</t>
  </si>
  <si>
    <t>AE125</t>
  </si>
  <si>
    <t>AE126</t>
  </si>
  <si>
    <t>F114</t>
  </si>
  <si>
    <t>AE127</t>
  </si>
  <si>
    <t>AE128</t>
  </si>
  <si>
    <t>AE129</t>
  </si>
  <si>
    <t>Candesartan</t>
  </si>
  <si>
    <t>AE130</t>
  </si>
  <si>
    <t>F116</t>
  </si>
  <si>
    <t>AE131</t>
  </si>
  <si>
    <t>A5</t>
  </si>
  <si>
    <t>Ginásio/Pilates</t>
  </si>
  <si>
    <t>AE132</t>
  </si>
  <si>
    <t>AE133</t>
  </si>
  <si>
    <t>AE134</t>
  </si>
  <si>
    <t>AE135</t>
  </si>
  <si>
    <t>AE136</t>
  </si>
  <si>
    <t>Corrida/Caminhada</t>
  </si>
  <si>
    <t>AE137</t>
  </si>
  <si>
    <t>AE138</t>
  </si>
  <si>
    <t>AE139</t>
  </si>
  <si>
    <t>62F</t>
  </si>
  <si>
    <t>63L</t>
  </si>
  <si>
    <t>AE140</t>
  </si>
  <si>
    <t>Bicicleta/BTT</t>
  </si>
  <si>
    <t>AE141</t>
  </si>
  <si>
    <t>86F</t>
  </si>
  <si>
    <t>AE142</t>
  </si>
  <si>
    <t>AE143</t>
  </si>
  <si>
    <t>AE144</t>
  </si>
  <si>
    <t>Futebol/Ginário</t>
  </si>
  <si>
    <t>AE145</t>
  </si>
  <si>
    <t>AE146</t>
  </si>
  <si>
    <t>AE147</t>
  </si>
  <si>
    <t>69BR</t>
  </si>
  <si>
    <t>AE148</t>
  </si>
  <si>
    <t>AE149</t>
  </si>
  <si>
    <t>Basquetebol</t>
  </si>
  <si>
    <t>AE150</t>
  </si>
  <si>
    <t>AE151</t>
  </si>
  <si>
    <t>AE152</t>
  </si>
  <si>
    <t>E4</t>
  </si>
  <si>
    <t>Ginásio (Cardio/Musculação)</t>
  </si>
  <si>
    <t>71L</t>
  </si>
  <si>
    <t>71R</t>
  </si>
  <si>
    <t>71E</t>
  </si>
  <si>
    <t>72L</t>
  </si>
  <si>
    <t>72R</t>
  </si>
  <si>
    <t>73L</t>
  </si>
  <si>
    <t>73R</t>
  </si>
  <si>
    <t>74B</t>
  </si>
  <si>
    <t>AE153</t>
  </si>
  <si>
    <t>AE154</t>
  </si>
  <si>
    <t>AE155</t>
  </si>
  <si>
    <t>AE156</t>
  </si>
  <si>
    <t>77FR</t>
  </si>
  <si>
    <t>AE157</t>
  </si>
  <si>
    <t>AE158</t>
  </si>
  <si>
    <t>35F</t>
  </si>
  <si>
    <t>AE159</t>
  </si>
  <si>
    <t>AE160</t>
  </si>
  <si>
    <t>AE161</t>
  </si>
  <si>
    <t>AE162</t>
  </si>
  <si>
    <t>AE163</t>
  </si>
  <si>
    <t>Surf</t>
  </si>
  <si>
    <t>AE164</t>
  </si>
  <si>
    <t>AE165</t>
  </si>
  <si>
    <t>AE166</t>
  </si>
  <si>
    <t>AE167</t>
  </si>
  <si>
    <t>AE168</t>
  </si>
  <si>
    <t>AE169</t>
  </si>
  <si>
    <t>AE170</t>
  </si>
  <si>
    <t>AE171</t>
  </si>
  <si>
    <t>KITT1</t>
  </si>
  <si>
    <t>AE172</t>
  </si>
  <si>
    <t>42UB</t>
  </si>
  <si>
    <t>AE173</t>
  </si>
  <si>
    <t>AE174</t>
  </si>
  <si>
    <t>AE175</t>
  </si>
  <si>
    <t>AE176</t>
  </si>
  <si>
    <t>J</t>
  </si>
  <si>
    <t>J1</t>
  </si>
  <si>
    <t>DRV</t>
  </si>
  <si>
    <t>U-AL</t>
  </si>
  <si>
    <t>ALI</t>
  </si>
  <si>
    <t>ROLL-C</t>
  </si>
  <si>
    <t>POSR</t>
  </si>
  <si>
    <t>FAZ</t>
  </si>
  <si>
    <t>AE177</t>
  </si>
  <si>
    <t>J3</t>
  </si>
  <si>
    <t>26 - ECOS</t>
  </si>
  <si>
    <t>42L</t>
  </si>
  <si>
    <t>146L</t>
  </si>
  <si>
    <t>147L -ECOS</t>
  </si>
  <si>
    <t>157L</t>
  </si>
  <si>
    <t>AE178</t>
  </si>
  <si>
    <t>AE179</t>
  </si>
  <si>
    <t>F6</t>
  </si>
  <si>
    <t>Lisinopril-ratiopharm 5mg</t>
  </si>
  <si>
    <t>116L</t>
  </si>
  <si>
    <t>116R</t>
  </si>
  <si>
    <t>117L</t>
  </si>
  <si>
    <t>117R</t>
  </si>
  <si>
    <t>118L</t>
  </si>
  <si>
    <t>118R</t>
  </si>
  <si>
    <t>122L</t>
  </si>
  <si>
    <t>AE180</t>
  </si>
  <si>
    <t>122R</t>
  </si>
  <si>
    <t>123R</t>
  </si>
  <si>
    <t>AE181</t>
  </si>
  <si>
    <t>AE182</t>
  </si>
  <si>
    <t>Coveram 10mg/5mg</t>
  </si>
  <si>
    <t>Corrida/Caminhada/Pilates</t>
  </si>
  <si>
    <t>AE183</t>
  </si>
  <si>
    <t>AE184</t>
  </si>
  <si>
    <t>AE185</t>
  </si>
  <si>
    <t>AE186</t>
  </si>
  <si>
    <t>trails/Desporto em alcatrão</t>
  </si>
  <si>
    <t>AE187</t>
  </si>
  <si>
    <t>AE188</t>
  </si>
  <si>
    <t>AE189</t>
  </si>
  <si>
    <t>Kundalini Yoga/Caminhadas</t>
  </si>
  <si>
    <t>63R</t>
  </si>
  <si>
    <t>64R</t>
  </si>
  <si>
    <t>64L</t>
  </si>
  <si>
    <t>AE190</t>
  </si>
  <si>
    <t>AE191</t>
  </si>
  <si>
    <t>AE192</t>
  </si>
  <si>
    <t>F5</t>
  </si>
  <si>
    <t>111F</t>
  </si>
  <si>
    <t>111B</t>
  </si>
  <si>
    <t>112F</t>
  </si>
  <si>
    <t>114L</t>
  </si>
  <si>
    <t>115L</t>
  </si>
  <si>
    <t>115FL</t>
  </si>
  <si>
    <t>AE193</t>
  </si>
  <si>
    <t>112R</t>
  </si>
  <si>
    <t>112L</t>
  </si>
  <si>
    <t>114R</t>
  </si>
  <si>
    <t>AE194</t>
  </si>
  <si>
    <t>AE195</t>
  </si>
  <si>
    <t>113R</t>
  </si>
  <si>
    <t>115R</t>
  </si>
  <si>
    <t>115FR</t>
  </si>
  <si>
    <t>AE196</t>
  </si>
  <si>
    <t>AE197</t>
  </si>
  <si>
    <t>Corrida (Passadeira)</t>
  </si>
  <si>
    <t>AE198</t>
  </si>
  <si>
    <t>AE199</t>
  </si>
  <si>
    <t>36B</t>
  </si>
  <si>
    <t>AE200</t>
  </si>
  <si>
    <t>AE201</t>
  </si>
  <si>
    <t>AE202</t>
  </si>
  <si>
    <t>AE203</t>
  </si>
  <si>
    <t>AE204</t>
  </si>
  <si>
    <t>AE205</t>
  </si>
  <si>
    <t>AE206</t>
  </si>
  <si>
    <t>AE207</t>
  </si>
  <si>
    <t>AE208</t>
  </si>
  <si>
    <t>AE209</t>
  </si>
  <si>
    <t>AE210</t>
  </si>
  <si>
    <t>Corrida/Caminhada/Bicicleta</t>
  </si>
  <si>
    <t>AE211</t>
  </si>
  <si>
    <t>AE212</t>
  </si>
  <si>
    <t>AE213</t>
  </si>
  <si>
    <t>AE214</t>
  </si>
  <si>
    <t>31EX</t>
  </si>
  <si>
    <t>AE215</t>
  </si>
  <si>
    <t>AE216</t>
  </si>
  <si>
    <t>AE217</t>
  </si>
  <si>
    <t>AE218</t>
  </si>
  <si>
    <t>AE219</t>
  </si>
  <si>
    <t>AE220</t>
  </si>
  <si>
    <t>AE221</t>
  </si>
  <si>
    <t>AE222</t>
  </si>
  <si>
    <t>AE223</t>
  </si>
  <si>
    <t>AE224</t>
  </si>
  <si>
    <t>AE225</t>
  </si>
  <si>
    <t>AE226</t>
  </si>
  <si>
    <t>HIIT</t>
  </si>
  <si>
    <t>AE227</t>
  </si>
  <si>
    <t>AE228</t>
  </si>
  <si>
    <t>AE229</t>
  </si>
  <si>
    <t>AE230</t>
  </si>
  <si>
    <t>AE231</t>
  </si>
  <si>
    <t>AE232</t>
  </si>
  <si>
    <t>Ginásio/Futebol</t>
  </si>
  <si>
    <t>AE233</t>
  </si>
  <si>
    <t>AE234</t>
  </si>
  <si>
    <t>AE235</t>
  </si>
  <si>
    <t>AE236</t>
  </si>
  <si>
    <t>AE237</t>
  </si>
  <si>
    <t>AE238</t>
  </si>
  <si>
    <t>AE239</t>
  </si>
  <si>
    <t>Ginásio/Atletismo</t>
  </si>
  <si>
    <t>AE240</t>
  </si>
  <si>
    <t>56CB</t>
  </si>
  <si>
    <t>AE241</t>
  </si>
  <si>
    <t>Zestril 20mg</t>
  </si>
  <si>
    <t>AE242</t>
  </si>
  <si>
    <t>AE243</t>
  </si>
  <si>
    <t>AE244</t>
  </si>
  <si>
    <t>AE245</t>
  </si>
  <si>
    <t>AE246</t>
  </si>
  <si>
    <t>AE247</t>
  </si>
  <si>
    <t>AE248</t>
  </si>
  <si>
    <t>Natação/Musculação</t>
  </si>
  <si>
    <t>AE249</t>
  </si>
  <si>
    <t>AE250</t>
  </si>
  <si>
    <t>AE251</t>
  </si>
  <si>
    <t>AE252</t>
  </si>
  <si>
    <t>AE253</t>
  </si>
  <si>
    <t>56AL</t>
  </si>
  <si>
    <t>AE254</t>
  </si>
  <si>
    <t>56EL</t>
  </si>
  <si>
    <t>AE255</t>
  </si>
  <si>
    <t>F3</t>
  </si>
  <si>
    <t>BTT/Futebol</t>
  </si>
  <si>
    <t>99IL</t>
  </si>
  <si>
    <t>99IR</t>
  </si>
  <si>
    <t>101I</t>
  </si>
  <si>
    <t>102I</t>
  </si>
  <si>
    <t>102F</t>
  </si>
  <si>
    <t>104L</t>
  </si>
  <si>
    <t>104R</t>
  </si>
  <si>
    <t>AE256</t>
  </si>
  <si>
    <t>AE257</t>
  </si>
  <si>
    <t>AE258</t>
  </si>
  <si>
    <t>AE259</t>
  </si>
  <si>
    <t>AE260</t>
  </si>
  <si>
    <t>AE261</t>
  </si>
  <si>
    <t>AE262</t>
  </si>
  <si>
    <t>F1</t>
  </si>
  <si>
    <t>87B</t>
  </si>
  <si>
    <t>87L</t>
  </si>
  <si>
    <t>87R</t>
  </si>
  <si>
    <t>87I</t>
  </si>
  <si>
    <t>88L</t>
  </si>
  <si>
    <t>88R</t>
  </si>
  <si>
    <t>88I</t>
  </si>
  <si>
    <t>AE263</t>
  </si>
  <si>
    <t>AE264</t>
  </si>
  <si>
    <t>90L</t>
  </si>
  <si>
    <t>AE265</t>
  </si>
  <si>
    <t>AE266</t>
  </si>
  <si>
    <t>AE267</t>
  </si>
  <si>
    <t>90R</t>
  </si>
  <si>
    <t>91R</t>
  </si>
  <si>
    <t>AE268</t>
  </si>
  <si>
    <t>AE269</t>
  </si>
  <si>
    <t>Basquetebol/Ginásio</t>
  </si>
  <si>
    <t>AE270</t>
  </si>
  <si>
    <t>AE271</t>
  </si>
  <si>
    <t>Caminhadas</t>
  </si>
  <si>
    <t>AE272</t>
  </si>
  <si>
    <t>AE273</t>
  </si>
  <si>
    <t>B4</t>
  </si>
  <si>
    <t>Yoga/Caminhada/Chi-Kung</t>
  </si>
  <si>
    <t>DK201</t>
  </si>
  <si>
    <t>DK202</t>
  </si>
  <si>
    <t>DK20R</t>
  </si>
  <si>
    <t>DK20L</t>
  </si>
  <si>
    <t>DK30S</t>
  </si>
  <si>
    <t>DK40</t>
  </si>
  <si>
    <t>DK50R</t>
  </si>
  <si>
    <t>AE274</t>
  </si>
  <si>
    <t>DK50L</t>
  </si>
  <si>
    <t>AE275</t>
  </si>
  <si>
    <t>AE276</t>
  </si>
  <si>
    <t>AE277</t>
  </si>
  <si>
    <t>AE278</t>
  </si>
  <si>
    <t>F2</t>
  </si>
  <si>
    <t>93BL</t>
  </si>
  <si>
    <t>93BR</t>
  </si>
  <si>
    <t>95L</t>
  </si>
  <si>
    <t>95R</t>
  </si>
  <si>
    <t>96R</t>
  </si>
  <si>
    <t>97L</t>
  </si>
  <si>
    <t>97R</t>
  </si>
  <si>
    <t>AE279</t>
  </si>
  <si>
    <t>96L</t>
  </si>
  <si>
    <t>AE280</t>
  </si>
  <si>
    <t>AE281</t>
  </si>
  <si>
    <t>Agressive Rollers</t>
  </si>
  <si>
    <t>AE282</t>
  </si>
  <si>
    <t>AE283</t>
  </si>
  <si>
    <t>AE284</t>
  </si>
  <si>
    <t>Ginásio/Cardiofitness</t>
  </si>
  <si>
    <t>AE285</t>
  </si>
  <si>
    <t>Ginásio/Cardio/Musculação</t>
  </si>
  <si>
    <t>AE286</t>
  </si>
  <si>
    <t>AE287</t>
  </si>
  <si>
    <t>AE288</t>
  </si>
  <si>
    <t>Inderal</t>
  </si>
  <si>
    <t>Ginásio/Futebol/Outros</t>
  </si>
  <si>
    <t>AE289</t>
  </si>
  <si>
    <t>Coversyl 10mg</t>
  </si>
  <si>
    <t>AE290</t>
  </si>
  <si>
    <t>AE291</t>
  </si>
  <si>
    <t>AE292</t>
  </si>
  <si>
    <t>AE293</t>
  </si>
  <si>
    <t>AE294</t>
  </si>
  <si>
    <t>Caminhada/Exercicio ao ar livre</t>
  </si>
  <si>
    <t>AE295</t>
  </si>
  <si>
    <t>AE296</t>
  </si>
  <si>
    <t>Futebol/Corrida/Motocross</t>
  </si>
  <si>
    <t>AE297</t>
  </si>
  <si>
    <t>AE298</t>
  </si>
  <si>
    <t>Aldomet 500</t>
  </si>
  <si>
    <t>AE299</t>
  </si>
  <si>
    <t>Jogging</t>
  </si>
  <si>
    <t>AE300</t>
  </si>
  <si>
    <t>AE301</t>
  </si>
  <si>
    <t>Halterofilismo</t>
  </si>
  <si>
    <t>AE302</t>
  </si>
  <si>
    <t>AE303</t>
  </si>
  <si>
    <t>AE304</t>
  </si>
  <si>
    <t>AE305</t>
  </si>
  <si>
    <t>Yoga</t>
  </si>
  <si>
    <t>AE306</t>
  </si>
  <si>
    <t>AE307</t>
  </si>
  <si>
    <t>98IL</t>
  </si>
  <si>
    <t>AE308</t>
  </si>
  <si>
    <t>AE309</t>
  </si>
  <si>
    <t>AE310</t>
  </si>
  <si>
    <t>AE311</t>
  </si>
  <si>
    <t>36F</t>
  </si>
  <si>
    <t>AE312</t>
  </si>
  <si>
    <t>AE313</t>
  </si>
  <si>
    <t>AE314</t>
  </si>
  <si>
    <t>BodyJump, BodyPump, 3B</t>
  </si>
  <si>
    <t>AE315</t>
  </si>
  <si>
    <t>AE316</t>
  </si>
  <si>
    <t>AE317</t>
  </si>
  <si>
    <t>Ténis/BTT</t>
  </si>
  <si>
    <t>AE318</t>
  </si>
  <si>
    <t>Maleato de enalapril 20mg</t>
  </si>
  <si>
    <t>AE319</t>
  </si>
  <si>
    <t>Corrida/Ténis/Futebol</t>
  </si>
  <si>
    <t>AE320</t>
  </si>
  <si>
    <t>AE321</t>
  </si>
  <si>
    <t>AE322</t>
  </si>
  <si>
    <t>AE323</t>
  </si>
  <si>
    <t>56CR</t>
  </si>
  <si>
    <t>AE324</t>
  </si>
  <si>
    <t>AE325</t>
  </si>
  <si>
    <t>AE326</t>
  </si>
  <si>
    <t>Exercicios diversos</t>
  </si>
  <si>
    <t>AE327</t>
  </si>
  <si>
    <t>AE328</t>
  </si>
  <si>
    <t>Corrida/Surf/Condição física</t>
  </si>
  <si>
    <t>AE329</t>
  </si>
  <si>
    <t>SD</t>
  </si>
  <si>
    <t>Caminhada/Natação</t>
  </si>
  <si>
    <t>AE330</t>
  </si>
  <si>
    <t>AE331</t>
  </si>
  <si>
    <t>Pritor 40mg</t>
  </si>
  <si>
    <t>AE332</t>
  </si>
  <si>
    <t>AE333</t>
  </si>
  <si>
    <t>AE334</t>
  </si>
  <si>
    <t>AE335</t>
  </si>
  <si>
    <t>AE336</t>
  </si>
  <si>
    <t>musculação/Futebol</t>
  </si>
  <si>
    <t>AE337</t>
  </si>
  <si>
    <t>AE338</t>
  </si>
  <si>
    <t>AE339</t>
  </si>
  <si>
    <t>AE340</t>
  </si>
  <si>
    <t>AE341</t>
  </si>
  <si>
    <t>Musculação/Kickboxing</t>
  </si>
  <si>
    <t>AE342</t>
  </si>
  <si>
    <t>AE343</t>
  </si>
  <si>
    <t>AE344</t>
  </si>
  <si>
    <t>Canoagem/Corrida</t>
  </si>
  <si>
    <t>20F</t>
  </si>
  <si>
    <t>AE345</t>
  </si>
  <si>
    <t>AE346</t>
  </si>
  <si>
    <t>AE347</t>
  </si>
  <si>
    <t>AE348</t>
  </si>
  <si>
    <t>AE349</t>
  </si>
  <si>
    <t>AE350</t>
  </si>
  <si>
    <t>AE351</t>
  </si>
  <si>
    <t>AE352</t>
  </si>
  <si>
    <t>AE353</t>
  </si>
  <si>
    <t>AE354</t>
  </si>
  <si>
    <t>AE355</t>
  </si>
  <si>
    <t>Intensidade_Media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</si>
</sst>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;@"/>
    <numFmt numFmtId="166" formatCode="DD/MM/YY;@"/>
    <numFmt numFmtId="167" formatCode="0.00"/>
    <numFmt numFmtId="168" formatCode="M/D/YYYY"/>
    <numFmt numFmtId="169" formatCode="0.0"/>
    <numFmt numFmtId="170" formatCode="0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apotheken-umschau.de/Medikamente/Beipackzettel/Lisinopril-ratiopharm-10mg-Tabletten-601455.html" TargetMode="Externa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5"/>
  <sheetViews>
    <sheetView windowProtection="true" showFormulas="false" showGridLines="true" showRowColHeaders="true" showZeros="true" rightToLeft="false" tabSelected="false" showOutlineSymbols="true" defaultGridColor="true" view="normal" topLeftCell="M1" colorId="64" zoomScale="90" zoomScaleNormal="90" zoomScalePageLayoutView="100" workbookViewId="0">
      <pane xSplit="0" ySplit="1" topLeftCell="A236" activePane="bottomLeft" state="frozen"/>
      <selection pane="topLeft" activeCell="M1" activeCellId="0" sqref="M1"/>
      <selection pane="bottomLeft" activeCell="J1" activeCellId="0" sqref="J1"/>
    </sheetView>
  </sheetViews>
  <sheetFormatPr defaultRowHeight="13.8"/>
  <cols>
    <col collapsed="false" hidden="false" max="1" min="1" style="1" width="11.5023255813954"/>
    <col collapsed="false" hidden="false" max="2" min="2" style="0" width="10.893023255814"/>
    <col collapsed="false" hidden="false" max="3" min="3" style="0" width="7.5953488372093"/>
    <col collapsed="false" hidden="false" max="4" min="4" style="0" width="14.4"/>
    <col collapsed="false" hidden="false" max="5" min="5" style="0" width="16.4"/>
    <col collapsed="false" hidden="false" max="6" min="6" style="0" width="8.6"/>
    <col collapsed="false" hidden="false" max="7" min="7" style="0" width="11.4046511627907"/>
    <col collapsed="false" hidden="false" max="9" min="8" style="0" width="5.09302325581395"/>
    <col collapsed="false" hidden="false" max="10" min="10" style="0" width="5.89767441860465"/>
    <col collapsed="false" hidden="false" max="11" min="11" style="0" width="6.89767441860465"/>
    <col collapsed="false" hidden="false" max="12" min="12" style="0" width="7.4"/>
    <col collapsed="false" hidden="false" max="13" min="13" style="0" width="5.9953488372093"/>
    <col collapsed="false" hidden="false" max="14" min="14" style="0" width="10.4046511627907"/>
    <col collapsed="false" hidden="false" max="15" min="15" style="0" width="11.5023255813954"/>
    <col collapsed="false" hidden="false" max="16" min="16" style="0" width="12.5953488372093"/>
    <col collapsed="false" hidden="false" max="17" min="17" style="0" width="17.6"/>
    <col collapsed="false" hidden="false" max="18" min="18" style="0" width="8.49767441860465"/>
    <col collapsed="false" hidden="false" max="19" min="19" style="0" width="12.5953488372093"/>
    <col collapsed="false" hidden="false" max="20" min="20" style="0" width="17.6"/>
    <col collapsed="false" hidden="false" max="21" min="21" style="0" width="11.4046511627907"/>
    <col collapsed="false" hidden="false" max="22" min="22" style="0" width="8.49767441860465"/>
    <col collapsed="false" hidden="false" max="23" min="23" style="0" width="13.5953488372093"/>
    <col collapsed="false" hidden="false" max="24" min="24" style="0" width="13.3953488372093"/>
    <col collapsed="false" hidden="false" max="25" min="25" style="0" width="14.8976744186047"/>
    <col collapsed="false" hidden="false" max="26" min="26" style="0" width="14.2"/>
    <col collapsed="false" hidden="false" max="27" min="27" style="0" width="11.2"/>
    <col collapsed="false" hidden="false" max="28" min="28" style="0" width="10.5906976744186"/>
    <col collapsed="false" hidden="false" max="29" min="29" style="0" width="5.5953488372093"/>
    <col collapsed="false" hidden="false" max="30" min="30" style="0" width="11.6976744186047"/>
    <col collapsed="false" hidden="false" max="31" min="31" style="0" width="13.093023255814"/>
    <col collapsed="false" hidden="false" max="32" min="32" style="0" width="25.9023255813953"/>
    <col collapsed="false" hidden="false" max="33" min="33" style="0" width="14.2"/>
    <col collapsed="false" hidden="false" max="34" min="34" style="0" width="20.1023255813953"/>
    <col collapsed="false" hidden="false" max="35" min="35" style="0" width="11.4046511627907"/>
    <col collapsed="false" hidden="false" max="36" min="36" style="0" width="25.0976744186047"/>
    <col collapsed="false" hidden="false" max="37" min="37" style="0" width="12.5023255813953"/>
    <col collapsed="false" hidden="false" max="39" min="38" style="0" width="18.5023255813954"/>
    <col collapsed="false" hidden="false" max="40" min="40" style="0" width="13.5953488372093"/>
    <col collapsed="false" hidden="false" max="41" min="41" style="0" width="26.4"/>
    <col collapsed="false" hidden="false" max="42" min="42" style="0" width="14.693023255814"/>
    <col collapsed="false" hidden="false" max="44" min="43" style="0" width="20.5906976744186"/>
    <col collapsed="false" hidden="false" max="45" min="45" style="0" width="14.9953488372093"/>
    <col collapsed="false" hidden="false" max="46" min="46" style="0" width="27.6976744186047"/>
    <col collapsed="false" hidden="false" max="47" min="47" style="0" width="16.0976744186047"/>
    <col collapsed="false" hidden="false" max="49" min="48" style="0" width="22.093023255814"/>
    <col collapsed="false" hidden="false" max="50" min="50" style="0" width="13.093023255814"/>
    <col collapsed="false" hidden="false" max="51" min="51" style="0" width="21.2"/>
    <col collapsed="false" hidden="false" max="52" min="52" style="0" width="14.2"/>
    <col collapsed="false" hidden="false" max="53" min="53" style="0" width="20.1023255813953"/>
    <col collapsed="false" hidden="false" max="54" min="54" style="0" width="12.0046511627907"/>
    <col collapsed="false" hidden="false" max="55" min="55" style="0" width="20.1023255813953"/>
    <col collapsed="false" hidden="false" max="56" min="56" style="0" width="13.2"/>
    <col collapsed="false" hidden="false" max="57" min="57" style="0" width="19.0976744186047"/>
    <col collapsed="false" hidden="false" max="58" min="58" style="0" width="15.2"/>
    <col collapsed="false" hidden="false" max="59" min="59" style="0" width="23.4"/>
    <col collapsed="false" hidden="false" max="60" min="60" style="0" width="16.4"/>
    <col collapsed="false" hidden="false" max="61" min="61" style="0" width="22.3953488372093"/>
    <col collapsed="false" hidden="false" max="62" min="62" style="0" width="12.3953488372093"/>
    <col collapsed="false" hidden="false" max="63" min="63" style="0" width="20.5023255813953"/>
    <col collapsed="false" hidden="false" max="64" min="64" style="0" width="13.5953488372093"/>
    <col collapsed="false" hidden="false" max="65" min="65" style="0" width="19.5023255813954"/>
    <col collapsed="false" hidden="false" max="66" min="66" style="0" width="18.0976744186047"/>
    <col collapsed="false" hidden="false" max="67" min="67" style="0" width="26.2046511627907"/>
    <col collapsed="false" hidden="false" max="68" min="68" style="0" width="18.5023255813954"/>
    <col collapsed="false" hidden="false" max="69" min="69" style="0" width="25.0976744186047"/>
    <col collapsed="false" hidden="false" max="70" min="70" style="0" width="20.6976744186047"/>
    <col collapsed="false" hidden="false" max="71" min="71" style="0" width="16.0976744186047"/>
    <col collapsed="false" hidden="false" max="72" min="72" style="0" width="16.4976744186046"/>
    <col collapsed="false" hidden="false" max="73" min="73" style="0" width="18"/>
    <col collapsed="false" hidden="false" max="74" min="74" style="0" width="16.5953488372093"/>
    <col collapsed="false" hidden="false" max="75" min="75" style="0" width="19.6976744186047"/>
    <col collapsed="false" hidden="false" max="76" min="76" style="0" width="18"/>
    <col collapsed="false" hidden="false" max="77" min="77" style="0" width="8.1953488372093"/>
    <col collapsed="false" hidden="false" max="78" min="78" style="0" width="13.5023255813954"/>
    <col collapsed="false" hidden="false" max="79" min="79" style="0" width="23.5953488372093"/>
    <col collapsed="false" hidden="false" max="80" min="80" style="0" width="9.89302325581395"/>
    <col collapsed="false" hidden="false" max="81" min="81" style="0" width="17.4"/>
    <col collapsed="false" hidden="false" max="82" min="82" style="0" width="18.6976744186047"/>
    <col collapsed="false" hidden="false" max="83" min="83" style="0" width="16.4976744186046"/>
    <col collapsed="false" hidden="false" max="84" min="84" style="0" width="14.506976744186"/>
    <col collapsed="false" hidden="false" max="85" min="85" style="0" width="17.6"/>
    <col collapsed="false" hidden="false" max="86" min="86" style="0" width="30.6976744186047"/>
    <col collapsed="false" hidden="false" max="87" min="87" style="0" width="20.8976744186047"/>
    <col collapsed="false" hidden="false" max="88" min="88" style="0" width="9.69767441860465"/>
    <col collapsed="false" hidden="false" max="89" min="89" style="0" width="8.69767441860465"/>
    <col collapsed="false" hidden="false" max="90" min="90" style="0" width="7.90232558139535"/>
    <col collapsed="false" hidden="false" max="91" min="91" style="0" width="6.09767441860465"/>
    <col collapsed="false" hidden="false" max="92" min="92" style="0" width="14.506976744186"/>
    <col collapsed="false" hidden="false" max="93" min="93" style="0" width="12.1023255813953"/>
    <col collapsed="false" hidden="false" max="94" min="94" style="0" width="14.2"/>
    <col collapsed="false" hidden="false" max="95" min="95" style="0" width="11.8976744186047"/>
    <col collapsed="false" hidden="false" max="96" min="96" style="0" width="20.5023255813953"/>
    <col collapsed="false" hidden="false" max="97" min="97" style="0" width="23.093023255814"/>
    <col collapsed="false" hidden="false" max="98" min="98" style="0" width="19.4046511627907"/>
    <col collapsed="false" hidden="false" max="99" min="99" style="0" width="13.3953488372093"/>
    <col collapsed="false" hidden="false" max="100" min="100" style="0" width="22.0046511627907"/>
    <col collapsed="false" hidden="false" max="101" min="101" style="0" width="5.2"/>
    <col collapsed="false" hidden="false" max="102" min="102" style="0" width="20.2"/>
    <col collapsed="false" hidden="false" max="103" min="103" style="0" width="16.2046511627907"/>
    <col collapsed="false" hidden="false" max="104" min="104" style="0" width="10.5023255813953"/>
    <col collapsed="false" hidden="false" max="105" min="105" style="0" width="19.0976744186047"/>
    <col collapsed="false" hidden="false" max="106" min="106" style="0" width="14.5953488372093"/>
    <col collapsed="false" hidden="false" max="108" min="107" style="0" width="11.2"/>
    <col collapsed="false" hidden="false" max="109" min="109" style="0" width="12.2"/>
    <col collapsed="false" hidden="false" max="110" min="110" style="0" width="22.093023255814"/>
    <col collapsed="false" hidden="false" max="111" min="111" style="0" width="11.6976744186047"/>
    <col collapsed="false" hidden="false" max="112" min="112" style="0" width="10.2"/>
    <col collapsed="false" hidden="false" max="113" min="113" style="0" width="13.5023255813954"/>
    <col collapsed="false" hidden="false" max="114" min="114" style="0" width="15.0976744186047"/>
    <col collapsed="false" hidden="false" max="115" min="115" style="0" width="16.4976744186046"/>
    <col collapsed="false" hidden="false" max="116" min="116" style="0" width="13.5023255813954"/>
    <col collapsed="false" hidden="false" max="117" min="117" style="0" width="15.0976744186047"/>
    <col collapsed="false" hidden="false" max="118" min="118" style="0" width="16.4976744186046"/>
    <col collapsed="false" hidden="false" max="119" min="119" style="0" width="13.5023255813954"/>
    <col collapsed="false" hidden="false" max="120" min="120" style="0" width="15.0976744186047"/>
    <col collapsed="false" hidden="false" max="121" min="121" style="0" width="16.4976744186046"/>
    <col collapsed="false" hidden="false" max="122" min="122" style="0" width="13.5023255813954"/>
    <col collapsed="false" hidden="false" max="123" min="123" style="0" width="15.0976744186047"/>
    <col collapsed="false" hidden="false" max="124" min="124" style="0" width="16.4976744186046"/>
    <col collapsed="false" hidden="false" max="125" min="125" style="0" width="12.2"/>
    <col collapsed="false" hidden="false" max="126" min="126" style="0" width="11.5906976744186"/>
    <col collapsed="false" hidden="false" max="127" min="127" style="0" width="8.4"/>
    <col collapsed="false" hidden="false" max="128" min="128" style="0" width="9.69767441860465"/>
    <col collapsed="false" hidden="false" max="129" min="129" style="0" width="8.49767441860465"/>
    <col collapsed="false" hidden="false" max="130" min="130" style="0" width="4.3953488372093"/>
    <col collapsed="false" hidden="false" max="131" min="131" style="0" width="8.4"/>
    <col collapsed="false" hidden="false" max="132" min="132" style="0" width="9.69767441860465"/>
    <col collapsed="false" hidden="false" max="133" min="133" style="0" width="8.49767441860465"/>
    <col collapsed="false" hidden="false" max="134" min="134" style="0" width="4.3953488372093"/>
    <col collapsed="false" hidden="false" max="135" min="135" style="0" width="8.4"/>
    <col collapsed="false" hidden="false" max="136" min="136" style="0" width="9.69767441860465"/>
    <col collapsed="false" hidden="false" max="137" min="137" style="0" width="8.49767441860465"/>
    <col collapsed="false" hidden="false" max="138" min="138" style="0" width="4.3953488372093"/>
    <col collapsed="false" hidden="false" max="139" min="139" style="0" width="8.4"/>
    <col collapsed="false" hidden="false" max="140" min="140" style="0" width="9.69767441860465"/>
    <col collapsed="false" hidden="false" max="141" min="141" style="0" width="8.49767441860465"/>
    <col collapsed="false" hidden="false" max="142" min="142" style="0" width="4.3953488372093"/>
    <col collapsed="false" hidden="false" max="143" min="143" style="0" width="8.4"/>
    <col collapsed="false" hidden="false" max="144" min="144" style="0" width="9.69767441860465"/>
    <col collapsed="false" hidden="false" max="145" min="145" style="0" width="8.49767441860465"/>
    <col collapsed="false" hidden="false" max="146" min="146" style="0" width="4.3953488372093"/>
    <col collapsed="false" hidden="false" max="147" min="147" style="0" width="8.4"/>
    <col collapsed="false" hidden="false" max="148" min="148" style="0" width="9.69767441860465"/>
    <col collapsed="false" hidden="false" max="149" min="149" style="0" width="8.49767441860465"/>
    <col collapsed="false" hidden="false" max="150" min="150" style="0" width="4.3953488372093"/>
    <col collapsed="false" hidden="false" max="151" min="151" style="0" width="8.4"/>
    <col collapsed="false" hidden="false" max="152" min="152" style="0" width="9.69767441860465"/>
    <col collapsed="false" hidden="false" max="153" min="153" style="0" width="8.49767441860465"/>
    <col collapsed="false" hidden="false" max="154" min="154" style="0" width="4.3953488372093"/>
    <col collapsed="false" hidden="false" max="155" min="155" style="0" width="13.9953488372093"/>
    <col collapsed="false" hidden="false" max="156" min="156" style="0" width="10.4046511627907"/>
    <col collapsed="false" hidden="false" max="157" min="157" style="0" width="11.6976744186047"/>
    <col collapsed="false" hidden="false" max="158" min="158" style="0" width="9.50232558139535"/>
    <col collapsed="false" hidden="false" max="159" min="159" style="0" width="13.0046511627907"/>
    <col collapsed="false" hidden="false" max="160" min="160" style="0" width="10.4046511627907"/>
    <col collapsed="false" hidden="false" max="161" min="161" style="0" width="11.6976744186047"/>
    <col collapsed="false" hidden="false" max="162" min="162" style="0" width="10.5023255813953"/>
    <col collapsed="false" hidden="false" max="163" min="163" style="0" width="13.0046511627907"/>
    <col collapsed="false" hidden="false" max="164" min="164" style="0" width="10.4046511627907"/>
    <col collapsed="false" hidden="false" max="165" min="165" style="0" width="11.6976744186047"/>
    <col collapsed="false" hidden="false" max="166" min="166" style="0" width="10.5023255813953"/>
    <col collapsed="false" hidden="false" max="167" min="167" style="0" width="13.0046511627907"/>
    <col collapsed="false" hidden="false" max="168" min="168" style="0" width="10.4046511627907"/>
    <col collapsed="false" hidden="false" max="169" min="169" style="0" width="11.6976744186047"/>
    <col collapsed="false" hidden="false" max="170" min="170" style="0" width="10.5023255813953"/>
    <col collapsed="false" hidden="false" max="171" min="171" style="0" width="13.0046511627907"/>
    <col collapsed="false" hidden="false" max="172" min="172" style="0" width="10.4046511627907"/>
    <col collapsed="false" hidden="false" max="173" min="173" style="0" width="11.6976744186047"/>
    <col collapsed="false" hidden="false" max="174" min="174" style="0" width="10.5023255813953"/>
    <col collapsed="false" hidden="false" max="175" min="175" style="0" width="13.0046511627907"/>
    <col collapsed="false" hidden="false" max="176" min="176" style="0" width="10.4046511627907"/>
    <col collapsed="false" hidden="false" max="177" min="177" style="0" width="11.6976744186047"/>
    <col collapsed="false" hidden="false" max="178" min="178" style="0" width="10.5023255813953"/>
    <col collapsed="false" hidden="false" max="179" min="179" style="0" width="13.0046511627907"/>
    <col collapsed="false" hidden="false" max="180" min="180" style="0" width="10.4046511627907"/>
    <col collapsed="false" hidden="false" max="181" min="181" style="0" width="11.6976744186047"/>
    <col collapsed="false" hidden="false" max="182" min="182" style="0" width="10.5023255813953"/>
    <col collapsed="false" hidden="false" max="183" min="183" style="0" width="13.0046511627907"/>
    <col collapsed="false" hidden="false" max="184" min="184" style="0" width="10.4046511627907"/>
    <col collapsed="false" hidden="false" max="185" min="185" style="0" width="11.6976744186047"/>
    <col collapsed="false" hidden="false" max="186" min="186" style="0" width="10.5023255813953"/>
    <col collapsed="false" hidden="false" max="187" min="187" style="0" width="13.0046511627907"/>
    <col collapsed="false" hidden="false" max="188" min="188" style="0" width="10.4046511627907"/>
    <col collapsed="false" hidden="false" max="189" min="189" style="0" width="11.6976744186047"/>
    <col collapsed="false" hidden="false" max="190" min="190" style="0" width="10.5023255813953"/>
    <col collapsed="false" hidden="false" max="191" min="191" style="0" width="13.0046511627907"/>
    <col collapsed="false" hidden="false" max="192" min="192" style="0" width="16.9023255813954"/>
    <col collapsed="false" hidden="false" max="193" min="193" style="0" width="10.5023255813953"/>
    <col collapsed="false" hidden="false" max="194" min="194" style="0" width="14.9953488372093"/>
    <col collapsed="false" hidden="false" max="195" min="195" style="0" width="17.6"/>
    <col collapsed="false" hidden="false" max="196" min="196" style="0" width="17.2046511627907"/>
    <col collapsed="false" hidden="false" max="197" min="197" style="0" width="14.9953488372093"/>
    <col collapsed="false" hidden="false" max="198" min="198" style="0" width="17.6"/>
    <col collapsed="false" hidden="false" max="199" min="199" style="0" width="17.2046511627907"/>
    <col collapsed="false" hidden="false" max="200" min="200" style="0" width="14.9953488372093"/>
    <col collapsed="false" hidden="false" max="201" min="201" style="0" width="17.6"/>
    <col collapsed="false" hidden="false" max="202" min="202" style="0" width="17.2046511627907"/>
    <col collapsed="false" hidden="false" max="203" min="203" style="0" width="18.4"/>
    <col collapsed="false" hidden="false" max="205" min="204" style="0" width="14.9953488372093"/>
    <col collapsed="false" hidden="false" max="206" min="206" style="0" width="16"/>
    <col collapsed="false" hidden="false" max="207" min="207" style="0" width="25.0976744186047"/>
    <col collapsed="false" hidden="false" max="208" min="208" style="0" width="20.2"/>
    <col collapsed="false" hidden="false" max="209" min="209" style="0" width="21.2"/>
    <col collapsed="false" hidden="false" max="210" min="210" style="0" width="12.5023255813953"/>
    <col collapsed="false" hidden="false" max="211" min="211" style="0" width="10.5023255813953"/>
    <col collapsed="false" hidden="false" max="213" min="213" style="0" width="12.7023255813953"/>
    <col collapsed="false" hidden="false" max="215" min="214" style="0" width="8.7953488372093"/>
    <col collapsed="false" hidden="false" max="216" min="216" style="0" width="15.5953488372093"/>
    <col collapsed="false" hidden="false" max="217" min="217" style="0" width="5.2"/>
    <col collapsed="false" hidden="false" max="218" min="218" style="0" width="4.9953488372093"/>
    <col collapsed="false" hidden="false" max="219" min="219" style="0" width="10.5023255813953"/>
    <col collapsed="false" hidden="false" max="221" min="221" style="0" width="12.7023255813953"/>
    <col collapsed="false" hidden="false" max="223" min="222" style="0" width="8.7953488372093"/>
    <col collapsed="false" hidden="false" max="224" min="224" style="0" width="15.5953488372093"/>
    <col collapsed="false" hidden="false" max="225" min="225" style="0" width="5.2"/>
    <col collapsed="false" hidden="false" max="226" min="226" style="0" width="4.9953488372093"/>
    <col collapsed="false" hidden="false" max="227" min="227" style="0" width="10.5023255813953"/>
    <col collapsed="false" hidden="false" max="229" min="229" style="0" width="12.7023255813953"/>
    <col collapsed="false" hidden="false" max="231" min="230" style="0" width="8.7953488372093"/>
    <col collapsed="false" hidden="false" max="232" min="232" style="0" width="15.5953488372093"/>
    <col collapsed="false" hidden="false" max="233" min="233" style="0" width="5.2"/>
    <col collapsed="false" hidden="false" max="234" min="234" style="0" width="4.9953488372093"/>
    <col collapsed="false" hidden="false" max="235" min="235" style="0" width="10.5023255813953"/>
    <col collapsed="false" hidden="false" max="237" min="237" style="0" width="12.7023255813953"/>
    <col collapsed="false" hidden="false" max="239" min="238" style="0" width="8.7953488372093"/>
    <col collapsed="false" hidden="false" max="240" min="240" style="0" width="15.5953488372093"/>
    <col collapsed="false" hidden="false" max="241" min="241" style="0" width="5.2"/>
    <col collapsed="false" hidden="false" max="242" min="242" style="0" width="4.9953488372093"/>
    <col collapsed="false" hidden="false" max="243" min="243" style="0" width="10.5023255813953"/>
    <col collapsed="false" hidden="false" max="245" min="245" style="0" width="12.7023255813953"/>
    <col collapsed="false" hidden="false" max="247" min="246" style="0" width="8.7953488372093"/>
    <col collapsed="false" hidden="false" max="248" min="248" style="0" width="15.5953488372093"/>
    <col collapsed="false" hidden="false" max="249" min="249" style="0" width="5.2"/>
    <col collapsed="false" hidden="false" max="250" min="250" style="0" width="4.9953488372093"/>
    <col collapsed="false" hidden="false" max="251" min="251" style="0" width="10.5023255813953"/>
    <col collapsed="false" hidden="false" max="253" min="253" style="0" width="12.7023255813953"/>
    <col collapsed="false" hidden="false" max="255" min="254" style="0" width="8.7953488372093"/>
    <col collapsed="false" hidden="false" max="256" min="256" style="0" width="15.5953488372093"/>
    <col collapsed="false" hidden="false" max="257" min="257" style="0" width="5.2"/>
    <col collapsed="false" hidden="false" max="258" min="258" style="0" width="4.9953488372093"/>
    <col collapsed="false" hidden="false" max="259" min="259" style="0" width="10.5023255813953"/>
    <col collapsed="false" hidden="false" max="261" min="261" style="0" width="12.7023255813953"/>
    <col collapsed="false" hidden="false" max="263" min="262" style="0" width="8.7953488372093"/>
    <col collapsed="false" hidden="false" max="264" min="264" style="0" width="15.5953488372093"/>
    <col collapsed="false" hidden="false" max="265" min="265" style="0" width="5.2"/>
    <col collapsed="false" hidden="false" max="266" min="266" style="0" width="4.9953488372093"/>
    <col collapsed="false" hidden="false" max="267" min="267" style="0" width="10.5023255813953"/>
    <col collapsed="false" hidden="false" max="269" min="269" style="0" width="12.7023255813953"/>
    <col collapsed="false" hidden="false" max="271" min="270" style="0" width="8.7953488372093"/>
    <col collapsed="false" hidden="false" max="272" min="272" style="0" width="15.5953488372093"/>
    <col collapsed="false" hidden="false" max="273" min="273" style="0" width="5.2"/>
    <col collapsed="false" hidden="false" max="274" min="274" style="0" width="4.9953488372093"/>
    <col collapsed="false" hidden="false" max="275" min="275" style="0" width="10.5023255813953"/>
    <col collapsed="false" hidden="false" max="277" min="277" style="0" width="12.7023255813953"/>
    <col collapsed="false" hidden="false" max="279" min="278" style="0" width="8.7953488372093"/>
    <col collapsed="false" hidden="false" max="280" min="280" style="0" width="15.5953488372093"/>
    <col collapsed="false" hidden="false" max="281" min="281" style="0" width="5.2"/>
    <col collapsed="false" hidden="false" max="282" min="282" style="0" width="4.9953488372093"/>
    <col collapsed="false" hidden="false" max="283" min="283" style="0" width="10.5023255813953"/>
    <col collapsed="false" hidden="false" max="285" min="285" style="0" width="12.7023255813953"/>
    <col collapsed="false" hidden="false" max="287" min="286" style="0" width="8.7953488372093"/>
    <col collapsed="false" hidden="false" max="288" min="288" style="0" width="15.5953488372093"/>
    <col collapsed="false" hidden="false" max="289" min="289" style="0" width="5.2"/>
    <col collapsed="false" hidden="false" max="290" min="290" style="0" width="4.9953488372093"/>
    <col collapsed="false" hidden="false" max="291" min="291" style="0" width="10.5023255813953"/>
    <col collapsed="false" hidden="false" max="293" min="293" style="0" width="12.7023255813953"/>
    <col collapsed="false" hidden="false" max="295" min="294" style="0" width="8.7953488372093"/>
    <col collapsed="false" hidden="false" max="296" min="296" style="0" width="15.5953488372093"/>
    <col collapsed="false" hidden="false" max="297" min="297" style="0" width="5.2"/>
    <col collapsed="false" hidden="false" max="298" min="298" style="0" width="4.9953488372093"/>
    <col collapsed="false" hidden="false" max="299" min="299" style="0" width="10.5023255813953"/>
    <col collapsed="false" hidden="false" max="301" min="301" style="0" width="12.7023255813953"/>
    <col collapsed="false" hidden="false" max="303" min="302" style="0" width="8.7953488372093"/>
    <col collapsed="false" hidden="false" max="304" min="304" style="0" width="15.5953488372093"/>
    <col collapsed="false" hidden="false" max="305" min="305" style="0" width="5.2"/>
    <col collapsed="false" hidden="false" max="306" min="306" style="0" width="4.9953488372093"/>
    <col collapsed="false" hidden="false" max="307" min="307" style="0" width="10.5023255813953"/>
    <col collapsed="false" hidden="false" max="309" min="309" style="0" width="12.7023255813953"/>
    <col collapsed="false" hidden="false" max="311" min="310" style="0" width="8.7953488372093"/>
    <col collapsed="false" hidden="false" max="312" min="312" style="0" width="15.5953488372093"/>
    <col collapsed="false" hidden="false" max="313" min="313" style="0" width="5.2"/>
    <col collapsed="false" hidden="false" max="314" min="314" style="0" width="4.9953488372093"/>
    <col collapsed="false" hidden="false" max="315" min="315" style="0" width="10.5023255813953"/>
    <col collapsed="false" hidden="false" max="317" min="317" style="0" width="12.7023255813953"/>
    <col collapsed="false" hidden="false" max="319" min="318" style="0" width="8.7953488372093"/>
    <col collapsed="false" hidden="false" max="320" min="320" style="0" width="15.5953488372093"/>
    <col collapsed="false" hidden="false" max="321" min="321" style="0" width="5.2"/>
    <col collapsed="false" hidden="false" max="322" min="322" style="0" width="4.9953488372093"/>
    <col collapsed="false" hidden="false" max="323" min="323" style="0" width="10.5023255813953"/>
    <col collapsed="false" hidden="false" max="325" min="325" style="0" width="12.7023255813953"/>
    <col collapsed="false" hidden="false" max="327" min="326" style="0" width="8.7953488372093"/>
    <col collapsed="false" hidden="false" max="328" min="328" style="0" width="15.5953488372093"/>
    <col collapsed="false" hidden="false" max="329" min="329" style="0" width="5.2"/>
    <col collapsed="false" hidden="false" max="330" min="330" style="0" width="4.9953488372093"/>
    <col collapsed="false" hidden="false" max="331" min="331" style="0" width="10.5023255813953"/>
    <col collapsed="false" hidden="false" max="333" min="333" style="0" width="12.7023255813953"/>
    <col collapsed="false" hidden="false" max="335" min="334" style="0" width="8.7953488372093"/>
    <col collapsed="false" hidden="false" max="336" min="336" style="0" width="15.5953488372093"/>
    <col collapsed="false" hidden="false" max="337" min="337" style="0" width="5.2"/>
    <col collapsed="false" hidden="false" max="338" min="338" style="0" width="4.9953488372093"/>
    <col collapsed="false" hidden="false" max="339" min="339" style="0" width="10.5023255813953"/>
    <col collapsed="false" hidden="false" max="341" min="341" style="0" width="12.7023255813953"/>
    <col collapsed="false" hidden="false" max="343" min="342" style="0" width="8.7953488372093"/>
    <col collapsed="false" hidden="false" max="344" min="344" style="0" width="15.5953488372093"/>
    <col collapsed="false" hidden="false" max="345" min="345" style="0" width="5.2"/>
    <col collapsed="false" hidden="false" max="346" min="346" style="0" width="4.9953488372093"/>
    <col collapsed="false" hidden="false" max="347" min="347" style="0" width="10.5023255813953"/>
    <col collapsed="false" hidden="false" max="349" min="349" style="0" width="12.7023255813953"/>
    <col collapsed="false" hidden="false" max="351" min="350" style="0" width="8.7953488372093"/>
    <col collapsed="false" hidden="false" max="352" min="352" style="0" width="15.5953488372093"/>
    <col collapsed="false" hidden="false" max="353" min="353" style="0" width="5.2"/>
    <col collapsed="false" hidden="false" max="354" min="354" style="0" width="4.9953488372093"/>
    <col collapsed="false" hidden="false" max="355" min="355" style="0" width="10.5023255813953"/>
    <col collapsed="false" hidden="false" max="357" min="357" style="0" width="12.7023255813953"/>
    <col collapsed="false" hidden="false" max="359" min="358" style="0" width="8.7953488372093"/>
    <col collapsed="false" hidden="false" max="360" min="360" style="0" width="15.5953488372093"/>
    <col collapsed="false" hidden="false" max="361" min="361" style="0" width="5.2"/>
    <col collapsed="false" hidden="false" max="362" min="362" style="0" width="4.9953488372093"/>
    <col collapsed="false" hidden="false" max="363" min="363" style="0" width="10.5023255813953"/>
    <col collapsed="false" hidden="false" max="365" min="365" style="0" width="12.7023255813953"/>
    <col collapsed="false" hidden="false" max="367" min="366" style="0" width="8.7953488372093"/>
    <col collapsed="false" hidden="false" max="368" min="368" style="0" width="15.5953488372093"/>
    <col collapsed="false" hidden="false" max="369" min="369" style="0" width="5.2"/>
    <col collapsed="false" hidden="false" max="370" min="370" style="0" width="4.9953488372093"/>
    <col collapsed="false" hidden="false" max="371" min="371" style="0" width="10.5023255813953"/>
    <col collapsed="false" hidden="false" max="373" min="373" style="0" width="12.7023255813953"/>
    <col collapsed="false" hidden="false" max="375" min="374" style="0" width="8.7953488372093"/>
    <col collapsed="false" hidden="false" max="376" min="376" style="0" width="15.5953488372093"/>
    <col collapsed="false" hidden="false" max="377" min="377" style="0" width="5.2"/>
    <col collapsed="false" hidden="false" max="378" min="378" style="0" width="4.9953488372093"/>
    <col collapsed="false" hidden="false" max="379" min="379" style="0" width="10.5023255813953"/>
    <col collapsed="false" hidden="false" max="381" min="381" style="0" width="12.7023255813953"/>
    <col collapsed="false" hidden="false" max="383" min="382" style="0" width="8.7953488372093"/>
    <col collapsed="false" hidden="false" max="384" min="384" style="0" width="15.5953488372093"/>
    <col collapsed="false" hidden="false" max="385" min="385" style="0" width="5.2"/>
    <col collapsed="false" hidden="false" max="386" min="386" style="0" width="4.9953488372093"/>
    <col collapsed="false" hidden="false" max="387" min="387" style="0" width="10.5023255813953"/>
    <col collapsed="false" hidden="false" max="389" min="389" style="0" width="12.7023255813953"/>
    <col collapsed="false" hidden="false" max="391" min="390" style="0" width="8.7953488372093"/>
    <col collapsed="false" hidden="false" max="392" min="392" style="0" width="15.5953488372093"/>
    <col collapsed="false" hidden="false" max="393" min="393" style="0" width="5.2"/>
    <col collapsed="false" hidden="false" max="394" min="394" style="0" width="4.9953488372093"/>
    <col collapsed="false" hidden="false" max="395" min="395" style="0" width="10.5023255813953"/>
    <col collapsed="false" hidden="false" max="397" min="397" style="0" width="12.7023255813953"/>
    <col collapsed="false" hidden="false" max="399" min="398" style="0" width="8.7953488372093"/>
    <col collapsed="false" hidden="false" max="400" min="400" style="0" width="15.5953488372093"/>
    <col collapsed="false" hidden="false" max="401" min="401" style="0" width="5.2"/>
    <col collapsed="false" hidden="false" max="402" min="402" style="0" width="4.9953488372093"/>
    <col collapsed="false" hidden="false" max="403" min="403" style="0" width="10.5023255813953"/>
    <col collapsed="false" hidden="false" max="405" min="405" style="0" width="12.7023255813953"/>
    <col collapsed="false" hidden="false" max="407" min="406" style="0" width="8.7953488372093"/>
    <col collapsed="false" hidden="false" max="408" min="408" style="0" width="15.5953488372093"/>
    <col collapsed="false" hidden="false" max="409" min="409" style="0" width="5.2"/>
    <col collapsed="false" hidden="false" max="410" min="410" style="0" width="4.9953488372093"/>
    <col collapsed="false" hidden="false" max="411" min="411" style="0" width="10.5023255813953"/>
    <col collapsed="false" hidden="false" max="413" min="413" style="0" width="12.7023255813953"/>
    <col collapsed="false" hidden="false" max="415" min="414" style="0" width="8.7953488372093"/>
    <col collapsed="false" hidden="false" max="416" min="416" style="0" width="15.5953488372093"/>
    <col collapsed="false" hidden="false" max="417" min="417" style="0" width="5.2"/>
    <col collapsed="false" hidden="false" max="418" min="418" style="0" width="4.9953488372093"/>
    <col collapsed="false" hidden="false" max="419" min="419" style="0" width="10.5023255813953"/>
    <col collapsed="false" hidden="false" max="421" min="421" style="0" width="12.7023255813953"/>
    <col collapsed="false" hidden="false" max="423" min="422" style="0" width="8.7953488372093"/>
    <col collapsed="false" hidden="false" max="424" min="424" style="0" width="15.5953488372093"/>
    <col collapsed="false" hidden="false" max="425" min="425" style="0" width="5.2"/>
    <col collapsed="false" hidden="false" max="426" min="426" style="0" width="4.9953488372093"/>
    <col collapsed="false" hidden="false" max="427" min="427" style="0" width="10.5023255813953"/>
    <col collapsed="false" hidden="false" max="429" min="429" style="0" width="12.7023255813953"/>
    <col collapsed="false" hidden="false" max="431" min="430" style="0" width="8.7953488372093"/>
    <col collapsed="false" hidden="false" max="432" min="432" style="0" width="15.5953488372093"/>
    <col collapsed="false" hidden="false" max="433" min="433" style="0" width="5.2"/>
    <col collapsed="false" hidden="false" max="434" min="434" style="0" width="4.9953488372093"/>
    <col collapsed="false" hidden="false" max="435" min="435" style="0" width="10.5023255813953"/>
    <col collapsed="false" hidden="false" max="437" min="437" style="0" width="12.7023255813953"/>
    <col collapsed="false" hidden="false" max="439" min="438" style="0" width="8.7953488372093"/>
    <col collapsed="false" hidden="false" max="440" min="440" style="0" width="15.5953488372093"/>
    <col collapsed="false" hidden="false" max="441" min="441" style="0" width="5.2"/>
    <col collapsed="false" hidden="false" max="442" min="442" style="0" width="4.9953488372093"/>
    <col collapsed="false" hidden="false" max="443" min="443" style="0" width="10.5023255813953"/>
    <col collapsed="false" hidden="false" max="445" min="445" style="0" width="12.7023255813953"/>
    <col collapsed="false" hidden="false" max="447" min="446" style="0" width="8.7953488372093"/>
    <col collapsed="false" hidden="false" max="448" min="448" style="0" width="15.5953488372093"/>
    <col collapsed="false" hidden="false" max="449" min="449" style="0" width="5.2"/>
    <col collapsed="false" hidden="false" max="450" min="450" style="0" width="4.9953488372093"/>
    <col collapsed="false" hidden="false" max="451" min="451" style="0" width="10.5023255813953"/>
    <col collapsed="false" hidden="false" max="453" min="453" style="0" width="12.7023255813953"/>
    <col collapsed="false" hidden="false" max="455" min="454" style="0" width="8.7953488372093"/>
    <col collapsed="false" hidden="false" max="456" min="456" style="0" width="15.5953488372093"/>
    <col collapsed="false" hidden="false" max="457" min="457" style="0" width="5.2"/>
    <col collapsed="false" hidden="false" max="458" min="458" style="0" width="4.9953488372093"/>
    <col collapsed="false" hidden="false" max="459" min="459" style="0" width="10.5023255813953"/>
    <col collapsed="false" hidden="false" max="461" min="461" style="0" width="12.7023255813953"/>
    <col collapsed="false" hidden="false" max="463" min="462" style="0" width="8.7953488372093"/>
    <col collapsed="false" hidden="false" max="464" min="464" style="0" width="15.5953488372093"/>
    <col collapsed="false" hidden="false" max="465" min="465" style="0" width="5.2"/>
    <col collapsed="false" hidden="false" max="466" min="466" style="0" width="4.9953488372093"/>
    <col collapsed="false" hidden="false" max="467" min="467" style="0" width="10.5023255813953"/>
    <col collapsed="false" hidden="false" max="469" min="469" style="0" width="12.7023255813953"/>
    <col collapsed="false" hidden="false" max="471" min="470" style="0" width="8.7953488372093"/>
    <col collapsed="false" hidden="false" max="472" min="472" style="0" width="15.5953488372093"/>
    <col collapsed="false" hidden="false" max="473" min="473" style="0" width="5.2"/>
    <col collapsed="false" hidden="false" max="474" min="474" style="0" width="4.9953488372093"/>
    <col collapsed="false" hidden="false" max="475" min="475" style="0" width="10.5023255813953"/>
    <col collapsed="false" hidden="false" max="477" min="477" style="0" width="12.7023255813953"/>
    <col collapsed="false" hidden="false" max="479" min="478" style="0" width="8.7953488372093"/>
    <col collapsed="false" hidden="false" max="480" min="480" style="0" width="15.5953488372093"/>
    <col collapsed="false" hidden="false" max="481" min="481" style="0" width="5.2"/>
    <col collapsed="false" hidden="false" max="482" min="482" style="0" width="4.9953488372093"/>
    <col collapsed="false" hidden="false" max="483" min="483" style="0" width="10.5023255813953"/>
    <col collapsed="false" hidden="false" max="485" min="485" style="0" width="12.7023255813953"/>
    <col collapsed="false" hidden="false" max="487" min="486" style="0" width="8.7953488372093"/>
    <col collapsed="false" hidden="false" max="488" min="488" style="0" width="15.5953488372093"/>
    <col collapsed="false" hidden="false" max="489" min="489" style="0" width="5.2"/>
    <col collapsed="false" hidden="false" max="490" min="490" style="0" width="4.9953488372093"/>
    <col collapsed="false" hidden="false" max="491" min="491" style="0" width="10.5023255813953"/>
    <col collapsed="false" hidden="false" max="493" min="493" style="0" width="12.7023255813953"/>
    <col collapsed="false" hidden="false" max="495" min="494" style="0" width="8.7953488372093"/>
    <col collapsed="false" hidden="false" max="496" min="496" style="0" width="15.5953488372093"/>
    <col collapsed="false" hidden="false" max="497" min="497" style="0" width="5.2"/>
    <col collapsed="false" hidden="false" max="498" min="498" style="0" width="4.9953488372093"/>
    <col collapsed="false" hidden="false" max="499" min="499" style="0" width="10.5023255813953"/>
    <col collapsed="false" hidden="false" max="501" min="501" style="0" width="12.7023255813953"/>
    <col collapsed="false" hidden="false" max="503" min="502" style="0" width="8.7953488372093"/>
    <col collapsed="false" hidden="false" max="504" min="504" style="0" width="15.5953488372093"/>
    <col collapsed="false" hidden="false" max="505" min="505" style="0" width="5.2"/>
    <col collapsed="false" hidden="false" max="506" min="506" style="0" width="4.9953488372093"/>
    <col collapsed="false" hidden="false" max="507" min="507" style="0" width="10.5023255813953"/>
    <col collapsed="false" hidden="false" max="509" min="509" style="0" width="12.7023255813953"/>
    <col collapsed="false" hidden="false" max="511" min="510" style="0" width="8.7953488372093"/>
    <col collapsed="false" hidden="false" max="512" min="512" style="0" width="15.5953488372093"/>
    <col collapsed="false" hidden="false" max="513" min="513" style="0" width="5.2"/>
    <col collapsed="false" hidden="false" max="514" min="514" style="0" width="4.9953488372093"/>
    <col collapsed="false" hidden="false" max="515" min="515" style="0" width="10.5023255813953"/>
    <col collapsed="false" hidden="false" max="517" min="517" style="0" width="12.7023255813953"/>
    <col collapsed="false" hidden="false" max="519" min="518" style="0" width="8.7953488372093"/>
    <col collapsed="false" hidden="false" max="520" min="520" style="0" width="15.5953488372093"/>
    <col collapsed="false" hidden="false" max="521" min="521" style="0" width="5.2"/>
    <col collapsed="false" hidden="false" max="522" min="522" style="0" width="4.9953488372093"/>
    <col collapsed="false" hidden="false" max="523" min="523" style="0" width="10.5023255813953"/>
    <col collapsed="false" hidden="false" max="525" min="525" style="0" width="12.7023255813953"/>
    <col collapsed="false" hidden="false" max="527" min="526" style="0" width="8.7953488372093"/>
    <col collapsed="false" hidden="false" max="528" min="528" style="0" width="15.5953488372093"/>
    <col collapsed="false" hidden="false" max="529" min="529" style="0" width="5.2"/>
    <col collapsed="false" hidden="false" max="530" min="530" style="0" width="4.9953488372093"/>
    <col collapsed="false" hidden="false" max="531" min="531" style="0" width="10.5023255813953"/>
    <col collapsed="false" hidden="false" max="533" min="533" style="0" width="12.7023255813953"/>
    <col collapsed="false" hidden="false" max="535" min="534" style="0" width="8.7953488372093"/>
    <col collapsed="false" hidden="false" max="536" min="536" style="0" width="15.5953488372093"/>
    <col collapsed="false" hidden="false" max="537" min="537" style="0" width="5.2"/>
    <col collapsed="false" hidden="false" max="538" min="538" style="0" width="4.9953488372093"/>
    <col collapsed="false" hidden="false" max="539" min="539" style="0" width="10.5023255813953"/>
    <col collapsed="false" hidden="false" max="541" min="541" style="0" width="12.7023255813953"/>
    <col collapsed="false" hidden="false" max="543" min="542" style="0" width="8.7953488372093"/>
    <col collapsed="false" hidden="false" max="544" min="544" style="0" width="15.5953488372093"/>
    <col collapsed="false" hidden="false" max="545" min="545" style="0" width="5.2"/>
    <col collapsed="false" hidden="false" max="546" min="546" style="0" width="4.9953488372093"/>
    <col collapsed="false" hidden="false" max="547" min="547" style="0" width="10.5023255813953"/>
    <col collapsed="false" hidden="false" max="549" min="549" style="0" width="12.7023255813953"/>
    <col collapsed="false" hidden="false" max="551" min="550" style="0" width="8.7953488372093"/>
    <col collapsed="false" hidden="false" max="552" min="552" style="0" width="15.5953488372093"/>
    <col collapsed="false" hidden="false" max="553" min="553" style="0" width="5.2"/>
    <col collapsed="false" hidden="false" max="554" min="554" style="0" width="4.9953488372093"/>
    <col collapsed="false" hidden="false" max="555" min="555" style="0" width="10.5023255813953"/>
    <col collapsed="false" hidden="false" max="557" min="557" style="0" width="12.7023255813953"/>
    <col collapsed="false" hidden="false" max="559" min="558" style="0" width="8.7953488372093"/>
    <col collapsed="false" hidden="false" max="560" min="560" style="0" width="15.5953488372093"/>
    <col collapsed="false" hidden="false" max="561" min="561" style="0" width="5.2"/>
    <col collapsed="false" hidden="false" max="562" min="562" style="0" width="4.9953488372093"/>
    <col collapsed="false" hidden="false" max="563" min="563" style="0" width="10.5023255813953"/>
    <col collapsed="false" hidden="false" max="565" min="565" style="0" width="12.7023255813953"/>
    <col collapsed="false" hidden="false" max="567" min="566" style="0" width="8.7953488372093"/>
    <col collapsed="false" hidden="false" max="568" min="568" style="0" width="15.5953488372093"/>
    <col collapsed="false" hidden="false" max="569" min="569" style="0" width="5.2"/>
    <col collapsed="false" hidden="false" max="570" min="570" style="0" width="4.9953488372093"/>
    <col collapsed="false" hidden="false" max="571" min="571" style="0" width="10.5023255813953"/>
    <col collapsed="false" hidden="false" max="573" min="573" style="0" width="12.7023255813953"/>
    <col collapsed="false" hidden="false" max="575" min="574" style="0" width="8.7953488372093"/>
    <col collapsed="false" hidden="false" max="576" min="576" style="0" width="15.5953488372093"/>
    <col collapsed="false" hidden="false" max="577" min="577" style="0" width="5.2"/>
    <col collapsed="false" hidden="false" max="578" min="578" style="0" width="4.9953488372093"/>
    <col collapsed="false" hidden="false" max="579" min="579" style="0" width="10.5023255813953"/>
    <col collapsed="false" hidden="false" max="581" min="581" style="0" width="12.7023255813953"/>
    <col collapsed="false" hidden="false" max="583" min="582" style="0" width="8.7953488372093"/>
    <col collapsed="false" hidden="false" max="584" min="584" style="0" width="15.5953488372093"/>
    <col collapsed="false" hidden="false" max="585" min="585" style="0" width="5.2"/>
    <col collapsed="false" hidden="false" max="586" min="586" style="0" width="4.9953488372093"/>
    <col collapsed="false" hidden="false" max="587" min="587" style="0" width="10.5023255813953"/>
    <col collapsed="false" hidden="false" max="589" min="589" style="0" width="12.7023255813953"/>
    <col collapsed="false" hidden="false" max="591" min="590" style="0" width="8.7953488372093"/>
    <col collapsed="false" hidden="false" max="592" min="592" style="0" width="15.5953488372093"/>
    <col collapsed="false" hidden="false" max="593" min="593" style="0" width="5.2"/>
    <col collapsed="false" hidden="false" max="594" min="594" style="0" width="4.9953488372093"/>
    <col collapsed="false" hidden="false" max="595" min="595" style="0" width="10.5023255813953"/>
    <col collapsed="false" hidden="false" max="597" min="597" style="0" width="12.7023255813953"/>
    <col collapsed="false" hidden="false" max="599" min="598" style="0" width="8.7953488372093"/>
    <col collapsed="false" hidden="false" max="600" min="600" style="0" width="15.5953488372093"/>
    <col collapsed="false" hidden="false" max="601" min="601" style="0" width="5.2"/>
    <col collapsed="false" hidden="false" max="602" min="602" style="0" width="4.9953488372093"/>
    <col collapsed="false" hidden="false" max="603" min="603" style="0" width="10.5023255813953"/>
    <col collapsed="false" hidden="false" max="605" min="605" style="0" width="12.7023255813953"/>
    <col collapsed="false" hidden="false" max="607" min="606" style="0" width="8.7953488372093"/>
    <col collapsed="false" hidden="false" max="608" min="608" style="0" width="15.5953488372093"/>
    <col collapsed="false" hidden="false" max="609" min="609" style="0" width="5.2"/>
    <col collapsed="false" hidden="false" max="610" min="610" style="0" width="4.9953488372093"/>
    <col collapsed="false" hidden="false" max="611" min="611" style="0" width="10.5023255813953"/>
    <col collapsed="false" hidden="false" max="613" min="613" style="0" width="12.7023255813953"/>
    <col collapsed="false" hidden="false" max="615" min="614" style="0" width="8.7953488372093"/>
    <col collapsed="false" hidden="false" max="616" min="616" style="0" width="15.5953488372093"/>
    <col collapsed="false" hidden="false" max="617" min="617" style="0" width="5.2"/>
    <col collapsed="false" hidden="false" max="618" min="618" style="0" width="4.9953488372093"/>
    <col collapsed="false" hidden="false" max="619" min="619" style="0" width="10.5023255813953"/>
    <col collapsed="false" hidden="false" max="621" min="621" style="0" width="12.7023255813953"/>
    <col collapsed="false" hidden="false" max="623" min="622" style="0" width="8.7953488372093"/>
    <col collapsed="false" hidden="false" max="624" min="624" style="0" width="15.5953488372093"/>
    <col collapsed="false" hidden="false" max="625" min="625" style="0" width="5.2"/>
    <col collapsed="false" hidden="false" max="626" min="626" style="0" width="4.9953488372093"/>
    <col collapsed="false" hidden="false" max="627" min="627" style="0" width="10.5023255813953"/>
    <col collapsed="false" hidden="false" max="629" min="629" style="0" width="12.7023255813953"/>
    <col collapsed="false" hidden="false" max="631" min="630" style="0" width="8.7953488372093"/>
    <col collapsed="false" hidden="false" max="632" min="632" style="0" width="15.5953488372093"/>
    <col collapsed="false" hidden="false" max="633" min="633" style="0" width="5.2"/>
    <col collapsed="false" hidden="false" max="634" min="634" style="0" width="4.9953488372093"/>
    <col collapsed="false" hidden="false" max="635" min="635" style="0" width="10.5023255813953"/>
    <col collapsed="false" hidden="false" max="637" min="637" style="0" width="12.7023255813953"/>
    <col collapsed="false" hidden="false" max="639" min="638" style="0" width="8.7953488372093"/>
    <col collapsed="false" hidden="false" max="640" min="640" style="0" width="15.5953488372093"/>
    <col collapsed="false" hidden="false" max="641" min="641" style="0" width="5.2"/>
    <col collapsed="false" hidden="false" max="642" min="642" style="0" width="4.9953488372093"/>
    <col collapsed="false" hidden="false" max="643" min="643" style="0" width="10.5023255813953"/>
    <col collapsed="false" hidden="false" max="645" min="645" style="0" width="12.7023255813953"/>
    <col collapsed="false" hidden="false" max="647" min="646" style="0" width="8.7953488372093"/>
    <col collapsed="false" hidden="false" max="648" min="648" style="0" width="15.5953488372093"/>
    <col collapsed="false" hidden="false" max="649" min="649" style="0" width="5.2"/>
    <col collapsed="false" hidden="false" max="650" min="650" style="0" width="4.9953488372093"/>
    <col collapsed="false" hidden="false" max="651" min="651" style="0" width="10.5023255813953"/>
    <col collapsed="false" hidden="false" max="653" min="653" style="0" width="12.7023255813953"/>
    <col collapsed="false" hidden="false" max="655" min="654" style="0" width="8.7953488372093"/>
    <col collapsed="false" hidden="false" max="656" min="656" style="0" width="15.5953488372093"/>
    <col collapsed="false" hidden="false" max="657" min="657" style="0" width="5.2"/>
    <col collapsed="false" hidden="false" max="658" min="658" style="0" width="4.9953488372093"/>
    <col collapsed="false" hidden="false" max="659" min="659" style="0" width="10.5023255813953"/>
    <col collapsed="false" hidden="false" max="661" min="661" style="0" width="12.7023255813953"/>
    <col collapsed="false" hidden="false" max="663" min="662" style="0" width="8.7953488372093"/>
    <col collapsed="false" hidden="false" max="664" min="664" style="0" width="15.5953488372093"/>
    <col collapsed="false" hidden="false" max="665" min="665" style="0" width="5.2"/>
    <col collapsed="false" hidden="false" max="666" min="666" style="0" width="4.9953488372093"/>
    <col collapsed="false" hidden="false" max="667" min="667" style="0" width="10.5023255813953"/>
    <col collapsed="false" hidden="false" max="669" min="669" style="0" width="12.7023255813953"/>
    <col collapsed="false" hidden="false" max="671" min="670" style="0" width="8.7953488372093"/>
    <col collapsed="false" hidden="false" max="672" min="672" style="0" width="15.5953488372093"/>
    <col collapsed="false" hidden="false" max="673" min="673" style="0" width="5.2"/>
    <col collapsed="false" hidden="false" max="674" min="674" style="0" width="4.9953488372093"/>
    <col collapsed="false" hidden="false" max="675" min="675" style="0" width="10.5023255813953"/>
    <col collapsed="false" hidden="false" max="677" min="677" style="0" width="12.7023255813953"/>
    <col collapsed="false" hidden="false" max="679" min="678" style="0" width="8.7953488372093"/>
    <col collapsed="false" hidden="false" max="680" min="680" style="0" width="15.5953488372093"/>
    <col collapsed="false" hidden="false" max="681" min="681" style="0" width="5.2"/>
    <col collapsed="false" hidden="false" max="682" min="682" style="0" width="4.9953488372093"/>
    <col collapsed="false" hidden="false" max="683" min="683" style="0" width="10.5023255813953"/>
    <col collapsed="false" hidden="false" max="685" min="685" style="0" width="12.7023255813953"/>
    <col collapsed="false" hidden="false" max="687" min="686" style="0" width="8.7953488372093"/>
    <col collapsed="false" hidden="false" max="688" min="688" style="0" width="15.5953488372093"/>
    <col collapsed="false" hidden="false" max="689" min="689" style="0" width="5.2"/>
    <col collapsed="false" hidden="false" max="690" min="690" style="0" width="4.9953488372093"/>
    <col collapsed="false" hidden="false" max="691" min="691" style="0" width="10.5023255813953"/>
    <col collapsed="false" hidden="false" max="693" min="693" style="0" width="12.7023255813953"/>
    <col collapsed="false" hidden="false" max="695" min="694" style="0" width="8.7953488372093"/>
    <col collapsed="false" hidden="false" max="696" min="696" style="0" width="6.09767441860465"/>
    <col collapsed="false" hidden="false" max="697" min="697" style="0" width="5.2"/>
    <col collapsed="false" hidden="false" max="698" min="698" style="0" width="4.9953488372093"/>
    <col collapsed="false" hidden="false" max="699" min="699" style="0" width="10.5023255813953"/>
    <col collapsed="false" hidden="false" max="701" min="701" style="0" width="12.7023255813953"/>
    <col collapsed="false" hidden="false" max="703" min="702" style="0" width="8.7953488372093"/>
    <col collapsed="false" hidden="false" max="704" min="704" style="0" width="15.5953488372093"/>
    <col collapsed="false" hidden="false" max="705" min="705" style="0" width="5.2"/>
    <col collapsed="false" hidden="false" max="706" min="706" style="0" width="4.9953488372093"/>
    <col collapsed="false" hidden="false" max="707" min="707" style="0" width="10.5023255813953"/>
    <col collapsed="false" hidden="false" max="709" min="709" style="0" width="12.7023255813953"/>
    <col collapsed="false" hidden="false" max="711" min="710" style="0" width="8.7953488372093"/>
    <col collapsed="false" hidden="false" max="712" min="712" style="0" width="15.5953488372093"/>
    <col collapsed="false" hidden="false" max="713" min="713" style="0" width="5.2"/>
    <col collapsed="false" hidden="false" max="714" min="714" style="0" width="4.9953488372093"/>
    <col collapsed="false" hidden="false" max="715" min="715" style="0" width="10.5023255813953"/>
    <col collapsed="false" hidden="false" max="717" min="717" style="0" width="12.7023255813953"/>
    <col collapsed="false" hidden="false" max="719" min="718" style="0" width="8.7953488372093"/>
    <col collapsed="false" hidden="false" max="720" min="720" style="0" width="15.5953488372093"/>
    <col collapsed="false" hidden="false" max="721" min="721" style="0" width="5.2"/>
    <col collapsed="false" hidden="false" max="722" min="722" style="0" width="4.9953488372093"/>
    <col collapsed="false" hidden="false" max="723" min="723" style="0" width="10.5023255813953"/>
    <col collapsed="false" hidden="false" max="725" min="725" style="0" width="12.7023255813953"/>
    <col collapsed="false" hidden="false" max="727" min="726" style="0" width="8.7953488372093"/>
    <col collapsed="false" hidden="false" max="728" min="728" style="0" width="15.5953488372093"/>
    <col collapsed="false" hidden="false" max="729" min="729" style="0" width="5.2"/>
    <col collapsed="false" hidden="false" max="730" min="730" style="0" width="4.9953488372093"/>
    <col collapsed="false" hidden="false" max="731" min="731" style="0" width="10.5023255813953"/>
    <col collapsed="false" hidden="false" max="733" min="733" style="0" width="12.7023255813953"/>
    <col collapsed="false" hidden="false" max="735" min="734" style="0" width="8.7953488372093"/>
    <col collapsed="false" hidden="false" max="736" min="736" style="0" width="15.5953488372093"/>
    <col collapsed="false" hidden="false" max="737" min="737" style="0" width="5.2"/>
    <col collapsed="false" hidden="false" max="738" min="738" style="0" width="4.9953488372093"/>
    <col collapsed="false" hidden="false" max="739" min="739" style="0" width="10.5023255813953"/>
    <col collapsed="false" hidden="false" max="741" min="741" style="0" width="12.7023255813953"/>
    <col collapsed="false" hidden="false" max="743" min="742" style="0" width="8.7953488372093"/>
    <col collapsed="false" hidden="false" max="744" min="744" style="0" width="15.5953488372093"/>
    <col collapsed="false" hidden="false" max="745" min="745" style="0" width="5.2"/>
    <col collapsed="false" hidden="false" max="746" min="746" style="0" width="4.9953488372093"/>
    <col collapsed="false" hidden="false" max="747" min="747" style="0" width="10.5023255813953"/>
    <col collapsed="false" hidden="false" max="749" min="749" style="0" width="12.7023255813953"/>
    <col collapsed="false" hidden="false" max="751" min="750" style="0" width="8.7953488372093"/>
    <col collapsed="false" hidden="false" max="752" min="752" style="0" width="15.5953488372093"/>
    <col collapsed="false" hidden="false" max="753" min="753" style="0" width="5.2"/>
    <col collapsed="false" hidden="false" max="754" min="754" style="0" width="4.9953488372093"/>
    <col collapsed="false" hidden="false" max="755" min="755" style="0" width="10.5023255813953"/>
    <col collapsed="false" hidden="false" max="757" min="757" style="0" width="12.7023255813953"/>
    <col collapsed="false" hidden="false" max="759" min="758" style="0" width="8.7953488372093"/>
    <col collapsed="false" hidden="false" max="760" min="760" style="0" width="15.5953488372093"/>
    <col collapsed="false" hidden="false" max="761" min="761" style="0" width="5.2"/>
    <col collapsed="false" hidden="false" max="762" min="762" style="0" width="4.9953488372093"/>
    <col collapsed="false" hidden="false" max="763" min="763" style="0" width="10.5023255813953"/>
    <col collapsed="false" hidden="false" max="765" min="765" style="0" width="12.7023255813953"/>
    <col collapsed="false" hidden="false" max="767" min="766" style="0" width="8.7953488372093"/>
    <col collapsed="false" hidden="false" max="768" min="768" style="0" width="15.5953488372093"/>
    <col collapsed="false" hidden="false" max="769" min="769" style="0" width="5.2"/>
    <col collapsed="false" hidden="false" max="770" min="770" style="0" width="4.9953488372093"/>
    <col collapsed="false" hidden="false" max="771" min="771" style="0" width="10.5023255813953"/>
    <col collapsed="false" hidden="false" max="773" min="773" style="0" width="12.7023255813953"/>
    <col collapsed="false" hidden="false" max="775" min="774" style="0" width="8.7953488372093"/>
    <col collapsed="false" hidden="false" max="776" min="776" style="0" width="15.5953488372093"/>
    <col collapsed="false" hidden="false" max="777" min="777" style="0" width="5.2"/>
    <col collapsed="false" hidden="false" max="778" min="778" style="0" width="4.9953488372093"/>
    <col collapsed="false" hidden="false" max="779" min="779" style="0" width="10.5023255813953"/>
    <col collapsed="false" hidden="false" max="781" min="781" style="0" width="12.7023255813953"/>
    <col collapsed="false" hidden="false" max="783" min="782" style="0" width="8.7953488372093"/>
    <col collapsed="false" hidden="false" max="784" min="784" style="0" width="15.5953488372093"/>
    <col collapsed="false" hidden="false" max="785" min="785" style="0" width="5.2"/>
    <col collapsed="false" hidden="false" max="786" min="786" style="0" width="4.9953488372093"/>
    <col collapsed="false" hidden="false" max="787" min="787" style="0" width="10.5023255813953"/>
    <col collapsed="false" hidden="false" max="789" min="789" style="0" width="12.7023255813953"/>
    <col collapsed="false" hidden="false" max="791" min="790" style="0" width="8.7953488372093"/>
    <col collapsed="false" hidden="false" max="792" min="792" style="0" width="15.5953488372093"/>
    <col collapsed="false" hidden="false" max="793" min="793" style="0" width="5.2"/>
    <col collapsed="false" hidden="false" max="794" min="794" style="0" width="4.9953488372093"/>
    <col collapsed="false" hidden="false" max="795" min="795" style="0" width="10.5023255813953"/>
    <col collapsed="false" hidden="false" max="797" min="797" style="0" width="12.7023255813953"/>
    <col collapsed="false" hidden="false" max="799" min="798" style="0" width="8.7953488372093"/>
    <col collapsed="false" hidden="false" max="800" min="800" style="0" width="15.5953488372093"/>
    <col collapsed="false" hidden="false" max="801" min="801" style="0" width="5.2"/>
    <col collapsed="false" hidden="false" max="802" min="802" style="0" width="4.9953488372093"/>
    <col collapsed="false" hidden="false" max="803" min="803" style="0" width="10.5023255813953"/>
    <col collapsed="false" hidden="false" max="805" min="805" style="0" width="12.7023255813953"/>
    <col collapsed="false" hidden="false" max="807" min="806" style="0" width="8.7953488372093"/>
    <col collapsed="false" hidden="false" max="808" min="808" style="0" width="15.5953488372093"/>
    <col collapsed="false" hidden="false" max="809" min="809" style="0" width="5.2"/>
    <col collapsed="false" hidden="false" max="810" min="810" style="0" width="4.9953488372093"/>
    <col collapsed="false" hidden="false" max="811" min="811" style="0" width="10.5023255813953"/>
    <col collapsed="false" hidden="false" max="813" min="813" style="0" width="12.7023255813953"/>
    <col collapsed="false" hidden="false" max="815" min="814" style="0" width="8.7953488372093"/>
    <col collapsed="false" hidden="false" max="816" min="816" style="0" width="15.5953488372093"/>
    <col collapsed="false" hidden="false" max="817" min="817" style="0" width="5.2"/>
    <col collapsed="false" hidden="false" max="818" min="818" style="0" width="6.09767441860465"/>
    <col collapsed="false" hidden="false" max="819" min="819" style="0" width="10.5023255813953"/>
    <col collapsed="false" hidden="false" max="821" min="821" style="0" width="12.7023255813953"/>
    <col collapsed="false" hidden="false" max="823" min="822" style="0" width="8.7953488372093"/>
    <col collapsed="false" hidden="false" max="824" min="824" style="0" width="15.5953488372093"/>
    <col collapsed="false" hidden="false" max="825" min="825" style="0" width="5.2"/>
    <col collapsed="false" hidden="false" max="826" min="826" style="0" width="4.9953488372093"/>
    <col collapsed="false" hidden="false" max="827" min="827" style="0" width="10.5023255813953"/>
    <col collapsed="false" hidden="false" max="829" min="829" style="0" width="12.7023255813953"/>
    <col collapsed="false" hidden="false" max="831" min="830" style="0" width="8.7953488372093"/>
    <col collapsed="false" hidden="false" max="832" min="832" style="0" width="15.5953488372093"/>
    <col collapsed="false" hidden="false" max="833" min="833" style="0" width="5.2"/>
    <col collapsed="false" hidden="false" max="834" min="834" style="0" width="4.9953488372093"/>
    <col collapsed="false" hidden="false" max="835" min="835" style="0" width="10.5023255813953"/>
    <col collapsed="false" hidden="false" max="837" min="837" style="0" width="12.7023255813953"/>
    <col collapsed="false" hidden="false" max="839" min="838" style="0" width="8.7953488372093"/>
    <col collapsed="false" hidden="false" max="840" min="840" style="0" width="15.5953488372093"/>
    <col collapsed="false" hidden="false" max="841" min="841" style="0" width="5.2"/>
    <col collapsed="false" hidden="false" max="842" min="842" style="0" width="4.9953488372093"/>
    <col collapsed="false" hidden="false" max="843" min="843" style="0" width="10.5023255813953"/>
    <col collapsed="false" hidden="false" max="845" min="845" style="0" width="12.7023255813953"/>
    <col collapsed="false" hidden="false" max="847" min="846" style="0" width="8.7953488372093"/>
    <col collapsed="false" hidden="false" max="848" min="848" style="0" width="15.5953488372093"/>
    <col collapsed="false" hidden="false" max="849" min="849" style="0" width="5.2"/>
    <col collapsed="false" hidden="false" max="850" min="850" style="0" width="4.9953488372093"/>
    <col collapsed="false" hidden="false" max="851" min="851" style="0" width="10.5023255813953"/>
    <col collapsed="false" hidden="false" max="853" min="853" style="0" width="12.7023255813953"/>
    <col collapsed="false" hidden="false" max="855" min="854" style="0" width="8.7953488372093"/>
    <col collapsed="false" hidden="false" max="856" min="856" style="0" width="15.5953488372093"/>
    <col collapsed="false" hidden="false" max="857" min="857" style="0" width="5.2"/>
    <col collapsed="false" hidden="false" max="858" min="858" style="0" width="4.9953488372093"/>
    <col collapsed="false" hidden="false" max="859" min="859" style="0" width="10.5023255813953"/>
    <col collapsed="false" hidden="false" max="861" min="861" style="0" width="12.7023255813953"/>
    <col collapsed="false" hidden="false" max="863" min="862" style="0" width="8.7953488372093"/>
    <col collapsed="false" hidden="false" max="864" min="864" style="0" width="15.5953488372093"/>
    <col collapsed="false" hidden="false" max="865" min="865" style="0" width="5.2"/>
    <col collapsed="false" hidden="false" max="866" min="866" style="0" width="4.9953488372093"/>
    <col collapsed="false" hidden="false" max="867" min="867" style="0" width="10.5023255813953"/>
    <col collapsed="false" hidden="false" max="869" min="869" style="0" width="12.7023255813953"/>
    <col collapsed="false" hidden="false" max="871" min="870" style="0" width="8.7953488372093"/>
    <col collapsed="false" hidden="false" max="872" min="872" style="0" width="15.5953488372093"/>
    <col collapsed="false" hidden="false" max="873" min="873" style="0" width="5.2"/>
    <col collapsed="false" hidden="false" max="874" min="874" style="0" width="4.9953488372093"/>
    <col collapsed="false" hidden="false" max="875" min="875" style="0" width="10.5023255813953"/>
    <col collapsed="false" hidden="false" max="877" min="877" style="0" width="12.7023255813953"/>
    <col collapsed="false" hidden="false" max="879" min="878" style="0" width="8.7953488372093"/>
    <col collapsed="false" hidden="false" max="880" min="880" style="0" width="15.5953488372093"/>
    <col collapsed="false" hidden="false" max="881" min="881" style="0" width="5.2"/>
    <col collapsed="false" hidden="false" max="882" min="882" style="0" width="4.9953488372093"/>
    <col collapsed="false" hidden="false" max="883" min="883" style="0" width="10.5023255813953"/>
    <col collapsed="false" hidden="false" max="885" min="885" style="0" width="12.7023255813953"/>
    <col collapsed="false" hidden="false" max="887" min="886" style="0" width="8.7953488372093"/>
    <col collapsed="false" hidden="false" max="888" min="888" style="0" width="15.5953488372093"/>
    <col collapsed="false" hidden="false" max="889" min="889" style="0" width="5.2"/>
    <col collapsed="false" hidden="false" max="890" min="890" style="0" width="4.9953488372093"/>
    <col collapsed="false" hidden="false" max="891" min="891" style="0" width="10.5023255813953"/>
    <col collapsed="false" hidden="false" max="893" min="893" style="0" width="12.7023255813953"/>
    <col collapsed="false" hidden="false" max="895" min="894" style="0" width="8.7953488372093"/>
    <col collapsed="false" hidden="false" max="896" min="896" style="0" width="15.5953488372093"/>
    <col collapsed="false" hidden="false" max="897" min="897" style="0" width="5.2"/>
    <col collapsed="false" hidden="false" max="898" min="898" style="0" width="4.9953488372093"/>
    <col collapsed="false" hidden="false" max="899" min="899" style="0" width="10.5023255813953"/>
    <col collapsed="false" hidden="false" max="901" min="901" style="0" width="12.7023255813953"/>
    <col collapsed="false" hidden="false" max="903" min="902" style="0" width="8.7953488372093"/>
    <col collapsed="false" hidden="false" max="904" min="904" style="0" width="15.5953488372093"/>
    <col collapsed="false" hidden="false" max="905" min="905" style="0" width="5.2"/>
    <col collapsed="false" hidden="false" max="906" min="906" style="0" width="4.9953488372093"/>
    <col collapsed="false" hidden="false" max="907" min="907" style="0" width="10.5023255813953"/>
    <col collapsed="false" hidden="false" max="909" min="909" style="0" width="12.7023255813953"/>
    <col collapsed="false" hidden="false" max="911" min="910" style="0" width="8.7953488372093"/>
    <col collapsed="false" hidden="false" max="912" min="912" style="0" width="15.5953488372093"/>
    <col collapsed="false" hidden="false" max="913" min="913" style="0" width="5.2"/>
    <col collapsed="false" hidden="false" max="914" min="914" style="0" width="4.9953488372093"/>
    <col collapsed="false" hidden="false" max="915" min="915" style="0" width="10.5023255813953"/>
    <col collapsed="false" hidden="false" max="917" min="917" style="0" width="12.7023255813953"/>
    <col collapsed="false" hidden="false" max="919" min="918" style="0" width="8.7953488372093"/>
    <col collapsed="false" hidden="false" max="920" min="920" style="0" width="15.5953488372093"/>
    <col collapsed="false" hidden="false" max="921" min="921" style="0" width="5.2"/>
    <col collapsed="false" hidden="false" max="922" min="922" style="0" width="4.9953488372093"/>
    <col collapsed="false" hidden="false" max="923" min="923" style="0" width="10.5023255813953"/>
    <col collapsed="false" hidden="false" max="925" min="925" style="0" width="12.7023255813953"/>
    <col collapsed="false" hidden="false" max="927" min="926" style="0" width="8.7953488372093"/>
    <col collapsed="false" hidden="false" max="928" min="928" style="0" width="15.5953488372093"/>
    <col collapsed="false" hidden="false" max="929" min="929" style="0" width="5.2"/>
    <col collapsed="false" hidden="false" max="930" min="930" style="0" width="4.9953488372093"/>
    <col collapsed="false" hidden="false" max="931" min="931" style="0" width="10.5023255813953"/>
    <col collapsed="false" hidden="false" max="933" min="933" style="0" width="12.7023255813953"/>
    <col collapsed="false" hidden="false" max="935" min="934" style="0" width="8.7953488372093"/>
    <col collapsed="false" hidden="false" max="936" min="936" style="0" width="15.5953488372093"/>
    <col collapsed="false" hidden="false" max="937" min="937" style="0" width="5.2"/>
    <col collapsed="false" hidden="false" max="938" min="938" style="0" width="4.9953488372093"/>
    <col collapsed="false" hidden="false" max="939" min="939" style="0" width="10.5023255813953"/>
    <col collapsed="false" hidden="false" max="941" min="941" style="0" width="12.7023255813953"/>
    <col collapsed="false" hidden="false" max="943" min="942" style="0" width="8.7953488372093"/>
    <col collapsed="false" hidden="false" max="944" min="944" style="0" width="15.5953488372093"/>
    <col collapsed="false" hidden="false" max="945" min="945" style="0" width="5.2"/>
    <col collapsed="false" hidden="false" max="946" min="946" style="0" width="4.9953488372093"/>
    <col collapsed="false" hidden="false" max="947" min="947" style="0" width="10.5023255813953"/>
    <col collapsed="false" hidden="false" max="949" min="949" style="0" width="12.7023255813953"/>
    <col collapsed="false" hidden="false" max="951" min="950" style="0" width="8.7953488372093"/>
    <col collapsed="false" hidden="false" max="952" min="952" style="0" width="15.5953488372093"/>
    <col collapsed="false" hidden="false" max="953" min="953" style="0" width="5.2"/>
    <col collapsed="false" hidden="false" max="954" min="954" style="0" width="4.9953488372093"/>
    <col collapsed="false" hidden="false" max="955" min="955" style="0" width="10.5023255813953"/>
    <col collapsed="false" hidden="false" max="957" min="957" style="0" width="12.7023255813953"/>
    <col collapsed="false" hidden="false" max="959" min="958" style="0" width="8.7953488372093"/>
    <col collapsed="false" hidden="false" max="960" min="960" style="0" width="15.5953488372093"/>
    <col collapsed="false" hidden="false" max="961" min="961" style="0" width="5.2"/>
    <col collapsed="false" hidden="false" max="962" min="962" style="0" width="4.9953488372093"/>
    <col collapsed="false" hidden="false" max="963" min="963" style="0" width="10.5023255813953"/>
    <col collapsed="false" hidden="false" max="965" min="965" style="0" width="12.7023255813953"/>
    <col collapsed="false" hidden="false" max="967" min="966" style="0" width="8.7953488372093"/>
    <col collapsed="false" hidden="false" max="968" min="968" style="0" width="15.5953488372093"/>
    <col collapsed="false" hidden="false" max="969" min="969" style="0" width="5.2"/>
    <col collapsed="false" hidden="false" max="970" min="970" style="0" width="4.9953488372093"/>
    <col collapsed="false" hidden="false" max="971" min="971" style="0" width="10.5023255813953"/>
    <col collapsed="false" hidden="false" max="973" min="973" style="0" width="12.7023255813953"/>
    <col collapsed="false" hidden="false" max="975" min="974" style="0" width="8.7953488372093"/>
    <col collapsed="false" hidden="false" max="976" min="976" style="0" width="15.5953488372093"/>
    <col collapsed="false" hidden="false" max="977" min="977" style="0" width="5.2"/>
    <col collapsed="false" hidden="false" max="978" min="978" style="0" width="4.9953488372093"/>
    <col collapsed="false" hidden="false" max="979" min="979" style="0" width="10.5023255813953"/>
    <col collapsed="false" hidden="false" max="981" min="981" style="0" width="12.7023255813953"/>
    <col collapsed="false" hidden="false" max="983" min="982" style="0" width="8.7953488372093"/>
    <col collapsed="false" hidden="false" max="984" min="984" style="0" width="15.5953488372093"/>
    <col collapsed="false" hidden="false" max="985" min="985" style="0" width="5.2"/>
    <col collapsed="false" hidden="false" max="986" min="986" style="0" width="4.9953488372093"/>
    <col collapsed="false" hidden="false" max="987" min="987" style="0" width="10.5023255813953"/>
    <col collapsed="false" hidden="false" max="989" min="989" style="0" width="12.7023255813953"/>
    <col collapsed="false" hidden="false" max="991" min="990" style="0" width="8.7953488372093"/>
    <col collapsed="false" hidden="false" max="992" min="992" style="0" width="15.5953488372093"/>
    <col collapsed="false" hidden="false" max="993" min="993" style="0" width="5.2"/>
    <col collapsed="false" hidden="false" max="994" min="994" style="0" width="4.9953488372093"/>
    <col collapsed="false" hidden="false" max="995" min="995" style="0" width="10.5023255813953"/>
    <col collapsed="false" hidden="false" max="997" min="997" style="0" width="12.7023255813953"/>
    <col collapsed="false" hidden="false" max="999" min="998" style="0" width="8.7953488372093"/>
    <col collapsed="false" hidden="false" max="1000" min="1000" style="0" width="15.5953488372093"/>
    <col collapsed="false" hidden="false" max="1001" min="1001" style="0" width="5.2"/>
    <col collapsed="false" hidden="false" max="1002" min="1002" style="0" width="4.9953488372093"/>
    <col collapsed="false" hidden="false" max="1003" min="1003" style="0" width="10.5023255813953"/>
    <col collapsed="false" hidden="false" max="1005" min="1005" style="0" width="12.7023255813953"/>
    <col collapsed="false" hidden="false" max="1007" min="1006" style="0" width="8.7953488372093"/>
    <col collapsed="false" hidden="false" max="1008" min="1008" style="0" width="15.5953488372093"/>
    <col collapsed="false" hidden="false" max="1009" min="1009" style="0" width="5.2"/>
    <col collapsed="false" hidden="false" max="1010" min="1010" style="0" width="4.9953488372093"/>
    <col collapsed="false" hidden="false" max="1011" min="1011" style="0" width="10.5023255813953"/>
    <col collapsed="false" hidden="false" max="1013" min="1013" style="0" width="12.7023255813953"/>
    <col collapsed="false" hidden="false" max="1015" min="1014" style="0" width="8.7953488372093"/>
    <col collapsed="false" hidden="false" max="1016" min="1016" style="0" width="15.5953488372093"/>
    <col collapsed="false" hidden="false" max="1017" min="1017" style="0" width="5.2"/>
    <col collapsed="false" hidden="false" max="1018" min="1018" style="0" width="4.9953488372093"/>
    <col collapsed="false" hidden="false" max="1019" min="1019" style="0" width="10.5023255813953"/>
    <col collapsed="false" hidden="false" max="1021" min="1021" style="0" width="12.7023255813953"/>
    <col collapsed="false" hidden="false" max="1023" min="1022" style="0" width="8.7953488372093"/>
    <col collapsed="false" hidden="false" max="1025" min="1024" style="0" width="15.595348837209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6" t="s">
        <v>89</v>
      </c>
      <c r="CM1" s="6" t="s">
        <v>90</v>
      </c>
      <c r="CN1" s="7" t="s">
        <v>91</v>
      </c>
      <c r="CO1" s="7" t="s">
        <v>92</v>
      </c>
      <c r="CP1" s="7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126</v>
      </c>
      <c r="EB1" s="6" t="s">
        <v>127</v>
      </c>
      <c r="EC1" s="6" t="s">
        <v>128</v>
      </c>
      <c r="ED1" s="6" t="s">
        <v>129</v>
      </c>
      <c r="EE1" s="6" t="s">
        <v>126</v>
      </c>
      <c r="EF1" s="6" t="s">
        <v>127</v>
      </c>
      <c r="EG1" s="8" t="s">
        <v>128</v>
      </c>
      <c r="EH1" s="6" t="s">
        <v>129</v>
      </c>
      <c r="EI1" s="6" t="s">
        <v>126</v>
      </c>
      <c r="EJ1" s="6" t="s">
        <v>127</v>
      </c>
      <c r="EK1" s="8" t="s">
        <v>128</v>
      </c>
      <c r="EL1" s="6" t="s">
        <v>129</v>
      </c>
      <c r="EM1" s="6" t="s">
        <v>126</v>
      </c>
      <c r="EN1" s="6" t="s">
        <v>127</v>
      </c>
      <c r="EO1" s="8" t="s">
        <v>128</v>
      </c>
      <c r="EP1" s="6" t="s">
        <v>129</v>
      </c>
      <c r="EQ1" s="6" t="s">
        <v>126</v>
      </c>
      <c r="ER1" s="6" t="s">
        <v>127</v>
      </c>
      <c r="ES1" s="8" t="s">
        <v>128</v>
      </c>
      <c r="ET1" s="6" t="s">
        <v>129</v>
      </c>
      <c r="EU1" s="6" t="s">
        <v>126</v>
      </c>
      <c r="EV1" s="6" t="s">
        <v>127</v>
      </c>
      <c r="EW1" s="8" t="s">
        <v>128</v>
      </c>
      <c r="EX1" s="6" t="s">
        <v>129</v>
      </c>
      <c r="EY1" s="6" t="s">
        <v>130</v>
      </c>
      <c r="EZ1" s="6" t="s">
        <v>131</v>
      </c>
      <c r="FA1" s="6" t="s">
        <v>132</v>
      </c>
      <c r="FB1" s="6" t="s">
        <v>133</v>
      </c>
      <c r="FC1" s="6" t="s">
        <v>134</v>
      </c>
      <c r="FD1" s="6" t="s">
        <v>135</v>
      </c>
      <c r="FE1" s="6" t="s">
        <v>136</v>
      </c>
      <c r="FF1" s="6" t="s">
        <v>137</v>
      </c>
      <c r="FG1" s="6" t="s">
        <v>138</v>
      </c>
      <c r="FH1" s="6" t="s">
        <v>139</v>
      </c>
      <c r="FI1" s="6" t="s">
        <v>140</v>
      </c>
      <c r="FJ1" s="6" t="s">
        <v>141</v>
      </c>
      <c r="FK1" s="6" t="s">
        <v>142</v>
      </c>
      <c r="FL1" s="6" t="s">
        <v>143</v>
      </c>
      <c r="FM1" s="6" t="s">
        <v>144</v>
      </c>
      <c r="FN1" s="6" t="s">
        <v>145</v>
      </c>
      <c r="FO1" s="6" t="s">
        <v>146</v>
      </c>
      <c r="FP1" s="6" t="s">
        <v>147</v>
      </c>
      <c r="FQ1" s="6" t="s">
        <v>148</v>
      </c>
      <c r="FR1" s="6" t="s">
        <v>149</v>
      </c>
      <c r="FS1" s="6" t="s">
        <v>150</v>
      </c>
      <c r="FT1" s="6" t="s">
        <v>151</v>
      </c>
      <c r="FU1" s="6" t="s">
        <v>152</v>
      </c>
      <c r="FV1" s="6" t="s">
        <v>153</v>
      </c>
      <c r="FW1" s="6" t="s">
        <v>154</v>
      </c>
      <c r="FX1" s="6" t="s">
        <v>155</v>
      </c>
      <c r="FY1" s="6" t="s">
        <v>156</v>
      </c>
      <c r="FZ1" s="6" t="s">
        <v>157</v>
      </c>
      <c r="GA1" s="6" t="s">
        <v>158</v>
      </c>
      <c r="GB1" s="6" t="s">
        <v>159</v>
      </c>
      <c r="GC1" s="6" t="s">
        <v>160</v>
      </c>
      <c r="GD1" s="6" t="s">
        <v>161</v>
      </c>
      <c r="GE1" s="6" t="s">
        <v>162</v>
      </c>
      <c r="GF1" s="6" t="s">
        <v>163</v>
      </c>
      <c r="GG1" s="6" t="s">
        <v>164</v>
      </c>
      <c r="GH1" s="6" t="s">
        <v>165</v>
      </c>
      <c r="GI1" s="6" t="s">
        <v>166</v>
      </c>
      <c r="GJ1" s="6" t="s">
        <v>167</v>
      </c>
      <c r="GK1" s="6" t="s">
        <v>168</v>
      </c>
      <c r="GL1" s="6" t="s">
        <v>169</v>
      </c>
      <c r="GM1" s="6" t="s">
        <v>170</v>
      </c>
      <c r="GN1" s="6" t="s">
        <v>171</v>
      </c>
      <c r="GO1" s="6" t="s">
        <v>169</v>
      </c>
      <c r="GP1" s="6" t="s">
        <v>170</v>
      </c>
      <c r="GQ1" s="6" t="s">
        <v>171</v>
      </c>
      <c r="GR1" s="6" t="s">
        <v>169</v>
      </c>
      <c r="GS1" s="6" t="s">
        <v>170</v>
      </c>
      <c r="GT1" s="6" t="s">
        <v>171</v>
      </c>
      <c r="GU1" s="6" t="s">
        <v>172</v>
      </c>
      <c r="GV1" s="6" t="s">
        <v>173</v>
      </c>
      <c r="GW1" s="6" t="s">
        <v>174</v>
      </c>
      <c r="GX1" s="6" t="s">
        <v>175</v>
      </c>
      <c r="GY1" s="6" t="s">
        <v>176</v>
      </c>
      <c r="GZ1" s="6" t="s">
        <v>177</v>
      </c>
      <c r="HA1" s="6" t="s">
        <v>178</v>
      </c>
      <c r="HB1" s="6" t="s">
        <v>179</v>
      </c>
      <c r="HC1" s="9" t="s">
        <v>89</v>
      </c>
      <c r="HD1" s="9" t="s">
        <v>90</v>
      </c>
      <c r="HE1" s="10" t="s">
        <v>91</v>
      </c>
      <c r="HF1" s="10" t="s">
        <v>92</v>
      </c>
      <c r="HG1" s="10" t="s">
        <v>93</v>
      </c>
      <c r="HH1" s="9" t="s">
        <v>94</v>
      </c>
      <c r="HI1" s="9" t="s">
        <v>95</v>
      </c>
      <c r="HJ1" s="9" t="s">
        <v>96</v>
      </c>
      <c r="HK1" s="9" t="s">
        <v>97</v>
      </c>
      <c r="HL1" s="9" t="s">
        <v>98</v>
      </c>
      <c r="HM1" s="9" t="s">
        <v>99</v>
      </c>
      <c r="HN1" s="9" t="s">
        <v>100</v>
      </c>
      <c r="HO1" s="9" t="s">
        <v>101</v>
      </c>
      <c r="HP1" s="9" t="s">
        <v>102</v>
      </c>
      <c r="HQ1" s="9" t="s">
        <v>103</v>
      </c>
      <c r="HR1" s="9" t="s">
        <v>104</v>
      </c>
      <c r="HS1" s="9" t="s">
        <v>105</v>
      </c>
      <c r="HT1" s="9" t="s">
        <v>106</v>
      </c>
      <c r="HU1" s="9" t="s">
        <v>107</v>
      </c>
      <c r="HV1" s="9" t="s">
        <v>108</v>
      </c>
      <c r="HW1" s="9" t="s">
        <v>109</v>
      </c>
      <c r="HX1" s="9" t="s">
        <v>110</v>
      </c>
      <c r="HY1" s="9" t="s">
        <v>111</v>
      </c>
      <c r="HZ1" s="9" t="s">
        <v>112</v>
      </c>
      <c r="IA1" s="9" t="s">
        <v>113</v>
      </c>
      <c r="IB1" s="9" t="s">
        <v>114</v>
      </c>
      <c r="IC1" s="9" t="s">
        <v>115</v>
      </c>
      <c r="ID1" s="9" t="s">
        <v>116</v>
      </c>
      <c r="IE1" s="9" t="s">
        <v>117</v>
      </c>
      <c r="IF1" s="9" t="s">
        <v>118</v>
      </c>
      <c r="IG1" s="9" t="s">
        <v>119</v>
      </c>
      <c r="IH1" s="9" t="s">
        <v>120</v>
      </c>
      <c r="II1" s="9" t="s">
        <v>121</v>
      </c>
      <c r="IJ1" s="9" t="s">
        <v>122</v>
      </c>
      <c r="IK1" s="9" t="s">
        <v>123</v>
      </c>
      <c r="IL1" s="9" t="s">
        <v>124</v>
      </c>
      <c r="IM1" s="9" t="s">
        <v>125</v>
      </c>
      <c r="IN1" s="9" t="s">
        <v>126</v>
      </c>
      <c r="IO1" s="9" t="s">
        <v>127</v>
      </c>
      <c r="IP1" s="9" t="s">
        <v>128</v>
      </c>
      <c r="IQ1" s="9" t="s">
        <v>129</v>
      </c>
      <c r="IR1" s="9" t="s">
        <v>126</v>
      </c>
      <c r="IS1" s="9" t="s">
        <v>127</v>
      </c>
      <c r="IT1" s="9" t="s">
        <v>128</v>
      </c>
      <c r="IU1" s="9" t="s">
        <v>129</v>
      </c>
      <c r="IV1" s="9" t="s">
        <v>126</v>
      </c>
      <c r="IW1" s="9" t="s">
        <v>127</v>
      </c>
      <c r="IX1" s="11" t="s">
        <v>128</v>
      </c>
      <c r="IY1" s="9" t="s">
        <v>129</v>
      </c>
      <c r="IZ1" s="9" t="s">
        <v>126</v>
      </c>
      <c r="JA1" s="9" t="s">
        <v>127</v>
      </c>
      <c r="JB1" s="11" t="s">
        <v>128</v>
      </c>
      <c r="JC1" s="9" t="s">
        <v>129</v>
      </c>
      <c r="JD1" s="9" t="s">
        <v>126</v>
      </c>
      <c r="JE1" s="9" t="s">
        <v>127</v>
      </c>
      <c r="JF1" s="11" t="s">
        <v>128</v>
      </c>
      <c r="JG1" s="9" t="s">
        <v>129</v>
      </c>
      <c r="JH1" s="9" t="s">
        <v>126</v>
      </c>
      <c r="JI1" s="9" t="s">
        <v>127</v>
      </c>
      <c r="JJ1" s="11" t="s">
        <v>128</v>
      </c>
      <c r="JK1" s="9" t="s">
        <v>129</v>
      </c>
      <c r="JL1" s="9" t="s">
        <v>126</v>
      </c>
      <c r="JM1" s="9" t="s">
        <v>127</v>
      </c>
      <c r="JN1" s="11" t="s">
        <v>128</v>
      </c>
      <c r="JO1" s="9" t="s">
        <v>129</v>
      </c>
      <c r="JP1" s="9" t="s">
        <v>130</v>
      </c>
      <c r="JQ1" s="9" t="s">
        <v>131</v>
      </c>
      <c r="JR1" s="9" t="s">
        <v>132</v>
      </c>
      <c r="JS1" s="9" t="s">
        <v>133</v>
      </c>
      <c r="JT1" s="9" t="s">
        <v>134</v>
      </c>
      <c r="JU1" s="9" t="s">
        <v>135</v>
      </c>
      <c r="JV1" s="9" t="s">
        <v>136</v>
      </c>
      <c r="JW1" s="9" t="s">
        <v>137</v>
      </c>
      <c r="JX1" s="9" t="s">
        <v>138</v>
      </c>
      <c r="JY1" s="9" t="s">
        <v>139</v>
      </c>
      <c r="JZ1" s="9" t="s">
        <v>140</v>
      </c>
      <c r="KA1" s="9" t="s">
        <v>141</v>
      </c>
      <c r="KB1" s="9" t="s">
        <v>142</v>
      </c>
      <c r="KC1" s="9" t="s">
        <v>143</v>
      </c>
      <c r="KD1" s="9" t="s">
        <v>144</v>
      </c>
      <c r="KE1" s="9" t="s">
        <v>145</v>
      </c>
      <c r="KF1" s="9" t="s">
        <v>146</v>
      </c>
      <c r="KG1" s="9" t="s">
        <v>147</v>
      </c>
      <c r="KH1" s="9" t="s">
        <v>148</v>
      </c>
      <c r="KI1" s="9" t="s">
        <v>149</v>
      </c>
      <c r="KJ1" s="9" t="s">
        <v>150</v>
      </c>
      <c r="KK1" s="9" t="s">
        <v>151</v>
      </c>
      <c r="KL1" s="9" t="s">
        <v>152</v>
      </c>
      <c r="KM1" s="9" t="s">
        <v>153</v>
      </c>
      <c r="KN1" s="9" t="s">
        <v>154</v>
      </c>
      <c r="KO1" s="9" t="s">
        <v>155</v>
      </c>
      <c r="KP1" s="9" t="s">
        <v>156</v>
      </c>
      <c r="KQ1" s="9" t="s">
        <v>157</v>
      </c>
      <c r="KR1" s="9" t="s">
        <v>158</v>
      </c>
      <c r="KS1" s="9" t="s">
        <v>159</v>
      </c>
      <c r="KT1" s="9" t="s">
        <v>160</v>
      </c>
      <c r="KU1" s="9" t="s">
        <v>161</v>
      </c>
      <c r="KV1" s="9" t="s">
        <v>162</v>
      </c>
      <c r="KW1" s="9" t="s">
        <v>163</v>
      </c>
      <c r="KX1" s="9" t="s">
        <v>164</v>
      </c>
      <c r="KY1" s="9" t="s">
        <v>165</v>
      </c>
      <c r="KZ1" s="9" t="s">
        <v>166</v>
      </c>
      <c r="LA1" s="9" t="s">
        <v>167</v>
      </c>
      <c r="LB1" s="9" t="s">
        <v>168</v>
      </c>
      <c r="LC1" s="9" t="s">
        <v>169</v>
      </c>
      <c r="LD1" s="9" t="s">
        <v>170</v>
      </c>
      <c r="LE1" s="9" t="s">
        <v>171</v>
      </c>
      <c r="LF1" s="9" t="s">
        <v>169</v>
      </c>
      <c r="LG1" s="9" t="s">
        <v>170</v>
      </c>
      <c r="LH1" s="9" t="s">
        <v>171</v>
      </c>
      <c r="LI1" s="9" t="s">
        <v>169</v>
      </c>
      <c r="LJ1" s="9" t="s">
        <v>170</v>
      </c>
      <c r="LK1" s="9" t="s">
        <v>171</v>
      </c>
      <c r="LL1" s="9" t="s">
        <v>172</v>
      </c>
      <c r="LM1" s="9" t="s">
        <v>173</v>
      </c>
      <c r="LN1" s="9" t="s">
        <v>174</v>
      </c>
      <c r="LO1" s="9" t="s">
        <v>175</v>
      </c>
      <c r="LP1" s="9" t="s">
        <v>176</v>
      </c>
      <c r="LQ1" s="9" t="s">
        <v>177</v>
      </c>
      <c r="LR1" s="9" t="s">
        <v>178</v>
      </c>
      <c r="LS1" s="9" t="s">
        <v>179</v>
      </c>
      <c r="LT1" s="6" t="s">
        <v>89</v>
      </c>
      <c r="LU1" s="6" t="s">
        <v>90</v>
      </c>
      <c r="LV1" s="7" t="s">
        <v>91</v>
      </c>
      <c r="LW1" s="7" t="s">
        <v>92</v>
      </c>
      <c r="LX1" s="7" t="s">
        <v>93</v>
      </c>
      <c r="LY1" s="6" t="s">
        <v>94</v>
      </c>
      <c r="LZ1" s="6" t="s">
        <v>95</v>
      </c>
      <c r="MA1" s="6" t="s">
        <v>96</v>
      </c>
      <c r="MB1" s="6" t="s">
        <v>97</v>
      </c>
      <c r="MC1" s="6" t="s">
        <v>98</v>
      </c>
      <c r="MD1" s="6" t="s">
        <v>99</v>
      </c>
      <c r="ME1" s="6" t="s">
        <v>100</v>
      </c>
      <c r="MF1" s="6" t="s">
        <v>101</v>
      </c>
      <c r="MG1" s="6" t="s">
        <v>102</v>
      </c>
      <c r="MH1" s="6" t="s">
        <v>103</v>
      </c>
      <c r="MI1" s="6" t="s">
        <v>104</v>
      </c>
      <c r="MJ1" s="6" t="s">
        <v>105</v>
      </c>
      <c r="MK1" s="6" t="s">
        <v>106</v>
      </c>
      <c r="ML1" s="6" t="s">
        <v>107</v>
      </c>
      <c r="MM1" s="6" t="s">
        <v>108</v>
      </c>
      <c r="MN1" s="6" t="s">
        <v>109</v>
      </c>
      <c r="MO1" s="6" t="s">
        <v>110</v>
      </c>
      <c r="MP1" s="6" t="s">
        <v>111</v>
      </c>
      <c r="MQ1" s="6" t="s">
        <v>112</v>
      </c>
      <c r="MR1" s="6" t="s">
        <v>113</v>
      </c>
      <c r="MS1" s="6" t="s">
        <v>114</v>
      </c>
      <c r="MT1" s="6" t="s">
        <v>115</v>
      </c>
      <c r="MU1" s="6" t="s">
        <v>116</v>
      </c>
      <c r="MV1" s="6" t="s">
        <v>117</v>
      </c>
      <c r="MW1" s="6" t="s">
        <v>118</v>
      </c>
      <c r="MX1" s="6" t="s">
        <v>119</v>
      </c>
      <c r="MY1" s="6" t="s">
        <v>120</v>
      </c>
      <c r="MZ1" s="6" t="s">
        <v>121</v>
      </c>
      <c r="NA1" s="6" t="s">
        <v>122</v>
      </c>
      <c r="NB1" s="6" t="s">
        <v>123</v>
      </c>
      <c r="NC1" s="6" t="s">
        <v>124</v>
      </c>
      <c r="ND1" s="6" t="s">
        <v>125</v>
      </c>
      <c r="NE1" s="6" t="s">
        <v>126</v>
      </c>
      <c r="NF1" s="6" t="s">
        <v>127</v>
      </c>
      <c r="NG1" s="6" t="s">
        <v>128</v>
      </c>
      <c r="NH1" s="6" t="s">
        <v>129</v>
      </c>
      <c r="NI1" s="6" t="s">
        <v>126</v>
      </c>
      <c r="NJ1" s="6" t="s">
        <v>127</v>
      </c>
      <c r="NK1" s="6" t="s">
        <v>128</v>
      </c>
      <c r="NL1" s="6" t="s">
        <v>129</v>
      </c>
      <c r="NM1" s="6" t="s">
        <v>126</v>
      </c>
      <c r="NN1" s="6" t="s">
        <v>127</v>
      </c>
      <c r="NO1" s="8" t="s">
        <v>128</v>
      </c>
      <c r="NP1" s="6" t="s">
        <v>129</v>
      </c>
      <c r="NQ1" s="6" t="s">
        <v>126</v>
      </c>
      <c r="NR1" s="6" t="s">
        <v>127</v>
      </c>
      <c r="NS1" s="8" t="s">
        <v>128</v>
      </c>
      <c r="NT1" s="6" t="s">
        <v>129</v>
      </c>
      <c r="NU1" s="6" t="s">
        <v>126</v>
      </c>
      <c r="NV1" s="6" t="s">
        <v>127</v>
      </c>
      <c r="NW1" s="8" t="s">
        <v>128</v>
      </c>
      <c r="NX1" s="6" t="s">
        <v>129</v>
      </c>
      <c r="NY1" s="6" t="s">
        <v>126</v>
      </c>
      <c r="NZ1" s="6" t="s">
        <v>127</v>
      </c>
      <c r="OA1" s="8" t="s">
        <v>128</v>
      </c>
      <c r="OB1" s="6" t="s">
        <v>129</v>
      </c>
      <c r="OC1" s="6" t="s">
        <v>126</v>
      </c>
      <c r="OD1" s="6" t="s">
        <v>127</v>
      </c>
      <c r="OE1" s="8" t="s">
        <v>128</v>
      </c>
      <c r="OF1" s="6" t="s">
        <v>129</v>
      </c>
      <c r="OG1" s="6" t="s">
        <v>130</v>
      </c>
      <c r="OH1" s="6" t="s">
        <v>131</v>
      </c>
      <c r="OI1" s="6" t="s">
        <v>132</v>
      </c>
      <c r="OJ1" s="6" t="s">
        <v>133</v>
      </c>
      <c r="OK1" s="6" t="s">
        <v>134</v>
      </c>
      <c r="OL1" s="6" t="s">
        <v>135</v>
      </c>
      <c r="OM1" s="6" t="s">
        <v>136</v>
      </c>
      <c r="ON1" s="6" t="s">
        <v>137</v>
      </c>
      <c r="OO1" s="6" t="s">
        <v>138</v>
      </c>
      <c r="OP1" s="6" t="s">
        <v>139</v>
      </c>
      <c r="OQ1" s="6" t="s">
        <v>140</v>
      </c>
      <c r="OR1" s="6" t="s">
        <v>141</v>
      </c>
      <c r="OS1" s="6" t="s">
        <v>142</v>
      </c>
      <c r="OT1" s="6" t="s">
        <v>143</v>
      </c>
      <c r="OU1" s="6" t="s">
        <v>144</v>
      </c>
      <c r="OV1" s="6" t="s">
        <v>145</v>
      </c>
      <c r="OW1" s="6" t="s">
        <v>146</v>
      </c>
      <c r="OX1" s="6" t="s">
        <v>147</v>
      </c>
      <c r="OY1" s="6" t="s">
        <v>148</v>
      </c>
      <c r="OZ1" s="6" t="s">
        <v>149</v>
      </c>
      <c r="PA1" s="6" t="s">
        <v>150</v>
      </c>
      <c r="PB1" s="6" t="s">
        <v>151</v>
      </c>
      <c r="PC1" s="6" t="s">
        <v>152</v>
      </c>
      <c r="PD1" s="6" t="s">
        <v>153</v>
      </c>
      <c r="PE1" s="6" t="s">
        <v>154</v>
      </c>
      <c r="PF1" s="6" t="s">
        <v>155</v>
      </c>
      <c r="PG1" s="6" t="s">
        <v>156</v>
      </c>
      <c r="PH1" s="6" t="s">
        <v>157</v>
      </c>
      <c r="PI1" s="6" t="s">
        <v>158</v>
      </c>
      <c r="PJ1" s="6" t="s">
        <v>159</v>
      </c>
      <c r="PK1" s="6" t="s">
        <v>160</v>
      </c>
      <c r="PL1" s="6" t="s">
        <v>161</v>
      </c>
      <c r="PM1" s="6" t="s">
        <v>162</v>
      </c>
      <c r="PN1" s="6" t="s">
        <v>163</v>
      </c>
      <c r="PO1" s="6" t="s">
        <v>164</v>
      </c>
      <c r="PP1" s="6" t="s">
        <v>165</v>
      </c>
      <c r="PQ1" s="6" t="s">
        <v>166</v>
      </c>
      <c r="PR1" s="6" t="s">
        <v>167</v>
      </c>
      <c r="PS1" s="6" t="s">
        <v>168</v>
      </c>
      <c r="PT1" s="6" t="s">
        <v>169</v>
      </c>
      <c r="PU1" s="6" t="s">
        <v>170</v>
      </c>
      <c r="PV1" s="6" t="s">
        <v>171</v>
      </c>
      <c r="PW1" s="6" t="s">
        <v>169</v>
      </c>
      <c r="PX1" s="6" t="s">
        <v>170</v>
      </c>
      <c r="PY1" s="6" t="s">
        <v>171</v>
      </c>
      <c r="PZ1" s="6" t="s">
        <v>169</v>
      </c>
      <c r="QA1" s="6" t="s">
        <v>170</v>
      </c>
      <c r="QB1" s="6" t="s">
        <v>171</v>
      </c>
      <c r="QC1" s="6" t="s">
        <v>172</v>
      </c>
      <c r="QD1" s="6" t="s">
        <v>173</v>
      </c>
      <c r="QE1" s="6" t="s">
        <v>174</v>
      </c>
      <c r="QF1" s="6" t="s">
        <v>175</v>
      </c>
      <c r="QG1" s="6" t="s">
        <v>176</v>
      </c>
      <c r="QH1" s="6" t="s">
        <v>177</v>
      </c>
      <c r="QI1" s="6" t="s">
        <v>178</v>
      </c>
      <c r="QJ1" s="6" t="s">
        <v>179</v>
      </c>
      <c r="QK1" s="9" t="s">
        <v>89</v>
      </c>
      <c r="QL1" s="9" t="s">
        <v>90</v>
      </c>
      <c r="QM1" s="10" t="s">
        <v>91</v>
      </c>
      <c r="QN1" s="10" t="s">
        <v>92</v>
      </c>
      <c r="QO1" s="10" t="s">
        <v>93</v>
      </c>
      <c r="QP1" s="9" t="s">
        <v>94</v>
      </c>
      <c r="QQ1" s="9" t="s">
        <v>95</v>
      </c>
      <c r="QR1" s="9" t="s">
        <v>96</v>
      </c>
      <c r="QS1" s="9" t="s">
        <v>97</v>
      </c>
      <c r="QT1" s="9" t="s">
        <v>98</v>
      </c>
      <c r="QU1" s="9" t="s">
        <v>99</v>
      </c>
      <c r="QV1" s="9" t="s">
        <v>100</v>
      </c>
      <c r="QW1" s="9" t="s">
        <v>101</v>
      </c>
      <c r="QX1" s="9" t="s">
        <v>102</v>
      </c>
      <c r="QY1" s="9" t="s">
        <v>103</v>
      </c>
      <c r="QZ1" s="9" t="s">
        <v>104</v>
      </c>
      <c r="RA1" s="9" t="s">
        <v>105</v>
      </c>
      <c r="RB1" s="9" t="s">
        <v>106</v>
      </c>
      <c r="RC1" s="9" t="s">
        <v>107</v>
      </c>
      <c r="RD1" s="9" t="s">
        <v>108</v>
      </c>
      <c r="RE1" s="9" t="s">
        <v>109</v>
      </c>
      <c r="RF1" s="9" t="s">
        <v>110</v>
      </c>
      <c r="RG1" s="9" t="s">
        <v>111</v>
      </c>
      <c r="RH1" s="9" t="s">
        <v>112</v>
      </c>
      <c r="RI1" s="9" t="s">
        <v>113</v>
      </c>
      <c r="RJ1" s="9" t="s">
        <v>114</v>
      </c>
      <c r="RK1" s="9" t="s">
        <v>115</v>
      </c>
      <c r="RL1" s="9" t="s">
        <v>116</v>
      </c>
      <c r="RM1" s="9" t="s">
        <v>117</v>
      </c>
      <c r="RN1" s="9" t="s">
        <v>118</v>
      </c>
      <c r="RO1" s="9" t="s">
        <v>119</v>
      </c>
      <c r="RP1" s="9" t="s">
        <v>120</v>
      </c>
      <c r="RQ1" s="9" t="s">
        <v>121</v>
      </c>
      <c r="RR1" s="9" t="s">
        <v>122</v>
      </c>
      <c r="RS1" s="9" t="s">
        <v>123</v>
      </c>
      <c r="RT1" s="9" t="s">
        <v>124</v>
      </c>
      <c r="RU1" s="9" t="s">
        <v>125</v>
      </c>
      <c r="RV1" s="9" t="s">
        <v>126</v>
      </c>
      <c r="RW1" s="9" t="s">
        <v>127</v>
      </c>
      <c r="RX1" s="9" t="s">
        <v>128</v>
      </c>
      <c r="RY1" s="9" t="s">
        <v>129</v>
      </c>
      <c r="RZ1" s="9" t="s">
        <v>126</v>
      </c>
      <c r="SA1" s="9" t="s">
        <v>127</v>
      </c>
      <c r="SB1" s="9" t="s">
        <v>128</v>
      </c>
      <c r="SC1" s="9" t="s">
        <v>129</v>
      </c>
      <c r="SD1" s="9" t="s">
        <v>126</v>
      </c>
      <c r="SE1" s="9" t="s">
        <v>127</v>
      </c>
      <c r="SF1" s="11" t="s">
        <v>128</v>
      </c>
      <c r="SG1" s="9" t="s">
        <v>129</v>
      </c>
      <c r="SH1" s="9" t="s">
        <v>126</v>
      </c>
      <c r="SI1" s="9" t="s">
        <v>127</v>
      </c>
      <c r="SJ1" s="11" t="s">
        <v>128</v>
      </c>
      <c r="SK1" s="9" t="s">
        <v>129</v>
      </c>
      <c r="SL1" s="9" t="s">
        <v>126</v>
      </c>
      <c r="SM1" s="9" t="s">
        <v>127</v>
      </c>
      <c r="SN1" s="11" t="s">
        <v>128</v>
      </c>
      <c r="SO1" s="9" t="s">
        <v>129</v>
      </c>
      <c r="SP1" s="9" t="s">
        <v>126</v>
      </c>
      <c r="SQ1" s="9" t="s">
        <v>127</v>
      </c>
      <c r="SR1" s="11" t="s">
        <v>128</v>
      </c>
      <c r="SS1" s="9" t="s">
        <v>129</v>
      </c>
      <c r="ST1" s="9" t="s">
        <v>126</v>
      </c>
      <c r="SU1" s="9" t="s">
        <v>127</v>
      </c>
      <c r="SV1" s="11" t="s">
        <v>128</v>
      </c>
      <c r="SW1" s="9" t="s">
        <v>129</v>
      </c>
      <c r="SX1" s="9" t="s">
        <v>130</v>
      </c>
      <c r="SY1" s="9" t="s">
        <v>131</v>
      </c>
      <c r="SZ1" s="9" t="s">
        <v>132</v>
      </c>
      <c r="TA1" s="9" t="s">
        <v>133</v>
      </c>
      <c r="TB1" s="9" t="s">
        <v>134</v>
      </c>
      <c r="TC1" s="9" t="s">
        <v>135</v>
      </c>
      <c r="TD1" s="9" t="s">
        <v>136</v>
      </c>
      <c r="TE1" s="9" t="s">
        <v>137</v>
      </c>
      <c r="TF1" s="9" t="s">
        <v>138</v>
      </c>
      <c r="TG1" s="9" t="s">
        <v>139</v>
      </c>
      <c r="TH1" s="9" t="s">
        <v>140</v>
      </c>
      <c r="TI1" s="9" t="s">
        <v>141</v>
      </c>
      <c r="TJ1" s="9" t="s">
        <v>142</v>
      </c>
      <c r="TK1" s="9" t="s">
        <v>143</v>
      </c>
      <c r="TL1" s="9" t="s">
        <v>144</v>
      </c>
      <c r="TM1" s="9" t="s">
        <v>145</v>
      </c>
      <c r="TN1" s="9" t="s">
        <v>146</v>
      </c>
      <c r="TO1" s="9" t="s">
        <v>147</v>
      </c>
      <c r="TP1" s="9" t="s">
        <v>148</v>
      </c>
      <c r="TQ1" s="9" t="s">
        <v>149</v>
      </c>
      <c r="TR1" s="9" t="s">
        <v>150</v>
      </c>
      <c r="TS1" s="9" t="s">
        <v>151</v>
      </c>
      <c r="TT1" s="9" t="s">
        <v>152</v>
      </c>
      <c r="TU1" s="9" t="s">
        <v>153</v>
      </c>
      <c r="TV1" s="9" t="s">
        <v>154</v>
      </c>
      <c r="TW1" s="9" t="s">
        <v>155</v>
      </c>
      <c r="TX1" s="9" t="s">
        <v>156</v>
      </c>
      <c r="TY1" s="9" t="s">
        <v>157</v>
      </c>
      <c r="TZ1" s="9" t="s">
        <v>158</v>
      </c>
      <c r="UA1" s="9" t="s">
        <v>159</v>
      </c>
      <c r="UB1" s="9" t="s">
        <v>160</v>
      </c>
      <c r="UC1" s="9" t="s">
        <v>161</v>
      </c>
      <c r="UD1" s="9" t="s">
        <v>162</v>
      </c>
      <c r="UE1" s="9" t="s">
        <v>163</v>
      </c>
      <c r="UF1" s="9" t="s">
        <v>164</v>
      </c>
      <c r="UG1" s="9" t="s">
        <v>165</v>
      </c>
      <c r="UH1" s="9" t="s">
        <v>166</v>
      </c>
      <c r="UI1" s="9" t="s">
        <v>167</v>
      </c>
      <c r="UJ1" s="9" t="s">
        <v>168</v>
      </c>
      <c r="UK1" s="9" t="s">
        <v>169</v>
      </c>
      <c r="UL1" s="9" t="s">
        <v>170</v>
      </c>
      <c r="UM1" s="9" t="s">
        <v>171</v>
      </c>
      <c r="UN1" s="9" t="s">
        <v>169</v>
      </c>
      <c r="UO1" s="9" t="s">
        <v>170</v>
      </c>
      <c r="UP1" s="9" t="s">
        <v>171</v>
      </c>
      <c r="UQ1" s="9" t="s">
        <v>169</v>
      </c>
      <c r="UR1" s="9" t="s">
        <v>170</v>
      </c>
      <c r="US1" s="9" t="s">
        <v>171</v>
      </c>
      <c r="UT1" s="9" t="s">
        <v>172</v>
      </c>
      <c r="UU1" s="9" t="s">
        <v>173</v>
      </c>
      <c r="UV1" s="9" t="s">
        <v>174</v>
      </c>
      <c r="UW1" s="9" t="s">
        <v>175</v>
      </c>
      <c r="UX1" s="9" t="s">
        <v>176</v>
      </c>
      <c r="UY1" s="9" t="s">
        <v>177</v>
      </c>
      <c r="UZ1" s="9" t="s">
        <v>178</v>
      </c>
      <c r="VA1" s="9" t="s">
        <v>179</v>
      </c>
      <c r="VB1" s="9" t="s">
        <v>89</v>
      </c>
      <c r="VC1" s="9" t="s">
        <v>90</v>
      </c>
      <c r="VD1" s="10" t="s">
        <v>91</v>
      </c>
      <c r="VE1" s="10" t="s">
        <v>92</v>
      </c>
      <c r="VF1" s="10" t="s">
        <v>93</v>
      </c>
      <c r="VG1" s="9" t="s">
        <v>94</v>
      </c>
      <c r="VH1" s="9" t="s">
        <v>95</v>
      </c>
      <c r="VI1" s="9" t="s">
        <v>96</v>
      </c>
      <c r="VJ1" s="9" t="s">
        <v>97</v>
      </c>
      <c r="VK1" s="9" t="s">
        <v>98</v>
      </c>
      <c r="VL1" s="9" t="s">
        <v>99</v>
      </c>
      <c r="VM1" s="9" t="s">
        <v>100</v>
      </c>
      <c r="VN1" s="9" t="s">
        <v>101</v>
      </c>
      <c r="VO1" s="9" t="s">
        <v>102</v>
      </c>
      <c r="VP1" s="9" t="s">
        <v>103</v>
      </c>
      <c r="VQ1" s="9" t="s">
        <v>104</v>
      </c>
      <c r="VR1" s="9" t="s">
        <v>105</v>
      </c>
      <c r="VS1" s="9" t="s">
        <v>106</v>
      </c>
      <c r="VT1" s="9" t="s">
        <v>107</v>
      </c>
      <c r="VU1" s="9" t="s">
        <v>108</v>
      </c>
      <c r="VV1" s="9" t="s">
        <v>109</v>
      </c>
      <c r="VW1" s="9" t="s">
        <v>110</v>
      </c>
      <c r="VX1" s="9" t="s">
        <v>111</v>
      </c>
      <c r="VY1" s="9" t="s">
        <v>112</v>
      </c>
      <c r="VZ1" s="9" t="s">
        <v>113</v>
      </c>
      <c r="WA1" s="9" t="s">
        <v>114</v>
      </c>
      <c r="WB1" s="9" t="s">
        <v>115</v>
      </c>
      <c r="WC1" s="9" t="s">
        <v>116</v>
      </c>
      <c r="WD1" s="9" t="s">
        <v>117</v>
      </c>
      <c r="WE1" s="9" t="s">
        <v>118</v>
      </c>
      <c r="WF1" s="9" t="s">
        <v>119</v>
      </c>
      <c r="WG1" s="9" t="s">
        <v>120</v>
      </c>
      <c r="WH1" s="9" t="s">
        <v>121</v>
      </c>
      <c r="WI1" s="9" t="s">
        <v>122</v>
      </c>
      <c r="WJ1" s="9" t="s">
        <v>123</v>
      </c>
      <c r="WK1" s="9" t="s">
        <v>124</v>
      </c>
      <c r="WL1" s="9" t="s">
        <v>125</v>
      </c>
      <c r="WM1" s="9" t="s">
        <v>126</v>
      </c>
      <c r="WN1" s="9" t="s">
        <v>127</v>
      </c>
      <c r="WO1" s="9" t="s">
        <v>128</v>
      </c>
      <c r="WP1" s="9" t="s">
        <v>129</v>
      </c>
      <c r="WQ1" s="9" t="s">
        <v>126</v>
      </c>
      <c r="WR1" s="9" t="s">
        <v>127</v>
      </c>
      <c r="WS1" s="9" t="s">
        <v>128</v>
      </c>
      <c r="WT1" s="9" t="s">
        <v>129</v>
      </c>
      <c r="WU1" s="9" t="s">
        <v>126</v>
      </c>
      <c r="WV1" s="9" t="s">
        <v>127</v>
      </c>
      <c r="WW1" s="11" t="s">
        <v>128</v>
      </c>
      <c r="WX1" s="9" t="s">
        <v>129</v>
      </c>
      <c r="WY1" s="9" t="s">
        <v>126</v>
      </c>
      <c r="WZ1" s="9" t="s">
        <v>127</v>
      </c>
      <c r="XA1" s="11" t="s">
        <v>128</v>
      </c>
      <c r="XB1" s="9" t="s">
        <v>129</v>
      </c>
      <c r="XC1" s="9" t="s">
        <v>126</v>
      </c>
      <c r="XD1" s="9" t="s">
        <v>127</v>
      </c>
      <c r="XE1" s="11" t="s">
        <v>128</v>
      </c>
      <c r="XF1" s="9" t="s">
        <v>129</v>
      </c>
      <c r="XG1" s="9" t="s">
        <v>126</v>
      </c>
      <c r="XH1" s="9" t="s">
        <v>127</v>
      </c>
      <c r="XI1" s="11" t="s">
        <v>128</v>
      </c>
      <c r="XJ1" s="9" t="s">
        <v>129</v>
      </c>
      <c r="XK1" s="9" t="s">
        <v>126</v>
      </c>
      <c r="XL1" s="9" t="s">
        <v>127</v>
      </c>
      <c r="XM1" s="11" t="s">
        <v>128</v>
      </c>
      <c r="XN1" s="9" t="s">
        <v>129</v>
      </c>
      <c r="XO1" s="9" t="s">
        <v>130</v>
      </c>
      <c r="XP1" s="9" t="s">
        <v>131</v>
      </c>
      <c r="XQ1" s="9" t="s">
        <v>132</v>
      </c>
      <c r="XR1" s="9" t="s">
        <v>133</v>
      </c>
      <c r="XS1" s="9" t="s">
        <v>134</v>
      </c>
      <c r="XT1" s="9" t="s">
        <v>135</v>
      </c>
      <c r="XU1" s="9" t="s">
        <v>136</v>
      </c>
      <c r="XV1" s="9" t="s">
        <v>137</v>
      </c>
      <c r="XW1" s="9" t="s">
        <v>138</v>
      </c>
      <c r="XX1" s="9" t="s">
        <v>139</v>
      </c>
      <c r="XY1" s="9" t="s">
        <v>140</v>
      </c>
      <c r="XZ1" s="9" t="s">
        <v>141</v>
      </c>
      <c r="YA1" s="9" t="s">
        <v>142</v>
      </c>
      <c r="YB1" s="9" t="s">
        <v>143</v>
      </c>
      <c r="YC1" s="9" t="s">
        <v>144</v>
      </c>
      <c r="YD1" s="9" t="s">
        <v>145</v>
      </c>
      <c r="YE1" s="9" t="s">
        <v>146</v>
      </c>
      <c r="YF1" s="9" t="s">
        <v>147</v>
      </c>
      <c r="YG1" s="9" t="s">
        <v>148</v>
      </c>
      <c r="YH1" s="9" t="s">
        <v>149</v>
      </c>
      <c r="YI1" s="9" t="s">
        <v>150</v>
      </c>
      <c r="YJ1" s="9" t="s">
        <v>151</v>
      </c>
      <c r="YK1" s="9" t="s">
        <v>152</v>
      </c>
      <c r="YL1" s="9" t="s">
        <v>153</v>
      </c>
      <c r="YM1" s="9" t="s">
        <v>154</v>
      </c>
      <c r="YN1" s="9" t="s">
        <v>155</v>
      </c>
      <c r="YO1" s="9" t="s">
        <v>156</v>
      </c>
      <c r="YP1" s="9" t="s">
        <v>157</v>
      </c>
      <c r="YQ1" s="9" t="s">
        <v>158</v>
      </c>
      <c r="YR1" s="9" t="s">
        <v>159</v>
      </c>
      <c r="YS1" s="9" t="s">
        <v>160</v>
      </c>
      <c r="YT1" s="9" t="s">
        <v>161</v>
      </c>
      <c r="YU1" s="9" t="s">
        <v>162</v>
      </c>
      <c r="YV1" s="9" t="s">
        <v>163</v>
      </c>
      <c r="YW1" s="9" t="s">
        <v>164</v>
      </c>
      <c r="YX1" s="9" t="s">
        <v>165</v>
      </c>
      <c r="YY1" s="9" t="s">
        <v>166</v>
      </c>
      <c r="YZ1" s="9" t="s">
        <v>167</v>
      </c>
      <c r="ZA1" s="9" t="s">
        <v>168</v>
      </c>
      <c r="ZB1" s="9" t="s">
        <v>169</v>
      </c>
      <c r="ZC1" s="9" t="s">
        <v>170</v>
      </c>
      <c r="ZD1" s="9" t="s">
        <v>171</v>
      </c>
      <c r="ZE1" s="9" t="s">
        <v>169</v>
      </c>
      <c r="ZF1" s="9" t="s">
        <v>170</v>
      </c>
      <c r="ZG1" s="9" t="s">
        <v>171</v>
      </c>
      <c r="ZH1" s="9" t="s">
        <v>169</v>
      </c>
      <c r="ZI1" s="9" t="s">
        <v>170</v>
      </c>
      <c r="ZJ1" s="9" t="s">
        <v>171</v>
      </c>
      <c r="ZK1" s="9" t="s">
        <v>172</v>
      </c>
      <c r="ZL1" s="9" t="s">
        <v>173</v>
      </c>
      <c r="ZM1" s="9" t="s">
        <v>174</v>
      </c>
      <c r="ZN1" s="9" t="s">
        <v>175</v>
      </c>
      <c r="ZO1" s="9" t="s">
        <v>176</v>
      </c>
      <c r="ZP1" s="9" t="s">
        <v>177</v>
      </c>
      <c r="ZQ1" s="9" t="s">
        <v>178</v>
      </c>
      <c r="ZR1" s="9" t="s">
        <v>179</v>
      </c>
      <c r="ZS1" s="9" t="s">
        <v>89</v>
      </c>
      <c r="ZT1" s="9" t="s">
        <v>90</v>
      </c>
      <c r="ZU1" s="10" t="s">
        <v>91</v>
      </c>
      <c r="ZV1" s="10" t="s">
        <v>92</v>
      </c>
      <c r="ZW1" s="10" t="s">
        <v>93</v>
      </c>
      <c r="ZX1" s="9" t="s">
        <v>94</v>
      </c>
      <c r="ZY1" s="9" t="s">
        <v>95</v>
      </c>
      <c r="ZZ1" s="9" t="s">
        <v>96</v>
      </c>
      <c r="AAA1" s="9" t="s">
        <v>97</v>
      </c>
      <c r="AAB1" s="9" t="s">
        <v>98</v>
      </c>
      <c r="AAC1" s="9" t="s">
        <v>99</v>
      </c>
      <c r="AAD1" s="9" t="s">
        <v>100</v>
      </c>
      <c r="AAE1" s="9" t="s">
        <v>101</v>
      </c>
      <c r="AAF1" s="9" t="s">
        <v>102</v>
      </c>
      <c r="AAG1" s="9" t="s">
        <v>103</v>
      </c>
      <c r="AAH1" s="9" t="s">
        <v>104</v>
      </c>
      <c r="AAI1" s="9" t="s">
        <v>105</v>
      </c>
      <c r="AAJ1" s="9" t="s">
        <v>106</v>
      </c>
      <c r="AAK1" s="9" t="s">
        <v>107</v>
      </c>
      <c r="AAL1" s="9" t="s">
        <v>108</v>
      </c>
      <c r="AAM1" s="9" t="s">
        <v>109</v>
      </c>
      <c r="AAN1" s="9" t="s">
        <v>110</v>
      </c>
      <c r="AAO1" s="9" t="s">
        <v>111</v>
      </c>
      <c r="AAP1" s="9" t="s">
        <v>112</v>
      </c>
      <c r="AAQ1" s="9" t="s">
        <v>113</v>
      </c>
      <c r="AAR1" s="9" t="s">
        <v>114</v>
      </c>
      <c r="AAS1" s="9" t="s">
        <v>115</v>
      </c>
      <c r="AAT1" s="9" t="s">
        <v>116</v>
      </c>
      <c r="AAU1" s="9" t="s">
        <v>117</v>
      </c>
      <c r="AAV1" s="9" t="s">
        <v>118</v>
      </c>
      <c r="AAW1" s="9" t="s">
        <v>119</v>
      </c>
      <c r="AAX1" s="9" t="s">
        <v>120</v>
      </c>
      <c r="AAY1" s="9" t="s">
        <v>121</v>
      </c>
      <c r="AAZ1" s="9" t="s">
        <v>122</v>
      </c>
      <c r="ABA1" s="9" t="s">
        <v>123</v>
      </c>
      <c r="ABB1" s="9" t="s">
        <v>124</v>
      </c>
      <c r="ABC1" s="9" t="s">
        <v>125</v>
      </c>
      <c r="ABD1" s="9" t="s">
        <v>126</v>
      </c>
      <c r="ABE1" s="9" t="s">
        <v>127</v>
      </c>
      <c r="ABF1" s="9" t="s">
        <v>128</v>
      </c>
      <c r="ABG1" s="9" t="s">
        <v>129</v>
      </c>
      <c r="ABH1" s="9" t="s">
        <v>126</v>
      </c>
      <c r="ABI1" s="9" t="s">
        <v>127</v>
      </c>
      <c r="ABJ1" s="9" t="s">
        <v>128</v>
      </c>
      <c r="ABK1" s="9" t="s">
        <v>129</v>
      </c>
      <c r="ABL1" s="9" t="s">
        <v>126</v>
      </c>
      <c r="ABM1" s="9" t="s">
        <v>127</v>
      </c>
      <c r="ABN1" s="11" t="s">
        <v>128</v>
      </c>
      <c r="ABO1" s="9" t="s">
        <v>129</v>
      </c>
      <c r="ABP1" s="9" t="s">
        <v>126</v>
      </c>
      <c r="ABQ1" s="9" t="s">
        <v>127</v>
      </c>
      <c r="ABR1" s="11" t="s">
        <v>128</v>
      </c>
      <c r="ABS1" s="9" t="s">
        <v>129</v>
      </c>
      <c r="ABT1" s="9" t="s">
        <v>126</v>
      </c>
      <c r="ABU1" s="9" t="s">
        <v>127</v>
      </c>
      <c r="ABV1" s="11" t="s">
        <v>128</v>
      </c>
      <c r="ABW1" s="9" t="s">
        <v>129</v>
      </c>
      <c r="ABX1" s="9" t="s">
        <v>126</v>
      </c>
      <c r="ABY1" s="9" t="s">
        <v>127</v>
      </c>
      <c r="ABZ1" s="11" t="s">
        <v>128</v>
      </c>
      <c r="ACA1" s="9" t="s">
        <v>129</v>
      </c>
      <c r="ACB1" s="9" t="s">
        <v>126</v>
      </c>
      <c r="ACC1" s="9" t="s">
        <v>127</v>
      </c>
      <c r="ACD1" s="11" t="s">
        <v>128</v>
      </c>
      <c r="ACE1" s="9" t="s">
        <v>129</v>
      </c>
      <c r="ACF1" s="9" t="s">
        <v>130</v>
      </c>
      <c r="ACG1" s="9" t="s">
        <v>131</v>
      </c>
      <c r="ACH1" s="9" t="s">
        <v>132</v>
      </c>
      <c r="ACI1" s="9" t="s">
        <v>133</v>
      </c>
      <c r="ACJ1" s="9" t="s">
        <v>134</v>
      </c>
      <c r="ACK1" s="9" t="s">
        <v>135</v>
      </c>
      <c r="ACL1" s="9" t="s">
        <v>136</v>
      </c>
      <c r="ACM1" s="9" t="s">
        <v>137</v>
      </c>
      <c r="ACN1" s="9" t="s">
        <v>138</v>
      </c>
      <c r="ACO1" s="9" t="s">
        <v>139</v>
      </c>
      <c r="ACP1" s="9" t="s">
        <v>140</v>
      </c>
      <c r="ACQ1" s="9" t="s">
        <v>141</v>
      </c>
      <c r="ACR1" s="9" t="s">
        <v>142</v>
      </c>
      <c r="ACS1" s="9" t="s">
        <v>143</v>
      </c>
      <c r="ACT1" s="9" t="s">
        <v>144</v>
      </c>
      <c r="ACU1" s="9" t="s">
        <v>145</v>
      </c>
      <c r="ACV1" s="9" t="s">
        <v>146</v>
      </c>
      <c r="ACW1" s="9" t="s">
        <v>147</v>
      </c>
      <c r="ACX1" s="9" t="s">
        <v>148</v>
      </c>
      <c r="ACY1" s="9" t="s">
        <v>149</v>
      </c>
      <c r="ACZ1" s="9" t="s">
        <v>150</v>
      </c>
      <c r="ADA1" s="9" t="s">
        <v>151</v>
      </c>
      <c r="ADB1" s="9" t="s">
        <v>152</v>
      </c>
      <c r="ADC1" s="9" t="s">
        <v>153</v>
      </c>
      <c r="ADD1" s="9" t="s">
        <v>154</v>
      </c>
      <c r="ADE1" s="9" t="s">
        <v>155</v>
      </c>
      <c r="ADF1" s="9" t="s">
        <v>156</v>
      </c>
      <c r="ADG1" s="9" t="s">
        <v>157</v>
      </c>
      <c r="ADH1" s="9" t="s">
        <v>158</v>
      </c>
      <c r="ADI1" s="9" t="s">
        <v>159</v>
      </c>
      <c r="ADJ1" s="9" t="s">
        <v>160</v>
      </c>
      <c r="ADK1" s="9" t="s">
        <v>161</v>
      </c>
      <c r="ADL1" s="9" t="s">
        <v>162</v>
      </c>
      <c r="ADM1" s="9" t="s">
        <v>163</v>
      </c>
      <c r="ADN1" s="9" t="s">
        <v>164</v>
      </c>
      <c r="ADO1" s="9" t="s">
        <v>165</v>
      </c>
      <c r="ADP1" s="9" t="s">
        <v>166</v>
      </c>
      <c r="ADQ1" s="9" t="s">
        <v>167</v>
      </c>
      <c r="ADR1" s="9" t="s">
        <v>168</v>
      </c>
      <c r="ADS1" s="9" t="s">
        <v>169</v>
      </c>
      <c r="ADT1" s="9" t="s">
        <v>170</v>
      </c>
      <c r="ADU1" s="9" t="s">
        <v>171</v>
      </c>
      <c r="ADV1" s="9" t="s">
        <v>169</v>
      </c>
      <c r="ADW1" s="9" t="s">
        <v>170</v>
      </c>
      <c r="ADX1" s="9" t="s">
        <v>171</v>
      </c>
      <c r="ADY1" s="9" t="s">
        <v>169</v>
      </c>
      <c r="ADZ1" s="9" t="s">
        <v>170</v>
      </c>
      <c r="AEA1" s="9" t="s">
        <v>171</v>
      </c>
      <c r="AEB1" s="9" t="s">
        <v>172</v>
      </c>
      <c r="AEC1" s="9" t="s">
        <v>173</v>
      </c>
      <c r="AED1" s="9" t="s">
        <v>174</v>
      </c>
      <c r="AEE1" s="9" t="s">
        <v>175</v>
      </c>
      <c r="AEF1" s="9" t="s">
        <v>176</v>
      </c>
      <c r="AEG1" s="9" t="s">
        <v>177</v>
      </c>
      <c r="AEH1" s="9" t="s">
        <v>178</v>
      </c>
      <c r="AEI1" s="9" t="s">
        <v>179</v>
      </c>
      <c r="AEJ1" s="9" t="s">
        <v>89</v>
      </c>
      <c r="AEK1" s="9" t="s">
        <v>90</v>
      </c>
      <c r="AEL1" s="10" t="s">
        <v>91</v>
      </c>
      <c r="AEM1" s="10" t="s">
        <v>92</v>
      </c>
      <c r="AEN1" s="10" t="s">
        <v>93</v>
      </c>
      <c r="AEO1" s="9" t="s">
        <v>94</v>
      </c>
      <c r="AEP1" s="9" t="s">
        <v>95</v>
      </c>
      <c r="AEQ1" s="9" t="s">
        <v>96</v>
      </c>
      <c r="AER1" s="9" t="s">
        <v>97</v>
      </c>
      <c r="AES1" s="9" t="s">
        <v>98</v>
      </c>
      <c r="AET1" s="9" t="s">
        <v>99</v>
      </c>
      <c r="AEU1" s="9" t="s">
        <v>100</v>
      </c>
      <c r="AEV1" s="9" t="s">
        <v>101</v>
      </c>
      <c r="AEW1" s="9" t="s">
        <v>102</v>
      </c>
      <c r="AEX1" s="9" t="s">
        <v>103</v>
      </c>
      <c r="AEY1" s="9" t="s">
        <v>104</v>
      </c>
      <c r="AEZ1" s="9" t="s">
        <v>105</v>
      </c>
      <c r="AFA1" s="9" t="s">
        <v>106</v>
      </c>
      <c r="AFB1" s="9" t="s">
        <v>107</v>
      </c>
      <c r="AFC1" s="9" t="s">
        <v>108</v>
      </c>
      <c r="AFD1" s="9" t="s">
        <v>109</v>
      </c>
      <c r="AFE1" s="9" t="s">
        <v>110</v>
      </c>
      <c r="AFF1" s="9" t="s">
        <v>111</v>
      </c>
      <c r="AFG1" s="9" t="s">
        <v>112</v>
      </c>
      <c r="AFH1" s="9" t="s">
        <v>113</v>
      </c>
      <c r="AFI1" s="9" t="s">
        <v>114</v>
      </c>
      <c r="AFJ1" s="9" t="s">
        <v>115</v>
      </c>
      <c r="AFK1" s="9" t="s">
        <v>116</v>
      </c>
      <c r="AFL1" s="9" t="s">
        <v>117</v>
      </c>
      <c r="AFM1" s="9" t="s">
        <v>118</v>
      </c>
      <c r="AFN1" s="9" t="s">
        <v>119</v>
      </c>
      <c r="AFO1" s="9" t="s">
        <v>120</v>
      </c>
      <c r="AFP1" s="9" t="s">
        <v>121</v>
      </c>
      <c r="AFQ1" s="9" t="s">
        <v>122</v>
      </c>
      <c r="AFR1" s="9" t="s">
        <v>123</v>
      </c>
      <c r="AFS1" s="9" t="s">
        <v>124</v>
      </c>
      <c r="AFT1" s="9" t="s">
        <v>125</v>
      </c>
      <c r="AFU1" s="9" t="s">
        <v>126</v>
      </c>
      <c r="AFV1" s="9" t="s">
        <v>127</v>
      </c>
      <c r="AFW1" s="9" t="s">
        <v>128</v>
      </c>
      <c r="AFX1" s="9" t="s">
        <v>129</v>
      </c>
      <c r="AFY1" s="9" t="s">
        <v>126</v>
      </c>
      <c r="AFZ1" s="9" t="s">
        <v>127</v>
      </c>
      <c r="AGA1" s="9" t="s">
        <v>128</v>
      </c>
      <c r="AGB1" s="9" t="s">
        <v>129</v>
      </c>
      <c r="AGC1" s="9" t="s">
        <v>126</v>
      </c>
      <c r="AGD1" s="9" t="s">
        <v>127</v>
      </c>
      <c r="AGE1" s="11" t="s">
        <v>128</v>
      </c>
      <c r="AGF1" s="9" t="s">
        <v>129</v>
      </c>
      <c r="AGG1" s="9" t="s">
        <v>126</v>
      </c>
      <c r="AGH1" s="9" t="s">
        <v>127</v>
      </c>
      <c r="AGI1" s="11" t="s">
        <v>128</v>
      </c>
      <c r="AGJ1" s="9" t="s">
        <v>129</v>
      </c>
      <c r="AGK1" s="9" t="s">
        <v>126</v>
      </c>
      <c r="AGL1" s="9" t="s">
        <v>127</v>
      </c>
      <c r="AGM1" s="11" t="s">
        <v>128</v>
      </c>
      <c r="AGN1" s="9" t="s">
        <v>129</v>
      </c>
      <c r="AGO1" s="9" t="s">
        <v>126</v>
      </c>
      <c r="AGP1" s="9" t="s">
        <v>127</v>
      </c>
      <c r="AGQ1" s="11" t="s">
        <v>128</v>
      </c>
      <c r="AGR1" s="9" t="s">
        <v>129</v>
      </c>
      <c r="AGS1" s="9" t="s">
        <v>126</v>
      </c>
      <c r="AGT1" s="9" t="s">
        <v>127</v>
      </c>
      <c r="AGU1" s="11" t="s">
        <v>128</v>
      </c>
      <c r="AGV1" s="9" t="s">
        <v>129</v>
      </c>
      <c r="AGW1" s="9" t="s">
        <v>130</v>
      </c>
      <c r="AGX1" s="9" t="s">
        <v>131</v>
      </c>
      <c r="AGY1" s="9" t="s">
        <v>132</v>
      </c>
      <c r="AGZ1" s="9" t="s">
        <v>133</v>
      </c>
      <c r="AHA1" s="9" t="s">
        <v>134</v>
      </c>
      <c r="AHB1" s="9" t="s">
        <v>135</v>
      </c>
      <c r="AHC1" s="9" t="s">
        <v>136</v>
      </c>
      <c r="AHD1" s="9" t="s">
        <v>137</v>
      </c>
      <c r="AHE1" s="9" t="s">
        <v>138</v>
      </c>
      <c r="AHF1" s="9" t="s">
        <v>139</v>
      </c>
      <c r="AHG1" s="9" t="s">
        <v>140</v>
      </c>
      <c r="AHH1" s="9" t="s">
        <v>141</v>
      </c>
      <c r="AHI1" s="9" t="s">
        <v>142</v>
      </c>
      <c r="AHJ1" s="9" t="s">
        <v>143</v>
      </c>
      <c r="AHK1" s="9" t="s">
        <v>144</v>
      </c>
      <c r="AHL1" s="9" t="s">
        <v>145</v>
      </c>
      <c r="AHM1" s="9" t="s">
        <v>146</v>
      </c>
      <c r="AHN1" s="9" t="s">
        <v>147</v>
      </c>
      <c r="AHO1" s="9" t="s">
        <v>148</v>
      </c>
      <c r="AHP1" s="9" t="s">
        <v>149</v>
      </c>
      <c r="AHQ1" s="9" t="s">
        <v>150</v>
      </c>
      <c r="AHR1" s="9" t="s">
        <v>151</v>
      </c>
      <c r="AHS1" s="9" t="s">
        <v>152</v>
      </c>
      <c r="AHT1" s="9" t="s">
        <v>153</v>
      </c>
      <c r="AHU1" s="9" t="s">
        <v>154</v>
      </c>
      <c r="AHV1" s="9" t="s">
        <v>155</v>
      </c>
      <c r="AHW1" s="9" t="s">
        <v>156</v>
      </c>
      <c r="AHX1" s="9" t="s">
        <v>157</v>
      </c>
      <c r="AHY1" s="9" t="s">
        <v>158</v>
      </c>
      <c r="AHZ1" s="9" t="s">
        <v>159</v>
      </c>
      <c r="AIA1" s="9" t="s">
        <v>160</v>
      </c>
      <c r="AIB1" s="9" t="s">
        <v>161</v>
      </c>
      <c r="AIC1" s="9" t="s">
        <v>162</v>
      </c>
      <c r="AID1" s="9" t="s">
        <v>163</v>
      </c>
      <c r="AIE1" s="9" t="s">
        <v>164</v>
      </c>
      <c r="AIF1" s="9" t="s">
        <v>165</v>
      </c>
      <c r="AIG1" s="9" t="s">
        <v>166</v>
      </c>
      <c r="AIH1" s="9" t="s">
        <v>167</v>
      </c>
      <c r="AII1" s="9" t="s">
        <v>168</v>
      </c>
      <c r="AIJ1" s="9" t="s">
        <v>169</v>
      </c>
      <c r="AIK1" s="9" t="s">
        <v>170</v>
      </c>
      <c r="AIL1" s="9" t="s">
        <v>171</v>
      </c>
      <c r="AIM1" s="9" t="s">
        <v>169</v>
      </c>
      <c r="AIN1" s="9" t="s">
        <v>170</v>
      </c>
      <c r="AIO1" s="9" t="s">
        <v>171</v>
      </c>
      <c r="AIP1" s="9" t="s">
        <v>169</v>
      </c>
      <c r="AIQ1" s="9" t="s">
        <v>170</v>
      </c>
      <c r="AIR1" s="9" t="s">
        <v>171</v>
      </c>
      <c r="AIS1" s="9" t="s">
        <v>172</v>
      </c>
      <c r="AIT1" s="9" t="s">
        <v>173</v>
      </c>
      <c r="AIU1" s="9" t="s">
        <v>174</v>
      </c>
      <c r="AIV1" s="9" t="s">
        <v>175</v>
      </c>
      <c r="AIW1" s="9" t="s">
        <v>176</v>
      </c>
      <c r="AIX1" s="9" t="s">
        <v>177</v>
      </c>
      <c r="AIY1" s="9" t="s">
        <v>178</v>
      </c>
      <c r="AIZ1" s="9" t="s">
        <v>179</v>
      </c>
      <c r="AJA1" s="9" t="s">
        <v>89</v>
      </c>
      <c r="AJB1" s="9" t="s">
        <v>90</v>
      </c>
      <c r="AJC1" s="10" t="s">
        <v>91</v>
      </c>
      <c r="AJD1" s="10" t="s">
        <v>92</v>
      </c>
      <c r="AJE1" s="10" t="s">
        <v>93</v>
      </c>
      <c r="AJF1" s="9" t="s">
        <v>94</v>
      </c>
      <c r="AJG1" s="9" t="s">
        <v>95</v>
      </c>
      <c r="AJH1" s="9" t="s">
        <v>96</v>
      </c>
      <c r="AJI1" s="9" t="s">
        <v>97</v>
      </c>
      <c r="AJJ1" s="9" t="s">
        <v>98</v>
      </c>
      <c r="AJK1" s="9" t="s">
        <v>99</v>
      </c>
      <c r="AJL1" s="9" t="s">
        <v>100</v>
      </c>
      <c r="AJM1" s="9" t="s">
        <v>101</v>
      </c>
      <c r="AJN1" s="9" t="s">
        <v>102</v>
      </c>
      <c r="AJO1" s="9" t="s">
        <v>103</v>
      </c>
      <c r="AJP1" s="9" t="s">
        <v>104</v>
      </c>
      <c r="AJQ1" s="9" t="s">
        <v>105</v>
      </c>
      <c r="AJR1" s="9" t="s">
        <v>106</v>
      </c>
      <c r="AJS1" s="9" t="s">
        <v>107</v>
      </c>
      <c r="AJT1" s="9" t="s">
        <v>108</v>
      </c>
      <c r="AJU1" s="9" t="s">
        <v>109</v>
      </c>
      <c r="AJV1" s="9" t="s">
        <v>110</v>
      </c>
      <c r="AJW1" s="9" t="s">
        <v>111</v>
      </c>
      <c r="AJX1" s="9" t="s">
        <v>112</v>
      </c>
      <c r="AJY1" s="9" t="s">
        <v>113</v>
      </c>
      <c r="AJZ1" s="9" t="s">
        <v>114</v>
      </c>
      <c r="AKA1" s="9" t="s">
        <v>115</v>
      </c>
      <c r="AKB1" s="9" t="s">
        <v>116</v>
      </c>
      <c r="AKC1" s="9" t="s">
        <v>117</v>
      </c>
      <c r="AKD1" s="9" t="s">
        <v>118</v>
      </c>
      <c r="AKE1" s="9" t="s">
        <v>119</v>
      </c>
      <c r="AKF1" s="9" t="s">
        <v>120</v>
      </c>
      <c r="AKG1" s="9" t="s">
        <v>121</v>
      </c>
      <c r="AKH1" s="9" t="s">
        <v>122</v>
      </c>
      <c r="AKI1" s="9" t="s">
        <v>123</v>
      </c>
      <c r="AKJ1" s="9" t="s">
        <v>124</v>
      </c>
      <c r="AKK1" s="9" t="s">
        <v>125</v>
      </c>
      <c r="AKL1" s="9" t="s">
        <v>126</v>
      </c>
      <c r="AKM1" s="9" t="s">
        <v>127</v>
      </c>
      <c r="AKN1" s="9" t="s">
        <v>128</v>
      </c>
      <c r="AKO1" s="9" t="s">
        <v>129</v>
      </c>
      <c r="AKP1" s="9" t="s">
        <v>126</v>
      </c>
      <c r="AKQ1" s="9" t="s">
        <v>127</v>
      </c>
      <c r="AKR1" s="9" t="s">
        <v>128</v>
      </c>
      <c r="AKS1" s="9" t="s">
        <v>129</v>
      </c>
      <c r="AKT1" s="9" t="s">
        <v>126</v>
      </c>
      <c r="AKU1" s="9" t="s">
        <v>127</v>
      </c>
      <c r="AKV1" s="11" t="s">
        <v>128</v>
      </c>
      <c r="AKW1" s="9" t="s">
        <v>129</v>
      </c>
      <c r="AKX1" s="9" t="s">
        <v>126</v>
      </c>
      <c r="AKY1" s="9" t="s">
        <v>127</v>
      </c>
      <c r="AKZ1" s="11" t="s">
        <v>128</v>
      </c>
      <c r="ALA1" s="9" t="s">
        <v>129</v>
      </c>
      <c r="ALB1" s="9" t="s">
        <v>126</v>
      </c>
      <c r="ALC1" s="9" t="s">
        <v>127</v>
      </c>
      <c r="ALD1" s="11" t="s">
        <v>128</v>
      </c>
      <c r="ALE1" s="9" t="s">
        <v>129</v>
      </c>
      <c r="ALF1" s="9" t="s">
        <v>126</v>
      </c>
      <c r="ALG1" s="9" t="s">
        <v>127</v>
      </c>
      <c r="ALH1" s="11" t="s">
        <v>128</v>
      </c>
      <c r="ALI1" s="9" t="s">
        <v>129</v>
      </c>
      <c r="ALJ1" s="9" t="s">
        <v>126</v>
      </c>
      <c r="ALK1" s="9" t="s">
        <v>127</v>
      </c>
      <c r="ALL1" s="11" t="s">
        <v>128</v>
      </c>
      <c r="ALM1" s="9" t="s">
        <v>129</v>
      </c>
      <c r="ALN1" s="9" t="s">
        <v>130</v>
      </c>
      <c r="ALO1" s="9" t="s">
        <v>131</v>
      </c>
      <c r="ALP1" s="9" t="s">
        <v>132</v>
      </c>
      <c r="ALQ1" s="9" t="s">
        <v>133</v>
      </c>
      <c r="ALR1" s="9" t="s">
        <v>134</v>
      </c>
      <c r="ALS1" s="9" t="s">
        <v>135</v>
      </c>
      <c r="ALT1" s="9" t="s">
        <v>136</v>
      </c>
      <c r="ALU1" s="9" t="s">
        <v>137</v>
      </c>
      <c r="ALV1" s="9" t="s">
        <v>138</v>
      </c>
      <c r="ALW1" s="9" t="s">
        <v>139</v>
      </c>
      <c r="ALX1" s="9" t="s">
        <v>140</v>
      </c>
      <c r="ALY1" s="9" t="s">
        <v>141</v>
      </c>
      <c r="ALZ1" s="9" t="s">
        <v>142</v>
      </c>
      <c r="AMA1" s="9" t="s">
        <v>143</v>
      </c>
      <c r="AMB1" s="9" t="s">
        <v>144</v>
      </c>
      <c r="AMC1" s="9" t="s">
        <v>145</v>
      </c>
      <c r="AMD1" s="9" t="s">
        <v>146</v>
      </c>
      <c r="AME1" s="9" t="s">
        <v>147</v>
      </c>
      <c r="AMF1" s="9" t="s">
        <v>148</v>
      </c>
      <c r="AMG1" s="9" t="s">
        <v>149</v>
      </c>
      <c r="AMH1" s="9" t="s">
        <v>150</v>
      </c>
      <c r="AMI1" s="9" t="s">
        <v>151</v>
      </c>
      <c r="AMJ1" s="9" t="s">
        <v>152</v>
      </c>
    </row>
    <row r="2" customFormat="false" ht="13.8" hidden="false" customHeight="false" outlineLevel="0" collapsed="false">
      <c r="A2" s="1" t="s">
        <v>180</v>
      </c>
      <c r="B2" s="12" t="n">
        <v>42892</v>
      </c>
      <c r="C2" s="0" t="n">
        <v>2</v>
      </c>
      <c r="D2" s="13" t="n">
        <v>35002</v>
      </c>
      <c r="E2" s="12" t="n">
        <v>24397</v>
      </c>
      <c r="F2" s="14" t="n">
        <f aca="false">(B2-E2)/365.25</f>
        <v>50.6365503080082</v>
      </c>
      <c r="G2" s="14" t="n">
        <f aca="false">(B2-D2)/365.25</f>
        <v>21.6016427104723</v>
      </c>
      <c r="H2" s="15" t="s">
        <v>181</v>
      </c>
      <c r="I2" s="15" t="s">
        <v>182</v>
      </c>
      <c r="J2" s="15" t="s">
        <v>183</v>
      </c>
      <c r="K2" s="15" t="n">
        <v>8</v>
      </c>
      <c r="L2" s="15" t="n">
        <v>95</v>
      </c>
      <c r="M2" s="0" t="n">
        <v>1.78</v>
      </c>
      <c r="N2" s="16" t="n">
        <f aca="false">L2/(M2*M2)</f>
        <v>29.9835879308168</v>
      </c>
      <c r="O2" s="15" t="n">
        <v>1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  <c r="X2" s="15" t="n">
        <v>0</v>
      </c>
      <c r="Y2" s="15" t="n">
        <v>1</v>
      </c>
      <c r="Z2" s="15" t="n">
        <v>2</v>
      </c>
      <c r="AA2" s="15" t="n">
        <v>60</v>
      </c>
      <c r="AB2" s="15" t="s">
        <v>184</v>
      </c>
      <c r="AC2" s="15" t="n">
        <v>0</v>
      </c>
      <c r="AD2" s="15" t="n">
        <v>0</v>
      </c>
      <c r="AE2" s="15" t="n">
        <v>0</v>
      </c>
      <c r="AF2" s="15" t="n">
        <v>0</v>
      </c>
      <c r="AG2" s="15" t="n">
        <v>0</v>
      </c>
      <c r="AH2" s="15" t="n">
        <v>0</v>
      </c>
      <c r="AI2" s="15" t="n">
        <v>0</v>
      </c>
      <c r="AJ2" s="15" t="n">
        <v>0</v>
      </c>
      <c r="AK2" s="15" t="n">
        <v>0</v>
      </c>
      <c r="AL2" s="15" t="n">
        <v>0</v>
      </c>
      <c r="AM2" s="15" t="n">
        <v>0</v>
      </c>
      <c r="AN2" s="15" t="n">
        <v>0</v>
      </c>
      <c r="AO2" s="15" t="n">
        <v>0</v>
      </c>
      <c r="AP2" s="15" t="n">
        <v>0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5" t="n">
        <v>0</v>
      </c>
      <c r="AW2" s="15" t="n">
        <v>0</v>
      </c>
      <c r="AX2" s="15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5" t="n">
        <v>0</v>
      </c>
      <c r="BN2" s="15" t="n">
        <v>0</v>
      </c>
      <c r="BO2" s="15" t="n">
        <v>0</v>
      </c>
      <c r="BP2" s="15" t="n">
        <v>0</v>
      </c>
      <c r="BQ2" s="15" t="n">
        <v>0</v>
      </c>
      <c r="BR2" s="15" t="n">
        <v>1</v>
      </c>
      <c r="BS2" s="15" t="n">
        <v>3</v>
      </c>
      <c r="BT2" s="15" t="n">
        <v>3</v>
      </c>
      <c r="BU2" s="15" t="n">
        <v>4</v>
      </c>
      <c r="BV2" s="15" t="n">
        <v>3</v>
      </c>
      <c r="BW2" s="15" t="n">
        <v>3</v>
      </c>
      <c r="BX2" s="15" t="n">
        <v>4</v>
      </c>
      <c r="BY2" s="15" t="n">
        <v>4</v>
      </c>
      <c r="BZ2" s="15" t="n">
        <v>3</v>
      </c>
      <c r="CA2" s="15" t="n">
        <v>3</v>
      </c>
      <c r="CB2" s="15" t="n">
        <v>3</v>
      </c>
      <c r="CC2" s="15" t="n">
        <v>5</v>
      </c>
      <c r="CD2" s="15" t="n">
        <v>2</v>
      </c>
      <c r="CE2" s="15" t="n">
        <v>3</v>
      </c>
      <c r="CF2" s="15" t="n">
        <v>3</v>
      </c>
      <c r="CG2" s="15" t="n">
        <v>3</v>
      </c>
      <c r="CH2" s="15" t="n">
        <v>3</v>
      </c>
      <c r="CI2" s="15" t="n">
        <v>3</v>
      </c>
      <c r="CJ2" s="15" t="n">
        <v>3</v>
      </c>
      <c r="CK2" s="15" t="n">
        <v>10</v>
      </c>
      <c r="CL2" s="0" t="s">
        <v>185</v>
      </c>
      <c r="CM2" s="0" t="n">
        <v>21.5</v>
      </c>
      <c r="CN2" s="16" t="n">
        <v>54.9</v>
      </c>
      <c r="CO2" s="16" t="n">
        <v>80.4</v>
      </c>
      <c r="CP2" s="16" t="n">
        <v>17.9</v>
      </c>
      <c r="CQ2" s="0" t="n">
        <v>90.61</v>
      </c>
      <c r="CR2" s="17" t="n">
        <v>0</v>
      </c>
      <c r="CS2" s="0" t="n">
        <v>0</v>
      </c>
      <c r="CT2" s="0" t="n">
        <v>2.45</v>
      </c>
      <c r="CU2" s="0" t="n">
        <v>6.94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12.16</v>
      </c>
      <c r="DC2" s="0" t="n">
        <v>24.45</v>
      </c>
      <c r="DD2" s="0" t="n">
        <v>4.8</v>
      </c>
      <c r="DE2" s="0" t="n">
        <v>5.11</v>
      </c>
      <c r="DF2" s="0" t="n">
        <v>0</v>
      </c>
      <c r="DG2" s="0" t="n">
        <v>0</v>
      </c>
      <c r="DH2" s="0" t="n">
        <v>0</v>
      </c>
      <c r="DU2" s="0" t="n">
        <v>2.9</v>
      </c>
      <c r="DV2" s="0" t="n">
        <v>1</v>
      </c>
      <c r="DW2" s="0" t="n">
        <v>68</v>
      </c>
      <c r="DX2" s="0" t="n">
        <v>2</v>
      </c>
      <c r="DY2" s="0" t="n">
        <f aca="false">0.38+0.07</f>
        <v>0.45</v>
      </c>
      <c r="DZ2" s="0" t="n">
        <v>1</v>
      </c>
      <c r="EG2" s="18"/>
      <c r="EY2" s="0" t="n">
        <v>1</v>
      </c>
      <c r="EZ2" s="0" t="n">
        <v>40</v>
      </c>
      <c r="FA2" s="0" t="n">
        <v>1</v>
      </c>
      <c r="FB2" s="0" t="n">
        <v>0.06</v>
      </c>
      <c r="FC2" s="0" t="n">
        <v>1</v>
      </c>
      <c r="FD2" s="0" t="n">
        <v>60</v>
      </c>
      <c r="FE2" s="0" t="n">
        <v>1</v>
      </c>
      <c r="FF2" s="0" t="n">
        <v>0.11</v>
      </c>
      <c r="FG2" s="0" t="n">
        <v>1</v>
      </c>
      <c r="FH2" s="0" t="n">
        <v>40</v>
      </c>
      <c r="FI2" s="0" t="n">
        <v>1</v>
      </c>
      <c r="FJ2" s="0" t="n">
        <v>0.58</v>
      </c>
      <c r="FK2" s="0" t="n">
        <v>6</v>
      </c>
      <c r="GJ2" s="16" t="n">
        <v>0</v>
      </c>
      <c r="GK2" s="16" t="n">
        <v>0</v>
      </c>
      <c r="GL2" s="16"/>
      <c r="GM2" s="16"/>
      <c r="GN2" s="16"/>
      <c r="GO2" s="16"/>
      <c r="GP2" s="16"/>
      <c r="GQ2" s="16"/>
      <c r="GR2" s="16"/>
      <c r="GS2" s="16"/>
      <c r="GT2" s="16"/>
      <c r="GU2" s="16" t="n">
        <v>0.67</v>
      </c>
      <c r="GV2" s="16" t="n">
        <v>0.65</v>
      </c>
      <c r="GW2" s="16"/>
      <c r="GX2" s="16"/>
      <c r="GY2" s="16" t="n">
        <v>0</v>
      </c>
      <c r="GZ2" s="16" t="n">
        <v>0</v>
      </c>
      <c r="HA2" s="16" t="n">
        <v>0</v>
      </c>
      <c r="HB2" s="0" t="n">
        <v>0</v>
      </c>
      <c r="HC2" s="0" t="s">
        <v>186</v>
      </c>
      <c r="HD2" s="0" t="n">
        <v>52.5</v>
      </c>
      <c r="HE2" s="16" t="n">
        <v>78.3</v>
      </c>
      <c r="HF2" s="16" t="n">
        <v>80.4</v>
      </c>
      <c r="HG2" s="16" t="n">
        <v>33.2</v>
      </c>
      <c r="HH2" s="0" t="n">
        <v>67.5</v>
      </c>
      <c r="HI2" s="17" t="n">
        <v>0</v>
      </c>
      <c r="HJ2" s="0" t="n">
        <v>21.37</v>
      </c>
      <c r="HK2" s="0" t="n">
        <v>0</v>
      </c>
      <c r="HL2" s="0" t="n">
        <v>3.99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5.93</v>
      </c>
      <c r="HU2" s="0" t="n">
        <v>42.2</v>
      </c>
      <c r="HV2" s="0" t="n">
        <v>15.97</v>
      </c>
      <c r="HW2" s="0" t="n">
        <v>7.14</v>
      </c>
      <c r="HX2" s="0" t="n">
        <v>0</v>
      </c>
      <c r="HY2" s="0" t="n">
        <v>0</v>
      </c>
      <c r="IL2" s="0" t="n">
        <v>1.7</v>
      </c>
      <c r="IM2" s="0" t="n">
        <v>1</v>
      </c>
      <c r="IN2" s="0" t="n">
        <v>34</v>
      </c>
      <c r="IO2" s="0" t="n">
        <v>5</v>
      </c>
      <c r="IP2" s="0" t="n">
        <v>0.21</v>
      </c>
      <c r="IQ2" s="0" t="n">
        <v>1</v>
      </c>
      <c r="IR2" s="0" t="n">
        <v>68</v>
      </c>
      <c r="IS2" s="0" t="n">
        <v>3</v>
      </c>
      <c r="IT2" s="0" t="n">
        <v>0.3</v>
      </c>
      <c r="IU2" s="0" t="n">
        <v>1</v>
      </c>
      <c r="IV2" s="0" t="n">
        <v>47</v>
      </c>
      <c r="IW2" s="0" t="n">
        <v>4</v>
      </c>
      <c r="IX2" s="18" t="n">
        <v>0.11</v>
      </c>
      <c r="IY2" s="0" t="n">
        <v>1</v>
      </c>
      <c r="IZ2" s="0" t="n">
        <v>35</v>
      </c>
      <c r="JA2" s="0" t="n">
        <v>2</v>
      </c>
      <c r="JB2" s="0" t="n">
        <v>0.1</v>
      </c>
      <c r="JC2" s="0" t="n">
        <v>1</v>
      </c>
      <c r="JP2" s="0" t="n">
        <v>0</v>
      </c>
      <c r="LA2" s="16" t="n">
        <v>1.04</v>
      </c>
      <c r="LB2" s="16" t="n">
        <v>1</v>
      </c>
      <c r="LC2" s="16" t="n">
        <v>1</v>
      </c>
      <c r="LD2" s="16"/>
      <c r="LE2" s="16" t="n">
        <f aca="false">3.74+3.17+0.1</f>
        <v>7.01</v>
      </c>
      <c r="LF2" s="16"/>
      <c r="LG2" s="16"/>
      <c r="LH2" s="16"/>
      <c r="LI2" s="16"/>
      <c r="LJ2" s="16"/>
      <c r="LK2" s="16"/>
      <c r="LL2" s="16" t="n">
        <v>8.9</v>
      </c>
      <c r="LM2" s="16" t="n">
        <v>9.79</v>
      </c>
      <c r="LN2" s="16"/>
      <c r="LO2" s="16"/>
      <c r="LP2" s="16" t="n">
        <v>2.99</v>
      </c>
      <c r="LQ2" s="16" t="n">
        <v>4</v>
      </c>
      <c r="LR2" s="16" t="n">
        <v>3</v>
      </c>
      <c r="LS2" s="0" t="n">
        <v>0</v>
      </c>
      <c r="LT2" s="0" t="s">
        <v>187</v>
      </c>
      <c r="LU2" s="0" t="n">
        <v>53.5</v>
      </c>
      <c r="LV2" s="16" t="n">
        <v>73.5</v>
      </c>
      <c r="LW2" s="16" t="n">
        <v>80.4</v>
      </c>
      <c r="LX2" s="16" t="n">
        <v>26.1</v>
      </c>
      <c r="LY2" s="0" t="n">
        <v>78.89</v>
      </c>
      <c r="LZ2" s="17" t="n">
        <v>0</v>
      </c>
      <c r="MA2" s="0" t="n">
        <v>2.36</v>
      </c>
      <c r="MB2" s="0" t="n">
        <v>0</v>
      </c>
      <c r="MC2" s="0" t="n">
        <v>11.6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7.86</v>
      </c>
      <c r="MK2" s="0" t="n">
        <v>12.08</v>
      </c>
      <c r="ML2" s="0" t="n">
        <v>18.1</v>
      </c>
      <c r="MM2" s="0" t="n">
        <v>28.51</v>
      </c>
      <c r="MN2" s="0" t="n">
        <v>7.14</v>
      </c>
      <c r="MO2" s="0" t="n">
        <v>0</v>
      </c>
      <c r="MP2" s="0" t="n">
        <v>0</v>
      </c>
      <c r="NC2" s="0" t="n">
        <v>11.6</v>
      </c>
      <c r="ND2" s="0" t="n">
        <v>1</v>
      </c>
      <c r="NE2" s="0" t="n">
        <v>47</v>
      </c>
      <c r="NF2" s="0" t="n">
        <v>4</v>
      </c>
      <c r="NG2" s="0" t="n">
        <f aca="false">1.15+0.34</f>
        <v>1.49</v>
      </c>
      <c r="NH2" s="0" t="n">
        <v>3</v>
      </c>
      <c r="NO2" s="18"/>
      <c r="OG2" s="0" t="n">
        <v>1</v>
      </c>
      <c r="OH2" s="0" t="n">
        <v>50</v>
      </c>
      <c r="OI2" s="0" t="n">
        <v>1</v>
      </c>
      <c r="OJ2" s="0" t="n">
        <v>0.19</v>
      </c>
      <c r="OK2" s="0" t="n">
        <v>3</v>
      </c>
      <c r="PR2" s="16" t="n">
        <v>7.27</v>
      </c>
      <c r="PS2" s="16" t="n">
        <v>1</v>
      </c>
      <c r="PT2" s="16" t="n">
        <v>1</v>
      </c>
      <c r="PU2" s="16"/>
      <c r="PV2" s="16" t="n">
        <f aca="false">2.11*2+0.37*2</f>
        <v>4.96</v>
      </c>
      <c r="PW2" s="16" t="n">
        <v>3</v>
      </c>
      <c r="PX2" s="16"/>
      <c r="PY2" s="16" t="n">
        <f aca="false">1.44+0.72</f>
        <v>2.16</v>
      </c>
      <c r="PZ2" s="16"/>
      <c r="QA2" s="16"/>
      <c r="QB2" s="16"/>
      <c r="QC2" s="16" t="n">
        <v>5.39</v>
      </c>
      <c r="QD2" s="16" t="n">
        <v>8.11</v>
      </c>
      <c r="QE2" s="16"/>
      <c r="QF2" s="16"/>
      <c r="QG2" s="16" t="n">
        <v>0</v>
      </c>
      <c r="QH2" s="16" t="n">
        <v>0</v>
      </c>
      <c r="QI2" s="16" t="n">
        <v>3</v>
      </c>
      <c r="QJ2" s="0" t="n">
        <v>0</v>
      </c>
      <c r="QK2" s="0" t="s">
        <v>188</v>
      </c>
      <c r="QL2" s="0" t="n">
        <v>40</v>
      </c>
      <c r="QM2" s="16" t="n">
        <v>84.1</v>
      </c>
      <c r="QN2" s="16" t="n">
        <v>80.4</v>
      </c>
      <c r="QO2" s="16" t="n">
        <v>35.1</v>
      </c>
      <c r="QP2" s="0" t="n">
        <v>66.11</v>
      </c>
      <c r="QQ2" s="17" t="n">
        <v>0</v>
      </c>
      <c r="QR2" s="0" t="n">
        <v>13.11</v>
      </c>
      <c r="QS2" s="0" t="n">
        <v>6.27</v>
      </c>
      <c r="QT2" s="0" t="n">
        <v>8.02</v>
      </c>
      <c r="QU2" s="0" t="n">
        <v>0</v>
      </c>
      <c r="QV2" s="0" t="n">
        <v>6.47</v>
      </c>
      <c r="QW2" s="0" t="n">
        <v>2.85</v>
      </c>
      <c r="QX2" s="0" t="n">
        <v>3.1</v>
      </c>
      <c r="QY2" s="0" t="n">
        <v>0</v>
      </c>
      <c r="QZ2" s="0" t="n">
        <v>0</v>
      </c>
      <c r="RA2" s="0" t="n">
        <v>10.49</v>
      </c>
      <c r="RB2" s="0" t="n">
        <v>26.72</v>
      </c>
      <c r="RC2" s="0" t="n">
        <v>13.38</v>
      </c>
      <c r="RD2" s="0" t="n">
        <v>10.67</v>
      </c>
      <c r="RE2" s="0" t="n">
        <v>0</v>
      </c>
      <c r="RF2" s="0" t="n">
        <v>0</v>
      </c>
      <c r="RG2" s="0" t="n">
        <v>0</v>
      </c>
      <c r="RT2" s="0" t="n">
        <v>3.9</v>
      </c>
      <c r="RU2" s="0" t="n">
        <v>1</v>
      </c>
      <c r="RV2" s="0" t="n">
        <v>68</v>
      </c>
      <c r="RW2" s="0" t="n">
        <v>4</v>
      </c>
      <c r="RX2" s="0" t="n">
        <f aca="false">1.9+0.34</f>
        <v>2.24</v>
      </c>
      <c r="RY2" s="0" t="n">
        <v>1</v>
      </c>
      <c r="RZ2" s="0" t="n">
        <v>34</v>
      </c>
      <c r="SA2" s="0" t="n">
        <v>8</v>
      </c>
      <c r="SB2" s="0" t="n">
        <v>0.27</v>
      </c>
      <c r="SC2" s="0" t="n">
        <v>1</v>
      </c>
      <c r="SF2" s="18"/>
      <c r="SX2" s="0" t="n">
        <v>1</v>
      </c>
      <c r="SY2" s="0" t="n">
        <v>50</v>
      </c>
      <c r="SZ2" s="0" t="n">
        <v>4</v>
      </c>
      <c r="TA2" s="0" t="n">
        <f aca="false">1.52*2</f>
        <v>3.04</v>
      </c>
      <c r="TB2" s="0" t="n">
        <v>3</v>
      </c>
      <c r="UI2" s="16" t="n">
        <v>0.04</v>
      </c>
      <c r="UJ2" s="16" t="n">
        <v>1</v>
      </c>
      <c r="UK2" s="16" t="n">
        <v>1</v>
      </c>
      <c r="UL2" s="16"/>
      <c r="UM2" s="16" t="n">
        <f aca="false">0.3</f>
        <v>0.3</v>
      </c>
      <c r="UN2" s="16"/>
      <c r="UO2" s="16"/>
      <c r="UP2" s="16"/>
      <c r="UQ2" s="16"/>
      <c r="UR2" s="16"/>
      <c r="US2" s="16"/>
      <c r="UT2" s="16" t="n">
        <v>0.03</v>
      </c>
      <c r="UU2" s="16" t="n">
        <v>0.03</v>
      </c>
      <c r="UV2" s="16"/>
      <c r="UW2" s="16"/>
      <c r="UX2" s="16" t="n">
        <v>0</v>
      </c>
      <c r="UY2" s="16" t="n">
        <v>0</v>
      </c>
      <c r="UZ2" s="16" t="n">
        <v>0</v>
      </c>
      <c r="VA2" s="0" t="n">
        <v>0</v>
      </c>
      <c r="VB2" s="0" t="s">
        <v>189</v>
      </c>
      <c r="VC2" s="0" t="n">
        <v>31</v>
      </c>
      <c r="VD2" s="16" t="n">
        <v>80.2</v>
      </c>
      <c r="VE2" s="16" t="n">
        <v>80.4</v>
      </c>
      <c r="VF2" s="16" t="n">
        <v>6.5</v>
      </c>
      <c r="VG2" s="0" t="n">
        <v>99.3</v>
      </c>
      <c r="VH2" s="17" t="n">
        <v>0</v>
      </c>
      <c r="VI2" s="0" t="n">
        <v>0.7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31.92</v>
      </c>
      <c r="VT2" s="0" t="n">
        <v>23.7</v>
      </c>
      <c r="VU2" s="0" t="n">
        <v>1.95</v>
      </c>
      <c r="VV2" s="0" t="n">
        <v>0</v>
      </c>
      <c r="VW2" s="0" t="n">
        <v>18.7</v>
      </c>
      <c r="VX2" s="0" t="n">
        <v>4</v>
      </c>
      <c r="VY2" s="0" t="n">
        <v>49</v>
      </c>
      <c r="WA2" s="0" t="n">
        <v>1</v>
      </c>
      <c r="WE2" s="0" t="n">
        <v>49</v>
      </c>
      <c r="WG2" s="0" t="n">
        <v>1</v>
      </c>
      <c r="WK2" s="0" t="n">
        <v>0</v>
      </c>
      <c r="WL2" s="0" t="n">
        <v>0</v>
      </c>
      <c r="WW2" s="18"/>
      <c r="XO2" s="0" t="n">
        <v>0</v>
      </c>
      <c r="YZ2" s="16" t="n">
        <v>0</v>
      </c>
      <c r="ZA2" s="16" t="n">
        <v>0</v>
      </c>
      <c r="ZB2" s="16"/>
      <c r="ZC2" s="16"/>
      <c r="ZD2" s="16"/>
      <c r="ZE2" s="16"/>
      <c r="ZF2" s="16"/>
      <c r="ZG2" s="16"/>
      <c r="ZH2" s="16"/>
      <c r="ZI2" s="16"/>
      <c r="ZJ2" s="16"/>
      <c r="ZK2" s="16" t="n">
        <v>5.42</v>
      </c>
      <c r="ZL2" s="16" t="n">
        <v>6.61</v>
      </c>
      <c r="ZM2" s="16"/>
      <c r="ZN2" s="16"/>
      <c r="ZO2" s="16" t="n">
        <v>0</v>
      </c>
      <c r="ZP2" s="16" t="n">
        <v>0</v>
      </c>
      <c r="ZQ2" s="16" t="n">
        <v>0</v>
      </c>
      <c r="ZR2" s="0" t="n">
        <v>0</v>
      </c>
      <c r="ZS2" s="0" t="s">
        <v>190</v>
      </c>
      <c r="ZT2" s="0" t="n">
        <v>38.5</v>
      </c>
      <c r="ZU2" s="16" t="n">
        <v>92</v>
      </c>
      <c r="ZV2" s="16" t="n">
        <v>80.4</v>
      </c>
      <c r="ZW2" s="16" t="n">
        <v>11</v>
      </c>
      <c r="ZX2" s="0" t="n">
        <v>95.37</v>
      </c>
      <c r="ZY2" s="17" t="n">
        <v>0</v>
      </c>
      <c r="ZZ2" s="0" t="n">
        <v>4.63</v>
      </c>
      <c r="AAA2" s="0" t="n">
        <v>0</v>
      </c>
      <c r="AAB2" s="0" t="n">
        <v>0</v>
      </c>
      <c r="AAC2" s="0" t="n">
        <v>0</v>
      </c>
      <c r="AAD2" s="0" t="n">
        <v>0</v>
      </c>
      <c r="AAE2" s="0" t="n">
        <v>0</v>
      </c>
      <c r="AAF2" s="0" t="n">
        <v>0</v>
      </c>
      <c r="AAG2" s="0" t="n">
        <v>0</v>
      </c>
      <c r="AAH2" s="0" t="n">
        <v>0</v>
      </c>
      <c r="AAI2" s="0" t="n">
        <v>2.85</v>
      </c>
      <c r="AAJ2" s="0" t="n">
        <v>16.15</v>
      </c>
      <c r="AAK2" s="0" t="n">
        <v>42.55</v>
      </c>
      <c r="AAL2" s="0" t="n">
        <v>4.63</v>
      </c>
      <c r="AAM2" s="0" t="n">
        <v>0</v>
      </c>
      <c r="AAN2" s="0" t="n">
        <v>5.7</v>
      </c>
      <c r="AAO2" s="0" t="n">
        <v>1</v>
      </c>
      <c r="AAP2" s="0" t="n">
        <v>3</v>
      </c>
      <c r="AAR2" s="0" t="n">
        <v>1</v>
      </c>
      <c r="AAV2" s="0" t="n">
        <v>3</v>
      </c>
      <c r="AAX2" s="0" t="n">
        <v>1</v>
      </c>
      <c r="ABB2" s="0" t="n">
        <v>4.8</v>
      </c>
      <c r="ABC2" s="0" t="n">
        <v>0</v>
      </c>
      <c r="ABN2" s="18"/>
      <c r="ACF2" s="0" t="n">
        <v>1</v>
      </c>
      <c r="ACG2" s="0" t="n">
        <v>70</v>
      </c>
      <c r="ACH2" s="0" t="n">
        <v>3</v>
      </c>
      <c r="ACI2" s="0" t="n">
        <f aca="false">14.97+0.86+0.7</f>
        <v>16.53</v>
      </c>
      <c r="ACJ2" s="0" t="n">
        <v>3</v>
      </c>
      <c r="ACK2" s="0" t="n">
        <v>60</v>
      </c>
      <c r="ACL2" s="0" t="n">
        <v>3</v>
      </c>
      <c r="ACM2" s="0" t="n">
        <f aca="false">3.02+0.97+0.6</f>
        <v>4.59</v>
      </c>
      <c r="ACN2" s="0" t="n">
        <v>3</v>
      </c>
      <c r="ADQ2" s="16" t="n">
        <v>2.82</v>
      </c>
      <c r="ADR2" s="16" t="n">
        <v>1</v>
      </c>
      <c r="ADS2" s="16" t="n">
        <v>1</v>
      </c>
      <c r="ADT2" s="16"/>
      <c r="ADU2" s="16" t="n">
        <f aca="false">0.93*2</f>
        <v>1.86</v>
      </c>
      <c r="ADV2" s="16" t="n">
        <v>2</v>
      </c>
      <c r="ADW2" s="16"/>
      <c r="ADX2" s="16" t="n">
        <f aca="false">9.6+1.93</f>
        <v>11.53</v>
      </c>
      <c r="ADY2" s="16"/>
      <c r="ADZ2" s="16"/>
      <c r="AEA2" s="16"/>
      <c r="AEB2" s="16" t="n">
        <v>13.91</v>
      </c>
      <c r="AEC2" s="16" t="n">
        <v>17.31</v>
      </c>
      <c r="AED2" s="16"/>
      <c r="AEE2" s="16"/>
      <c r="AEF2" s="16" t="n">
        <v>0</v>
      </c>
      <c r="AEG2" s="16" t="n">
        <v>0</v>
      </c>
      <c r="AEH2" s="16" t="n">
        <v>0</v>
      </c>
      <c r="AEI2" s="0" t="n">
        <v>0</v>
      </c>
      <c r="AEJ2" s="0" t="s">
        <v>191</v>
      </c>
      <c r="AEK2" s="0" t="n">
        <v>44</v>
      </c>
      <c r="AEL2" s="16" t="n">
        <v>75.8</v>
      </c>
      <c r="AEM2" s="16" t="n">
        <v>80.4</v>
      </c>
      <c r="AEN2" s="16" t="n">
        <v>12.2</v>
      </c>
      <c r="AEO2" s="0" t="n">
        <v>90.24</v>
      </c>
      <c r="AEP2" s="17" t="n">
        <v>0</v>
      </c>
      <c r="AEQ2" s="0" t="n">
        <v>6.27</v>
      </c>
      <c r="AER2" s="0" t="n">
        <v>0</v>
      </c>
      <c r="AES2" s="0" t="n">
        <v>3.49</v>
      </c>
      <c r="AET2" s="0" t="n">
        <v>0</v>
      </c>
      <c r="AEU2" s="0" t="n">
        <v>0</v>
      </c>
      <c r="AEV2" s="0" t="n">
        <v>0</v>
      </c>
      <c r="AEW2" s="0" t="n">
        <v>0</v>
      </c>
      <c r="AEX2" s="0" t="n">
        <v>0</v>
      </c>
      <c r="AEY2" s="0" t="n">
        <v>0</v>
      </c>
      <c r="AEZ2" s="0" t="n">
        <v>0</v>
      </c>
      <c r="AFA2" s="0" t="n">
        <v>24.37</v>
      </c>
      <c r="AFB2" s="0" t="n">
        <v>32.21</v>
      </c>
      <c r="AFC2" s="0" t="n">
        <v>3.56</v>
      </c>
      <c r="AFD2" s="0" t="n">
        <v>0</v>
      </c>
      <c r="AFE2" s="0" t="n">
        <v>0</v>
      </c>
      <c r="AFF2" s="0" t="n">
        <v>0</v>
      </c>
      <c r="AFS2" s="0" t="n">
        <v>20.3</v>
      </c>
      <c r="AFT2" s="0" t="n">
        <v>1</v>
      </c>
      <c r="AFU2" s="0" t="n">
        <v>30</v>
      </c>
      <c r="AFV2" s="0" t="n">
        <v>4</v>
      </c>
      <c r="AFW2" s="0" t="n">
        <v>3.01</v>
      </c>
      <c r="AFX2" s="0" t="n">
        <v>5</v>
      </c>
      <c r="AFY2" s="0" t="n">
        <v>68</v>
      </c>
      <c r="AFZ2" s="0" t="n">
        <v>2</v>
      </c>
      <c r="AGA2" s="0" t="n">
        <v>1.52</v>
      </c>
      <c r="AGB2" s="0" t="n">
        <v>1</v>
      </c>
      <c r="AGC2" s="0" t="n">
        <v>47</v>
      </c>
      <c r="AGD2" s="0" t="n">
        <v>1</v>
      </c>
      <c r="AGE2" s="18" t="n">
        <v>0.07</v>
      </c>
      <c r="AGF2" s="0" t="n">
        <v>3</v>
      </c>
      <c r="AGW2" s="0" t="n">
        <v>0</v>
      </c>
      <c r="AIH2" s="16" t="n">
        <v>1.88</v>
      </c>
      <c r="AII2" s="16" t="n">
        <v>1</v>
      </c>
      <c r="AIJ2" s="16" t="n">
        <v>2</v>
      </c>
      <c r="AIK2" s="16"/>
      <c r="AIL2" s="16" t="n">
        <v>4.18</v>
      </c>
      <c r="AIM2" s="16"/>
      <c r="AIN2" s="16"/>
      <c r="AIO2" s="16"/>
      <c r="AIP2" s="16"/>
      <c r="AIQ2" s="16"/>
      <c r="AIR2" s="16"/>
      <c r="AIS2" s="16" t="n">
        <v>7.15</v>
      </c>
      <c r="AIT2" s="16" t="n">
        <v>6.06</v>
      </c>
      <c r="AIU2" s="16"/>
      <c r="AIV2" s="16"/>
      <c r="AIW2" s="16" t="n">
        <v>0</v>
      </c>
      <c r="AIX2" s="16" t="n">
        <v>0</v>
      </c>
      <c r="AIY2" s="16" t="n">
        <v>0</v>
      </c>
      <c r="AIZ2" s="0" t="n">
        <v>0</v>
      </c>
      <c r="AJA2" s="0" t="s">
        <v>192</v>
      </c>
      <c r="AJB2" s="0" t="n">
        <v>47.5</v>
      </c>
      <c r="AJC2" s="16" t="n">
        <v>79.3</v>
      </c>
      <c r="AJD2" s="16" t="n">
        <v>80.4</v>
      </c>
      <c r="AJE2" s="16" t="n">
        <v>36.3</v>
      </c>
      <c r="AJF2" s="0" t="n">
        <v>66.23</v>
      </c>
      <c r="AJG2" s="17" t="n">
        <v>0</v>
      </c>
      <c r="AJH2" s="0" t="n">
        <v>33.77</v>
      </c>
      <c r="AJI2" s="0" t="n">
        <v>0</v>
      </c>
      <c r="AJJ2" s="0" t="n">
        <v>0</v>
      </c>
      <c r="AJK2" s="0" t="n">
        <v>0</v>
      </c>
      <c r="AJL2" s="0" t="n">
        <v>0</v>
      </c>
      <c r="AJM2" s="0" t="n">
        <v>0</v>
      </c>
      <c r="AJN2" s="0" t="n">
        <v>0</v>
      </c>
      <c r="AJO2" s="0" t="n">
        <v>0</v>
      </c>
      <c r="AJP2" s="0" t="n">
        <v>0</v>
      </c>
      <c r="AJQ2" s="0" t="n">
        <v>0</v>
      </c>
      <c r="AJR2" s="0" t="n">
        <v>38.37</v>
      </c>
      <c r="AJS2" s="0" t="n">
        <v>20.04</v>
      </c>
      <c r="AJT2" s="0" t="n">
        <v>11.21</v>
      </c>
      <c r="AJU2" s="0" t="n">
        <v>0</v>
      </c>
      <c r="AJV2" s="0" t="n">
        <v>0</v>
      </c>
      <c r="AJW2" s="0" t="n">
        <v>0</v>
      </c>
      <c r="AKJ2" s="0" t="n">
        <v>6.9</v>
      </c>
      <c r="AKK2" s="0" t="n">
        <v>1</v>
      </c>
      <c r="AKL2" s="0" t="n">
        <v>47</v>
      </c>
      <c r="AKM2" s="0" t="n">
        <v>3</v>
      </c>
      <c r="AKN2" s="0" t="n">
        <f aca="false">0.11+0.74+0.08</f>
        <v>0.93</v>
      </c>
      <c r="AKO2" s="0" t="n">
        <v>3</v>
      </c>
      <c r="AKP2" s="0" t="n">
        <v>68</v>
      </c>
      <c r="AKQ2" s="0" t="n">
        <v>1</v>
      </c>
      <c r="AKR2" s="0" t="n">
        <v>0.76</v>
      </c>
      <c r="AKS2" s="0" t="n">
        <v>1</v>
      </c>
      <c r="AKV2" s="18"/>
      <c r="ALN2" s="0" t="n">
        <v>0</v>
      </c>
    </row>
    <row r="3" customFormat="false" ht="13.8" hidden="false" customHeight="false" outlineLevel="0" collapsed="false">
      <c r="A3" s="1" t="s">
        <v>193</v>
      </c>
      <c r="B3" s="12" t="n">
        <v>42892</v>
      </c>
      <c r="C3" s="0" t="n">
        <v>2</v>
      </c>
      <c r="D3" s="13" t="n">
        <v>36259</v>
      </c>
      <c r="E3" s="12" t="n">
        <v>28301</v>
      </c>
      <c r="F3" s="14" t="n">
        <f aca="false">(B3-E3)/365.25</f>
        <v>39.9479808350445</v>
      </c>
      <c r="G3" s="14" t="n">
        <f aca="false">(B3-D3)/365.25</f>
        <v>18.1601642710472</v>
      </c>
      <c r="H3" s="15" t="s">
        <v>181</v>
      </c>
      <c r="I3" s="15" t="s">
        <v>194</v>
      </c>
      <c r="J3" s="15" t="s">
        <v>183</v>
      </c>
      <c r="K3" s="15" t="n">
        <v>8</v>
      </c>
      <c r="L3" s="19" t="n">
        <v>80</v>
      </c>
      <c r="M3" s="16" t="n">
        <v>1.8</v>
      </c>
      <c r="N3" s="16" t="n">
        <f aca="false">L3/(M3*M3)</f>
        <v>24.6913580246914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  <c r="X3" s="19" t="n">
        <v>0</v>
      </c>
      <c r="Y3" s="19" t="n">
        <v>0</v>
      </c>
      <c r="Z3" s="19" t="n">
        <v>0</v>
      </c>
      <c r="AA3" s="19" t="n">
        <v>0</v>
      </c>
      <c r="AB3" s="19" t="n">
        <v>0</v>
      </c>
      <c r="AC3" s="19" t="n">
        <v>0</v>
      </c>
      <c r="AD3" s="19" t="n">
        <v>0</v>
      </c>
      <c r="AE3" s="19" t="n">
        <v>0</v>
      </c>
      <c r="AF3" s="19" t="n">
        <v>0</v>
      </c>
      <c r="AG3" s="19" t="n">
        <v>0</v>
      </c>
      <c r="AH3" s="19" t="n">
        <v>0</v>
      </c>
      <c r="AI3" s="15" t="n">
        <v>0</v>
      </c>
      <c r="AJ3" s="15" t="n">
        <v>0</v>
      </c>
      <c r="AK3" s="15" t="n">
        <v>0</v>
      </c>
      <c r="AL3" s="15" t="n">
        <v>0</v>
      </c>
      <c r="AM3" s="19" t="n">
        <v>0</v>
      </c>
      <c r="AN3" s="19" t="n">
        <v>0</v>
      </c>
      <c r="AO3" s="19" t="n">
        <v>0</v>
      </c>
      <c r="AP3" s="19" t="n">
        <v>0</v>
      </c>
      <c r="AQ3" s="19" t="n">
        <v>0</v>
      </c>
      <c r="AR3" s="19" t="n">
        <v>0</v>
      </c>
      <c r="AS3" s="19" t="n">
        <v>0</v>
      </c>
      <c r="AT3" s="19" t="n">
        <v>0</v>
      </c>
      <c r="AU3" s="19" t="n">
        <v>0</v>
      </c>
      <c r="AV3" s="19" t="n">
        <v>0</v>
      </c>
      <c r="AW3" s="19" t="n">
        <v>0</v>
      </c>
      <c r="AX3" s="19" t="n">
        <v>0</v>
      </c>
      <c r="AY3" s="19" t="n">
        <v>0</v>
      </c>
      <c r="AZ3" s="19" t="n">
        <v>0</v>
      </c>
      <c r="BA3" s="19" t="n">
        <v>0</v>
      </c>
      <c r="BB3" s="19" t="n">
        <v>0</v>
      </c>
      <c r="BC3" s="19" t="n">
        <v>0</v>
      </c>
      <c r="BD3" s="19" t="n">
        <v>0</v>
      </c>
      <c r="BE3" s="19" t="n">
        <v>0</v>
      </c>
      <c r="BF3" s="19" t="n">
        <v>0</v>
      </c>
      <c r="BG3" s="19" t="n">
        <v>0</v>
      </c>
      <c r="BH3" s="19" t="n">
        <v>0</v>
      </c>
      <c r="BI3" s="19" t="n">
        <v>0</v>
      </c>
      <c r="BJ3" s="19" t="n">
        <v>0</v>
      </c>
      <c r="BK3" s="19" t="n">
        <v>0</v>
      </c>
      <c r="BL3" s="19" t="n">
        <v>0</v>
      </c>
      <c r="BM3" s="19" t="n">
        <v>0</v>
      </c>
      <c r="BN3" s="19" t="n">
        <v>0</v>
      </c>
      <c r="BO3" s="19" t="n">
        <v>0</v>
      </c>
      <c r="BP3" s="19" t="n">
        <v>0</v>
      </c>
      <c r="BQ3" s="19" t="n">
        <v>0</v>
      </c>
      <c r="BR3" s="19" t="n">
        <v>1</v>
      </c>
      <c r="BS3" s="19" t="n">
        <v>1</v>
      </c>
      <c r="BT3" s="19" t="n">
        <v>3</v>
      </c>
      <c r="BU3" s="19" t="n">
        <v>4</v>
      </c>
      <c r="BV3" s="19" t="n">
        <v>3</v>
      </c>
      <c r="BW3" s="19" t="n">
        <v>2</v>
      </c>
      <c r="BX3" s="19" t="n">
        <v>4</v>
      </c>
      <c r="BY3" s="19" t="n">
        <v>3</v>
      </c>
      <c r="BZ3" s="19" t="n">
        <v>2</v>
      </c>
      <c r="CA3" s="19" t="n">
        <v>2</v>
      </c>
      <c r="CB3" s="19" t="n">
        <v>2</v>
      </c>
      <c r="CC3" s="19" t="n">
        <v>4</v>
      </c>
      <c r="CD3" s="19" t="n">
        <v>3</v>
      </c>
      <c r="CE3" s="19" t="n">
        <v>3</v>
      </c>
      <c r="CF3" s="19" t="n">
        <v>2</v>
      </c>
      <c r="CG3" s="19" t="n">
        <v>4</v>
      </c>
      <c r="CH3" s="19" t="n">
        <v>3</v>
      </c>
      <c r="CI3" s="19" t="n">
        <v>3</v>
      </c>
      <c r="CJ3" s="19" t="n">
        <v>3</v>
      </c>
      <c r="CK3" s="19" t="n">
        <v>10</v>
      </c>
      <c r="CL3" s="0" t="s">
        <v>195</v>
      </c>
      <c r="CM3" s="0" t="n">
        <v>37.5</v>
      </c>
      <c r="CN3" s="16" t="n">
        <v>87.4</v>
      </c>
      <c r="CO3" s="16" t="n">
        <v>80.4</v>
      </c>
      <c r="CP3" s="16" t="n">
        <v>18.5</v>
      </c>
      <c r="CQ3" s="0" t="n">
        <v>84.21</v>
      </c>
      <c r="CR3" s="17" t="n">
        <v>0</v>
      </c>
      <c r="CS3" s="0" t="n">
        <v>0</v>
      </c>
      <c r="CT3" s="0" t="n">
        <v>0</v>
      </c>
      <c r="CU3" s="0" t="n">
        <v>15.79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26.71</v>
      </c>
      <c r="DC3" s="0" t="n">
        <v>13.13</v>
      </c>
      <c r="DD3" s="0" t="n">
        <v>49.12</v>
      </c>
      <c r="DE3" s="0" t="n">
        <v>14.67</v>
      </c>
      <c r="DF3" s="0" t="n">
        <v>0</v>
      </c>
      <c r="DG3" s="0" t="n">
        <v>0</v>
      </c>
      <c r="DH3" s="0" t="n">
        <v>0</v>
      </c>
      <c r="DU3" s="0" t="n">
        <v>1.1</v>
      </c>
      <c r="DV3" s="0" t="n">
        <v>1</v>
      </c>
      <c r="DW3" s="0" t="n">
        <v>52</v>
      </c>
      <c r="DX3" s="0" t="n">
        <v>1</v>
      </c>
      <c r="DY3" s="0" t="n">
        <v>0.22</v>
      </c>
      <c r="DZ3" s="0" t="n">
        <v>2</v>
      </c>
      <c r="EA3" s="0" t="n">
        <v>35</v>
      </c>
      <c r="EB3" s="0" t="n">
        <v>2</v>
      </c>
      <c r="EC3" s="0" t="n">
        <v>0.16</v>
      </c>
      <c r="ED3" s="0" t="n">
        <v>3</v>
      </c>
      <c r="EG3" s="20"/>
      <c r="EY3" s="0" t="n">
        <v>0</v>
      </c>
      <c r="GJ3" s="16" t="n">
        <v>4.3</v>
      </c>
      <c r="GK3" s="16" t="n">
        <v>1</v>
      </c>
      <c r="GL3" s="16" t="n">
        <v>1</v>
      </c>
      <c r="GM3" s="16"/>
      <c r="GN3" s="16" t="n">
        <f aca="false">(2.11*6)+0.9+0.9+0.62+0.62+0.93+0.3+0.3+0.22+0.22+0.23+0.22+0.22+0.22</f>
        <v>18.56</v>
      </c>
      <c r="GO3" s="16"/>
      <c r="GP3" s="16"/>
      <c r="GQ3" s="16"/>
      <c r="GR3" s="16"/>
      <c r="GS3" s="16"/>
      <c r="GT3" s="16"/>
      <c r="GU3" s="16" t="n">
        <v>10.31</v>
      </c>
      <c r="GV3" s="16" t="n">
        <v>34.85</v>
      </c>
      <c r="GW3" s="16" t="n">
        <v>0</v>
      </c>
      <c r="GX3" s="16" t="n">
        <v>0</v>
      </c>
      <c r="GY3" s="16" t="n">
        <v>0</v>
      </c>
      <c r="GZ3" s="16" t="n">
        <v>0</v>
      </c>
      <c r="HA3" s="16" t="n">
        <v>0</v>
      </c>
      <c r="HB3" s="0" t="n">
        <v>0</v>
      </c>
      <c r="HC3" s="0" t="s">
        <v>196</v>
      </c>
      <c r="HD3" s="0" t="n">
        <v>39.5</v>
      </c>
      <c r="HE3" s="16" t="n">
        <v>89.8</v>
      </c>
      <c r="HF3" s="16" t="n">
        <v>80.4</v>
      </c>
      <c r="HG3" s="16" t="n">
        <v>5.1</v>
      </c>
      <c r="HH3" s="0" t="n">
        <v>100</v>
      </c>
      <c r="HI3" s="17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50.37</v>
      </c>
      <c r="HU3" s="0" t="n">
        <v>16.55</v>
      </c>
      <c r="HV3" s="0" t="n">
        <v>0.4</v>
      </c>
      <c r="HW3" s="0" t="n">
        <v>0</v>
      </c>
      <c r="HX3" s="0" t="n">
        <v>27.4</v>
      </c>
      <c r="HY3" s="0" t="n">
        <v>1</v>
      </c>
      <c r="HZ3" s="0" t="n">
        <v>3</v>
      </c>
      <c r="IB3" s="0" t="n">
        <v>4</v>
      </c>
      <c r="IF3" s="0" t="n">
        <v>3</v>
      </c>
      <c r="IH3" s="0" t="n">
        <v>4</v>
      </c>
      <c r="IL3" s="0" t="n">
        <v>0.1</v>
      </c>
      <c r="IM3" s="0" t="n">
        <v>1</v>
      </c>
      <c r="IN3" s="0" t="n">
        <v>34</v>
      </c>
      <c r="IO3" s="0" t="n">
        <v>9</v>
      </c>
      <c r="IP3" s="0" t="n">
        <f aca="false">(1.71*3)+(0.2*2)</f>
        <v>5.53</v>
      </c>
      <c r="IQ3" s="0" t="n">
        <v>1</v>
      </c>
      <c r="IR3" s="0" t="n">
        <v>35</v>
      </c>
      <c r="IS3" s="0" t="n">
        <v>1</v>
      </c>
      <c r="IT3" s="16" t="n">
        <v>0.02</v>
      </c>
      <c r="IU3" s="0" t="n">
        <v>3</v>
      </c>
      <c r="IX3" s="20"/>
      <c r="JP3" s="0" t="n">
        <v>0</v>
      </c>
      <c r="LA3" s="16" t="n">
        <v>1.49</v>
      </c>
      <c r="LB3" s="16" t="n">
        <v>1</v>
      </c>
      <c r="LC3" s="16" t="n">
        <v>1</v>
      </c>
      <c r="LD3" s="16"/>
      <c r="LE3" s="16" t="n">
        <f aca="false">2.11+2.11+0.56+0.56</f>
        <v>5.34</v>
      </c>
      <c r="LF3" s="16"/>
      <c r="LG3" s="16"/>
      <c r="LH3" s="16"/>
      <c r="LI3" s="16"/>
      <c r="LJ3" s="16"/>
      <c r="LK3" s="16"/>
      <c r="LL3" s="16" t="n">
        <v>5.01</v>
      </c>
      <c r="LM3" s="16" t="n">
        <v>5.13</v>
      </c>
      <c r="LN3" s="16" t="n">
        <v>0</v>
      </c>
      <c r="LO3" s="16" t="n">
        <v>0</v>
      </c>
      <c r="LP3" s="16" t="n">
        <v>0</v>
      </c>
      <c r="LQ3" s="16" t="n">
        <v>0</v>
      </c>
      <c r="LR3" s="16" t="n">
        <v>0</v>
      </c>
      <c r="LS3" s="0" t="n">
        <v>0</v>
      </c>
      <c r="LT3" s="0" t="s">
        <v>197</v>
      </c>
      <c r="LU3" s="0" t="n">
        <v>49.5</v>
      </c>
      <c r="LV3" s="16" t="n">
        <v>90.1</v>
      </c>
      <c r="LW3" s="16" t="n">
        <v>80.4</v>
      </c>
      <c r="LX3" s="16" t="n">
        <v>9.9</v>
      </c>
      <c r="LY3" s="0" t="n">
        <v>94.62</v>
      </c>
      <c r="LZ3" s="17" t="n">
        <v>0</v>
      </c>
      <c r="MA3" s="0" t="n">
        <v>0.32</v>
      </c>
      <c r="MB3" s="0" t="n">
        <v>0</v>
      </c>
      <c r="MC3" s="0" t="n">
        <v>5.05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3.42</v>
      </c>
      <c r="MK3" s="0" t="n">
        <v>32.25</v>
      </c>
      <c r="ML3" s="0" t="n">
        <v>29.89</v>
      </c>
      <c r="MM3" s="0" t="n">
        <v>8.28</v>
      </c>
      <c r="MN3" s="0" t="n">
        <v>0</v>
      </c>
      <c r="MO3" s="0" t="n">
        <v>12.9</v>
      </c>
      <c r="MP3" s="0" t="n">
        <v>1</v>
      </c>
      <c r="MQ3" s="0" t="n">
        <v>7</v>
      </c>
      <c r="MS3" s="0" t="n">
        <v>5</v>
      </c>
      <c r="MT3" s="0" t="n">
        <v>3</v>
      </c>
      <c r="MV3" s="0" t="n">
        <v>3</v>
      </c>
      <c r="MW3" s="0" t="n">
        <v>7</v>
      </c>
      <c r="MY3" s="0" t="n">
        <v>5</v>
      </c>
      <c r="MZ3" s="0" t="n">
        <v>3</v>
      </c>
      <c r="NB3" s="0" t="n">
        <v>3</v>
      </c>
      <c r="NC3" s="0" t="n">
        <v>16.6</v>
      </c>
      <c r="ND3" s="0" t="n">
        <v>1</v>
      </c>
      <c r="NE3" s="0" t="n">
        <v>68</v>
      </c>
      <c r="NF3" s="0" t="n">
        <v>6</v>
      </c>
      <c r="NG3" s="0" t="n">
        <v>0.21</v>
      </c>
      <c r="NH3" s="0" t="n">
        <v>1</v>
      </c>
      <c r="NI3" s="0" t="n">
        <v>35</v>
      </c>
      <c r="NJ3" s="0" t="n">
        <v>3</v>
      </c>
      <c r="NK3" s="0" t="n">
        <v>0.51</v>
      </c>
      <c r="NL3" s="0" t="n">
        <v>3</v>
      </c>
      <c r="NM3" s="0" t="n">
        <v>47</v>
      </c>
      <c r="NN3" s="0" t="n">
        <v>22</v>
      </c>
      <c r="NO3" s="20" t="n">
        <f aca="false">(0.43*3)+(0.07*4)+0.22</f>
        <v>1.79</v>
      </c>
      <c r="NP3" s="0" t="n">
        <v>3</v>
      </c>
      <c r="OG3" s="0" t="n">
        <v>1</v>
      </c>
      <c r="OH3" s="0" t="n">
        <v>60</v>
      </c>
      <c r="OI3" s="0" t="n">
        <v>17</v>
      </c>
      <c r="OJ3" s="0" t="n">
        <f aca="false">0.22+0.04+0.11+0.08+0.08+0.05</f>
        <v>0.58</v>
      </c>
      <c r="OK3" s="0" t="n">
        <v>3</v>
      </c>
      <c r="OL3" s="0" t="n">
        <v>60</v>
      </c>
      <c r="OM3" s="0" t="n">
        <v>12</v>
      </c>
      <c r="ON3" s="0" t="n">
        <f aca="false">0.87+0.43+0.15+0.07</f>
        <v>1.52</v>
      </c>
      <c r="OO3" s="0" t="n">
        <v>1</v>
      </c>
      <c r="PR3" s="16" t="n">
        <v>2.49</v>
      </c>
      <c r="PS3" s="16" t="n">
        <v>1</v>
      </c>
      <c r="PT3" s="16" t="n">
        <v>1</v>
      </c>
      <c r="PU3" s="16"/>
      <c r="PV3" s="16" t="n">
        <v>10.89</v>
      </c>
      <c r="PW3" s="16"/>
      <c r="PX3" s="16"/>
      <c r="PY3" s="16"/>
      <c r="PZ3" s="16"/>
      <c r="QA3" s="16"/>
      <c r="QB3" s="16"/>
      <c r="QC3" s="16" t="n">
        <v>4.17</v>
      </c>
      <c r="QD3" s="16" t="n">
        <v>3.7</v>
      </c>
      <c r="QE3" s="16" t="n">
        <v>0</v>
      </c>
      <c r="QF3" s="16" t="n">
        <v>0</v>
      </c>
      <c r="QG3" s="16" t="n">
        <v>0</v>
      </c>
      <c r="QH3" s="16" t="n">
        <v>0</v>
      </c>
      <c r="QI3" s="16" t="n">
        <v>0</v>
      </c>
      <c r="QJ3" s="0" t="n">
        <v>0</v>
      </c>
      <c r="QK3" s="0" t="s">
        <v>198</v>
      </c>
      <c r="QL3" s="0" t="n">
        <v>28.5</v>
      </c>
      <c r="QM3" s="16" t="n">
        <v>78.4</v>
      </c>
      <c r="QN3" s="16" t="n">
        <v>80.4</v>
      </c>
      <c r="QO3" s="16" t="n">
        <v>16</v>
      </c>
      <c r="QP3" s="0" t="n">
        <v>95.22</v>
      </c>
      <c r="QQ3" s="17" t="n">
        <v>0</v>
      </c>
      <c r="QR3" s="0" t="n">
        <v>4.23</v>
      </c>
      <c r="QS3" s="0" t="n">
        <v>0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9.77</v>
      </c>
      <c r="RB3" s="0" t="n">
        <v>2.18</v>
      </c>
      <c r="RC3" s="0" t="n">
        <v>46.81</v>
      </c>
      <c r="RD3" s="0" t="n">
        <v>10.57</v>
      </c>
      <c r="RE3" s="0" t="n">
        <v>0</v>
      </c>
      <c r="RF3" s="0" t="n">
        <v>0</v>
      </c>
      <c r="RG3" s="0" t="n">
        <v>0</v>
      </c>
      <c r="RT3" s="0" t="n">
        <v>0</v>
      </c>
      <c r="RU3" s="0" t="n">
        <v>0</v>
      </c>
      <c r="SF3" s="20"/>
      <c r="SX3" s="0" t="n">
        <v>0</v>
      </c>
      <c r="UI3" s="16" t="n">
        <v>4.23</v>
      </c>
      <c r="UJ3" s="16" t="n">
        <v>1</v>
      </c>
      <c r="UK3" s="16" t="n">
        <v>2</v>
      </c>
      <c r="UL3" s="16"/>
      <c r="UM3" s="16" t="n">
        <v>6.34</v>
      </c>
      <c r="UN3" s="16" t="n">
        <v>1</v>
      </c>
      <c r="UO3" s="16" t="n">
        <v>1</v>
      </c>
      <c r="UP3" s="16" t="n">
        <f aca="false">9.52+3.17+3.17+3.17+1.12+1.12+1.12</f>
        <v>22.39</v>
      </c>
      <c r="UQ3" s="16"/>
      <c r="UR3" s="16"/>
      <c r="US3" s="16"/>
      <c r="UT3" s="16" t="n">
        <v>5.41</v>
      </c>
      <c r="UU3" s="16" t="n">
        <v>8.96</v>
      </c>
      <c r="UV3" s="16" t="n">
        <v>0</v>
      </c>
      <c r="UW3" s="16" t="n">
        <v>0</v>
      </c>
      <c r="UX3" s="16" t="n">
        <v>0</v>
      </c>
      <c r="UY3" s="16" t="n">
        <v>0</v>
      </c>
      <c r="UZ3" s="16" t="n">
        <v>0</v>
      </c>
      <c r="VA3" s="0" t="n">
        <v>0</v>
      </c>
      <c r="VB3" s="0" t="s">
        <v>199</v>
      </c>
      <c r="VC3" s="0" t="n">
        <v>56.5</v>
      </c>
      <c r="VD3" s="16" t="n">
        <v>88.4</v>
      </c>
      <c r="VE3" s="16" t="n">
        <v>80.4</v>
      </c>
      <c r="VF3" s="16" t="n">
        <v>24.8</v>
      </c>
      <c r="VG3" s="0" t="n">
        <v>77.37</v>
      </c>
      <c r="VH3" s="17" t="n">
        <v>0</v>
      </c>
      <c r="VI3" s="0" t="n">
        <v>7.99</v>
      </c>
      <c r="VJ3" s="0" t="n">
        <v>0</v>
      </c>
      <c r="VK3" s="0" t="n">
        <v>14.63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8.04</v>
      </c>
      <c r="VS3" s="0" t="n">
        <v>23.21</v>
      </c>
      <c r="VT3" s="0" t="n">
        <v>37.03</v>
      </c>
      <c r="VU3" s="0" t="n">
        <v>14.79</v>
      </c>
      <c r="VV3" s="0" t="n">
        <v>0</v>
      </c>
      <c r="VW3" s="0" t="n">
        <v>0</v>
      </c>
      <c r="VX3" s="0" t="n">
        <v>0</v>
      </c>
      <c r="WK3" s="0" t="n">
        <v>25.5</v>
      </c>
      <c r="WL3" s="0" t="n">
        <v>1</v>
      </c>
      <c r="WM3" s="0" t="n">
        <v>52</v>
      </c>
      <c r="WN3" s="0" t="n">
        <v>13</v>
      </c>
      <c r="WO3" s="0" t="n">
        <f aca="false">0.27+1.07+0.13+0.27</f>
        <v>1.74</v>
      </c>
      <c r="WP3" s="0" t="n">
        <v>2</v>
      </c>
      <c r="WQ3" s="0" t="n">
        <v>35</v>
      </c>
      <c r="WR3" s="0" t="n">
        <v>3</v>
      </c>
      <c r="WS3" s="0" t="n">
        <f aca="false">0.13+0.08+0.24</f>
        <v>0.45</v>
      </c>
      <c r="WT3" s="0" t="n">
        <v>3</v>
      </c>
      <c r="WU3" s="0" t="n">
        <v>47</v>
      </c>
      <c r="WV3" s="0" t="n">
        <v>5</v>
      </c>
      <c r="WW3" s="20" t="n">
        <f aca="false">0.76+1.14+0.76+0.13+0.08</f>
        <v>2.87</v>
      </c>
      <c r="WX3" s="0" t="n">
        <v>3</v>
      </c>
      <c r="XO3" s="0" t="n">
        <v>0</v>
      </c>
      <c r="YZ3" s="16" t="n">
        <v>2.59</v>
      </c>
      <c r="ZA3" s="16" t="n">
        <v>1</v>
      </c>
      <c r="ZB3" s="16" t="n">
        <v>1</v>
      </c>
      <c r="ZC3" s="16"/>
      <c r="ZD3" s="16" t="n">
        <f aca="false">(2.11*4)+0.37</f>
        <v>8.81</v>
      </c>
      <c r="ZE3" s="16"/>
      <c r="ZF3" s="16"/>
      <c r="ZG3" s="16"/>
      <c r="ZH3" s="16"/>
      <c r="ZI3" s="16"/>
      <c r="ZJ3" s="16"/>
      <c r="ZK3" s="16" t="n">
        <v>1.33</v>
      </c>
      <c r="ZL3" s="16" t="n">
        <v>0.89</v>
      </c>
      <c r="ZM3" s="16" t="n">
        <v>0</v>
      </c>
      <c r="ZN3" s="16" t="n">
        <v>0</v>
      </c>
      <c r="ZO3" s="16" t="n">
        <v>0</v>
      </c>
      <c r="ZP3" s="16" t="n">
        <v>0</v>
      </c>
      <c r="ZQ3" s="16" t="n">
        <v>0</v>
      </c>
      <c r="ZR3" s="0" t="n">
        <v>0</v>
      </c>
      <c r="ZS3" s="0" t="s">
        <v>200</v>
      </c>
      <c r="ZT3" s="0" t="n">
        <v>28.5</v>
      </c>
      <c r="ZU3" s="16" t="n">
        <v>69.4</v>
      </c>
      <c r="ZV3" s="16" t="n">
        <v>80.4</v>
      </c>
      <c r="ZW3" s="16" t="n">
        <v>9.8</v>
      </c>
      <c r="ZX3" s="0" t="n">
        <v>96.02</v>
      </c>
      <c r="ZY3" s="17" t="n">
        <v>0</v>
      </c>
      <c r="ZZ3" s="0" t="n">
        <v>3.98</v>
      </c>
      <c r="AAA3" s="0" t="n">
        <v>0</v>
      </c>
      <c r="AAB3" s="0" t="n">
        <v>0</v>
      </c>
      <c r="AAC3" s="0" t="n">
        <v>0</v>
      </c>
      <c r="AAD3" s="0" t="n">
        <v>0</v>
      </c>
      <c r="AAE3" s="0" t="n">
        <v>0</v>
      </c>
      <c r="AAF3" s="0" t="n">
        <v>0</v>
      </c>
      <c r="AAG3" s="0" t="n">
        <v>0</v>
      </c>
      <c r="AAH3" s="0" t="n">
        <v>0</v>
      </c>
      <c r="AAI3" s="0" t="n">
        <v>0</v>
      </c>
      <c r="AAJ3" s="0" t="n">
        <v>16.55</v>
      </c>
      <c r="AAK3" s="0" t="n">
        <v>26.49</v>
      </c>
      <c r="AAL3" s="0" t="n">
        <v>6.34</v>
      </c>
      <c r="AAM3" s="0" t="n">
        <v>0</v>
      </c>
      <c r="AAN3" s="0" t="n">
        <v>0</v>
      </c>
      <c r="AAO3" s="0" t="n">
        <v>0</v>
      </c>
      <c r="ABB3" s="0" t="n">
        <v>10.2</v>
      </c>
      <c r="ABC3" s="0" t="n">
        <v>1</v>
      </c>
      <c r="ABD3" s="0" t="n">
        <v>35</v>
      </c>
      <c r="ABE3" s="0" t="n">
        <v>1</v>
      </c>
      <c r="ABF3" s="0" t="n">
        <v>0.02</v>
      </c>
      <c r="ABG3" s="0" t="n">
        <v>3</v>
      </c>
      <c r="ABH3" s="0" t="n">
        <v>70</v>
      </c>
      <c r="ABI3" s="0" t="n">
        <v>2</v>
      </c>
      <c r="ABJ3" s="0" t="n">
        <v>0.27</v>
      </c>
      <c r="ABK3" s="0" t="n">
        <v>3</v>
      </c>
      <c r="ABN3" s="20"/>
      <c r="ACF3" s="0" t="n">
        <v>1</v>
      </c>
      <c r="ACG3" s="0" t="n">
        <v>50</v>
      </c>
      <c r="ACH3" s="0" t="n">
        <v>5</v>
      </c>
      <c r="ACI3" s="0" t="n">
        <f aca="false">1.52+0.5+0.19+0.12</f>
        <v>2.33</v>
      </c>
      <c r="ACJ3" s="0" t="n">
        <v>3</v>
      </c>
      <c r="ADQ3" s="16" t="n">
        <v>2.63</v>
      </c>
      <c r="ADR3" s="16" t="n">
        <v>1</v>
      </c>
      <c r="ADS3" s="16" t="n">
        <v>1</v>
      </c>
      <c r="ADT3" s="16"/>
      <c r="ADU3" s="16" t="n">
        <f aca="false">0.04+2.11+3.17+0.37+0.56</f>
        <v>6.25</v>
      </c>
      <c r="ADV3" s="16" t="n">
        <v>2</v>
      </c>
      <c r="ADW3" s="16"/>
      <c r="ADX3" s="16" t="n">
        <f aca="false">0.53+0.53+0.11+0.07+0.15</f>
        <v>1.39</v>
      </c>
      <c r="ADY3" s="16"/>
      <c r="ADZ3" s="16"/>
      <c r="AEA3" s="16"/>
      <c r="AEB3" s="16" t="n">
        <v>3.33</v>
      </c>
      <c r="AEC3" s="16" t="n">
        <v>2.06</v>
      </c>
      <c r="AED3" s="16" t="n">
        <v>0</v>
      </c>
      <c r="AEE3" s="16" t="n">
        <v>0</v>
      </c>
      <c r="AEF3" s="16" t="n">
        <v>0</v>
      </c>
      <c r="AEG3" s="16" t="n">
        <v>0</v>
      </c>
      <c r="AEH3" s="16" t="n">
        <v>0</v>
      </c>
      <c r="AEI3" s="0" t="n">
        <v>0</v>
      </c>
      <c r="AEJ3" s="0" t="s">
        <v>201</v>
      </c>
      <c r="AEK3" s="0" t="n">
        <v>48.5</v>
      </c>
      <c r="AEL3" s="16" t="n">
        <v>89.7</v>
      </c>
      <c r="AEM3" s="16" t="n">
        <v>80.4</v>
      </c>
      <c r="AEN3" s="16" t="n">
        <v>9.3</v>
      </c>
      <c r="AEO3" s="0" t="n">
        <v>100</v>
      </c>
      <c r="AEP3" s="17" t="n">
        <v>0</v>
      </c>
      <c r="AEQ3" s="0" t="n">
        <v>0</v>
      </c>
      <c r="AER3" s="0" t="n">
        <v>0</v>
      </c>
      <c r="AES3" s="0" t="n">
        <v>0</v>
      </c>
      <c r="AET3" s="0" t="n">
        <v>0</v>
      </c>
      <c r="AEU3" s="0" t="n">
        <v>0</v>
      </c>
      <c r="AEV3" s="0" t="n">
        <v>0</v>
      </c>
      <c r="AEW3" s="0" t="n">
        <v>0</v>
      </c>
      <c r="AEX3" s="0" t="n">
        <v>0</v>
      </c>
      <c r="AEY3" s="0" t="n">
        <v>0</v>
      </c>
      <c r="AEZ3" s="0" t="n">
        <v>1.65</v>
      </c>
      <c r="AFA3" s="0" t="n">
        <v>2.69</v>
      </c>
      <c r="AFB3" s="0" t="n">
        <v>54.55</v>
      </c>
      <c r="AFC3" s="0" t="n">
        <v>11.29</v>
      </c>
      <c r="AFD3" s="0" t="n">
        <v>0</v>
      </c>
      <c r="AFE3" s="0" t="n">
        <v>0</v>
      </c>
      <c r="AFF3" s="0" t="n">
        <v>0</v>
      </c>
      <c r="AFS3" s="0" t="n">
        <v>30.6</v>
      </c>
      <c r="AFT3" s="0" t="n">
        <v>1</v>
      </c>
      <c r="AFU3" s="0" t="n">
        <v>35</v>
      </c>
      <c r="AFV3" s="0" t="n">
        <v>14</v>
      </c>
      <c r="AFW3" s="0" t="n">
        <f aca="false">3.05+1.52+1.52+0.27+0.03+0.07</f>
        <v>6.46</v>
      </c>
      <c r="AFX3" s="0" t="n">
        <v>3</v>
      </c>
      <c r="AFY3" s="0" t="n">
        <v>47</v>
      </c>
      <c r="AFZ3" s="0" t="n">
        <v>6</v>
      </c>
      <c r="AGA3" s="0" t="n">
        <f aca="false">1.52+0.27*2</f>
        <v>2.06</v>
      </c>
      <c r="AGB3" s="0" t="n">
        <v>3</v>
      </c>
      <c r="AGE3" s="20"/>
      <c r="AGW3" s="0" t="n">
        <v>0</v>
      </c>
      <c r="AIH3" s="16" t="n">
        <v>3.34</v>
      </c>
      <c r="AII3" s="16" t="n">
        <v>1</v>
      </c>
      <c r="AIJ3" s="16" t="n">
        <v>1</v>
      </c>
      <c r="AIK3" s="16"/>
      <c r="AIL3" s="16" t="n">
        <f aca="false">4.23+1.14+2.11+4.23+1.37+0.02+2.03+0.75+0.37+0.13</f>
        <v>16.38</v>
      </c>
      <c r="AIM3" s="16"/>
      <c r="AIN3" s="16"/>
      <c r="AIO3" s="16"/>
      <c r="AIP3" s="16"/>
      <c r="AIQ3" s="16"/>
      <c r="AIR3" s="16"/>
      <c r="AIS3" s="16" t="n">
        <v>1.45</v>
      </c>
      <c r="AIT3" s="16" t="n">
        <v>1.46</v>
      </c>
      <c r="AIU3" s="16" t="n">
        <v>0</v>
      </c>
      <c r="AIV3" s="16" t="n">
        <v>0</v>
      </c>
      <c r="AIW3" s="16" t="n">
        <v>0</v>
      </c>
      <c r="AIX3" s="16" t="n">
        <v>0</v>
      </c>
      <c r="AIY3" s="16" t="n">
        <v>0</v>
      </c>
      <c r="AIZ3" s="0" t="n">
        <v>0</v>
      </c>
      <c r="AJA3" s="0" t="s">
        <v>202</v>
      </c>
      <c r="AJB3" s="0" t="n">
        <v>60</v>
      </c>
      <c r="AJC3" s="16" t="n">
        <v>55.4</v>
      </c>
      <c r="AJD3" s="16" t="n">
        <v>80.4</v>
      </c>
      <c r="AJE3" s="16" t="n">
        <v>29.6</v>
      </c>
      <c r="AJF3" s="0" t="n">
        <v>76.8</v>
      </c>
      <c r="AJG3" s="17" t="n">
        <v>0</v>
      </c>
      <c r="AJH3" s="0" t="n">
        <v>0</v>
      </c>
      <c r="AJI3" s="0" t="n">
        <v>0</v>
      </c>
      <c r="AJJ3" s="0" t="n">
        <v>0</v>
      </c>
      <c r="AJL3" s="0" t="n">
        <v>4.83</v>
      </c>
      <c r="AJM3" s="0" t="n">
        <v>1.71</v>
      </c>
      <c r="AJN3" s="0" t="n">
        <v>0</v>
      </c>
      <c r="AJO3" s="0" t="n">
        <v>0</v>
      </c>
      <c r="AJP3" s="0" t="n">
        <v>0</v>
      </c>
      <c r="AJQ3" s="0" t="n">
        <v>1.51</v>
      </c>
      <c r="AJR3" s="0" t="n">
        <v>1.85</v>
      </c>
      <c r="AJS3" s="0" t="n">
        <v>2.31</v>
      </c>
      <c r="AJT3" s="0" t="n">
        <v>19.08</v>
      </c>
      <c r="AJU3" s="0" t="n">
        <v>18.37</v>
      </c>
      <c r="AJV3" s="0" t="n">
        <v>0</v>
      </c>
      <c r="AJW3" s="0" t="n">
        <v>0</v>
      </c>
      <c r="AJX3" s="0" t="n">
        <v>0</v>
      </c>
      <c r="AKD3" s="0" t="n">
        <v>0</v>
      </c>
      <c r="AKJ3" s="0" t="n">
        <v>22.9</v>
      </c>
      <c r="AKK3" s="0" t="n">
        <v>1</v>
      </c>
      <c r="AKL3" s="0" t="n">
        <v>34</v>
      </c>
      <c r="AKM3" s="0" t="n">
        <v>1</v>
      </c>
      <c r="AKN3" s="0" t="n">
        <v>1.19</v>
      </c>
      <c r="AKO3" s="0" t="n">
        <v>1</v>
      </c>
      <c r="AKP3" s="0" t="n">
        <v>47</v>
      </c>
      <c r="AKQ3" s="0" t="n">
        <f aca="false">7+3+1+2+3+5+7+1+7+2+7+5+5</f>
        <v>55</v>
      </c>
      <c r="AKR3" s="0" t="n">
        <f aca="false">(0.3*7)+0.15+0.3+0.9+0.6+0.45+0.6+(0.3*3)+(0.3*5)+(0.3*7)+0.9+(0.3*7)+(0.4)+(0.3*7)+(0.3*5)+(0.3*5)</f>
        <v>18.1</v>
      </c>
      <c r="AKS3" s="0" t="n">
        <v>2</v>
      </c>
      <c r="AKV3" s="20"/>
      <c r="ALN3" s="0" t="n">
        <v>0</v>
      </c>
    </row>
    <row r="4" customFormat="false" ht="13.8" hidden="false" customHeight="false" outlineLevel="0" collapsed="false">
      <c r="A4" s="1" t="s">
        <v>203</v>
      </c>
      <c r="B4" s="12" t="n">
        <v>42892</v>
      </c>
      <c r="C4" s="0" t="n">
        <v>2</v>
      </c>
      <c r="D4" s="13" t="n">
        <v>39237</v>
      </c>
      <c r="E4" s="12" t="n">
        <v>30344</v>
      </c>
      <c r="F4" s="14" t="n">
        <f aca="false">(B4-E4)/365.25</f>
        <v>34.3545516769336</v>
      </c>
      <c r="G4" s="14" t="n">
        <f aca="false">(B4-D4)/365.25</f>
        <v>10.0068446269678</v>
      </c>
      <c r="H4" s="15" t="s">
        <v>181</v>
      </c>
      <c r="I4" s="15" t="s">
        <v>182</v>
      </c>
      <c r="J4" s="15" t="s">
        <v>183</v>
      </c>
      <c r="K4" s="15" t="n">
        <v>8</v>
      </c>
      <c r="L4" s="19" t="n">
        <v>77</v>
      </c>
      <c r="M4" s="0" t="n">
        <v>1.73</v>
      </c>
      <c r="N4" s="16" t="n">
        <f aca="false">L4/(M4*M4)</f>
        <v>25.7275552140065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  <c r="X4" s="19" t="n">
        <v>0</v>
      </c>
      <c r="Y4" s="19" t="n">
        <v>1</v>
      </c>
      <c r="Z4" s="19" t="n">
        <v>3</v>
      </c>
      <c r="AA4" s="19" t="n">
        <v>60</v>
      </c>
      <c r="AB4" s="19" t="s">
        <v>184</v>
      </c>
      <c r="AC4" s="19" t="n">
        <v>0</v>
      </c>
      <c r="AD4" s="19" t="n">
        <v>0</v>
      </c>
      <c r="AE4" s="19" t="n">
        <v>1</v>
      </c>
      <c r="AF4" s="19" t="n">
        <v>0</v>
      </c>
      <c r="AG4" s="19" t="n">
        <v>1</v>
      </c>
      <c r="AH4" s="19"/>
      <c r="AI4" s="15" t="n">
        <v>0</v>
      </c>
      <c r="AJ4" s="15" t="n">
        <v>0</v>
      </c>
      <c r="AK4" s="15" t="n">
        <v>0</v>
      </c>
      <c r="AL4" s="15" t="n">
        <v>0</v>
      </c>
      <c r="AM4" s="19" t="n">
        <v>0</v>
      </c>
      <c r="AN4" s="19"/>
      <c r="AO4" s="19"/>
      <c r="AP4" s="19"/>
      <c r="AQ4" s="19"/>
      <c r="AR4" s="19"/>
      <c r="AS4" s="19" t="n">
        <v>0</v>
      </c>
      <c r="AT4" s="19" t="n">
        <v>0</v>
      </c>
      <c r="AU4" s="19" t="n">
        <v>0</v>
      </c>
      <c r="AV4" s="19" t="n">
        <v>0</v>
      </c>
      <c r="AW4" s="19" t="n">
        <v>0</v>
      </c>
      <c r="AX4" s="19" t="n">
        <v>0</v>
      </c>
      <c r="AY4" s="19" t="n">
        <v>0</v>
      </c>
      <c r="AZ4" s="19" t="n">
        <v>0</v>
      </c>
      <c r="BA4" s="19" t="n">
        <v>0</v>
      </c>
      <c r="BB4" s="19" t="n">
        <v>1</v>
      </c>
      <c r="BC4" s="19" t="n">
        <v>1</v>
      </c>
      <c r="BD4" s="19" t="n">
        <v>1</v>
      </c>
      <c r="BE4" s="19" t="n">
        <v>5</v>
      </c>
      <c r="BF4" s="19" t="n">
        <v>0</v>
      </c>
      <c r="BG4" s="19" t="n">
        <v>0</v>
      </c>
      <c r="BH4" s="19" t="n">
        <v>0</v>
      </c>
      <c r="BI4" s="19" t="n">
        <v>0</v>
      </c>
      <c r="BJ4" s="19" t="n">
        <v>1</v>
      </c>
      <c r="BK4" s="19" t="n">
        <v>1</v>
      </c>
      <c r="BL4" s="19" t="n">
        <v>1</v>
      </c>
      <c r="BM4" s="19" t="n">
        <v>3</v>
      </c>
      <c r="BN4" s="19" t="n">
        <v>1</v>
      </c>
      <c r="BO4" s="19" t="n">
        <v>1</v>
      </c>
      <c r="BP4" s="19" t="n">
        <v>1</v>
      </c>
      <c r="BQ4" s="19" t="n">
        <v>2</v>
      </c>
      <c r="BR4" s="19" t="n">
        <v>1</v>
      </c>
      <c r="BS4" s="19" t="n">
        <v>1</v>
      </c>
      <c r="BT4" s="19" t="n">
        <v>3</v>
      </c>
      <c r="BU4" s="19" t="n">
        <v>4</v>
      </c>
      <c r="BV4" s="19" t="n">
        <v>2</v>
      </c>
      <c r="BW4" s="19" t="n">
        <v>3</v>
      </c>
      <c r="BX4" s="19" t="n">
        <v>3</v>
      </c>
      <c r="BY4" s="19" t="n">
        <v>3</v>
      </c>
      <c r="BZ4" s="19" t="n">
        <v>3</v>
      </c>
      <c r="CA4" s="19" t="n">
        <v>3</v>
      </c>
      <c r="CB4" s="19" t="n">
        <v>4</v>
      </c>
      <c r="CC4" s="19" t="n">
        <v>5</v>
      </c>
      <c r="CD4" s="19" t="n">
        <v>3</v>
      </c>
      <c r="CE4" s="19" t="n">
        <v>4</v>
      </c>
      <c r="CF4" s="19" t="n">
        <v>4</v>
      </c>
      <c r="CG4" s="19" t="n">
        <v>4</v>
      </c>
      <c r="CH4" s="19" t="n">
        <v>3</v>
      </c>
      <c r="CI4" s="19" t="n">
        <v>4</v>
      </c>
      <c r="CJ4" s="19" t="n">
        <v>4</v>
      </c>
      <c r="CK4" s="19" t="n">
        <v>10</v>
      </c>
      <c r="CL4" s="0" t="s">
        <v>185</v>
      </c>
      <c r="CM4" s="0" t="n">
        <v>21.5</v>
      </c>
      <c r="CN4" s="16" t="n">
        <v>54.9</v>
      </c>
      <c r="CO4" s="16" t="n">
        <v>80.4</v>
      </c>
      <c r="CP4" s="16" t="n">
        <v>17.9</v>
      </c>
      <c r="CQ4" s="0" t="n">
        <v>90.61</v>
      </c>
      <c r="CR4" s="17" t="n">
        <v>0</v>
      </c>
      <c r="CS4" s="0" t="n">
        <v>0</v>
      </c>
      <c r="CT4" s="0" t="n">
        <v>2.45</v>
      </c>
      <c r="CU4" s="0" t="n">
        <v>6.94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12.16</v>
      </c>
      <c r="DC4" s="0" t="n">
        <v>24.45</v>
      </c>
      <c r="DD4" s="0" t="n">
        <v>4.8</v>
      </c>
      <c r="DE4" s="0" t="n">
        <v>5.11</v>
      </c>
      <c r="DF4" s="0" t="n">
        <v>0</v>
      </c>
      <c r="DG4" s="0" t="n">
        <v>0</v>
      </c>
      <c r="DH4" s="0" t="n">
        <v>0</v>
      </c>
      <c r="DU4" s="0" t="n">
        <v>2.9</v>
      </c>
      <c r="DV4" s="0" t="n">
        <v>1</v>
      </c>
      <c r="DW4" s="0" t="n">
        <v>68</v>
      </c>
      <c r="DX4" s="0" t="n">
        <v>2</v>
      </c>
      <c r="DY4" s="0" t="n">
        <f aca="false">0.38+0.07</f>
        <v>0.45</v>
      </c>
      <c r="DZ4" s="0" t="n">
        <v>1</v>
      </c>
      <c r="EG4" s="18"/>
      <c r="EY4" s="0" t="n">
        <v>1</v>
      </c>
      <c r="EZ4" s="0" t="n">
        <v>40</v>
      </c>
      <c r="FA4" s="0" t="n">
        <v>1</v>
      </c>
      <c r="FB4" s="0" t="n">
        <v>0.06</v>
      </c>
      <c r="FC4" s="0" t="n">
        <v>1</v>
      </c>
      <c r="FD4" s="0" t="n">
        <v>60</v>
      </c>
      <c r="FE4" s="0" t="n">
        <v>1</v>
      </c>
      <c r="FF4" s="0" t="n">
        <v>0.11</v>
      </c>
      <c r="FG4" s="0" t="n">
        <v>1</v>
      </c>
      <c r="FH4" s="0" t="n">
        <v>40</v>
      </c>
      <c r="FI4" s="0" t="n">
        <v>1</v>
      </c>
      <c r="FJ4" s="0" t="n">
        <v>0.58</v>
      </c>
      <c r="FK4" s="0" t="n">
        <v>6</v>
      </c>
      <c r="GJ4" s="16" t="n">
        <v>0</v>
      </c>
      <c r="GK4" s="16" t="n">
        <v>0</v>
      </c>
      <c r="GL4" s="16"/>
      <c r="GM4" s="16"/>
      <c r="GN4" s="16"/>
      <c r="GO4" s="16"/>
      <c r="GP4" s="16"/>
      <c r="GQ4" s="16"/>
      <c r="GR4" s="16"/>
      <c r="GS4" s="16"/>
      <c r="GT4" s="16"/>
      <c r="GU4" s="16" t="n">
        <v>0.67</v>
      </c>
      <c r="GV4" s="16" t="n">
        <v>0.65</v>
      </c>
      <c r="GW4" s="16"/>
      <c r="GX4" s="16"/>
      <c r="GY4" s="16" t="n">
        <v>0</v>
      </c>
      <c r="GZ4" s="16" t="n">
        <v>0</v>
      </c>
      <c r="HA4" s="16" t="n">
        <v>0</v>
      </c>
      <c r="HB4" s="0" t="n">
        <v>0</v>
      </c>
      <c r="HC4" s="0" t="s">
        <v>186</v>
      </c>
      <c r="HD4" s="0" t="n">
        <v>52.5</v>
      </c>
      <c r="HE4" s="16" t="n">
        <v>78.3</v>
      </c>
      <c r="HF4" s="16" t="n">
        <v>80.4</v>
      </c>
      <c r="HG4" s="16" t="n">
        <v>33.2</v>
      </c>
      <c r="HH4" s="0" t="n">
        <v>67.5</v>
      </c>
      <c r="HI4" s="17" t="n">
        <v>0</v>
      </c>
      <c r="HJ4" s="0" t="n">
        <v>21.37</v>
      </c>
      <c r="HK4" s="0" t="n">
        <v>0</v>
      </c>
      <c r="HL4" s="0" t="n">
        <v>3.99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5.93</v>
      </c>
      <c r="HU4" s="0" t="n">
        <v>42.2</v>
      </c>
      <c r="HV4" s="0" t="n">
        <v>15.97</v>
      </c>
      <c r="HW4" s="0" t="n">
        <v>7.14</v>
      </c>
      <c r="HX4" s="0" t="n">
        <v>0</v>
      </c>
      <c r="HY4" s="0" t="n">
        <v>0</v>
      </c>
      <c r="IL4" s="0" t="n">
        <v>1.7</v>
      </c>
      <c r="IM4" s="0" t="n">
        <v>1</v>
      </c>
      <c r="IN4" s="0" t="n">
        <v>34</v>
      </c>
      <c r="IO4" s="0" t="n">
        <v>5</v>
      </c>
      <c r="IP4" s="0" t="n">
        <v>0.21</v>
      </c>
      <c r="IQ4" s="0" t="n">
        <v>1</v>
      </c>
      <c r="IR4" s="0" t="n">
        <v>68</v>
      </c>
      <c r="IS4" s="0" t="n">
        <v>3</v>
      </c>
      <c r="IT4" s="0" t="n">
        <v>0.3</v>
      </c>
      <c r="IU4" s="0" t="n">
        <v>1</v>
      </c>
      <c r="IV4" s="0" t="n">
        <v>47</v>
      </c>
      <c r="IW4" s="0" t="n">
        <v>4</v>
      </c>
      <c r="IX4" s="18" t="n">
        <v>0.11</v>
      </c>
      <c r="IY4" s="0" t="n">
        <v>1</v>
      </c>
      <c r="IZ4" s="0" t="n">
        <v>35</v>
      </c>
      <c r="JA4" s="0" t="n">
        <v>2</v>
      </c>
      <c r="JB4" s="0" t="n">
        <v>0.1</v>
      </c>
      <c r="JC4" s="0" t="n">
        <v>1</v>
      </c>
      <c r="JP4" s="0" t="n">
        <v>0</v>
      </c>
      <c r="LA4" s="16" t="n">
        <v>1.04</v>
      </c>
      <c r="LB4" s="16" t="n">
        <v>1</v>
      </c>
      <c r="LC4" s="16" t="n">
        <v>1</v>
      </c>
      <c r="LD4" s="16"/>
      <c r="LE4" s="16" t="n">
        <f aca="false">3.74+3.17+0.1</f>
        <v>7.01</v>
      </c>
      <c r="LF4" s="16"/>
      <c r="LG4" s="16"/>
      <c r="LH4" s="16"/>
      <c r="LI4" s="16"/>
      <c r="LJ4" s="16"/>
      <c r="LK4" s="16"/>
      <c r="LL4" s="16" t="n">
        <v>8.9</v>
      </c>
      <c r="LM4" s="16" t="n">
        <v>9.79</v>
      </c>
      <c r="LN4" s="16"/>
      <c r="LO4" s="16"/>
      <c r="LP4" s="16" t="n">
        <v>2.99</v>
      </c>
      <c r="LQ4" s="16" t="n">
        <v>4</v>
      </c>
      <c r="LR4" s="16" t="n">
        <v>3</v>
      </c>
      <c r="LS4" s="0" t="n">
        <v>0</v>
      </c>
      <c r="LT4" s="0" t="s">
        <v>187</v>
      </c>
      <c r="LU4" s="0" t="n">
        <v>53.5</v>
      </c>
      <c r="LV4" s="16" t="n">
        <v>73.5</v>
      </c>
      <c r="LW4" s="16" t="n">
        <v>80.4</v>
      </c>
      <c r="LX4" s="16" t="n">
        <v>26.1</v>
      </c>
      <c r="LY4" s="0" t="n">
        <v>78.89</v>
      </c>
      <c r="LZ4" s="17" t="n">
        <v>0</v>
      </c>
      <c r="MA4" s="0" t="n">
        <v>2.36</v>
      </c>
      <c r="MB4" s="0" t="n">
        <v>0</v>
      </c>
      <c r="MC4" s="0" t="n">
        <v>11.6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7.86</v>
      </c>
      <c r="MK4" s="0" t="n">
        <v>12.08</v>
      </c>
      <c r="ML4" s="0" t="n">
        <v>18.1</v>
      </c>
      <c r="MM4" s="0" t="n">
        <v>28.51</v>
      </c>
      <c r="MN4" s="0" t="n">
        <v>7.14</v>
      </c>
      <c r="MO4" s="0" t="n">
        <v>0</v>
      </c>
      <c r="MP4" s="0" t="n">
        <v>0</v>
      </c>
      <c r="NC4" s="0" t="n">
        <v>11.6</v>
      </c>
      <c r="ND4" s="0" t="n">
        <v>1</v>
      </c>
      <c r="NE4" s="0" t="n">
        <v>47</v>
      </c>
      <c r="NF4" s="0" t="n">
        <v>4</v>
      </c>
      <c r="NG4" s="0" t="n">
        <f aca="false">1.15+0.34</f>
        <v>1.49</v>
      </c>
      <c r="NH4" s="0" t="n">
        <v>3</v>
      </c>
      <c r="NO4" s="18"/>
      <c r="OG4" s="0" t="n">
        <v>1</v>
      </c>
      <c r="OH4" s="0" t="n">
        <v>50</v>
      </c>
      <c r="OI4" s="0" t="n">
        <v>1</v>
      </c>
      <c r="OJ4" s="0" t="n">
        <v>0.19</v>
      </c>
      <c r="OK4" s="0" t="n">
        <v>3</v>
      </c>
      <c r="PR4" s="16" t="n">
        <v>7.27</v>
      </c>
      <c r="PS4" s="16" t="n">
        <v>1</v>
      </c>
      <c r="PT4" s="16" t="n">
        <v>1</v>
      </c>
      <c r="PU4" s="16"/>
      <c r="PV4" s="16" t="n">
        <f aca="false">2.11*2+0.37*2</f>
        <v>4.96</v>
      </c>
      <c r="PW4" s="16" t="n">
        <v>3</v>
      </c>
      <c r="PX4" s="16"/>
      <c r="PY4" s="16" t="n">
        <f aca="false">1.44+0.72</f>
        <v>2.16</v>
      </c>
      <c r="PZ4" s="16"/>
      <c r="QA4" s="16"/>
      <c r="QB4" s="16"/>
      <c r="QC4" s="16" t="n">
        <v>5.39</v>
      </c>
      <c r="QD4" s="16" t="n">
        <v>8.11</v>
      </c>
      <c r="QE4" s="16"/>
      <c r="QF4" s="16"/>
      <c r="QG4" s="16" t="n">
        <v>0</v>
      </c>
      <c r="QH4" s="16" t="n">
        <v>0</v>
      </c>
      <c r="QI4" s="16" t="n">
        <v>3</v>
      </c>
      <c r="QJ4" s="0" t="n">
        <v>0</v>
      </c>
      <c r="QK4" s="0" t="s">
        <v>188</v>
      </c>
      <c r="QL4" s="0" t="n">
        <v>40</v>
      </c>
      <c r="QM4" s="16" t="n">
        <v>84.1</v>
      </c>
      <c r="QN4" s="16" t="n">
        <v>80.4</v>
      </c>
      <c r="QO4" s="16" t="n">
        <v>35.1</v>
      </c>
      <c r="QP4" s="0" t="n">
        <v>66.11</v>
      </c>
      <c r="QQ4" s="17" t="n">
        <v>0</v>
      </c>
      <c r="QR4" s="0" t="n">
        <v>13.11</v>
      </c>
      <c r="QS4" s="0" t="n">
        <v>6.27</v>
      </c>
      <c r="QT4" s="0" t="n">
        <v>8.02</v>
      </c>
      <c r="QU4" s="0" t="n">
        <v>0</v>
      </c>
      <c r="QV4" s="0" t="n">
        <v>6.47</v>
      </c>
      <c r="QW4" s="0" t="n">
        <v>2.85</v>
      </c>
      <c r="QX4" s="0" t="n">
        <v>3.1</v>
      </c>
      <c r="QY4" s="0" t="n">
        <v>0</v>
      </c>
      <c r="QZ4" s="0" t="n">
        <v>0</v>
      </c>
      <c r="RA4" s="0" t="n">
        <v>10.49</v>
      </c>
      <c r="RB4" s="0" t="n">
        <v>26.72</v>
      </c>
      <c r="RC4" s="0" t="n">
        <v>13.38</v>
      </c>
      <c r="RD4" s="0" t="n">
        <v>10.67</v>
      </c>
      <c r="RE4" s="0" t="n">
        <v>0</v>
      </c>
      <c r="RF4" s="0" t="n">
        <v>0</v>
      </c>
      <c r="RG4" s="0" t="n">
        <v>0</v>
      </c>
      <c r="RT4" s="0" t="n">
        <v>3.9</v>
      </c>
      <c r="RU4" s="0" t="n">
        <v>1</v>
      </c>
      <c r="RV4" s="0" t="n">
        <v>68</v>
      </c>
      <c r="RW4" s="0" t="n">
        <v>4</v>
      </c>
      <c r="RX4" s="0" t="n">
        <f aca="false">1.9+0.34</f>
        <v>2.24</v>
      </c>
      <c r="RY4" s="0" t="n">
        <v>1</v>
      </c>
      <c r="RZ4" s="0" t="n">
        <v>34</v>
      </c>
      <c r="SA4" s="0" t="n">
        <v>8</v>
      </c>
      <c r="SB4" s="0" t="n">
        <v>0.27</v>
      </c>
      <c r="SC4" s="0" t="n">
        <v>1</v>
      </c>
      <c r="SF4" s="18"/>
      <c r="SX4" s="0" t="n">
        <v>1</v>
      </c>
      <c r="SY4" s="0" t="n">
        <v>50</v>
      </c>
      <c r="SZ4" s="0" t="n">
        <v>4</v>
      </c>
      <c r="TA4" s="0" t="n">
        <f aca="false">1.52*2</f>
        <v>3.04</v>
      </c>
      <c r="TB4" s="0" t="n">
        <v>3</v>
      </c>
      <c r="UI4" s="16" t="n">
        <v>0.04</v>
      </c>
      <c r="UJ4" s="16" t="n">
        <v>1</v>
      </c>
      <c r="UK4" s="16" t="n">
        <v>1</v>
      </c>
      <c r="UL4" s="16"/>
      <c r="UM4" s="16" t="n">
        <f aca="false">0.3</f>
        <v>0.3</v>
      </c>
      <c r="UN4" s="16"/>
      <c r="UO4" s="16"/>
      <c r="UP4" s="16"/>
      <c r="UQ4" s="16"/>
      <c r="UR4" s="16"/>
      <c r="US4" s="16"/>
      <c r="UT4" s="16" t="n">
        <v>0.03</v>
      </c>
      <c r="UU4" s="16" t="n">
        <v>0.03</v>
      </c>
      <c r="UV4" s="16"/>
      <c r="UW4" s="16"/>
      <c r="UX4" s="16" t="n">
        <v>0</v>
      </c>
      <c r="UY4" s="16" t="n">
        <v>0</v>
      </c>
      <c r="UZ4" s="16" t="n">
        <v>0</v>
      </c>
      <c r="VA4" s="0" t="n">
        <v>0</v>
      </c>
      <c r="VB4" s="0" t="s">
        <v>189</v>
      </c>
      <c r="VC4" s="0" t="n">
        <v>31</v>
      </c>
      <c r="VD4" s="16" t="n">
        <v>80.2</v>
      </c>
      <c r="VE4" s="16" t="n">
        <v>80.4</v>
      </c>
      <c r="VF4" s="16" t="n">
        <v>6.5</v>
      </c>
      <c r="VG4" s="0" t="n">
        <v>99.3</v>
      </c>
      <c r="VH4" s="17" t="n">
        <v>0</v>
      </c>
      <c r="VI4" s="0" t="n">
        <v>0.7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31.92</v>
      </c>
      <c r="VT4" s="0" t="n">
        <v>23.7</v>
      </c>
      <c r="VU4" s="0" t="n">
        <v>1.95</v>
      </c>
      <c r="VV4" s="0" t="n">
        <v>0</v>
      </c>
      <c r="VW4" s="0" t="n">
        <v>18.7</v>
      </c>
      <c r="VX4" s="0" t="n">
        <v>4</v>
      </c>
      <c r="VY4" s="0" t="n">
        <v>49</v>
      </c>
      <c r="WA4" s="0" t="n">
        <v>1</v>
      </c>
      <c r="WE4" s="0" t="n">
        <v>49</v>
      </c>
      <c r="WG4" s="0" t="n">
        <v>1</v>
      </c>
      <c r="WK4" s="0" t="n">
        <v>0</v>
      </c>
      <c r="WL4" s="0" t="n">
        <v>0</v>
      </c>
      <c r="WW4" s="18"/>
      <c r="XO4" s="0" t="n">
        <v>0</v>
      </c>
      <c r="YZ4" s="16" t="n">
        <v>0</v>
      </c>
      <c r="ZA4" s="16" t="n">
        <v>0</v>
      </c>
      <c r="ZB4" s="16"/>
      <c r="ZC4" s="16"/>
      <c r="ZD4" s="16"/>
      <c r="ZE4" s="16"/>
      <c r="ZF4" s="16"/>
      <c r="ZG4" s="16"/>
      <c r="ZH4" s="16"/>
      <c r="ZI4" s="16"/>
      <c r="ZJ4" s="16"/>
      <c r="ZK4" s="16" t="n">
        <v>5.42</v>
      </c>
      <c r="ZL4" s="16" t="n">
        <v>6.61</v>
      </c>
      <c r="ZM4" s="16"/>
      <c r="ZN4" s="16"/>
      <c r="ZO4" s="16" t="n">
        <v>0</v>
      </c>
      <c r="ZP4" s="16" t="n">
        <v>0</v>
      </c>
      <c r="ZQ4" s="16" t="n">
        <v>0</v>
      </c>
      <c r="ZR4" s="0" t="n">
        <v>0</v>
      </c>
      <c r="ZS4" s="0" t="s">
        <v>190</v>
      </c>
      <c r="ZT4" s="0" t="n">
        <v>38.5</v>
      </c>
      <c r="ZU4" s="16" t="n">
        <v>92</v>
      </c>
      <c r="ZV4" s="16" t="n">
        <v>80.4</v>
      </c>
      <c r="ZW4" s="16" t="n">
        <v>11</v>
      </c>
      <c r="ZX4" s="0" t="n">
        <v>95.37</v>
      </c>
      <c r="ZY4" s="17" t="n">
        <v>0</v>
      </c>
      <c r="ZZ4" s="0" t="n">
        <v>4.63</v>
      </c>
      <c r="AAA4" s="0" t="n">
        <v>0</v>
      </c>
      <c r="AAB4" s="0" t="n">
        <v>0</v>
      </c>
      <c r="AAC4" s="0" t="n">
        <v>0</v>
      </c>
      <c r="AAD4" s="0" t="n">
        <v>0</v>
      </c>
      <c r="AAE4" s="0" t="n">
        <v>0</v>
      </c>
      <c r="AAF4" s="0" t="n">
        <v>0</v>
      </c>
      <c r="AAG4" s="0" t="n">
        <v>0</v>
      </c>
      <c r="AAH4" s="0" t="n">
        <v>0</v>
      </c>
      <c r="AAI4" s="0" t="n">
        <v>2.85</v>
      </c>
      <c r="AAJ4" s="0" t="n">
        <v>16.15</v>
      </c>
      <c r="AAK4" s="0" t="n">
        <v>42.55</v>
      </c>
      <c r="AAL4" s="0" t="n">
        <v>4.63</v>
      </c>
      <c r="AAM4" s="0" t="n">
        <v>0</v>
      </c>
      <c r="AAN4" s="0" t="n">
        <v>5.7</v>
      </c>
      <c r="AAO4" s="0" t="n">
        <v>1</v>
      </c>
      <c r="AAP4" s="0" t="n">
        <v>3</v>
      </c>
      <c r="AAR4" s="0" t="n">
        <v>1</v>
      </c>
      <c r="AAV4" s="0" t="n">
        <v>3</v>
      </c>
      <c r="AAX4" s="0" t="n">
        <v>1</v>
      </c>
      <c r="ABB4" s="0" t="n">
        <v>4.8</v>
      </c>
      <c r="ABC4" s="0" t="n">
        <v>0</v>
      </c>
      <c r="ABN4" s="18"/>
      <c r="ACF4" s="0" t="n">
        <v>1</v>
      </c>
      <c r="ACG4" s="0" t="n">
        <v>70</v>
      </c>
      <c r="ACH4" s="0" t="n">
        <v>3</v>
      </c>
      <c r="ACI4" s="0" t="n">
        <f aca="false">14.97+0.86+0.7</f>
        <v>16.53</v>
      </c>
      <c r="ACJ4" s="0" t="n">
        <v>3</v>
      </c>
      <c r="ACK4" s="0" t="n">
        <v>60</v>
      </c>
      <c r="ACL4" s="0" t="n">
        <v>3</v>
      </c>
      <c r="ACM4" s="0" t="n">
        <f aca="false">3.02+0.97+0.6</f>
        <v>4.59</v>
      </c>
      <c r="ACN4" s="0" t="n">
        <v>3</v>
      </c>
      <c r="ADQ4" s="16" t="n">
        <v>2.82</v>
      </c>
      <c r="ADR4" s="16" t="n">
        <v>1</v>
      </c>
      <c r="ADS4" s="16" t="n">
        <v>1</v>
      </c>
      <c r="ADT4" s="16"/>
      <c r="ADU4" s="16" t="n">
        <f aca="false">0.93*2</f>
        <v>1.86</v>
      </c>
      <c r="ADV4" s="16" t="n">
        <v>2</v>
      </c>
      <c r="ADW4" s="16"/>
      <c r="ADX4" s="16" t="n">
        <f aca="false">9.6+1.93</f>
        <v>11.53</v>
      </c>
      <c r="ADY4" s="16"/>
      <c r="ADZ4" s="16"/>
      <c r="AEA4" s="16"/>
      <c r="AEB4" s="16" t="n">
        <v>13.91</v>
      </c>
      <c r="AEC4" s="16" t="n">
        <v>17.31</v>
      </c>
      <c r="AED4" s="16"/>
      <c r="AEE4" s="16"/>
      <c r="AEF4" s="16" t="n">
        <v>0</v>
      </c>
      <c r="AEG4" s="16" t="n">
        <v>0</v>
      </c>
      <c r="AEH4" s="16" t="n">
        <v>0</v>
      </c>
      <c r="AEI4" s="0" t="n">
        <v>0</v>
      </c>
      <c r="AEJ4" s="0" t="s">
        <v>191</v>
      </c>
      <c r="AEK4" s="0" t="n">
        <v>44</v>
      </c>
      <c r="AEL4" s="16" t="n">
        <v>75.8</v>
      </c>
      <c r="AEM4" s="16" t="n">
        <v>80.4</v>
      </c>
      <c r="AEN4" s="16" t="n">
        <v>12.2</v>
      </c>
      <c r="AEO4" s="0" t="n">
        <v>90.24</v>
      </c>
      <c r="AEP4" s="17" t="n">
        <v>0</v>
      </c>
      <c r="AEQ4" s="0" t="n">
        <v>6.27</v>
      </c>
      <c r="AER4" s="0" t="n">
        <v>0</v>
      </c>
      <c r="AES4" s="0" t="n">
        <v>3.49</v>
      </c>
      <c r="AET4" s="0" t="n">
        <v>0</v>
      </c>
      <c r="AEU4" s="0" t="n">
        <v>0</v>
      </c>
      <c r="AEV4" s="0" t="n">
        <v>0</v>
      </c>
      <c r="AEW4" s="0" t="n">
        <v>0</v>
      </c>
      <c r="AEX4" s="0" t="n">
        <v>0</v>
      </c>
      <c r="AEY4" s="0" t="n">
        <v>0</v>
      </c>
      <c r="AEZ4" s="0" t="n">
        <v>0</v>
      </c>
      <c r="AFA4" s="0" t="n">
        <v>24.37</v>
      </c>
      <c r="AFB4" s="0" t="n">
        <v>32.21</v>
      </c>
      <c r="AFC4" s="0" t="n">
        <v>3.56</v>
      </c>
      <c r="AFD4" s="0" t="n">
        <v>0</v>
      </c>
      <c r="AFE4" s="0" t="n">
        <v>0</v>
      </c>
      <c r="AFF4" s="0" t="n">
        <v>0</v>
      </c>
      <c r="AFS4" s="0" t="n">
        <v>20.3</v>
      </c>
      <c r="AFT4" s="0" t="n">
        <v>1</v>
      </c>
      <c r="AFU4" s="0" t="n">
        <v>30</v>
      </c>
      <c r="AFV4" s="0" t="n">
        <v>4</v>
      </c>
      <c r="AFW4" s="0" t="n">
        <v>3.01</v>
      </c>
      <c r="AFX4" s="0" t="n">
        <v>5</v>
      </c>
      <c r="AFY4" s="0" t="n">
        <v>68</v>
      </c>
      <c r="AFZ4" s="0" t="n">
        <v>2</v>
      </c>
      <c r="AGA4" s="0" t="n">
        <v>1.52</v>
      </c>
      <c r="AGB4" s="0" t="n">
        <v>1</v>
      </c>
      <c r="AGC4" s="0" t="n">
        <v>47</v>
      </c>
      <c r="AGD4" s="0" t="n">
        <v>1</v>
      </c>
      <c r="AGE4" s="18" t="n">
        <v>0.07</v>
      </c>
      <c r="AGF4" s="0" t="n">
        <v>3</v>
      </c>
      <c r="AGW4" s="0" t="n">
        <v>0</v>
      </c>
      <c r="AIH4" s="16" t="n">
        <v>1.88</v>
      </c>
      <c r="AII4" s="16" t="n">
        <v>1</v>
      </c>
      <c r="AIJ4" s="16" t="n">
        <v>2</v>
      </c>
      <c r="AIK4" s="16"/>
      <c r="AIL4" s="16" t="n">
        <v>4.18</v>
      </c>
      <c r="AIM4" s="16"/>
      <c r="AIN4" s="16"/>
      <c r="AIO4" s="16"/>
      <c r="AIP4" s="16"/>
      <c r="AIQ4" s="16"/>
      <c r="AIR4" s="16"/>
      <c r="AIS4" s="16" t="n">
        <v>7.15</v>
      </c>
      <c r="AIT4" s="16" t="n">
        <v>6.06</v>
      </c>
      <c r="AIU4" s="16"/>
      <c r="AIV4" s="16"/>
      <c r="AIW4" s="16" t="n">
        <v>0</v>
      </c>
      <c r="AIX4" s="16" t="n">
        <v>0</v>
      </c>
      <c r="AIY4" s="16" t="n">
        <v>0</v>
      </c>
      <c r="AIZ4" s="0" t="n">
        <v>0</v>
      </c>
      <c r="AJA4" s="0" t="s">
        <v>192</v>
      </c>
      <c r="AJB4" s="0" t="n">
        <v>47.5</v>
      </c>
      <c r="AJC4" s="16" t="n">
        <v>79.3</v>
      </c>
      <c r="AJD4" s="16" t="n">
        <v>80.4</v>
      </c>
      <c r="AJE4" s="16" t="n">
        <v>36.3</v>
      </c>
      <c r="AJF4" s="0" t="n">
        <v>66.23</v>
      </c>
      <c r="AJG4" s="17" t="n">
        <v>0</v>
      </c>
      <c r="AJH4" s="0" t="n">
        <v>33.77</v>
      </c>
      <c r="AJI4" s="0" t="n">
        <v>0</v>
      </c>
      <c r="AJJ4" s="0" t="n">
        <v>0</v>
      </c>
      <c r="AJK4" s="0" t="n">
        <v>0</v>
      </c>
      <c r="AJL4" s="0" t="n">
        <v>0</v>
      </c>
      <c r="AJM4" s="0" t="n">
        <v>0</v>
      </c>
      <c r="AJN4" s="0" t="n">
        <v>0</v>
      </c>
      <c r="AJO4" s="0" t="n">
        <v>0</v>
      </c>
      <c r="AJP4" s="0" t="n">
        <v>0</v>
      </c>
      <c r="AJQ4" s="0" t="n">
        <v>0</v>
      </c>
      <c r="AJR4" s="0" t="n">
        <v>38.37</v>
      </c>
      <c r="AJS4" s="0" t="n">
        <v>20.04</v>
      </c>
      <c r="AJT4" s="0" t="n">
        <v>11.21</v>
      </c>
      <c r="AJU4" s="0" t="n">
        <v>0</v>
      </c>
      <c r="AJV4" s="0" t="n">
        <v>0</v>
      </c>
      <c r="AJW4" s="0" t="n">
        <v>0</v>
      </c>
      <c r="AKJ4" s="0" t="n">
        <v>6.9</v>
      </c>
      <c r="AKK4" s="0" t="n">
        <v>1</v>
      </c>
      <c r="AKL4" s="0" t="n">
        <v>47</v>
      </c>
      <c r="AKM4" s="0" t="n">
        <v>3</v>
      </c>
      <c r="AKN4" s="0" t="n">
        <f aca="false">0.11+0.74+0.08</f>
        <v>0.93</v>
      </c>
      <c r="AKO4" s="0" t="n">
        <v>3</v>
      </c>
      <c r="AKP4" s="0" t="n">
        <v>68</v>
      </c>
      <c r="AKQ4" s="0" t="n">
        <v>1</v>
      </c>
      <c r="AKR4" s="0" t="n">
        <v>0.76</v>
      </c>
      <c r="AKS4" s="0" t="n">
        <v>1</v>
      </c>
      <c r="AKV4" s="18"/>
      <c r="ALN4" s="0" t="n">
        <v>0</v>
      </c>
    </row>
    <row r="5" customFormat="false" ht="13.8" hidden="false" customHeight="false" outlineLevel="0" collapsed="false">
      <c r="A5" s="1" t="s">
        <v>204</v>
      </c>
      <c r="B5" s="12" t="n">
        <v>42886</v>
      </c>
      <c r="C5" s="0" t="n">
        <v>2</v>
      </c>
      <c r="D5" s="13" t="n">
        <v>35948</v>
      </c>
      <c r="E5" s="12" t="n">
        <v>28451</v>
      </c>
      <c r="F5" s="14" t="n">
        <f aca="false">(B5-E5)/365.25</f>
        <v>39.5208761122519</v>
      </c>
      <c r="G5" s="14" t="n">
        <f aca="false">(B5-D5)/365.25</f>
        <v>18.9952087611225</v>
      </c>
      <c r="H5" s="21" t="s">
        <v>205</v>
      </c>
      <c r="I5" s="21" t="s">
        <v>206</v>
      </c>
      <c r="J5" s="21" t="s">
        <v>183</v>
      </c>
      <c r="K5" s="21" t="n">
        <v>8</v>
      </c>
      <c r="L5" s="19" t="n">
        <v>86</v>
      </c>
      <c r="M5" s="0" t="n">
        <v>1.83</v>
      </c>
      <c r="N5" s="16" t="n">
        <f aca="false">L5/(M5*M5)</f>
        <v>25.680074054167</v>
      </c>
      <c r="O5" s="19" t="n">
        <v>0</v>
      </c>
      <c r="P5" s="19" t="n">
        <v>0</v>
      </c>
      <c r="Q5" s="19" t="n">
        <v>0</v>
      </c>
      <c r="R5" s="19" t="n">
        <v>0</v>
      </c>
      <c r="S5" s="19" t="n">
        <v>0</v>
      </c>
      <c r="T5" s="19" t="n">
        <v>0</v>
      </c>
      <c r="U5" s="19" t="n">
        <v>0</v>
      </c>
      <c r="V5" s="19" t="n">
        <v>0</v>
      </c>
      <c r="W5" s="19" t="n">
        <v>1</v>
      </c>
      <c r="X5" s="19" t="n">
        <v>1</v>
      </c>
      <c r="Y5" s="19" t="n">
        <v>0</v>
      </c>
      <c r="Z5" s="19" t="n">
        <v>0</v>
      </c>
      <c r="AA5" s="19" t="n">
        <v>0</v>
      </c>
      <c r="AB5" s="19" t="n">
        <v>0</v>
      </c>
      <c r="AC5" s="19" t="n">
        <v>1</v>
      </c>
      <c r="AD5" s="19" t="n">
        <v>5</v>
      </c>
      <c r="AE5" s="19" t="n">
        <v>1</v>
      </c>
      <c r="AF5" s="19" t="n">
        <v>1</v>
      </c>
      <c r="AG5" s="19" t="n">
        <v>0</v>
      </c>
      <c r="AH5" s="19" t="n">
        <v>0</v>
      </c>
      <c r="AI5" s="19" t="n">
        <v>3</v>
      </c>
      <c r="AJ5" s="19" t="n">
        <v>1</v>
      </c>
      <c r="AK5" s="19" t="n">
        <v>0</v>
      </c>
      <c r="AL5" s="19" t="n">
        <v>0</v>
      </c>
      <c r="AM5" s="19" t="n">
        <v>0</v>
      </c>
      <c r="AN5" s="19"/>
      <c r="AO5" s="19"/>
      <c r="AP5" s="19"/>
      <c r="AQ5" s="19"/>
      <c r="AR5" s="19"/>
      <c r="AS5" s="19" t="n">
        <v>3</v>
      </c>
      <c r="AT5" s="19" t="n">
        <v>3</v>
      </c>
      <c r="AU5" s="19" t="n">
        <v>3</v>
      </c>
      <c r="AV5" s="19" t="n">
        <v>9</v>
      </c>
      <c r="AW5" s="19" t="n">
        <v>10</v>
      </c>
      <c r="AX5" s="19" t="n">
        <v>0</v>
      </c>
      <c r="AY5" s="19" t="n">
        <v>0</v>
      </c>
      <c r="AZ5" s="19" t="n">
        <v>0</v>
      </c>
      <c r="BA5" s="19" t="n">
        <v>0</v>
      </c>
      <c r="BB5" s="19" t="n">
        <v>1</v>
      </c>
      <c r="BC5" s="19" t="n">
        <v>1</v>
      </c>
      <c r="BD5" s="19" t="n">
        <v>1</v>
      </c>
      <c r="BE5" s="19" t="n">
        <v>7</v>
      </c>
      <c r="BF5" s="19" t="n">
        <v>0</v>
      </c>
      <c r="BG5" s="19" t="n">
        <v>0</v>
      </c>
      <c r="BH5" s="19" t="n">
        <v>0</v>
      </c>
      <c r="BI5" s="19" t="n">
        <v>0</v>
      </c>
      <c r="BJ5" s="19" t="n">
        <v>1</v>
      </c>
      <c r="BK5" s="19" t="n">
        <v>1</v>
      </c>
      <c r="BL5" s="19" t="n">
        <v>1</v>
      </c>
      <c r="BM5" s="19" t="n">
        <v>1</v>
      </c>
      <c r="BN5" s="19" t="n">
        <v>1</v>
      </c>
      <c r="BO5" s="19" t="n">
        <v>1</v>
      </c>
      <c r="BP5" s="19" t="n">
        <v>0</v>
      </c>
      <c r="BQ5" s="19" t="n">
        <v>0</v>
      </c>
      <c r="BR5" s="19" t="n">
        <v>4</v>
      </c>
      <c r="BS5" s="19" t="n">
        <v>4</v>
      </c>
      <c r="BT5" s="19" t="n">
        <v>5</v>
      </c>
      <c r="BU5" s="19" t="n">
        <v>5</v>
      </c>
      <c r="BV5" s="19" t="n">
        <v>5</v>
      </c>
      <c r="BW5" s="19" t="n">
        <v>5</v>
      </c>
      <c r="BX5" s="19" t="n">
        <v>4</v>
      </c>
      <c r="BY5" s="19" t="n">
        <v>5</v>
      </c>
      <c r="BZ5" s="19" t="n">
        <v>5</v>
      </c>
      <c r="CA5" s="19" t="n">
        <v>3</v>
      </c>
      <c r="CB5" s="19" t="n">
        <v>4</v>
      </c>
      <c r="CC5" s="19" t="n">
        <v>5</v>
      </c>
      <c r="CD5" s="19" t="n">
        <v>5</v>
      </c>
      <c r="CE5" s="19" t="n">
        <v>5</v>
      </c>
      <c r="CF5" s="19" t="n">
        <v>5</v>
      </c>
      <c r="CG5" s="19" t="n">
        <v>5</v>
      </c>
      <c r="CH5" s="19" t="n">
        <v>5</v>
      </c>
      <c r="CI5" s="19" t="n">
        <v>5</v>
      </c>
      <c r="CJ5" s="19" t="n">
        <v>4</v>
      </c>
      <c r="CK5" s="19"/>
      <c r="CL5" s="0" t="n">
        <v>6</v>
      </c>
      <c r="CM5" s="0" t="n">
        <v>14.5</v>
      </c>
      <c r="CN5" s="16" t="n">
        <v>26.1</v>
      </c>
      <c r="CO5" s="16" t="n">
        <v>571.19</v>
      </c>
      <c r="CP5" s="16" t="n">
        <v>12.4</v>
      </c>
      <c r="CQ5" s="0" t="n">
        <v>89.38</v>
      </c>
      <c r="CR5" s="0" t="n">
        <v>0.44</v>
      </c>
      <c r="CS5" s="0" t="n">
        <v>0</v>
      </c>
      <c r="CT5" s="0" t="n">
        <v>0</v>
      </c>
      <c r="CU5" s="0" t="n">
        <v>10.15</v>
      </c>
      <c r="CV5" s="0" t="n">
        <v>0</v>
      </c>
      <c r="CW5" s="0" t="n">
        <v>0.03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6.18</v>
      </c>
      <c r="DD5" s="0" t="n">
        <v>2.69</v>
      </c>
      <c r="DE5" s="0" t="n">
        <v>7.79</v>
      </c>
      <c r="DF5" s="0" t="n">
        <v>0</v>
      </c>
      <c r="DG5" s="0" t="n">
        <v>0</v>
      </c>
      <c r="DH5" s="0" t="n">
        <v>0</v>
      </c>
      <c r="DU5" s="0" t="n">
        <v>0.4</v>
      </c>
      <c r="DV5" s="0" t="n">
        <v>1</v>
      </c>
      <c r="DW5" s="0" t="n">
        <v>35</v>
      </c>
      <c r="DX5" s="0" t="n">
        <v>4</v>
      </c>
      <c r="DY5" s="0" t="n">
        <f aca="false">0.38+0.19</f>
        <v>0.57</v>
      </c>
      <c r="DZ5" s="0" t="n">
        <v>3</v>
      </c>
      <c r="EA5" s="0" t="n">
        <v>23</v>
      </c>
      <c r="EB5" s="0" t="n">
        <v>2</v>
      </c>
      <c r="EC5" s="0" t="n">
        <v>0.19</v>
      </c>
      <c r="ED5" s="0" t="n">
        <v>3</v>
      </c>
      <c r="EG5" s="18"/>
      <c r="EY5" s="0" t="n">
        <v>1</v>
      </c>
      <c r="EZ5" s="0" t="n">
        <v>60</v>
      </c>
      <c r="FA5" s="0" t="n">
        <v>8</v>
      </c>
      <c r="FB5" s="0" t="n">
        <f aca="false">0.38+0.25*2</f>
        <v>0.88</v>
      </c>
      <c r="FC5" s="0" t="n">
        <v>3</v>
      </c>
      <c r="FD5" s="0" t="n">
        <v>50</v>
      </c>
      <c r="FE5" s="0" t="n">
        <v>2</v>
      </c>
      <c r="FF5" s="0" t="n">
        <v>0.03</v>
      </c>
      <c r="FG5" s="0" t="n">
        <v>6</v>
      </c>
      <c r="FH5" s="0" t="n">
        <v>40</v>
      </c>
      <c r="FI5" s="0" t="n">
        <v>6</v>
      </c>
      <c r="FJ5" s="0" t="n">
        <v>0.13</v>
      </c>
      <c r="FK5" s="0" t="n">
        <v>1</v>
      </c>
      <c r="FL5" s="0" t="n">
        <v>40</v>
      </c>
      <c r="FM5" s="0" t="n">
        <v>5</v>
      </c>
      <c r="FN5" s="0" t="n">
        <v>0.13</v>
      </c>
      <c r="FO5" s="0" t="n">
        <v>6</v>
      </c>
      <c r="GJ5" s="16" t="n">
        <v>0.08</v>
      </c>
      <c r="GK5" s="16" t="n">
        <v>1</v>
      </c>
      <c r="GL5" s="16" t="n">
        <v>1</v>
      </c>
      <c r="GM5" s="16"/>
      <c r="GN5" s="16" t="n">
        <f aca="false">0.14*2+0.21*2</f>
        <v>0.7</v>
      </c>
      <c r="GO5" s="16" t="n">
        <v>2</v>
      </c>
      <c r="GP5" s="16"/>
      <c r="GQ5" s="16" t="n">
        <v>0.53</v>
      </c>
      <c r="GR5" s="16"/>
      <c r="GS5" s="16"/>
      <c r="GT5" s="16"/>
      <c r="GU5" s="16" t="n">
        <v>1.23</v>
      </c>
      <c r="GV5" s="16" t="n">
        <v>0.95</v>
      </c>
      <c r="GW5" s="16"/>
      <c r="GX5" s="16"/>
      <c r="GY5" s="16" t="n">
        <v>0</v>
      </c>
      <c r="GZ5" s="16" t="n">
        <v>0</v>
      </c>
      <c r="HA5" s="16" t="n">
        <v>0</v>
      </c>
      <c r="HB5" s="0" t="n">
        <v>0</v>
      </c>
      <c r="HC5" s="0" t="s">
        <v>207</v>
      </c>
      <c r="HD5" s="0" t="n">
        <v>38.5</v>
      </c>
      <c r="HE5" s="16" t="n">
        <v>92.5</v>
      </c>
      <c r="HF5" s="16" t="n">
        <v>571.19</v>
      </c>
      <c r="HG5" s="16" t="n">
        <v>26</v>
      </c>
      <c r="HH5" s="0" t="n">
        <v>61.6</v>
      </c>
      <c r="HI5" s="0" t="n">
        <v>0</v>
      </c>
      <c r="HJ5" s="0" t="n">
        <v>8.98</v>
      </c>
      <c r="HK5" s="0" t="n">
        <v>0</v>
      </c>
      <c r="HL5" s="0" t="n">
        <v>3.37</v>
      </c>
      <c r="HM5" s="0" t="n">
        <v>0.38</v>
      </c>
      <c r="HN5" s="0" t="n">
        <v>10.4</v>
      </c>
      <c r="HO5" s="0" t="n">
        <v>0.95</v>
      </c>
      <c r="HP5" s="0" t="n">
        <v>0</v>
      </c>
      <c r="HQ5" s="0" t="n">
        <v>4.54</v>
      </c>
      <c r="HR5" s="0" t="n">
        <v>0</v>
      </c>
      <c r="HS5" s="0" t="n">
        <v>7.27</v>
      </c>
      <c r="HT5" s="0" t="n">
        <v>42.49</v>
      </c>
      <c r="HU5" s="0" t="n">
        <v>10.15</v>
      </c>
      <c r="HV5" s="0" t="n">
        <v>1.8</v>
      </c>
      <c r="HW5" s="0" t="n">
        <v>8.95</v>
      </c>
      <c r="HX5" s="0" t="n">
        <v>0.4</v>
      </c>
      <c r="HY5" s="0" t="n">
        <v>3</v>
      </c>
      <c r="HZ5" s="0" t="n">
        <v>5</v>
      </c>
      <c r="IA5" s="0" t="n">
        <v>5</v>
      </c>
      <c r="IL5" s="0" t="n">
        <v>3.2</v>
      </c>
      <c r="IM5" s="0" t="n">
        <v>1</v>
      </c>
      <c r="IN5" s="0" t="n">
        <v>68</v>
      </c>
      <c r="IO5" s="0" t="n">
        <v>7</v>
      </c>
      <c r="IP5" s="0" t="n">
        <f aca="false">0.25*2+0.38</f>
        <v>0.88</v>
      </c>
      <c r="IQ5" s="0" t="n">
        <v>1</v>
      </c>
      <c r="IR5" s="0" t="n">
        <v>34</v>
      </c>
      <c r="IS5" s="0" t="n">
        <v>4</v>
      </c>
      <c r="IT5" s="0" t="n">
        <v>0.5</v>
      </c>
      <c r="IU5" s="0" t="n">
        <v>5</v>
      </c>
      <c r="IV5" s="0" t="n">
        <v>23</v>
      </c>
      <c r="IW5" s="0" t="n">
        <v>9</v>
      </c>
      <c r="IX5" s="18" t="n">
        <f aca="false">0.1+0.13*2+0.05+0.25*2</f>
        <v>0.91</v>
      </c>
      <c r="IY5" s="0" t="n">
        <v>3</v>
      </c>
      <c r="IZ5" s="0" t="n">
        <v>28</v>
      </c>
      <c r="JA5" s="0" t="n">
        <v>12</v>
      </c>
      <c r="JB5" s="0" t="n">
        <f aca="false">0.76+0.57+0.38</f>
        <v>1.71</v>
      </c>
      <c r="JC5" s="0" t="n">
        <v>5</v>
      </c>
      <c r="JD5" s="0" t="n">
        <v>52</v>
      </c>
      <c r="JE5" s="0" t="n">
        <v>25</v>
      </c>
      <c r="JF5" s="0" t="n">
        <f aca="false">0.25+0.32+1.13+0.13+0.38+0.38</f>
        <v>2.59</v>
      </c>
      <c r="JG5" s="0" t="n">
        <v>2</v>
      </c>
      <c r="JH5" s="0" t="n">
        <v>35</v>
      </c>
      <c r="JI5" s="0" t="n">
        <v>6</v>
      </c>
      <c r="JJ5" s="0" t="n">
        <f aca="false">0.13+0.23+0.13</f>
        <v>0.49</v>
      </c>
      <c r="JK5" s="0" t="n">
        <v>3</v>
      </c>
      <c r="JL5" s="0" t="n">
        <v>85</v>
      </c>
      <c r="JM5" s="0" t="n">
        <v>6</v>
      </c>
      <c r="JN5" s="0" t="n">
        <v>1.13</v>
      </c>
      <c r="JO5" s="0" t="n">
        <v>2</v>
      </c>
      <c r="JP5" s="0" t="n">
        <v>0</v>
      </c>
      <c r="LA5" s="16" t="n">
        <v>1.19</v>
      </c>
      <c r="LB5" s="16" t="n">
        <v>1</v>
      </c>
      <c r="LC5" s="16" t="n">
        <v>1</v>
      </c>
      <c r="LD5" s="16"/>
      <c r="LE5" s="16" t="n">
        <f aca="false">0.63*2+0.35*2+0.35*3</f>
        <v>3.01</v>
      </c>
      <c r="LF5" s="16" t="n">
        <v>2</v>
      </c>
      <c r="LG5" s="16"/>
      <c r="LH5" s="16" t="n">
        <f aca="false">0.35*3+0.13+1.13+0.32+0.25+0.38*2</f>
        <v>3.64</v>
      </c>
      <c r="LI5" s="16"/>
      <c r="LJ5" s="16"/>
      <c r="LK5" s="16"/>
      <c r="LL5" s="16" t="n">
        <v>6.47</v>
      </c>
      <c r="LM5" s="16" t="n">
        <v>8.47</v>
      </c>
      <c r="LN5" s="16"/>
      <c r="LO5" s="16"/>
      <c r="LP5" s="16" t="n">
        <v>0.84</v>
      </c>
      <c r="LQ5" s="16" t="n">
        <v>0</v>
      </c>
      <c r="LR5" s="16" t="n">
        <v>0.03</v>
      </c>
      <c r="LS5" s="0" t="n">
        <v>23</v>
      </c>
      <c r="LT5" s="0" t="s">
        <v>208</v>
      </c>
      <c r="LU5" s="0" t="n">
        <v>40.5</v>
      </c>
      <c r="LV5" s="16" t="n">
        <v>89.3</v>
      </c>
      <c r="LW5" s="16" t="n">
        <v>571.19</v>
      </c>
      <c r="LX5" s="16" t="n">
        <v>28.5</v>
      </c>
      <c r="LY5" s="0" t="n">
        <v>60.03</v>
      </c>
      <c r="LZ5" s="0" t="n">
        <v>0</v>
      </c>
      <c r="MB5" s="0" t="n">
        <v>10.84</v>
      </c>
      <c r="MC5" s="0" t="n">
        <v>3.37</v>
      </c>
      <c r="MD5" s="0" t="n">
        <v>0</v>
      </c>
      <c r="ME5" s="0" t="n">
        <v>10.43</v>
      </c>
      <c r="MF5" s="0" t="n">
        <v>0.95</v>
      </c>
      <c r="MG5" s="0" t="n">
        <v>0</v>
      </c>
      <c r="MH5" s="0" t="n">
        <v>4.54</v>
      </c>
      <c r="MI5" s="0" t="n">
        <v>0</v>
      </c>
      <c r="MJ5" s="0" t="n">
        <v>8.86</v>
      </c>
      <c r="MK5" s="0" t="n">
        <v>38.84</v>
      </c>
      <c r="ML5" s="0" t="n">
        <v>11.38</v>
      </c>
      <c r="MM5" s="0" t="n">
        <v>1.42</v>
      </c>
      <c r="MN5" s="0" t="n">
        <v>8.95</v>
      </c>
      <c r="MO5" s="0" t="n">
        <v>0.4</v>
      </c>
      <c r="MP5" s="0" t="n">
        <v>3</v>
      </c>
      <c r="MQ5" s="0" t="n">
        <v>5</v>
      </c>
      <c r="MR5" s="0" t="n">
        <v>5</v>
      </c>
      <c r="NC5" s="0" t="n">
        <v>2.6</v>
      </c>
      <c r="ND5" s="0" t="n">
        <v>1</v>
      </c>
      <c r="NE5" s="0" t="n">
        <v>68</v>
      </c>
      <c r="NF5" s="0" t="n">
        <v>7</v>
      </c>
      <c r="NG5" s="0" t="n">
        <f aca="false">0.25*2+0.37</f>
        <v>0.87</v>
      </c>
      <c r="NH5" s="0" t="n">
        <v>1</v>
      </c>
      <c r="NI5" s="0" t="n">
        <v>23</v>
      </c>
      <c r="NJ5" s="0" t="n">
        <v>13</v>
      </c>
      <c r="NK5" s="0" t="n">
        <f aca="false">0.08*3+0.13*2+0.08+0.25*2+0.38</f>
        <v>1.46</v>
      </c>
      <c r="NL5" s="0" t="n">
        <v>3</v>
      </c>
      <c r="NM5" s="0" t="n">
        <v>28</v>
      </c>
      <c r="NN5" s="0" t="n">
        <v>12</v>
      </c>
      <c r="NO5" s="18" t="n">
        <f aca="false">0.76+0.57+0.38</f>
        <v>1.71</v>
      </c>
      <c r="NP5" s="0" t="n">
        <v>5</v>
      </c>
      <c r="NQ5" s="0" t="n">
        <v>52</v>
      </c>
      <c r="NR5" s="0" t="n">
        <v>22</v>
      </c>
      <c r="NS5" s="0" t="n">
        <f aca="false">1.13+0.13+0.32+0.25+0.38</f>
        <v>2.21</v>
      </c>
      <c r="NT5" s="0" t="n">
        <v>2</v>
      </c>
      <c r="NU5" s="0" t="n">
        <v>35</v>
      </c>
      <c r="NV5" s="0" t="n">
        <v>6</v>
      </c>
      <c r="NW5" s="0" t="n">
        <f aca="false">0.13*2+0.23</f>
        <v>0.49</v>
      </c>
      <c r="NX5" s="0" t="n">
        <v>3</v>
      </c>
      <c r="NY5" s="0" t="n">
        <v>85</v>
      </c>
      <c r="NZ5" s="0" t="n">
        <v>6</v>
      </c>
      <c r="OA5" s="0" t="n">
        <v>1.13</v>
      </c>
      <c r="OB5" s="0" t="n">
        <v>2</v>
      </c>
      <c r="OG5" s="0" t="n">
        <v>0</v>
      </c>
      <c r="PR5" s="16" t="n">
        <v>1.19</v>
      </c>
      <c r="PS5" s="16" t="n">
        <v>1</v>
      </c>
      <c r="PT5" s="16" t="n">
        <v>1</v>
      </c>
      <c r="PU5" s="16"/>
      <c r="PV5" s="16" t="n">
        <f aca="false">0.63*2+0.35*2+0.35*3</f>
        <v>3.01</v>
      </c>
      <c r="PW5" s="16" t="n">
        <v>3</v>
      </c>
      <c r="PX5" s="16"/>
      <c r="PY5" s="16" t="n">
        <f aca="false">0.35*3+0.13+1.13+0.32+0.25+0.38*2</f>
        <v>3.64</v>
      </c>
      <c r="PZ5" s="16"/>
      <c r="QA5" s="16"/>
      <c r="QB5" s="16"/>
      <c r="QC5" s="16" t="n">
        <v>6.62</v>
      </c>
      <c r="QD5" s="16" t="n">
        <v>8.83</v>
      </c>
      <c r="QE5" s="16"/>
      <c r="QF5" s="16"/>
      <c r="QG5" s="16" t="n">
        <v>0.84</v>
      </c>
      <c r="QH5" s="16" t="n">
        <v>0</v>
      </c>
      <c r="QI5" s="16" t="n">
        <v>0.03</v>
      </c>
      <c r="QJ5" s="0" t="n">
        <v>23</v>
      </c>
      <c r="QK5" s="0" t="s">
        <v>209</v>
      </c>
      <c r="QL5" s="0" t="n">
        <v>37.5</v>
      </c>
      <c r="QM5" s="16" t="n">
        <v>83.5</v>
      </c>
      <c r="QN5" s="16" t="n">
        <v>571.19</v>
      </c>
      <c r="QO5" s="16" t="n">
        <v>32.3</v>
      </c>
      <c r="QP5" s="0" t="n">
        <v>64.31</v>
      </c>
      <c r="QQ5" s="0" t="n">
        <v>0</v>
      </c>
      <c r="QR5" s="0" t="n">
        <v>22.4</v>
      </c>
      <c r="QS5" s="0" t="n">
        <v>0.76</v>
      </c>
      <c r="QT5" s="0" t="n">
        <v>12.53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7.66</v>
      </c>
      <c r="RB5" s="0" t="n">
        <v>29.92</v>
      </c>
      <c r="RC5" s="0" t="n">
        <v>27.37</v>
      </c>
      <c r="RD5" s="0" t="n">
        <v>0</v>
      </c>
      <c r="RE5" s="0" t="n">
        <v>0</v>
      </c>
      <c r="RF5" s="0" t="n">
        <v>0</v>
      </c>
      <c r="RG5" s="0" t="n">
        <v>0</v>
      </c>
      <c r="RT5" s="0" t="n">
        <v>0.8</v>
      </c>
      <c r="RU5" s="0" t="n">
        <v>1</v>
      </c>
      <c r="RV5" s="0" t="n">
        <v>68</v>
      </c>
      <c r="RW5" s="0" t="n">
        <v>1</v>
      </c>
      <c r="RX5" s="0" t="n">
        <v>0.13</v>
      </c>
      <c r="RY5" s="0" t="n">
        <v>1</v>
      </c>
      <c r="RZ5" s="0" t="n">
        <v>34</v>
      </c>
      <c r="SA5" s="0" t="n">
        <f aca="false">5*4+4+2+4+4+2+4+4+1+4+4+2</f>
        <v>55</v>
      </c>
      <c r="SB5" s="0" t="n">
        <f aca="false">0.13*4+0.2+0.05+0.2+0.15+0.13+0.05+0.05+0.25</f>
        <v>1.6</v>
      </c>
      <c r="SC5" s="0" t="n">
        <v>1</v>
      </c>
      <c r="SD5" s="0" t="n">
        <v>35</v>
      </c>
      <c r="SE5" s="0" t="n">
        <v>1</v>
      </c>
      <c r="SF5" s="18" t="n">
        <v>0.25</v>
      </c>
      <c r="SG5" s="0" t="n">
        <v>3</v>
      </c>
      <c r="SX5" s="0" t="n">
        <v>1</v>
      </c>
      <c r="SY5" s="0" t="n">
        <v>40</v>
      </c>
      <c r="SZ5" s="0" t="n">
        <v>14</v>
      </c>
      <c r="TA5" s="0" t="n">
        <f aca="false">0.25+0.19*2</f>
        <v>0.63</v>
      </c>
      <c r="TB5" s="0" t="n">
        <v>1</v>
      </c>
      <c r="UI5" s="16" t="n">
        <v>0.09</v>
      </c>
      <c r="UJ5" s="16" t="n">
        <v>1</v>
      </c>
      <c r="UK5" s="16" t="n">
        <v>1</v>
      </c>
      <c r="UL5" s="16"/>
      <c r="UM5" s="16" t="n">
        <f aca="false">0.1+0.35*3+1.4</f>
        <v>2.55</v>
      </c>
      <c r="UN5" s="16"/>
      <c r="UO5" s="16"/>
      <c r="UP5" s="16"/>
      <c r="UQ5" s="16"/>
      <c r="UR5" s="16"/>
      <c r="US5" s="16"/>
      <c r="UT5" s="16" t="n">
        <v>3.96</v>
      </c>
      <c r="UU5" s="16" t="n">
        <v>3.96</v>
      </c>
      <c r="UV5" s="16"/>
      <c r="UW5" s="16"/>
      <c r="UX5" s="16" t="n">
        <v>0</v>
      </c>
      <c r="UY5" s="16" t="n">
        <v>0</v>
      </c>
      <c r="UZ5" s="16" t="n">
        <v>0</v>
      </c>
      <c r="VA5" s="0" t="n">
        <v>0</v>
      </c>
      <c r="VB5" s="0" t="s">
        <v>210</v>
      </c>
      <c r="VC5" s="0" t="n">
        <v>57</v>
      </c>
      <c r="VD5" s="16" t="n">
        <v>75.1</v>
      </c>
      <c r="VE5" s="16" t="n">
        <v>571.19</v>
      </c>
      <c r="VF5" s="16" t="n">
        <v>41.5</v>
      </c>
      <c r="VG5" s="0" t="n">
        <v>50.65</v>
      </c>
      <c r="VH5" s="0" t="n">
        <v>0</v>
      </c>
      <c r="VI5" s="0" t="n">
        <v>8.23</v>
      </c>
      <c r="VJ5" s="0" t="n">
        <v>0.38</v>
      </c>
      <c r="VK5" s="0" t="n">
        <v>40.26</v>
      </c>
      <c r="VL5" s="0" t="n">
        <v>0</v>
      </c>
      <c r="VM5" s="0" t="n">
        <v>0.47</v>
      </c>
      <c r="VN5" s="0" t="n">
        <v>0.13</v>
      </c>
      <c r="VO5" s="0" t="n">
        <v>0</v>
      </c>
      <c r="VP5" s="0" t="n">
        <v>0</v>
      </c>
      <c r="VQ5" s="0" t="n">
        <v>0</v>
      </c>
      <c r="VR5" s="0" t="n">
        <v>32.29</v>
      </c>
      <c r="VS5" s="0" t="n">
        <v>9.33</v>
      </c>
      <c r="VT5" s="0" t="n">
        <v>21.84</v>
      </c>
      <c r="VU5" s="0" t="n">
        <v>1.76</v>
      </c>
      <c r="VV5" s="0" t="n">
        <v>0</v>
      </c>
      <c r="VW5" s="0" t="n">
        <v>3.7</v>
      </c>
      <c r="VX5" s="0" t="n">
        <v>1</v>
      </c>
      <c r="VY5" s="0" t="n">
        <v>3</v>
      </c>
      <c r="WA5" s="0" t="n">
        <v>1</v>
      </c>
      <c r="WB5" s="0" t="n">
        <v>3</v>
      </c>
      <c r="WC5" s="0" t="n">
        <v>3</v>
      </c>
      <c r="WK5" s="0" t="n">
        <v>3.7</v>
      </c>
      <c r="WL5" s="0" t="n">
        <v>0</v>
      </c>
      <c r="WM5" s="0" t="n">
        <v>23</v>
      </c>
      <c r="WN5" s="0" t="n">
        <v>9</v>
      </c>
      <c r="WO5" s="0" t="n">
        <f aca="false">0.13+0.25+0.5+0.25</f>
        <v>1.13</v>
      </c>
      <c r="WP5" s="0" t="n">
        <v>3</v>
      </c>
      <c r="WQ5" s="0" t="n">
        <v>28</v>
      </c>
      <c r="WR5" s="0" t="n">
        <v>13</v>
      </c>
      <c r="WS5" s="18" t="n">
        <f aca="false">0.63+0.5</f>
        <v>1.13</v>
      </c>
      <c r="WT5" s="0" t="n">
        <v>5</v>
      </c>
      <c r="WW5" s="18"/>
      <c r="XO5" s="0" t="n">
        <v>1</v>
      </c>
      <c r="XP5" s="0" t="n">
        <v>60</v>
      </c>
      <c r="XQ5" s="0" t="n">
        <v>7</v>
      </c>
      <c r="XR5" s="0" t="n">
        <f aca="false">0.76+0.13</f>
        <v>0.89</v>
      </c>
      <c r="XS5" s="0" t="n">
        <v>3</v>
      </c>
      <c r="XT5" s="0" t="n">
        <v>40</v>
      </c>
      <c r="XU5" s="0" t="n">
        <v>3</v>
      </c>
      <c r="XV5" s="0" t="n">
        <f aca="false">0.06+0.38+0.01</f>
        <v>0.45</v>
      </c>
      <c r="XW5" s="0" t="n">
        <v>1</v>
      </c>
      <c r="XX5" s="0" t="n">
        <v>40</v>
      </c>
      <c r="XY5" s="0" t="n">
        <v>1</v>
      </c>
      <c r="XZ5" s="0" t="n">
        <v>0.16</v>
      </c>
      <c r="YA5" s="0" t="n">
        <v>4</v>
      </c>
      <c r="YB5" s="0" t="n">
        <v>70</v>
      </c>
      <c r="YC5" s="0" t="n">
        <v>12</v>
      </c>
      <c r="YD5" s="0" t="n">
        <v>0.76</v>
      </c>
      <c r="YE5" s="0" t="n">
        <v>2</v>
      </c>
      <c r="YF5" s="0" t="n">
        <v>60</v>
      </c>
      <c r="YG5" s="0" t="n">
        <v>12</v>
      </c>
      <c r="YH5" s="0" t="n">
        <v>1.5</v>
      </c>
      <c r="YI5" s="0" t="n">
        <v>2</v>
      </c>
      <c r="YZ5" s="16" t="n">
        <v>4.38</v>
      </c>
      <c r="ZA5" s="16" t="n">
        <v>1</v>
      </c>
      <c r="ZB5" s="16" t="n">
        <v>1</v>
      </c>
      <c r="ZC5" s="16"/>
      <c r="ZD5" s="16" t="n">
        <f aca="false">0.5+0.76+0.25+0.13+0.35*2</f>
        <v>2.34</v>
      </c>
      <c r="ZE5" s="16" t="n">
        <v>2</v>
      </c>
      <c r="ZF5" s="16"/>
      <c r="ZG5" s="16" t="n">
        <f aca="false">0.5+0.38+0.13+0.06+0.2+0.38*2+0.76+1.89+0.25+0.38*2+0.76+1.89</f>
        <v>8.34</v>
      </c>
      <c r="ZH5" s="16" t="n">
        <v>3</v>
      </c>
      <c r="ZI5" s="16"/>
      <c r="ZJ5" s="16" t="n">
        <f aca="false">0.32+0.38+0.76</f>
        <v>1.46</v>
      </c>
      <c r="ZK5" s="16" t="n">
        <v>4</v>
      </c>
      <c r="ZL5" s="16" t="n">
        <v>4.67</v>
      </c>
      <c r="ZM5" s="16"/>
      <c r="ZN5" s="16"/>
      <c r="ZO5" s="16" t="n">
        <v>0.84</v>
      </c>
      <c r="ZP5" s="16" t="n">
        <v>0</v>
      </c>
      <c r="ZQ5" s="16" t="n">
        <v>0</v>
      </c>
      <c r="ZR5" s="0" t="n">
        <v>1</v>
      </c>
      <c r="ZS5" s="0" t="s">
        <v>211</v>
      </c>
      <c r="ZT5" s="0" t="n">
        <v>46</v>
      </c>
      <c r="ZU5" s="16" t="n">
        <v>62.8</v>
      </c>
      <c r="ZV5" s="16" t="n">
        <v>571.19</v>
      </c>
      <c r="ZW5" s="16" t="n">
        <v>27.6</v>
      </c>
      <c r="ZX5" s="0" t="n">
        <v>70.61</v>
      </c>
      <c r="ZY5" s="0" t="n">
        <v>0</v>
      </c>
      <c r="ZZ5" s="0" t="n">
        <v>0.41</v>
      </c>
      <c r="AAA5" s="0" t="n">
        <v>0</v>
      </c>
      <c r="AAB5" s="0" t="n">
        <v>2.36</v>
      </c>
      <c r="AAC5" s="0" t="n">
        <v>0</v>
      </c>
      <c r="AAD5" s="0" t="n">
        <v>22.84</v>
      </c>
      <c r="AAE5" s="0" t="n">
        <v>12.53</v>
      </c>
      <c r="AAF5" s="0" t="n">
        <v>0</v>
      </c>
      <c r="AAG5" s="0" t="n">
        <v>2.49</v>
      </c>
      <c r="AAH5" s="0" t="n">
        <v>0</v>
      </c>
      <c r="AAI5" s="0" t="n">
        <v>17.91</v>
      </c>
      <c r="AAJ5" s="0" t="n">
        <v>36.91</v>
      </c>
      <c r="AAK5" s="0" t="n">
        <v>9.58</v>
      </c>
      <c r="AAL5" s="0" t="n">
        <v>0.88</v>
      </c>
      <c r="AAM5" s="0" t="n">
        <v>0</v>
      </c>
      <c r="AAN5" s="0" t="n">
        <v>7.5</v>
      </c>
      <c r="AAO5" s="0" t="n">
        <v>1</v>
      </c>
      <c r="AAP5" s="0" t="n">
        <v>5</v>
      </c>
      <c r="AAR5" s="0" t="n">
        <v>2</v>
      </c>
      <c r="ABB5" s="0" t="n">
        <v>2.1</v>
      </c>
      <c r="ABC5" s="0" t="n">
        <v>1</v>
      </c>
      <c r="ABD5" s="0" t="n">
        <v>52</v>
      </c>
      <c r="ABE5" s="0" t="n">
        <v>1</v>
      </c>
      <c r="ABF5" s="0" t="n">
        <v>0.13</v>
      </c>
      <c r="ABG5" s="0" t="n">
        <v>2</v>
      </c>
      <c r="ABH5" s="0" t="n">
        <v>37</v>
      </c>
      <c r="ABI5" s="0" t="n">
        <v>13</v>
      </c>
      <c r="ABJ5" s="0" t="n">
        <f aca="false">0.08+0.76+0.76</f>
        <v>1.6</v>
      </c>
      <c r="ABK5" s="0" t="n">
        <v>5</v>
      </c>
      <c r="ABL5" s="0" t="n">
        <v>28</v>
      </c>
      <c r="ABM5" s="0" t="n">
        <v>9</v>
      </c>
      <c r="ABN5" s="0" t="n">
        <f aca="false">0.38+0.12+0.99+0.25</f>
        <v>1.74</v>
      </c>
      <c r="ABO5" s="0" t="n">
        <v>5</v>
      </c>
      <c r="ACF5" s="0" t="n">
        <v>1</v>
      </c>
      <c r="ACG5" s="0" t="n">
        <v>100</v>
      </c>
      <c r="ACH5" s="0" t="n">
        <v>2</v>
      </c>
      <c r="ACI5" s="0" t="n">
        <v>0.17</v>
      </c>
      <c r="ACJ5" s="0" t="n">
        <v>3</v>
      </c>
      <c r="ADQ5" s="16" t="n">
        <v>1.11</v>
      </c>
      <c r="ADR5" s="16" t="n">
        <v>1</v>
      </c>
      <c r="ADS5" s="16" t="n">
        <v>2</v>
      </c>
      <c r="ADT5" s="16"/>
      <c r="ADU5" s="16" t="n">
        <f aca="false">1.05+10.24+1.58+0.06+0.17+0.06+0.17+10.24+1.58+0.06*2+0.17*2</f>
        <v>25.61</v>
      </c>
      <c r="ADV5" s="16"/>
      <c r="ADW5" s="16"/>
      <c r="ADX5" s="16"/>
      <c r="ADY5" s="16"/>
      <c r="ADZ5" s="16"/>
      <c r="AEA5" s="16"/>
      <c r="AEB5" s="16" t="n">
        <v>6.68</v>
      </c>
      <c r="AEC5" s="16" t="n">
        <v>33.73</v>
      </c>
      <c r="AED5" s="16"/>
      <c r="AEE5" s="16"/>
      <c r="AEF5" s="16" t="n">
        <v>0.84</v>
      </c>
      <c r="AEG5" s="16" t="n">
        <v>0</v>
      </c>
      <c r="AEH5" s="16" t="n">
        <v>0.06</v>
      </c>
      <c r="AEI5" s="0" t="n">
        <v>2</v>
      </c>
      <c r="AEK5" s="15"/>
      <c r="AEL5" s="15"/>
      <c r="AES5" s="15"/>
      <c r="AET5" s="15"/>
      <c r="AFA5" s="15"/>
      <c r="AFB5" s="15"/>
      <c r="AFI5" s="15"/>
      <c r="AFJ5" s="15"/>
      <c r="AFQ5" s="15"/>
      <c r="AFR5" s="15"/>
      <c r="AFY5" s="15"/>
      <c r="AFZ5" s="15"/>
      <c r="AGG5" s="15"/>
      <c r="AGH5" s="15"/>
      <c r="AGO5" s="15"/>
      <c r="AGP5" s="15"/>
      <c r="AGW5" s="15"/>
      <c r="AGX5" s="15"/>
      <c r="AHE5" s="15"/>
      <c r="AHF5" s="15"/>
      <c r="AHM5" s="15"/>
      <c r="AHN5" s="15"/>
      <c r="AHU5" s="15"/>
      <c r="AHV5" s="15"/>
      <c r="AIC5" s="15"/>
      <c r="AID5" s="15"/>
      <c r="AIK5" s="15"/>
      <c r="AIL5" s="15"/>
      <c r="AIS5" s="15"/>
      <c r="AIT5" s="15"/>
      <c r="AJA5" s="15"/>
      <c r="AJB5" s="15"/>
      <c r="AJI5" s="15"/>
      <c r="AJJ5" s="15"/>
      <c r="AJQ5" s="15"/>
      <c r="AJR5" s="15"/>
      <c r="AJY5" s="15"/>
      <c r="AJZ5" s="15"/>
      <c r="AKG5" s="15"/>
      <c r="AKH5" s="15"/>
      <c r="AKO5" s="15"/>
      <c r="AKP5" s="15"/>
      <c r="AKW5" s="15"/>
      <c r="AKX5" s="15"/>
      <c r="ALE5" s="15"/>
      <c r="ALF5" s="15"/>
      <c r="ALM5" s="15"/>
      <c r="ALN5" s="15"/>
      <c r="ALU5" s="15"/>
      <c r="ALV5" s="15"/>
      <c r="AMC5" s="15"/>
      <c r="AMD5" s="15"/>
    </row>
    <row r="6" customFormat="false" ht="13.8" hidden="false" customHeight="false" outlineLevel="0" collapsed="false">
      <c r="A6" s="1" t="s">
        <v>212</v>
      </c>
      <c r="B6" s="12" t="n">
        <v>42892</v>
      </c>
      <c r="C6" s="0" t="n">
        <v>2</v>
      </c>
      <c r="D6" s="13" t="n">
        <v>35465</v>
      </c>
      <c r="E6" s="12" t="n">
        <v>27987</v>
      </c>
      <c r="F6" s="14" t="n">
        <f aca="false">(B6-E6)/365.25</f>
        <v>40.807665982204</v>
      </c>
      <c r="G6" s="14" t="n">
        <f aca="false">(B6-D6)/365.25</f>
        <v>20.3340177960301</v>
      </c>
      <c r="H6" s="21" t="s">
        <v>181</v>
      </c>
      <c r="I6" s="21" t="s">
        <v>194</v>
      </c>
      <c r="J6" s="21" t="s">
        <v>183</v>
      </c>
      <c r="K6" s="21" t="n">
        <v>8</v>
      </c>
      <c r="L6" s="19" t="n">
        <v>83</v>
      </c>
      <c r="M6" s="0" t="n">
        <v>1.67</v>
      </c>
      <c r="N6" s="16" t="n">
        <f aca="false">L6/(M6*M6)</f>
        <v>29.7608376062247</v>
      </c>
      <c r="O6" s="19" t="n">
        <v>0</v>
      </c>
      <c r="P6" s="19" t="n">
        <v>0</v>
      </c>
      <c r="Q6" s="19" t="n">
        <v>0</v>
      </c>
      <c r="R6" s="19" t="n">
        <v>0</v>
      </c>
      <c r="S6" s="19" t="n">
        <v>0</v>
      </c>
      <c r="T6" s="19" t="n">
        <v>0</v>
      </c>
      <c r="U6" s="19" t="n">
        <v>0</v>
      </c>
      <c r="V6" s="19" t="n">
        <v>0</v>
      </c>
      <c r="W6" s="19" t="n">
        <v>0</v>
      </c>
      <c r="X6" s="19" t="n">
        <v>0</v>
      </c>
      <c r="Y6" s="19" t="n">
        <v>0</v>
      </c>
      <c r="Z6" s="19" t="n">
        <v>0</v>
      </c>
      <c r="AA6" s="19" t="n">
        <v>0</v>
      </c>
      <c r="AB6" s="19" t="n">
        <v>0</v>
      </c>
      <c r="AC6" s="19" t="n">
        <v>1</v>
      </c>
      <c r="AD6" s="19" t="n">
        <v>5</v>
      </c>
      <c r="AE6" s="19" t="n">
        <v>0</v>
      </c>
      <c r="AF6" s="19" t="n">
        <v>0</v>
      </c>
      <c r="AG6" s="19" t="n">
        <v>0</v>
      </c>
      <c r="AH6" s="19" t="n">
        <v>0</v>
      </c>
      <c r="AI6" s="19" t="n">
        <v>0</v>
      </c>
      <c r="AJ6" s="19" t="n">
        <v>0</v>
      </c>
      <c r="AK6" s="19" t="n">
        <v>0</v>
      </c>
      <c r="AL6" s="19" t="n">
        <v>0</v>
      </c>
      <c r="AM6" s="19" t="n">
        <v>0</v>
      </c>
      <c r="AN6" s="19" t="n">
        <v>0</v>
      </c>
      <c r="AO6" s="19" t="n">
        <v>0</v>
      </c>
      <c r="AP6" s="19" t="n">
        <v>0</v>
      </c>
      <c r="AQ6" s="19" t="n">
        <v>0</v>
      </c>
      <c r="AR6" s="19" t="n">
        <v>0</v>
      </c>
      <c r="AS6" s="19" t="n">
        <v>0</v>
      </c>
      <c r="AT6" s="19" t="n">
        <v>0</v>
      </c>
      <c r="AU6" s="19" t="n">
        <v>0</v>
      </c>
      <c r="AV6" s="19" t="n">
        <v>0</v>
      </c>
      <c r="AW6" s="19" t="n">
        <v>0</v>
      </c>
      <c r="AX6" s="19" t="n">
        <v>0</v>
      </c>
      <c r="AY6" s="19" t="n">
        <v>0</v>
      </c>
      <c r="AZ6" s="19" t="n">
        <v>0</v>
      </c>
      <c r="BA6" s="19" t="n">
        <v>0</v>
      </c>
      <c r="BB6" s="19" t="n">
        <v>1</v>
      </c>
      <c r="BC6" s="19" t="n">
        <v>1</v>
      </c>
      <c r="BD6" s="19"/>
      <c r="BE6" s="19"/>
      <c r="BF6" s="19" t="n">
        <v>0</v>
      </c>
      <c r="BG6" s="19" t="n">
        <v>0</v>
      </c>
      <c r="BH6" s="19"/>
      <c r="BI6" s="19"/>
      <c r="BJ6" s="19" t="n">
        <v>0</v>
      </c>
      <c r="BK6" s="19" t="n">
        <v>0</v>
      </c>
      <c r="BL6" s="19" t="n">
        <v>0</v>
      </c>
      <c r="BM6" s="19" t="n">
        <v>0</v>
      </c>
      <c r="BN6" s="19" t="n">
        <v>0</v>
      </c>
      <c r="BO6" s="19" t="n">
        <v>0</v>
      </c>
      <c r="BP6" s="19" t="n">
        <v>0</v>
      </c>
      <c r="BQ6" s="19" t="n">
        <v>0</v>
      </c>
      <c r="BR6" s="19" t="n">
        <v>3</v>
      </c>
      <c r="BS6" s="19" t="n">
        <v>2</v>
      </c>
      <c r="BT6" s="19" t="n">
        <v>5</v>
      </c>
      <c r="BU6" s="19" t="n">
        <v>5</v>
      </c>
      <c r="BV6" s="19" t="n">
        <v>5</v>
      </c>
      <c r="BW6" s="19" t="n">
        <v>5</v>
      </c>
      <c r="BX6" s="19" t="n">
        <v>4</v>
      </c>
      <c r="BY6" s="19" t="n">
        <v>5</v>
      </c>
      <c r="BZ6" s="19" t="n">
        <v>5</v>
      </c>
      <c r="CA6" s="19" t="n">
        <v>4</v>
      </c>
      <c r="CB6" s="19" t="n">
        <v>4</v>
      </c>
      <c r="CC6" s="19" t="n">
        <v>5</v>
      </c>
      <c r="CD6" s="19" t="n">
        <v>4</v>
      </c>
      <c r="CE6" s="19" t="n">
        <v>3</v>
      </c>
      <c r="CF6" s="19" t="n">
        <v>4</v>
      </c>
      <c r="CG6" s="19" t="n">
        <v>5</v>
      </c>
      <c r="CH6" s="19" t="n">
        <v>3</v>
      </c>
      <c r="CI6" s="19" t="n">
        <v>4</v>
      </c>
      <c r="CJ6" s="19" t="n">
        <v>3</v>
      </c>
      <c r="CK6" s="19" t="n">
        <v>10</v>
      </c>
      <c r="CL6" s="0" t="s">
        <v>196</v>
      </c>
      <c r="CM6" s="0" t="n">
        <v>39.5</v>
      </c>
      <c r="CN6" s="16" t="n">
        <v>89.8</v>
      </c>
      <c r="CO6" s="16" t="n">
        <v>80.4</v>
      </c>
      <c r="CP6" s="16" t="n">
        <v>5.1</v>
      </c>
      <c r="CQ6" s="0" t="n">
        <v>100</v>
      </c>
      <c r="CR6" s="17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50.37</v>
      </c>
      <c r="DD6" s="0" t="n">
        <v>16.55</v>
      </c>
      <c r="DE6" s="0" t="n">
        <v>0.4</v>
      </c>
      <c r="DF6" s="0" t="n">
        <v>0</v>
      </c>
      <c r="DG6" s="0" t="n">
        <v>27.4</v>
      </c>
      <c r="DH6" s="0" t="n">
        <v>1</v>
      </c>
      <c r="DI6" s="0" t="n">
        <v>3</v>
      </c>
      <c r="DK6" s="0" t="n">
        <v>4</v>
      </c>
      <c r="DO6" s="0" t="n">
        <v>3</v>
      </c>
      <c r="DQ6" s="0" t="n">
        <v>4</v>
      </c>
      <c r="DU6" s="0" t="n">
        <v>0.1</v>
      </c>
      <c r="DV6" s="0" t="n">
        <v>1</v>
      </c>
      <c r="DW6" s="0" t="n">
        <v>34</v>
      </c>
      <c r="DX6" s="0" t="n">
        <v>9</v>
      </c>
      <c r="DY6" s="0" t="n">
        <f aca="false">(1.71*3)+(0.2*2)</f>
        <v>5.53</v>
      </c>
      <c r="DZ6" s="0" t="n">
        <v>1</v>
      </c>
      <c r="EA6" s="0" t="n">
        <v>35</v>
      </c>
      <c r="EB6" s="0" t="n">
        <v>1</v>
      </c>
      <c r="EC6" s="16" t="n">
        <v>0.02</v>
      </c>
      <c r="ED6" s="0" t="n">
        <v>3</v>
      </c>
      <c r="EG6" s="20"/>
      <c r="EY6" s="0" t="n">
        <v>0</v>
      </c>
      <c r="GJ6" s="16" t="n">
        <v>1.49</v>
      </c>
      <c r="GK6" s="16" t="n">
        <v>1</v>
      </c>
      <c r="GL6" s="16" t="n">
        <v>1</v>
      </c>
      <c r="GM6" s="16"/>
      <c r="GN6" s="16" t="n">
        <f aca="false">2.11+2.11+0.56+0.56</f>
        <v>5.34</v>
      </c>
      <c r="GO6" s="16"/>
      <c r="GP6" s="16"/>
      <c r="GQ6" s="16"/>
      <c r="GR6" s="16"/>
      <c r="GS6" s="16"/>
      <c r="GT6" s="16"/>
      <c r="GU6" s="16" t="n">
        <v>5.01</v>
      </c>
      <c r="GV6" s="16" t="n">
        <v>5.13</v>
      </c>
      <c r="GW6" s="16" t="n">
        <v>0</v>
      </c>
      <c r="GX6" s="16" t="n">
        <v>0</v>
      </c>
      <c r="GY6" s="16" t="n">
        <v>0</v>
      </c>
      <c r="GZ6" s="16" t="n">
        <v>0</v>
      </c>
      <c r="HA6" s="16" t="n">
        <v>0</v>
      </c>
      <c r="HB6" s="0" t="n">
        <v>0</v>
      </c>
      <c r="HC6" s="0" t="s">
        <v>197</v>
      </c>
      <c r="HD6" s="0" t="n">
        <v>49.5</v>
      </c>
      <c r="HE6" s="16" t="n">
        <v>90.1</v>
      </c>
      <c r="HF6" s="16" t="n">
        <v>80.4</v>
      </c>
      <c r="HG6" s="16" t="n">
        <v>9.9</v>
      </c>
      <c r="HH6" s="0" t="n">
        <v>94.62</v>
      </c>
      <c r="HI6" s="17" t="n">
        <v>0</v>
      </c>
      <c r="HJ6" s="0" t="n">
        <v>0.32</v>
      </c>
      <c r="HK6" s="0" t="n">
        <v>0</v>
      </c>
      <c r="HL6" s="0" t="n">
        <v>5.05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3.42</v>
      </c>
      <c r="HT6" s="0" t="n">
        <v>32.25</v>
      </c>
      <c r="HU6" s="0" t="n">
        <v>29.89</v>
      </c>
      <c r="HV6" s="0" t="n">
        <v>8.28</v>
      </c>
      <c r="HW6" s="0" t="n">
        <v>0</v>
      </c>
      <c r="HX6" s="0" t="n">
        <v>12.9</v>
      </c>
      <c r="HY6" s="0" t="n">
        <v>1</v>
      </c>
      <c r="HZ6" s="0" t="n">
        <v>7</v>
      </c>
      <c r="IB6" s="0" t="n">
        <v>5</v>
      </c>
      <c r="IC6" s="0" t="n">
        <v>3</v>
      </c>
      <c r="IE6" s="0" t="n">
        <v>3</v>
      </c>
      <c r="IF6" s="0" t="n">
        <v>7</v>
      </c>
      <c r="IH6" s="0" t="n">
        <v>5</v>
      </c>
      <c r="II6" s="0" t="n">
        <v>3</v>
      </c>
      <c r="IK6" s="0" t="n">
        <v>3</v>
      </c>
      <c r="IL6" s="0" t="n">
        <v>16.6</v>
      </c>
      <c r="IM6" s="0" t="n">
        <v>1</v>
      </c>
      <c r="IN6" s="0" t="n">
        <v>68</v>
      </c>
      <c r="IO6" s="0" t="n">
        <v>6</v>
      </c>
      <c r="IP6" s="0" t="n">
        <v>0.21</v>
      </c>
      <c r="IQ6" s="0" t="n">
        <v>1</v>
      </c>
      <c r="IR6" s="0" t="n">
        <v>35</v>
      </c>
      <c r="IS6" s="0" t="n">
        <v>3</v>
      </c>
      <c r="IT6" s="0" t="n">
        <v>0.51</v>
      </c>
      <c r="IU6" s="0" t="n">
        <v>3</v>
      </c>
      <c r="IV6" s="0" t="n">
        <v>47</v>
      </c>
      <c r="IW6" s="0" t="n">
        <v>22</v>
      </c>
      <c r="IX6" s="20" t="n">
        <f aca="false">(0.43*3)+(0.07*4)+0.22</f>
        <v>1.79</v>
      </c>
      <c r="IY6" s="0" t="n">
        <v>3</v>
      </c>
      <c r="JP6" s="0" t="n">
        <v>1</v>
      </c>
      <c r="JQ6" s="0" t="n">
        <v>60</v>
      </c>
      <c r="JR6" s="0" t="n">
        <v>17</v>
      </c>
      <c r="JS6" s="0" t="n">
        <f aca="false">0.22+0.04+0.11+0.08+0.08+0.05</f>
        <v>0.58</v>
      </c>
      <c r="JT6" s="0" t="n">
        <v>3</v>
      </c>
      <c r="JU6" s="0" t="n">
        <v>60</v>
      </c>
      <c r="JV6" s="0" t="n">
        <v>12</v>
      </c>
      <c r="JW6" s="0" t="n">
        <f aca="false">0.87+0.43+0.15+0.07</f>
        <v>1.52</v>
      </c>
      <c r="JX6" s="0" t="n">
        <v>1</v>
      </c>
      <c r="LA6" s="16" t="n">
        <v>2.49</v>
      </c>
      <c r="LB6" s="16" t="n">
        <v>1</v>
      </c>
      <c r="LC6" s="16" t="n">
        <v>1</v>
      </c>
      <c r="LD6" s="16"/>
      <c r="LE6" s="16" t="n">
        <v>10.89</v>
      </c>
      <c r="LF6" s="16"/>
      <c r="LG6" s="16"/>
      <c r="LH6" s="16"/>
      <c r="LI6" s="16"/>
      <c r="LJ6" s="16"/>
      <c r="LK6" s="16"/>
      <c r="LL6" s="16" t="n">
        <v>4.17</v>
      </c>
      <c r="LM6" s="16" t="n">
        <v>3.7</v>
      </c>
      <c r="LN6" s="16" t="n">
        <v>0</v>
      </c>
      <c r="LO6" s="16" t="n">
        <v>0</v>
      </c>
      <c r="LP6" s="16" t="n">
        <v>0</v>
      </c>
      <c r="LQ6" s="16" t="n">
        <v>0</v>
      </c>
      <c r="LR6" s="16" t="n">
        <v>0</v>
      </c>
      <c r="LS6" s="0" t="n">
        <v>0</v>
      </c>
      <c r="LT6" s="0" t="s">
        <v>198</v>
      </c>
      <c r="LU6" s="0" t="n">
        <v>28.5</v>
      </c>
      <c r="LV6" s="16" t="n">
        <v>78.4</v>
      </c>
      <c r="LW6" s="16" t="n">
        <v>80.4</v>
      </c>
      <c r="LX6" s="16" t="n">
        <v>16</v>
      </c>
      <c r="LY6" s="0" t="n">
        <v>95.22</v>
      </c>
      <c r="LZ6" s="17" t="n">
        <v>0</v>
      </c>
      <c r="MA6" s="0" t="n">
        <v>4.23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9.77</v>
      </c>
      <c r="MK6" s="0" t="n">
        <v>2.18</v>
      </c>
      <c r="ML6" s="0" t="n">
        <v>46.81</v>
      </c>
      <c r="MM6" s="0" t="n">
        <v>10.57</v>
      </c>
      <c r="MN6" s="0" t="n">
        <v>0</v>
      </c>
      <c r="MO6" s="0" t="n">
        <v>0</v>
      </c>
      <c r="MP6" s="0" t="n">
        <v>0</v>
      </c>
      <c r="NC6" s="0" t="n">
        <v>0</v>
      </c>
      <c r="ND6" s="0" t="n">
        <v>0</v>
      </c>
      <c r="NO6" s="20"/>
      <c r="OG6" s="0" t="n">
        <v>0</v>
      </c>
      <c r="PR6" s="16" t="n">
        <v>4.23</v>
      </c>
      <c r="PS6" s="16" t="n">
        <v>1</v>
      </c>
      <c r="PT6" s="16" t="n">
        <v>2</v>
      </c>
      <c r="PU6" s="16"/>
      <c r="PV6" s="16" t="n">
        <v>6.34</v>
      </c>
      <c r="PW6" s="16" t="n">
        <v>1</v>
      </c>
      <c r="PX6" s="16" t="n">
        <v>1</v>
      </c>
      <c r="PY6" s="16" t="n">
        <f aca="false">9.52+3.17+3.17+3.17+1.12+1.12+1.12</f>
        <v>22.39</v>
      </c>
      <c r="PZ6" s="16"/>
      <c r="QA6" s="16"/>
      <c r="QB6" s="16"/>
      <c r="QC6" s="16" t="n">
        <v>5.41</v>
      </c>
      <c r="QD6" s="16" t="n">
        <v>8.96</v>
      </c>
      <c r="QE6" s="16" t="n">
        <v>0</v>
      </c>
      <c r="QF6" s="16" t="n">
        <v>0</v>
      </c>
      <c r="QG6" s="16" t="n">
        <v>0</v>
      </c>
      <c r="QH6" s="16" t="n">
        <v>0</v>
      </c>
      <c r="QI6" s="16" t="n">
        <v>0</v>
      </c>
      <c r="QJ6" s="0" t="n">
        <v>0</v>
      </c>
      <c r="QK6" s="0" t="s">
        <v>199</v>
      </c>
      <c r="QL6" s="0" t="n">
        <v>56.5</v>
      </c>
      <c r="QM6" s="16" t="n">
        <v>88.4</v>
      </c>
      <c r="QN6" s="16" t="n">
        <v>80.4</v>
      </c>
      <c r="QO6" s="16" t="n">
        <v>24.8</v>
      </c>
      <c r="QP6" s="0" t="n">
        <v>77.37</v>
      </c>
      <c r="QQ6" s="17" t="n">
        <v>0</v>
      </c>
      <c r="QR6" s="0" t="n">
        <v>7.99</v>
      </c>
      <c r="QS6" s="0" t="n">
        <v>0</v>
      </c>
      <c r="QT6" s="0" t="n">
        <v>14.63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8.04</v>
      </c>
      <c r="RB6" s="0" t="n">
        <v>23.21</v>
      </c>
      <c r="RC6" s="0" t="n">
        <v>37.03</v>
      </c>
      <c r="RD6" s="0" t="n">
        <v>14.79</v>
      </c>
      <c r="RE6" s="0" t="n">
        <v>0</v>
      </c>
      <c r="RF6" s="0" t="n">
        <v>0</v>
      </c>
      <c r="RG6" s="0" t="n">
        <v>0</v>
      </c>
      <c r="RT6" s="0" t="n">
        <v>25.5</v>
      </c>
      <c r="RU6" s="0" t="n">
        <v>1</v>
      </c>
      <c r="RV6" s="0" t="n">
        <v>52</v>
      </c>
      <c r="RW6" s="0" t="n">
        <v>13</v>
      </c>
      <c r="RX6" s="0" t="n">
        <f aca="false">0.27+1.07+0.13+0.27</f>
        <v>1.74</v>
      </c>
      <c r="RY6" s="0" t="n">
        <v>2</v>
      </c>
      <c r="RZ6" s="0" t="n">
        <v>35</v>
      </c>
      <c r="SA6" s="0" t="n">
        <v>3</v>
      </c>
      <c r="SB6" s="0" t="n">
        <f aca="false">0.13+0.08+0.24</f>
        <v>0.45</v>
      </c>
      <c r="SC6" s="0" t="n">
        <v>3</v>
      </c>
      <c r="SD6" s="0" t="n">
        <v>47</v>
      </c>
      <c r="SE6" s="0" t="n">
        <v>5</v>
      </c>
      <c r="SF6" s="20" t="n">
        <f aca="false">0.76+1.14+0.76+0.13+0.08</f>
        <v>2.87</v>
      </c>
      <c r="SG6" s="0" t="n">
        <v>3</v>
      </c>
      <c r="SX6" s="0" t="n">
        <v>0</v>
      </c>
      <c r="UI6" s="16" t="n">
        <v>2.59</v>
      </c>
      <c r="UJ6" s="16" t="n">
        <v>1</v>
      </c>
      <c r="UK6" s="16" t="n">
        <v>1</v>
      </c>
      <c r="UL6" s="16"/>
      <c r="UM6" s="16" t="n">
        <f aca="false">(2.11*4)+0.37</f>
        <v>8.81</v>
      </c>
      <c r="UN6" s="16"/>
      <c r="UO6" s="16"/>
      <c r="UP6" s="16"/>
      <c r="UQ6" s="16"/>
      <c r="UR6" s="16"/>
      <c r="US6" s="16"/>
      <c r="UT6" s="16" t="n">
        <v>1.33</v>
      </c>
      <c r="UU6" s="16" t="n">
        <v>0.89</v>
      </c>
      <c r="UV6" s="16" t="n">
        <v>0</v>
      </c>
      <c r="UW6" s="16" t="n">
        <v>0</v>
      </c>
      <c r="UX6" s="16" t="n">
        <v>0</v>
      </c>
      <c r="UY6" s="16" t="n">
        <v>0</v>
      </c>
      <c r="UZ6" s="16" t="n">
        <v>0</v>
      </c>
      <c r="VA6" s="0" t="n">
        <v>0</v>
      </c>
      <c r="VB6" s="0" t="s">
        <v>200</v>
      </c>
      <c r="VC6" s="0" t="n">
        <v>28.5</v>
      </c>
      <c r="VD6" s="16" t="n">
        <v>69.4</v>
      </c>
      <c r="VE6" s="16" t="n">
        <v>80.4</v>
      </c>
      <c r="VF6" s="16" t="n">
        <v>9.8</v>
      </c>
      <c r="VG6" s="0" t="n">
        <v>96.02</v>
      </c>
      <c r="VH6" s="17" t="n">
        <v>0</v>
      </c>
      <c r="VI6" s="0" t="n">
        <v>3.98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16.55</v>
      </c>
      <c r="VT6" s="0" t="n">
        <v>26.49</v>
      </c>
      <c r="VU6" s="0" t="n">
        <v>6.34</v>
      </c>
      <c r="VV6" s="0" t="n">
        <v>0</v>
      </c>
      <c r="VW6" s="0" t="n">
        <v>0</v>
      </c>
      <c r="VX6" s="0" t="n">
        <v>0</v>
      </c>
      <c r="WK6" s="0" t="n">
        <v>10.2</v>
      </c>
      <c r="WL6" s="0" t="n">
        <v>1</v>
      </c>
      <c r="WM6" s="0" t="n">
        <v>35</v>
      </c>
      <c r="WN6" s="0" t="n">
        <v>1</v>
      </c>
      <c r="WO6" s="0" t="n">
        <v>0.02</v>
      </c>
      <c r="WP6" s="0" t="n">
        <v>3</v>
      </c>
      <c r="WQ6" s="0" t="n">
        <v>70</v>
      </c>
      <c r="WR6" s="0" t="n">
        <v>2</v>
      </c>
      <c r="WS6" s="0" t="n">
        <v>0.27</v>
      </c>
      <c r="WT6" s="0" t="n">
        <v>3</v>
      </c>
      <c r="WW6" s="20"/>
      <c r="XO6" s="0" t="n">
        <v>1</v>
      </c>
      <c r="XP6" s="0" t="n">
        <v>50</v>
      </c>
      <c r="XQ6" s="0" t="n">
        <v>5</v>
      </c>
      <c r="XR6" s="0" t="n">
        <f aca="false">1.52+0.5+0.19+0.12</f>
        <v>2.33</v>
      </c>
      <c r="XS6" s="0" t="n">
        <v>3</v>
      </c>
      <c r="YZ6" s="16" t="n">
        <v>2.63</v>
      </c>
      <c r="ZA6" s="16" t="n">
        <v>1</v>
      </c>
      <c r="ZB6" s="16" t="n">
        <v>1</v>
      </c>
      <c r="ZC6" s="16"/>
      <c r="ZD6" s="16" t="n">
        <f aca="false">0.04+2.11+3.17+0.37+0.56</f>
        <v>6.25</v>
      </c>
      <c r="ZE6" s="16" t="n">
        <v>2</v>
      </c>
      <c r="ZF6" s="16"/>
      <c r="ZG6" s="16" t="n">
        <f aca="false">0.53+0.53+0.11+0.07+0.15</f>
        <v>1.39</v>
      </c>
      <c r="ZH6" s="16"/>
      <c r="ZI6" s="16"/>
      <c r="ZJ6" s="16"/>
      <c r="ZK6" s="16" t="n">
        <v>3.33</v>
      </c>
      <c r="ZL6" s="16" t="n">
        <v>2.06</v>
      </c>
      <c r="ZM6" s="16" t="n">
        <v>0</v>
      </c>
      <c r="ZN6" s="16" t="n">
        <v>0</v>
      </c>
      <c r="ZO6" s="16" t="n">
        <v>0</v>
      </c>
      <c r="ZP6" s="16" t="n">
        <v>0</v>
      </c>
      <c r="ZQ6" s="16" t="n">
        <v>0</v>
      </c>
      <c r="ZR6" s="0" t="n">
        <v>0</v>
      </c>
      <c r="ZS6" s="0" t="s">
        <v>213</v>
      </c>
      <c r="ZT6" s="0" t="n">
        <v>49.5</v>
      </c>
      <c r="ZU6" s="16" t="n">
        <v>78.9</v>
      </c>
      <c r="ZV6" s="16" t="n">
        <v>80.4</v>
      </c>
      <c r="ZW6" s="16" t="n">
        <v>31.1</v>
      </c>
      <c r="ZX6" s="0" t="n">
        <v>22.13</v>
      </c>
      <c r="ZY6" s="17" t="n">
        <v>0</v>
      </c>
      <c r="ZZ6" s="0" t="n">
        <v>0</v>
      </c>
      <c r="AAA6" s="0" t="n">
        <v>0</v>
      </c>
      <c r="AAB6" s="0" t="n">
        <v>3.8</v>
      </c>
      <c r="AAC6" s="0" t="n">
        <v>0</v>
      </c>
      <c r="AAD6" s="0" t="n">
        <v>74.07</v>
      </c>
      <c r="AAE6" s="0" t="n">
        <v>28.31</v>
      </c>
      <c r="AAF6" s="0" t="n">
        <v>0</v>
      </c>
      <c r="AAG6" s="0" t="n">
        <v>0</v>
      </c>
      <c r="AAH6" s="0" t="n">
        <v>0</v>
      </c>
      <c r="AAI6" s="0" t="n">
        <v>8.07</v>
      </c>
      <c r="AAJ6" s="0" t="n">
        <v>1.71</v>
      </c>
      <c r="AAK6" s="0" t="n">
        <v>33.85</v>
      </c>
      <c r="AAL6" s="0" t="n">
        <v>17.12</v>
      </c>
      <c r="AAM6" s="0" t="n">
        <v>0</v>
      </c>
      <c r="AAN6" s="0" t="n">
        <v>0</v>
      </c>
      <c r="AAO6" s="0" t="n">
        <v>0</v>
      </c>
      <c r="ABB6" s="0" t="n">
        <v>3.4</v>
      </c>
      <c r="ABC6" s="0" t="n">
        <v>1</v>
      </c>
      <c r="ABD6" s="0" t="n">
        <v>34</v>
      </c>
      <c r="ABE6" s="0" t="n">
        <v>1</v>
      </c>
      <c r="ABF6" s="0" t="n">
        <v>1.6</v>
      </c>
      <c r="ABG6" s="0" t="n">
        <v>1</v>
      </c>
      <c r="ABH6" s="0" t="n">
        <v>68</v>
      </c>
      <c r="ABI6" s="0" t="n">
        <v>2</v>
      </c>
      <c r="ABJ6" s="0" t="n">
        <f aca="false">0.65+0.11</f>
        <v>0.76</v>
      </c>
      <c r="ABK6" s="0" t="n">
        <v>1</v>
      </c>
      <c r="ABL6" s="0" t="n">
        <v>52</v>
      </c>
      <c r="ABM6" s="0" t="n">
        <v>2</v>
      </c>
      <c r="ABN6" s="20" t="n">
        <f aca="false">1.33+0.34</f>
        <v>1.67</v>
      </c>
      <c r="ABO6" s="0" t="n">
        <v>2</v>
      </c>
      <c r="ACF6" s="0" t="n">
        <v>0</v>
      </c>
      <c r="ADQ6" s="16" t="n">
        <v>0</v>
      </c>
      <c r="ADR6" s="16" t="n">
        <v>0</v>
      </c>
      <c r="ADS6" s="16"/>
      <c r="ADT6" s="16"/>
      <c r="ADU6" s="16"/>
      <c r="ADV6" s="16"/>
      <c r="ADW6" s="16"/>
      <c r="ADX6" s="16"/>
      <c r="ADY6" s="16"/>
      <c r="ADZ6" s="16"/>
      <c r="AEA6" s="16"/>
      <c r="AEB6" s="16" t="n">
        <v>5.13</v>
      </c>
      <c r="AEC6" s="16" t="n">
        <v>6.28</v>
      </c>
      <c r="AED6" s="16" t="n">
        <v>0</v>
      </c>
      <c r="AEE6" s="16" t="n">
        <v>0</v>
      </c>
      <c r="AEF6" s="16" t="n">
        <v>6.72</v>
      </c>
      <c r="AEG6" s="16" t="n">
        <v>0</v>
      </c>
      <c r="AEH6" s="16" t="n">
        <v>2.54</v>
      </c>
      <c r="AEI6" s="0" t="n">
        <v>2</v>
      </c>
      <c r="AEK6" s="15"/>
      <c r="AEL6" s="15"/>
      <c r="AES6" s="15"/>
      <c r="AET6" s="15"/>
      <c r="AFA6" s="15"/>
      <c r="AFB6" s="15"/>
      <c r="AFI6" s="15"/>
      <c r="AFJ6" s="15"/>
      <c r="AFQ6" s="15"/>
      <c r="AFR6" s="15"/>
      <c r="AFY6" s="15"/>
      <c r="AFZ6" s="15"/>
      <c r="AGG6" s="15"/>
      <c r="AGH6" s="15"/>
      <c r="AGO6" s="15"/>
      <c r="AGP6" s="15"/>
      <c r="AGW6" s="15"/>
      <c r="AGX6" s="15"/>
      <c r="AHE6" s="15"/>
      <c r="AHF6" s="15"/>
      <c r="AHM6" s="15"/>
      <c r="AHN6" s="15"/>
      <c r="AHU6" s="15"/>
      <c r="AHV6" s="15"/>
      <c r="AIC6" s="15"/>
      <c r="AID6" s="15"/>
      <c r="AIK6" s="15"/>
      <c r="AIL6" s="15"/>
      <c r="AIS6" s="15"/>
      <c r="AIT6" s="15"/>
      <c r="AJA6" s="15"/>
      <c r="AJB6" s="15"/>
      <c r="AJI6" s="15"/>
      <c r="AJJ6" s="15"/>
      <c r="AJQ6" s="15"/>
      <c r="AJR6" s="15"/>
      <c r="AJY6" s="15"/>
      <c r="AJZ6" s="15"/>
      <c r="AKG6" s="15"/>
      <c r="AKH6" s="15"/>
      <c r="AKO6" s="15"/>
      <c r="AKP6" s="15"/>
      <c r="AKW6" s="15"/>
      <c r="AKX6" s="15"/>
      <c r="ALE6" s="15"/>
      <c r="ALF6" s="15"/>
      <c r="ALM6" s="15"/>
      <c r="ALN6" s="15"/>
      <c r="ALU6" s="15"/>
      <c r="ALV6" s="15"/>
      <c r="AMC6" s="15"/>
      <c r="AMD6" s="15"/>
    </row>
    <row r="7" customFormat="false" ht="13.8" hidden="false" customHeight="false" outlineLevel="0" collapsed="false">
      <c r="A7" s="1" t="s">
        <v>214</v>
      </c>
      <c r="B7" s="12" t="n">
        <v>42892</v>
      </c>
      <c r="C7" s="0" t="n">
        <v>2</v>
      </c>
      <c r="D7" s="13" t="n">
        <v>34670</v>
      </c>
      <c r="E7" s="12" t="n">
        <v>24246</v>
      </c>
      <c r="F7" s="14" t="n">
        <f aca="false">(B7-E7)/365.25</f>
        <v>51.0499657768652</v>
      </c>
      <c r="G7" s="14" t="n">
        <f aca="false">(B7-D7)/365.25</f>
        <v>22.5106091718001</v>
      </c>
      <c r="H7" s="21" t="s">
        <v>181</v>
      </c>
      <c r="I7" s="21" t="s">
        <v>182</v>
      </c>
      <c r="J7" s="21" t="s">
        <v>181</v>
      </c>
      <c r="K7" s="21" t="n">
        <v>8</v>
      </c>
      <c r="L7" s="19" t="n">
        <v>89</v>
      </c>
      <c r="M7" s="0" t="n">
        <v>1.75</v>
      </c>
      <c r="N7" s="16" t="n">
        <f aca="false">L7/(M7*M7)</f>
        <v>29.0612244897959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  <c r="X7" s="19" t="n">
        <v>0</v>
      </c>
      <c r="Y7" s="19" t="n">
        <v>1</v>
      </c>
      <c r="Z7" s="19" t="n">
        <v>2</v>
      </c>
      <c r="AA7" s="19" t="n">
        <v>60</v>
      </c>
      <c r="AB7" s="19" t="s">
        <v>215</v>
      </c>
      <c r="AC7" s="19" t="n">
        <v>0</v>
      </c>
      <c r="AD7" s="19" t="n">
        <v>0</v>
      </c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 t="n">
        <v>5</v>
      </c>
      <c r="BS7" s="19" t="n">
        <v>3</v>
      </c>
      <c r="BT7" s="19" t="n">
        <v>5</v>
      </c>
      <c r="BU7" s="19" t="n">
        <v>5</v>
      </c>
      <c r="BV7" s="19" t="n">
        <v>3</v>
      </c>
      <c r="BW7" s="19" t="n">
        <v>3</v>
      </c>
      <c r="BX7" s="19" t="n">
        <v>3</v>
      </c>
      <c r="BY7" s="19" t="n">
        <v>5</v>
      </c>
      <c r="BZ7" s="19" t="n">
        <v>3</v>
      </c>
      <c r="CA7" s="19" t="n">
        <v>2</v>
      </c>
      <c r="CB7" s="19" t="n">
        <v>2</v>
      </c>
      <c r="CC7" s="19" t="n">
        <v>3</v>
      </c>
      <c r="CD7" s="19" t="n">
        <v>1</v>
      </c>
      <c r="CE7" s="19" t="n">
        <v>1</v>
      </c>
      <c r="CF7" s="19" t="n">
        <v>2</v>
      </c>
      <c r="CG7" s="19" t="n">
        <v>5</v>
      </c>
      <c r="CH7" s="19" t="n">
        <v>3</v>
      </c>
      <c r="CI7" s="19" t="n">
        <v>3</v>
      </c>
      <c r="CJ7" s="19" t="n">
        <v>3</v>
      </c>
      <c r="CK7" s="19" t="n">
        <v>8</v>
      </c>
      <c r="CL7" s="0" t="s">
        <v>185</v>
      </c>
      <c r="CM7" s="0" t="n">
        <v>21.5</v>
      </c>
      <c r="CN7" s="16" t="n">
        <v>54.9</v>
      </c>
      <c r="CO7" s="16" t="n">
        <v>80.4</v>
      </c>
      <c r="CP7" s="16" t="n">
        <v>17.9</v>
      </c>
      <c r="CQ7" s="0" t="n">
        <v>90.61</v>
      </c>
      <c r="CR7" s="17" t="n">
        <v>0</v>
      </c>
      <c r="CS7" s="0" t="n">
        <v>0</v>
      </c>
      <c r="CT7" s="0" t="n">
        <v>2.45</v>
      </c>
      <c r="CU7" s="0" t="n">
        <v>6.94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12.16</v>
      </c>
      <c r="DC7" s="0" t="n">
        <v>24.45</v>
      </c>
      <c r="DD7" s="0" t="n">
        <v>4.8</v>
      </c>
      <c r="DE7" s="0" t="n">
        <v>5.11</v>
      </c>
      <c r="DF7" s="0" t="n">
        <v>0</v>
      </c>
      <c r="DG7" s="0" t="n">
        <v>0</v>
      </c>
      <c r="DH7" s="0" t="n">
        <v>0</v>
      </c>
      <c r="DU7" s="0" t="n">
        <v>2.9</v>
      </c>
      <c r="DV7" s="0" t="n">
        <v>1</v>
      </c>
      <c r="DW7" s="0" t="n">
        <v>68</v>
      </c>
      <c r="DX7" s="0" t="n">
        <v>2</v>
      </c>
      <c r="DY7" s="0" t="n">
        <f aca="false">0.38+0.07</f>
        <v>0.45</v>
      </c>
      <c r="DZ7" s="0" t="n">
        <v>1</v>
      </c>
      <c r="EG7" s="18"/>
      <c r="EY7" s="0" t="n">
        <v>1</v>
      </c>
      <c r="EZ7" s="0" t="n">
        <v>40</v>
      </c>
      <c r="FA7" s="0" t="n">
        <v>1</v>
      </c>
      <c r="FB7" s="0" t="n">
        <v>0.06</v>
      </c>
      <c r="FC7" s="0" t="n">
        <v>1</v>
      </c>
      <c r="FD7" s="0" t="n">
        <v>60</v>
      </c>
      <c r="FE7" s="0" t="n">
        <v>1</v>
      </c>
      <c r="FF7" s="0" t="n">
        <v>0.11</v>
      </c>
      <c r="FG7" s="0" t="n">
        <v>1</v>
      </c>
      <c r="FH7" s="0" t="n">
        <v>40</v>
      </c>
      <c r="FI7" s="0" t="n">
        <v>1</v>
      </c>
      <c r="FJ7" s="0" t="n">
        <v>0.58</v>
      </c>
      <c r="FK7" s="0" t="n">
        <v>6</v>
      </c>
      <c r="GJ7" s="16" t="n">
        <v>0</v>
      </c>
      <c r="GK7" s="16" t="n">
        <v>0</v>
      </c>
      <c r="GL7" s="16"/>
      <c r="GM7" s="16"/>
      <c r="GN7" s="16"/>
      <c r="GO7" s="16"/>
      <c r="GP7" s="16"/>
      <c r="GQ7" s="16"/>
      <c r="GR7" s="16"/>
      <c r="GS7" s="16"/>
      <c r="GT7" s="16"/>
      <c r="GU7" s="16" t="n">
        <v>0.67</v>
      </c>
      <c r="GV7" s="16" t="n">
        <v>0.65</v>
      </c>
      <c r="GW7" s="16"/>
      <c r="GX7" s="16"/>
      <c r="GY7" s="16" t="n">
        <v>0</v>
      </c>
      <c r="GZ7" s="16" t="n">
        <v>0</v>
      </c>
      <c r="HA7" s="16" t="n">
        <v>0</v>
      </c>
      <c r="HB7" s="0" t="n">
        <v>0</v>
      </c>
      <c r="HC7" s="0" t="s">
        <v>186</v>
      </c>
      <c r="HD7" s="0" t="n">
        <v>52.5</v>
      </c>
      <c r="HE7" s="16" t="n">
        <v>78.3</v>
      </c>
      <c r="HF7" s="16" t="n">
        <v>80.4</v>
      </c>
      <c r="HG7" s="16" t="n">
        <v>33.2</v>
      </c>
      <c r="HH7" s="0" t="n">
        <v>67.5</v>
      </c>
      <c r="HI7" s="17" t="n">
        <v>0</v>
      </c>
      <c r="HJ7" s="0" t="n">
        <v>21.37</v>
      </c>
      <c r="HK7" s="0" t="n">
        <v>0</v>
      </c>
      <c r="HL7" s="0" t="n">
        <v>3.99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5.93</v>
      </c>
      <c r="HU7" s="0" t="n">
        <v>42.2</v>
      </c>
      <c r="HV7" s="0" t="n">
        <v>15.97</v>
      </c>
      <c r="HW7" s="0" t="n">
        <v>7.14</v>
      </c>
      <c r="HX7" s="0" t="n">
        <v>0</v>
      </c>
      <c r="HY7" s="0" t="n">
        <v>0</v>
      </c>
      <c r="IL7" s="0" t="n">
        <v>1.7</v>
      </c>
      <c r="IM7" s="0" t="n">
        <v>1</v>
      </c>
      <c r="IN7" s="0" t="n">
        <v>34</v>
      </c>
      <c r="IO7" s="0" t="n">
        <v>5</v>
      </c>
      <c r="IP7" s="0" t="n">
        <v>0.21</v>
      </c>
      <c r="IQ7" s="0" t="n">
        <v>1</v>
      </c>
      <c r="IR7" s="0" t="n">
        <v>68</v>
      </c>
      <c r="IS7" s="0" t="n">
        <v>3</v>
      </c>
      <c r="IT7" s="0" t="n">
        <v>0.3</v>
      </c>
      <c r="IU7" s="0" t="n">
        <v>1</v>
      </c>
      <c r="IV7" s="0" t="n">
        <v>47</v>
      </c>
      <c r="IW7" s="0" t="n">
        <v>4</v>
      </c>
      <c r="IX7" s="18" t="n">
        <v>0.11</v>
      </c>
      <c r="IY7" s="0" t="n">
        <v>1</v>
      </c>
      <c r="IZ7" s="0" t="n">
        <v>35</v>
      </c>
      <c r="JA7" s="0" t="n">
        <v>2</v>
      </c>
      <c r="JB7" s="0" t="n">
        <v>0.1</v>
      </c>
      <c r="JC7" s="0" t="n">
        <v>1</v>
      </c>
      <c r="JP7" s="0" t="n">
        <v>0</v>
      </c>
      <c r="LA7" s="16" t="n">
        <v>1.04</v>
      </c>
      <c r="LB7" s="16" t="n">
        <v>1</v>
      </c>
      <c r="LC7" s="16" t="n">
        <v>1</v>
      </c>
      <c r="LD7" s="16"/>
      <c r="LE7" s="16" t="n">
        <f aca="false">3.74+3.17+0.1</f>
        <v>7.01</v>
      </c>
      <c r="LF7" s="16"/>
      <c r="LG7" s="16"/>
      <c r="LH7" s="16"/>
      <c r="LI7" s="16"/>
      <c r="LJ7" s="16"/>
      <c r="LK7" s="16"/>
      <c r="LL7" s="16" t="n">
        <v>8.9</v>
      </c>
      <c r="LM7" s="16" t="n">
        <v>9.79</v>
      </c>
      <c r="LN7" s="16"/>
      <c r="LO7" s="16"/>
      <c r="LP7" s="16" t="n">
        <v>2.99</v>
      </c>
      <c r="LQ7" s="16" t="n">
        <v>4</v>
      </c>
      <c r="LR7" s="16" t="n">
        <v>3</v>
      </c>
      <c r="LS7" s="0" t="n">
        <v>0</v>
      </c>
      <c r="LT7" s="0" t="s">
        <v>187</v>
      </c>
      <c r="LU7" s="0" t="n">
        <v>53.5</v>
      </c>
      <c r="LV7" s="16" t="n">
        <v>73.5</v>
      </c>
      <c r="LW7" s="16" t="n">
        <v>80.4</v>
      </c>
      <c r="LX7" s="16" t="n">
        <v>26.1</v>
      </c>
      <c r="LY7" s="0" t="n">
        <v>78.89</v>
      </c>
      <c r="LZ7" s="17" t="n">
        <v>0</v>
      </c>
      <c r="MA7" s="0" t="n">
        <v>2.36</v>
      </c>
      <c r="MB7" s="0" t="n">
        <v>0</v>
      </c>
      <c r="MC7" s="0" t="n">
        <v>11.6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7.86</v>
      </c>
      <c r="MK7" s="0" t="n">
        <v>12.08</v>
      </c>
      <c r="ML7" s="0" t="n">
        <v>18.1</v>
      </c>
      <c r="MM7" s="0" t="n">
        <v>28.51</v>
      </c>
      <c r="MN7" s="0" t="n">
        <v>7.14</v>
      </c>
      <c r="MO7" s="0" t="n">
        <v>0</v>
      </c>
      <c r="MP7" s="0" t="n">
        <v>0</v>
      </c>
      <c r="NC7" s="0" t="n">
        <v>11.6</v>
      </c>
      <c r="ND7" s="0" t="n">
        <v>1</v>
      </c>
      <c r="NE7" s="0" t="n">
        <v>47</v>
      </c>
      <c r="NF7" s="0" t="n">
        <v>4</v>
      </c>
      <c r="NG7" s="0" t="n">
        <f aca="false">1.15+0.34</f>
        <v>1.49</v>
      </c>
      <c r="NH7" s="0" t="n">
        <v>3</v>
      </c>
      <c r="NO7" s="18"/>
      <c r="OG7" s="0" t="n">
        <v>1</v>
      </c>
      <c r="OH7" s="0" t="n">
        <v>50</v>
      </c>
      <c r="OI7" s="0" t="n">
        <v>1</v>
      </c>
      <c r="OJ7" s="0" t="n">
        <v>0.19</v>
      </c>
      <c r="OK7" s="0" t="n">
        <v>3</v>
      </c>
      <c r="PR7" s="16" t="n">
        <v>7.27</v>
      </c>
      <c r="PS7" s="16" t="n">
        <v>1</v>
      </c>
      <c r="PT7" s="16" t="n">
        <v>1</v>
      </c>
      <c r="PU7" s="16"/>
      <c r="PV7" s="16" t="n">
        <f aca="false">2.11*2+0.37*2</f>
        <v>4.96</v>
      </c>
      <c r="PW7" s="16" t="n">
        <v>3</v>
      </c>
      <c r="PX7" s="16"/>
      <c r="PY7" s="16" t="n">
        <f aca="false">1.44+0.72</f>
        <v>2.16</v>
      </c>
      <c r="PZ7" s="16"/>
      <c r="QA7" s="16"/>
      <c r="QB7" s="16"/>
      <c r="QC7" s="16" t="n">
        <v>5.39</v>
      </c>
      <c r="QD7" s="16" t="n">
        <v>8.11</v>
      </c>
      <c r="QE7" s="16"/>
      <c r="QF7" s="16"/>
      <c r="QG7" s="16" t="n">
        <v>0</v>
      </c>
      <c r="QH7" s="16" t="n">
        <v>0</v>
      </c>
      <c r="QI7" s="16" t="n">
        <v>3</v>
      </c>
      <c r="QJ7" s="0" t="n">
        <v>0</v>
      </c>
      <c r="QK7" s="0" t="s">
        <v>188</v>
      </c>
      <c r="QL7" s="0" t="n">
        <v>40</v>
      </c>
      <c r="QM7" s="16" t="n">
        <v>84.1</v>
      </c>
      <c r="QN7" s="16" t="n">
        <v>80.4</v>
      </c>
      <c r="QO7" s="16" t="n">
        <v>35.1</v>
      </c>
      <c r="QP7" s="0" t="n">
        <v>66.11</v>
      </c>
      <c r="QQ7" s="17" t="n">
        <v>0</v>
      </c>
      <c r="QR7" s="0" t="n">
        <v>13.11</v>
      </c>
      <c r="QS7" s="0" t="n">
        <v>6.27</v>
      </c>
      <c r="QT7" s="0" t="n">
        <v>8.02</v>
      </c>
      <c r="QU7" s="0" t="n">
        <v>0</v>
      </c>
      <c r="QV7" s="0" t="n">
        <v>6.47</v>
      </c>
      <c r="QW7" s="0" t="n">
        <v>2.85</v>
      </c>
      <c r="QX7" s="0" t="n">
        <v>3.1</v>
      </c>
      <c r="QY7" s="0" t="n">
        <v>0</v>
      </c>
      <c r="QZ7" s="0" t="n">
        <v>0</v>
      </c>
      <c r="RA7" s="0" t="n">
        <v>10.49</v>
      </c>
      <c r="RB7" s="0" t="n">
        <v>26.72</v>
      </c>
      <c r="RC7" s="0" t="n">
        <v>13.38</v>
      </c>
      <c r="RD7" s="0" t="n">
        <v>10.67</v>
      </c>
      <c r="RE7" s="0" t="n">
        <v>0</v>
      </c>
      <c r="RF7" s="0" t="n">
        <v>0</v>
      </c>
      <c r="RG7" s="0" t="n">
        <v>0</v>
      </c>
      <c r="RT7" s="0" t="n">
        <v>3.9</v>
      </c>
      <c r="RU7" s="0" t="n">
        <v>1</v>
      </c>
      <c r="RV7" s="0" t="n">
        <v>68</v>
      </c>
      <c r="RW7" s="0" t="n">
        <v>4</v>
      </c>
      <c r="RX7" s="0" t="n">
        <f aca="false">1.9+0.34</f>
        <v>2.24</v>
      </c>
      <c r="RY7" s="0" t="n">
        <v>1</v>
      </c>
      <c r="RZ7" s="0" t="n">
        <v>34</v>
      </c>
      <c r="SA7" s="0" t="n">
        <v>8</v>
      </c>
      <c r="SB7" s="0" t="n">
        <v>0.27</v>
      </c>
      <c r="SC7" s="0" t="n">
        <v>1</v>
      </c>
      <c r="SF7" s="18"/>
      <c r="SX7" s="0" t="n">
        <v>1</v>
      </c>
      <c r="SY7" s="0" t="n">
        <v>50</v>
      </c>
      <c r="SZ7" s="0" t="n">
        <v>4</v>
      </c>
      <c r="TA7" s="0" t="n">
        <f aca="false">1.52*2</f>
        <v>3.04</v>
      </c>
      <c r="TB7" s="0" t="n">
        <v>3</v>
      </c>
      <c r="UI7" s="16" t="n">
        <v>0.04</v>
      </c>
      <c r="UJ7" s="16" t="n">
        <v>1</v>
      </c>
      <c r="UK7" s="16" t="n">
        <v>1</v>
      </c>
      <c r="UL7" s="16"/>
      <c r="UM7" s="16" t="n">
        <f aca="false">0.3</f>
        <v>0.3</v>
      </c>
      <c r="UN7" s="16"/>
      <c r="UO7" s="16"/>
      <c r="UP7" s="16"/>
      <c r="UQ7" s="16"/>
      <c r="UR7" s="16"/>
      <c r="US7" s="16"/>
      <c r="UT7" s="16" t="n">
        <v>0.03</v>
      </c>
      <c r="UU7" s="16" t="n">
        <v>0.03</v>
      </c>
      <c r="UV7" s="16"/>
      <c r="UW7" s="16"/>
      <c r="UX7" s="16" t="n">
        <v>0</v>
      </c>
      <c r="UY7" s="16" t="n">
        <v>0</v>
      </c>
      <c r="UZ7" s="16" t="n">
        <v>0</v>
      </c>
      <c r="VA7" s="0" t="n">
        <v>0</v>
      </c>
      <c r="VB7" s="0" t="s">
        <v>189</v>
      </c>
      <c r="VC7" s="0" t="n">
        <v>31</v>
      </c>
      <c r="VD7" s="16" t="n">
        <v>80.2</v>
      </c>
      <c r="VE7" s="16" t="n">
        <v>80.4</v>
      </c>
      <c r="VF7" s="16" t="n">
        <v>6.5</v>
      </c>
      <c r="VG7" s="0" t="n">
        <v>99.3</v>
      </c>
      <c r="VH7" s="17" t="n">
        <v>0</v>
      </c>
      <c r="VI7" s="0" t="n">
        <v>0.7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31.92</v>
      </c>
      <c r="VT7" s="0" t="n">
        <v>23.7</v>
      </c>
      <c r="VU7" s="0" t="n">
        <v>1.95</v>
      </c>
      <c r="VV7" s="0" t="n">
        <v>0</v>
      </c>
      <c r="VW7" s="0" t="n">
        <v>18.7</v>
      </c>
      <c r="VX7" s="0" t="n">
        <v>4</v>
      </c>
      <c r="VY7" s="0" t="n">
        <v>49</v>
      </c>
      <c r="WA7" s="0" t="n">
        <v>1</v>
      </c>
      <c r="WE7" s="0" t="n">
        <v>49</v>
      </c>
      <c r="WG7" s="0" t="n">
        <v>1</v>
      </c>
      <c r="WK7" s="0" t="n">
        <v>0</v>
      </c>
      <c r="WL7" s="0" t="n">
        <v>0</v>
      </c>
      <c r="WW7" s="18"/>
      <c r="XO7" s="0" t="n">
        <v>0</v>
      </c>
      <c r="YZ7" s="16" t="n">
        <v>0</v>
      </c>
      <c r="ZA7" s="16" t="n">
        <v>0</v>
      </c>
      <c r="ZB7" s="16"/>
      <c r="ZC7" s="16"/>
      <c r="ZD7" s="16"/>
      <c r="ZE7" s="16"/>
      <c r="ZF7" s="16"/>
      <c r="ZG7" s="16"/>
      <c r="ZH7" s="16"/>
      <c r="ZI7" s="16"/>
      <c r="ZJ7" s="16"/>
      <c r="ZK7" s="16" t="n">
        <v>5.42</v>
      </c>
      <c r="ZL7" s="16" t="n">
        <v>6.61</v>
      </c>
      <c r="ZM7" s="16"/>
      <c r="ZN7" s="16"/>
      <c r="ZO7" s="16" t="n">
        <v>0</v>
      </c>
      <c r="ZP7" s="16" t="n">
        <v>0</v>
      </c>
      <c r="ZQ7" s="16" t="n">
        <v>0</v>
      </c>
      <c r="ZR7" s="0" t="n">
        <v>0</v>
      </c>
      <c r="ZS7" s="0" t="s">
        <v>190</v>
      </c>
      <c r="ZT7" s="0" t="n">
        <v>38.5</v>
      </c>
      <c r="ZU7" s="16" t="n">
        <v>92</v>
      </c>
      <c r="ZV7" s="16" t="n">
        <v>80.4</v>
      </c>
      <c r="ZW7" s="16" t="n">
        <v>11</v>
      </c>
      <c r="ZX7" s="0" t="n">
        <v>95.37</v>
      </c>
      <c r="ZY7" s="17" t="n">
        <v>0</v>
      </c>
      <c r="ZZ7" s="0" t="n">
        <v>4.63</v>
      </c>
      <c r="AAA7" s="0" t="n">
        <v>0</v>
      </c>
      <c r="AAB7" s="0" t="n">
        <v>0</v>
      </c>
      <c r="AAC7" s="0" t="n">
        <v>0</v>
      </c>
      <c r="AAD7" s="0" t="n">
        <v>0</v>
      </c>
      <c r="AAE7" s="0" t="n">
        <v>0</v>
      </c>
      <c r="AAF7" s="0" t="n">
        <v>0</v>
      </c>
      <c r="AAG7" s="0" t="n">
        <v>0</v>
      </c>
      <c r="AAH7" s="0" t="n">
        <v>0</v>
      </c>
      <c r="AAI7" s="0" t="n">
        <v>2.85</v>
      </c>
      <c r="AAJ7" s="0" t="n">
        <v>16.15</v>
      </c>
      <c r="AAK7" s="0" t="n">
        <v>42.55</v>
      </c>
      <c r="AAL7" s="0" t="n">
        <v>4.63</v>
      </c>
      <c r="AAM7" s="0" t="n">
        <v>0</v>
      </c>
      <c r="AAN7" s="0" t="n">
        <v>5.7</v>
      </c>
      <c r="AAO7" s="0" t="n">
        <v>1</v>
      </c>
      <c r="AAP7" s="0" t="n">
        <v>3</v>
      </c>
      <c r="AAR7" s="0" t="n">
        <v>1</v>
      </c>
      <c r="AAV7" s="0" t="n">
        <v>3</v>
      </c>
      <c r="AAX7" s="0" t="n">
        <v>1</v>
      </c>
      <c r="ABB7" s="0" t="n">
        <v>4.8</v>
      </c>
      <c r="ABC7" s="0" t="n">
        <v>0</v>
      </c>
      <c r="ABN7" s="18"/>
      <c r="ACF7" s="0" t="n">
        <v>1</v>
      </c>
      <c r="ACG7" s="0" t="n">
        <v>70</v>
      </c>
      <c r="ACH7" s="0" t="n">
        <v>3</v>
      </c>
      <c r="ACI7" s="0" t="n">
        <f aca="false">14.97+0.86+0.7</f>
        <v>16.53</v>
      </c>
      <c r="ACJ7" s="0" t="n">
        <v>3</v>
      </c>
      <c r="ACK7" s="0" t="n">
        <v>60</v>
      </c>
      <c r="ACL7" s="0" t="n">
        <v>3</v>
      </c>
      <c r="ACM7" s="0" t="n">
        <f aca="false">3.02+0.97+0.6</f>
        <v>4.59</v>
      </c>
      <c r="ACN7" s="0" t="n">
        <v>3</v>
      </c>
      <c r="ADQ7" s="16" t="n">
        <v>2.82</v>
      </c>
      <c r="ADR7" s="16" t="n">
        <v>1</v>
      </c>
      <c r="ADS7" s="16" t="n">
        <v>1</v>
      </c>
      <c r="ADT7" s="16"/>
      <c r="ADU7" s="16" t="n">
        <f aca="false">0.93*2</f>
        <v>1.86</v>
      </c>
      <c r="ADV7" s="16" t="n">
        <v>2</v>
      </c>
      <c r="ADW7" s="16"/>
      <c r="ADX7" s="16" t="n">
        <f aca="false">9.6+1.93</f>
        <v>11.53</v>
      </c>
      <c r="ADY7" s="16"/>
      <c r="ADZ7" s="16"/>
      <c r="AEA7" s="16"/>
      <c r="AEB7" s="16" t="n">
        <v>13.91</v>
      </c>
      <c r="AEC7" s="16" t="n">
        <v>17.31</v>
      </c>
      <c r="AED7" s="16"/>
      <c r="AEE7" s="16"/>
      <c r="AEF7" s="16" t="n">
        <v>0</v>
      </c>
      <c r="AEG7" s="16" t="n">
        <v>0</v>
      </c>
      <c r="AEH7" s="16" t="n">
        <v>0</v>
      </c>
      <c r="AEI7" s="0" t="n">
        <v>0</v>
      </c>
      <c r="AEJ7" s="0" t="s">
        <v>191</v>
      </c>
      <c r="AEK7" s="0" t="n">
        <v>44</v>
      </c>
      <c r="AEL7" s="16" t="n">
        <v>75.8</v>
      </c>
      <c r="AEM7" s="16" t="n">
        <v>80.4</v>
      </c>
      <c r="AEN7" s="16" t="n">
        <v>12.2</v>
      </c>
      <c r="AEO7" s="0" t="n">
        <v>90.24</v>
      </c>
      <c r="AEP7" s="17" t="n">
        <v>0</v>
      </c>
      <c r="AEQ7" s="0" t="n">
        <v>6.27</v>
      </c>
      <c r="AER7" s="0" t="n">
        <v>0</v>
      </c>
      <c r="AES7" s="0" t="n">
        <v>3.49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EZ7" s="0" t="n">
        <v>0</v>
      </c>
      <c r="AFA7" s="0" t="n">
        <v>24.37</v>
      </c>
      <c r="AFB7" s="0" t="n">
        <v>32.21</v>
      </c>
      <c r="AFC7" s="0" t="n">
        <v>3.56</v>
      </c>
      <c r="AFD7" s="0" t="n">
        <v>0</v>
      </c>
      <c r="AFE7" s="0" t="n">
        <v>0</v>
      </c>
      <c r="AFF7" s="0" t="n">
        <v>0</v>
      </c>
      <c r="AFS7" s="0" t="n">
        <v>20.3</v>
      </c>
      <c r="AFT7" s="0" t="n">
        <v>1</v>
      </c>
      <c r="AFU7" s="0" t="n">
        <v>30</v>
      </c>
      <c r="AFV7" s="0" t="n">
        <v>4</v>
      </c>
      <c r="AFW7" s="0" t="n">
        <v>3.01</v>
      </c>
      <c r="AFX7" s="0" t="n">
        <v>5</v>
      </c>
      <c r="AFY7" s="0" t="n">
        <v>68</v>
      </c>
      <c r="AFZ7" s="0" t="n">
        <v>2</v>
      </c>
      <c r="AGA7" s="0" t="n">
        <v>1.52</v>
      </c>
      <c r="AGB7" s="0" t="n">
        <v>1</v>
      </c>
      <c r="AGC7" s="0" t="n">
        <v>47</v>
      </c>
      <c r="AGD7" s="0" t="n">
        <v>1</v>
      </c>
      <c r="AGE7" s="18" t="n">
        <v>0.07</v>
      </c>
      <c r="AGF7" s="0" t="n">
        <v>3</v>
      </c>
      <c r="AGW7" s="0" t="n">
        <v>0</v>
      </c>
      <c r="AIH7" s="16" t="n">
        <v>1.88</v>
      </c>
      <c r="AII7" s="16" t="n">
        <v>1</v>
      </c>
      <c r="AIJ7" s="16" t="n">
        <v>2</v>
      </c>
      <c r="AIK7" s="16"/>
      <c r="AIL7" s="16" t="n">
        <v>4.18</v>
      </c>
      <c r="AIM7" s="16"/>
      <c r="AIN7" s="16"/>
      <c r="AIO7" s="16"/>
      <c r="AIP7" s="16"/>
      <c r="AIQ7" s="16"/>
      <c r="AIR7" s="16"/>
      <c r="AIS7" s="16" t="n">
        <v>7.15</v>
      </c>
      <c r="AIT7" s="16" t="n">
        <v>6.06</v>
      </c>
      <c r="AIU7" s="16"/>
      <c r="AIV7" s="16"/>
      <c r="AIW7" s="16" t="n">
        <v>0</v>
      </c>
      <c r="AIX7" s="16" t="n">
        <v>0</v>
      </c>
      <c r="AIY7" s="16" t="n">
        <v>0</v>
      </c>
      <c r="AIZ7" s="0" t="n">
        <v>0</v>
      </c>
      <c r="AJA7" s="0" t="s">
        <v>192</v>
      </c>
      <c r="AJB7" s="0" t="n">
        <v>47.5</v>
      </c>
      <c r="AJC7" s="16" t="n">
        <v>79.3</v>
      </c>
      <c r="AJD7" s="16" t="n">
        <v>80.4</v>
      </c>
      <c r="AJE7" s="16" t="n">
        <v>36.3</v>
      </c>
      <c r="AJF7" s="0" t="n">
        <v>66.23</v>
      </c>
      <c r="AJG7" s="17" t="n">
        <v>0</v>
      </c>
      <c r="AJH7" s="0" t="n">
        <v>33.77</v>
      </c>
      <c r="AJI7" s="0" t="n">
        <v>0</v>
      </c>
      <c r="AJJ7" s="0" t="n">
        <v>0</v>
      </c>
      <c r="AJK7" s="0" t="n">
        <v>0</v>
      </c>
      <c r="AJL7" s="0" t="n">
        <v>0</v>
      </c>
      <c r="AJM7" s="0" t="n">
        <v>0</v>
      </c>
      <c r="AJN7" s="0" t="n">
        <v>0</v>
      </c>
      <c r="AJO7" s="0" t="n">
        <v>0</v>
      </c>
      <c r="AJP7" s="0" t="n">
        <v>0</v>
      </c>
      <c r="AJQ7" s="0" t="n">
        <v>0</v>
      </c>
      <c r="AJR7" s="0" t="n">
        <v>38.37</v>
      </c>
      <c r="AJS7" s="0" t="n">
        <v>20.04</v>
      </c>
      <c r="AJT7" s="0" t="n">
        <v>11.21</v>
      </c>
      <c r="AJU7" s="0" t="n">
        <v>0</v>
      </c>
      <c r="AJV7" s="0" t="n">
        <v>0</v>
      </c>
      <c r="AJW7" s="0" t="n">
        <v>0</v>
      </c>
      <c r="AKJ7" s="0" t="n">
        <v>6.9</v>
      </c>
      <c r="AKK7" s="0" t="n">
        <v>1</v>
      </c>
      <c r="AKL7" s="0" t="n">
        <v>47</v>
      </c>
      <c r="AKM7" s="0" t="n">
        <v>3</v>
      </c>
      <c r="AKN7" s="0" t="n">
        <f aca="false">0.11+0.74+0.08</f>
        <v>0.93</v>
      </c>
      <c r="AKO7" s="0" t="n">
        <v>3</v>
      </c>
      <c r="AKP7" s="0" t="n">
        <v>68</v>
      </c>
      <c r="AKQ7" s="0" t="n">
        <v>1</v>
      </c>
      <c r="AKR7" s="0" t="n">
        <v>0.76</v>
      </c>
      <c r="AKS7" s="0" t="n">
        <v>1</v>
      </c>
      <c r="AKV7" s="18"/>
      <c r="ALN7" s="0" t="n">
        <v>0</v>
      </c>
    </row>
    <row r="8" customFormat="false" ht="13.8" hidden="false" customHeight="false" outlineLevel="0" collapsed="false">
      <c r="A8" s="1" t="s">
        <v>216</v>
      </c>
      <c r="B8" s="12" t="n">
        <v>42886</v>
      </c>
      <c r="C8" s="0" t="n">
        <v>2</v>
      </c>
      <c r="D8" s="13" t="n">
        <v>34862</v>
      </c>
      <c r="E8" s="12" t="n">
        <v>27021</v>
      </c>
      <c r="F8" s="14" t="n">
        <f aca="false">(B8-E8)/365.25</f>
        <v>43.4360027378508</v>
      </c>
      <c r="G8" s="14" t="n">
        <f aca="false">(B8-D8)/365.25</f>
        <v>21.968514715948</v>
      </c>
      <c r="H8" s="21" t="s">
        <v>217</v>
      </c>
      <c r="I8" s="21" t="s">
        <v>218</v>
      </c>
      <c r="J8" s="21" t="s">
        <v>181</v>
      </c>
      <c r="K8" s="21" t="n">
        <v>8</v>
      </c>
      <c r="L8" s="19" t="n">
        <v>80</v>
      </c>
      <c r="M8" s="0" t="n">
        <v>1.73</v>
      </c>
      <c r="N8" s="16" t="n">
        <f aca="false">L8/(M8*M8)</f>
        <v>26.7299274950717</v>
      </c>
      <c r="O8" s="19" t="n">
        <v>0</v>
      </c>
      <c r="P8" s="19" t="n">
        <v>0</v>
      </c>
      <c r="Q8" s="19" t="n">
        <v>0</v>
      </c>
      <c r="R8" s="19" t="n">
        <v>0</v>
      </c>
      <c r="S8" s="19" t="n">
        <v>0</v>
      </c>
      <c r="T8" s="19" t="n">
        <v>0</v>
      </c>
      <c r="U8" s="19" t="n">
        <v>0</v>
      </c>
      <c r="V8" s="19" t="n">
        <v>0</v>
      </c>
      <c r="W8" s="19" t="n">
        <v>0</v>
      </c>
      <c r="X8" s="19" t="n">
        <v>0</v>
      </c>
      <c r="Y8" s="19" t="n">
        <v>0</v>
      </c>
      <c r="Z8" s="19" t="n">
        <v>0</v>
      </c>
      <c r="AA8" s="19" t="n">
        <v>0</v>
      </c>
      <c r="AB8" s="19" t="n">
        <v>0</v>
      </c>
      <c r="AC8" s="19" t="n">
        <v>0</v>
      </c>
      <c r="AD8" s="19" t="n">
        <v>0</v>
      </c>
      <c r="AE8" s="19" t="n">
        <v>1</v>
      </c>
      <c r="AF8" s="19" t="n">
        <v>0</v>
      </c>
      <c r="AG8" s="19" t="n">
        <v>0</v>
      </c>
      <c r="AH8" s="19" t="n">
        <v>0</v>
      </c>
      <c r="AI8" s="19" t="n">
        <v>1</v>
      </c>
      <c r="AJ8" s="19" t="n">
        <v>0</v>
      </c>
      <c r="AK8" s="19" t="n">
        <v>0</v>
      </c>
      <c r="AL8" s="19" t="n">
        <v>0</v>
      </c>
      <c r="AM8" s="19" t="n">
        <v>0</v>
      </c>
      <c r="AN8" s="19" t="n">
        <v>0</v>
      </c>
      <c r="AO8" s="19" t="n">
        <v>0</v>
      </c>
      <c r="AP8" s="19" t="n">
        <v>0</v>
      </c>
      <c r="AQ8" s="19" t="n">
        <v>0</v>
      </c>
      <c r="AR8" s="19" t="n">
        <v>0</v>
      </c>
      <c r="AS8" s="19" t="n">
        <v>3</v>
      </c>
      <c r="AT8" s="19" t="n">
        <v>3</v>
      </c>
      <c r="AU8" s="19" t="n">
        <v>0</v>
      </c>
      <c r="AV8" s="19" t="n">
        <v>0</v>
      </c>
      <c r="AW8" s="19" t="n">
        <v>0</v>
      </c>
      <c r="AX8" s="19" t="n">
        <v>0</v>
      </c>
      <c r="AY8" s="19" t="n">
        <v>0</v>
      </c>
      <c r="AZ8" s="19" t="n">
        <v>0</v>
      </c>
      <c r="BA8" s="19" t="n">
        <v>0</v>
      </c>
      <c r="BB8" s="19" t="n">
        <v>1</v>
      </c>
      <c r="BC8" s="19" t="n">
        <v>1</v>
      </c>
      <c r="BD8" s="19" t="n">
        <v>1</v>
      </c>
      <c r="BE8" s="19" t="n">
        <v>4</v>
      </c>
      <c r="BF8" s="19" t="n">
        <v>0</v>
      </c>
      <c r="BG8" s="19" t="n">
        <v>0</v>
      </c>
      <c r="BH8" s="19" t="n">
        <v>0</v>
      </c>
      <c r="BI8" s="19" t="n">
        <v>0</v>
      </c>
      <c r="BJ8" s="19" t="n">
        <v>0</v>
      </c>
      <c r="BK8" s="19" t="n">
        <v>0</v>
      </c>
      <c r="BL8" s="19" t="n">
        <v>0</v>
      </c>
      <c r="BM8" s="19" t="n">
        <v>0</v>
      </c>
      <c r="BN8" s="19" t="n">
        <v>0</v>
      </c>
      <c r="BO8" s="19" t="n">
        <v>0</v>
      </c>
      <c r="BP8" s="19" t="n">
        <v>0</v>
      </c>
      <c r="BQ8" s="19" t="n">
        <v>0</v>
      </c>
      <c r="BR8" s="19" t="n">
        <v>3</v>
      </c>
      <c r="BS8" s="19" t="n">
        <v>2</v>
      </c>
      <c r="BT8" s="19" t="n">
        <v>5</v>
      </c>
      <c r="BU8" s="19" t="n">
        <v>5</v>
      </c>
      <c r="BV8" s="19" t="n">
        <v>3</v>
      </c>
      <c r="BW8" s="19" t="n">
        <v>4</v>
      </c>
      <c r="BX8" s="19" t="n">
        <v>5</v>
      </c>
      <c r="BY8" s="19" t="n">
        <v>5</v>
      </c>
      <c r="BZ8" s="19" t="n">
        <v>3</v>
      </c>
      <c r="CA8" s="19" t="n">
        <v>3</v>
      </c>
      <c r="CB8" s="19" t="n">
        <v>4</v>
      </c>
      <c r="CC8" s="19" t="n">
        <v>5</v>
      </c>
      <c r="CD8" s="19" t="n">
        <v>5</v>
      </c>
      <c r="CE8" s="19" t="n">
        <v>3</v>
      </c>
      <c r="CF8" s="19" t="n">
        <v>3</v>
      </c>
      <c r="CG8" s="19" t="n">
        <v>4</v>
      </c>
      <c r="CH8" s="19" t="n">
        <v>3</v>
      </c>
      <c r="CI8" s="19" t="n">
        <v>4</v>
      </c>
      <c r="CJ8" s="19" t="n">
        <v>4</v>
      </c>
      <c r="CK8" s="19" t="n">
        <v>10</v>
      </c>
      <c r="CL8" s="0" t="s">
        <v>219</v>
      </c>
      <c r="CM8" s="0" t="n">
        <v>33.5</v>
      </c>
      <c r="CN8" s="16" t="n">
        <v>91.5</v>
      </c>
      <c r="CO8" s="16" t="n">
        <v>80.4</v>
      </c>
      <c r="CP8" s="16" t="n">
        <v>20</v>
      </c>
      <c r="CQ8" s="0" t="n">
        <v>84.58</v>
      </c>
      <c r="CR8" s="17" t="n">
        <v>0</v>
      </c>
      <c r="CS8" s="0" t="n">
        <v>15.42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13.79</v>
      </c>
      <c r="DD8" s="0" t="n">
        <v>2.67</v>
      </c>
      <c r="DE8" s="0" t="n">
        <v>11.54</v>
      </c>
      <c r="DF8" s="0" t="n">
        <v>0</v>
      </c>
      <c r="DG8" s="0" t="n">
        <v>12.3</v>
      </c>
      <c r="DH8" s="0" t="n">
        <v>2</v>
      </c>
      <c r="DI8" s="0" t="n">
        <v>5</v>
      </c>
      <c r="DJ8" s="0" t="n">
        <v>2</v>
      </c>
      <c r="DO8" s="0" t="n">
        <v>5</v>
      </c>
      <c r="DP8" s="0" t="n">
        <v>2</v>
      </c>
      <c r="DU8" s="0" t="n">
        <v>0</v>
      </c>
      <c r="DV8" s="0" t="n">
        <v>1</v>
      </c>
      <c r="DW8" s="0" t="n">
        <v>34</v>
      </c>
      <c r="DX8" s="0" t="n">
        <v>2</v>
      </c>
      <c r="DY8" s="0" t="n">
        <v>0.1</v>
      </c>
      <c r="DZ8" s="0" t="n">
        <v>1</v>
      </c>
      <c r="EA8" s="0" t="n">
        <v>10</v>
      </c>
      <c r="EB8" s="0" t="n">
        <f aca="false">8*4</f>
        <v>32</v>
      </c>
      <c r="EC8" s="0" t="n">
        <f aca="false">0.06+0.01+0.4+1.7+0.24+0.14+0.96</f>
        <v>3.51</v>
      </c>
      <c r="ED8" s="0" t="n">
        <v>3</v>
      </c>
      <c r="EG8" s="18"/>
      <c r="EY8" s="0" t="n">
        <v>0</v>
      </c>
      <c r="GJ8" s="16" t="n">
        <v>0.25</v>
      </c>
      <c r="GK8" s="16" t="n">
        <v>1</v>
      </c>
      <c r="GL8" s="16" t="n">
        <v>2</v>
      </c>
      <c r="GM8" s="16"/>
      <c r="GN8" s="16" t="n">
        <v>0.55</v>
      </c>
      <c r="GO8" s="16"/>
      <c r="GP8" s="16"/>
      <c r="GQ8" s="16"/>
      <c r="GR8" s="16"/>
      <c r="GS8" s="16"/>
      <c r="GT8" s="16"/>
      <c r="GU8" s="16" t="n">
        <v>0.55</v>
      </c>
      <c r="GV8" s="16" t="n">
        <v>0.55</v>
      </c>
      <c r="GW8" s="16"/>
      <c r="GX8" s="16"/>
      <c r="GY8" s="16" t="n">
        <v>0</v>
      </c>
      <c r="GZ8" s="16" t="n">
        <v>0</v>
      </c>
      <c r="HA8" s="16" t="n">
        <v>0</v>
      </c>
      <c r="HB8" s="0" t="n">
        <v>0</v>
      </c>
      <c r="HC8" s="0" t="s">
        <v>220</v>
      </c>
      <c r="HD8" s="0" t="n">
        <v>27</v>
      </c>
      <c r="HE8" s="16" t="n">
        <v>54.4</v>
      </c>
      <c r="HF8" s="16" t="n">
        <v>80.4</v>
      </c>
      <c r="HG8" s="16" t="n">
        <v>18.1</v>
      </c>
      <c r="HH8" s="0" t="n">
        <v>81.88</v>
      </c>
      <c r="HI8" s="17" t="n">
        <v>0</v>
      </c>
      <c r="HJ8" s="0" t="n">
        <v>9.83</v>
      </c>
      <c r="HK8" s="0" t="n">
        <v>0</v>
      </c>
      <c r="HL8" s="0" t="n">
        <v>2.14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2.32</v>
      </c>
      <c r="HU8" s="0" t="n">
        <v>19.66</v>
      </c>
      <c r="HV8" s="0" t="n">
        <v>3.64</v>
      </c>
      <c r="HW8" s="0" t="n">
        <v>0</v>
      </c>
      <c r="HX8" s="0" t="n">
        <v>0</v>
      </c>
      <c r="HY8" s="0" t="n">
        <v>0</v>
      </c>
      <c r="IL8" s="0" t="n">
        <v>0</v>
      </c>
      <c r="IM8" s="0" t="n">
        <v>1</v>
      </c>
      <c r="IN8" s="0" t="n">
        <v>26</v>
      </c>
      <c r="IO8" s="0" t="n">
        <v>2</v>
      </c>
      <c r="IP8" s="0" t="n">
        <v>0.05</v>
      </c>
      <c r="IQ8" s="0" t="n">
        <v>2</v>
      </c>
      <c r="IX8" s="18"/>
      <c r="JP8" s="0" t="n">
        <v>0</v>
      </c>
      <c r="LA8" s="16" t="n">
        <v>2.1</v>
      </c>
      <c r="LB8" s="16" t="n">
        <v>1</v>
      </c>
      <c r="LC8" s="16" t="n">
        <v>1</v>
      </c>
      <c r="LD8" s="16"/>
      <c r="LE8" s="16" t="n">
        <f aca="false">0.1+0.76*2+2.02+1.35*2+0.67</f>
        <v>7.01</v>
      </c>
      <c r="LF8" s="16"/>
      <c r="LG8" s="16"/>
      <c r="LH8" s="16"/>
      <c r="LI8" s="16"/>
      <c r="LJ8" s="16"/>
      <c r="LK8" s="16"/>
      <c r="LL8" s="16" t="n">
        <v>6.35</v>
      </c>
      <c r="LM8" s="16" t="n">
        <v>14.8</v>
      </c>
      <c r="LN8" s="16"/>
      <c r="LO8" s="16"/>
      <c r="LP8" s="16" t="n">
        <v>0</v>
      </c>
      <c r="LQ8" s="16" t="n">
        <v>0</v>
      </c>
      <c r="LR8" s="16" t="n">
        <v>0</v>
      </c>
      <c r="LS8" s="0" t="n">
        <v>0</v>
      </c>
      <c r="LT8" s="0" t="s">
        <v>221</v>
      </c>
      <c r="LU8" s="0" t="n">
        <v>20.5</v>
      </c>
      <c r="LV8" s="16" t="n">
        <v>76.9</v>
      </c>
      <c r="LW8" s="16" t="n">
        <v>80.4</v>
      </c>
      <c r="LX8" s="16" t="n">
        <v>9.1</v>
      </c>
      <c r="LY8" s="0" t="n">
        <v>88.58</v>
      </c>
      <c r="LZ8" s="0" t="n">
        <v>10.3</v>
      </c>
      <c r="MA8" s="0" t="n">
        <v>1.12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6.33</v>
      </c>
      <c r="ML8" s="0" t="n">
        <v>16.97</v>
      </c>
      <c r="MM8" s="0" t="n">
        <v>0</v>
      </c>
      <c r="MN8" s="0" t="n">
        <v>0</v>
      </c>
      <c r="MO8" s="0" t="n">
        <v>4.1</v>
      </c>
      <c r="MP8" s="0" t="n">
        <v>2</v>
      </c>
      <c r="MQ8" s="0" t="n">
        <v>5</v>
      </c>
      <c r="MR8" s="0" t="n">
        <v>1</v>
      </c>
      <c r="MW8" s="0" t="n">
        <v>5</v>
      </c>
      <c r="MX8" s="0" t="n">
        <v>1</v>
      </c>
      <c r="NC8" s="0" t="n">
        <v>0</v>
      </c>
      <c r="ND8" s="0" t="n">
        <v>0</v>
      </c>
      <c r="NO8" s="18"/>
      <c r="OG8" s="0" t="n">
        <v>0</v>
      </c>
      <c r="PR8" s="16" t="n">
        <v>2.24</v>
      </c>
      <c r="PS8" s="16" t="n">
        <v>1</v>
      </c>
      <c r="PT8" s="16" t="n">
        <v>2</v>
      </c>
      <c r="PU8" s="16"/>
      <c r="PV8" s="16" t="n">
        <v>4.97</v>
      </c>
      <c r="PW8" s="16"/>
      <c r="PX8" s="16"/>
      <c r="PY8" s="16"/>
      <c r="PZ8" s="16"/>
      <c r="QA8" s="16"/>
      <c r="QB8" s="16"/>
      <c r="QC8" s="16" t="n">
        <v>5.1</v>
      </c>
      <c r="QD8" s="16" t="n">
        <v>5.97</v>
      </c>
      <c r="QE8" s="16"/>
      <c r="QF8" s="16"/>
      <c r="QG8" s="16" t="n">
        <v>0</v>
      </c>
      <c r="QH8" s="16" t="n">
        <v>0</v>
      </c>
      <c r="QI8" s="16" t="n">
        <v>0</v>
      </c>
      <c r="QJ8" s="0" t="n">
        <v>0</v>
      </c>
      <c r="QK8" s="0" t="s">
        <v>222</v>
      </c>
      <c r="QL8" s="0" t="n">
        <v>32.5</v>
      </c>
      <c r="QM8" s="16" t="n">
        <v>96.7</v>
      </c>
      <c r="QN8" s="16" t="n">
        <v>80.4</v>
      </c>
      <c r="QO8" s="16" t="n">
        <v>15.1</v>
      </c>
      <c r="QP8" s="0" t="n">
        <v>52.24</v>
      </c>
      <c r="QQ8" s="0" t="n">
        <v>45.43</v>
      </c>
      <c r="QR8" s="0" t="n">
        <v>1.12</v>
      </c>
      <c r="QS8" s="0" t="n">
        <v>0</v>
      </c>
      <c r="QT8" s="0" t="n">
        <v>1.2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1.2</v>
      </c>
      <c r="RB8" s="0" t="n">
        <v>15.88</v>
      </c>
      <c r="RC8" s="0" t="n">
        <v>48.59</v>
      </c>
      <c r="RD8" s="0" t="n">
        <v>0</v>
      </c>
      <c r="RE8" s="0" t="n">
        <v>0</v>
      </c>
      <c r="RF8" s="0" t="n">
        <v>0</v>
      </c>
      <c r="RG8" s="0" t="n">
        <v>0</v>
      </c>
      <c r="RT8" s="0" t="n">
        <v>0</v>
      </c>
      <c r="RU8" s="0" t="n">
        <v>0</v>
      </c>
      <c r="SF8" s="18"/>
      <c r="SX8" s="0" t="n">
        <v>1</v>
      </c>
      <c r="SY8" s="0" t="n">
        <v>50</v>
      </c>
      <c r="SZ8" s="0" t="n">
        <v>2</v>
      </c>
      <c r="TA8" s="0" t="n">
        <f aca="false">3.18+12.73</f>
        <v>15.91</v>
      </c>
      <c r="TB8" s="0" t="n">
        <v>1</v>
      </c>
      <c r="UI8" s="16" t="n">
        <v>5.9</v>
      </c>
      <c r="UJ8" s="16" t="n">
        <v>1</v>
      </c>
      <c r="UK8" s="16" t="n">
        <v>2</v>
      </c>
      <c r="UL8" s="16"/>
      <c r="UM8" s="16" t="n">
        <f aca="false">0.09+0.18*3+0.13+0.53+1.07*2+1.34*2+0.17*2+3.18+12.73</f>
        <v>22.36</v>
      </c>
      <c r="UN8" s="16"/>
      <c r="UO8" s="16"/>
      <c r="UP8" s="16"/>
      <c r="UQ8" s="16"/>
      <c r="UR8" s="16"/>
      <c r="US8" s="16"/>
      <c r="UT8" s="16" t="n">
        <v>11.45</v>
      </c>
      <c r="UU8" s="16" t="n">
        <v>41.19</v>
      </c>
      <c r="UV8" s="16"/>
      <c r="UW8" s="16"/>
      <c r="UX8" s="16" t="n">
        <v>0</v>
      </c>
      <c r="UY8" s="16" t="n">
        <v>0</v>
      </c>
      <c r="UZ8" s="16" t="n">
        <v>0</v>
      </c>
      <c r="VA8" s="0" t="n">
        <v>0</v>
      </c>
      <c r="VB8" s="0" t="s">
        <v>223</v>
      </c>
      <c r="VC8" s="0" t="n">
        <v>30.5</v>
      </c>
      <c r="VD8" s="16" t="n">
        <v>68.8</v>
      </c>
      <c r="VE8" s="16" t="n">
        <v>80.4</v>
      </c>
      <c r="VF8" s="16" t="n">
        <v>16.3</v>
      </c>
      <c r="VG8" s="0" t="n">
        <v>66.28</v>
      </c>
      <c r="VH8" s="0" t="n">
        <v>20.09</v>
      </c>
      <c r="VI8" s="0" t="n">
        <v>1.81</v>
      </c>
      <c r="VJ8" s="0" t="n">
        <v>0</v>
      </c>
      <c r="VK8" s="0" t="n">
        <v>11.82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13.17</v>
      </c>
      <c r="VT8" s="0" t="n">
        <v>35.75</v>
      </c>
      <c r="VU8" s="0" t="n">
        <v>0</v>
      </c>
      <c r="VV8" s="0" t="n">
        <v>0</v>
      </c>
      <c r="VW8" s="0" t="n">
        <v>0</v>
      </c>
      <c r="VX8" s="0" t="n">
        <v>0</v>
      </c>
      <c r="WK8" s="0" t="n">
        <v>0</v>
      </c>
      <c r="WL8" s="0" t="n">
        <v>1</v>
      </c>
      <c r="WM8" s="0" t="n">
        <v>52</v>
      </c>
      <c r="WN8" s="0" t="n">
        <v>1</v>
      </c>
      <c r="WO8" s="0" t="n">
        <v>0.01</v>
      </c>
      <c r="WP8" s="0" t="n">
        <v>2</v>
      </c>
      <c r="WW8" s="18"/>
      <c r="XO8" s="0" t="n">
        <v>0</v>
      </c>
      <c r="YZ8" s="16" t="n">
        <v>5.43</v>
      </c>
      <c r="ZA8" s="16" t="n">
        <v>1</v>
      </c>
      <c r="ZB8" s="16" t="n">
        <v>1</v>
      </c>
      <c r="ZC8" s="16"/>
      <c r="ZD8" s="16" t="n">
        <f aca="false">0.09*2+0.07+1.36</f>
        <v>1.61</v>
      </c>
      <c r="ZE8" s="16" t="n">
        <v>2</v>
      </c>
      <c r="ZF8" s="16"/>
      <c r="ZG8" s="16" t="n">
        <f aca="false">4.2+0.09+0.66+0.01+3.18+3.18</f>
        <v>11.32</v>
      </c>
      <c r="ZH8" s="16"/>
      <c r="ZI8" s="16"/>
      <c r="ZJ8" s="16"/>
      <c r="ZK8" s="16" t="n">
        <v>8.61</v>
      </c>
      <c r="ZL8" s="16" t="n">
        <v>26.91</v>
      </c>
      <c r="ZM8" s="16"/>
      <c r="ZN8" s="16"/>
      <c r="ZO8" s="16" t="n">
        <v>0</v>
      </c>
      <c r="ZP8" s="16" t="n">
        <v>0</v>
      </c>
      <c r="ZQ8" s="16" t="n">
        <v>0</v>
      </c>
      <c r="ZR8" s="0" t="n">
        <v>0</v>
      </c>
      <c r="ZS8" s="0" t="s">
        <v>224</v>
      </c>
      <c r="ZT8" s="0" t="n">
        <v>39.5</v>
      </c>
      <c r="ZU8" s="16" t="n">
        <v>60.8</v>
      </c>
      <c r="ZV8" s="16" t="n">
        <v>80.4</v>
      </c>
      <c r="ZW8" s="16" t="n">
        <v>22.9</v>
      </c>
      <c r="ZX8" s="0" t="n">
        <v>67.01</v>
      </c>
      <c r="ZY8" s="0" t="n">
        <v>11.71</v>
      </c>
      <c r="ZZ8" s="0" t="n">
        <v>16.61</v>
      </c>
      <c r="AAA8" s="0" t="n">
        <v>0</v>
      </c>
      <c r="AAB8" s="0" t="n">
        <v>4.67</v>
      </c>
      <c r="AAC8" s="0" t="n">
        <v>0</v>
      </c>
      <c r="AAD8" s="0" t="n">
        <v>0</v>
      </c>
      <c r="AAE8" s="0" t="n">
        <v>0</v>
      </c>
      <c r="AAF8" s="0" t="n">
        <v>0</v>
      </c>
      <c r="AAG8" s="0" t="n">
        <v>0</v>
      </c>
      <c r="AAH8" s="0" t="n">
        <v>0</v>
      </c>
      <c r="AAI8" s="0" t="n">
        <v>0</v>
      </c>
      <c r="AAJ8" s="0" t="n">
        <v>20.9</v>
      </c>
      <c r="AAK8" s="0" t="n">
        <v>25.23</v>
      </c>
      <c r="AAL8" s="0" t="n">
        <v>0.58</v>
      </c>
      <c r="AAM8" s="0" t="n">
        <v>0</v>
      </c>
      <c r="AAN8" s="0" t="n">
        <v>0</v>
      </c>
      <c r="AAO8" s="0" t="n">
        <v>0</v>
      </c>
      <c r="ABB8" s="0" t="n">
        <v>2</v>
      </c>
      <c r="ABC8" s="0" t="n">
        <v>1</v>
      </c>
      <c r="ABD8" s="0" t="n">
        <v>103</v>
      </c>
      <c r="ABE8" s="0" t="n">
        <v>2</v>
      </c>
      <c r="ABF8" s="0" t="n">
        <f aca="false">0.18+0.14</f>
        <v>0.32</v>
      </c>
      <c r="ABG8" s="0" t="n">
        <v>1</v>
      </c>
      <c r="ABH8" s="0" t="n">
        <v>68</v>
      </c>
      <c r="ABI8" s="0" t="n">
        <v>1</v>
      </c>
      <c r="ABJ8" s="0" t="n">
        <v>0.01</v>
      </c>
      <c r="ABK8" s="0" t="n">
        <v>1</v>
      </c>
      <c r="ABL8" s="0" t="n">
        <v>52</v>
      </c>
      <c r="ABM8" s="0" t="n">
        <v>3</v>
      </c>
      <c r="ABN8" s="18" t="n">
        <v>0.05</v>
      </c>
      <c r="ABO8" s="0" t="n">
        <v>2</v>
      </c>
      <c r="ACF8" s="0" t="n">
        <v>0</v>
      </c>
      <c r="ADQ8" s="16" t="n">
        <v>3.66</v>
      </c>
      <c r="ADR8" s="16" t="n">
        <v>1</v>
      </c>
      <c r="ADS8" s="16" t="n">
        <v>1</v>
      </c>
      <c r="ADT8" s="16"/>
      <c r="ADU8" s="16" t="n">
        <f aca="false">2.69*3+1.35*3+0.14*2+0.1</f>
        <v>12.5</v>
      </c>
      <c r="ADV8" s="16" t="n">
        <v>2</v>
      </c>
      <c r="ADW8" s="16"/>
      <c r="ADX8" s="16" t="n">
        <f aca="false">0.66+0.35+0.18+0.14+1.25+1.23</f>
        <v>3.81</v>
      </c>
      <c r="ADY8" s="16"/>
      <c r="ADZ8" s="16"/>
      <c r="AEA8" s="16"/>
      <c r="AEB8" s="16" t="n">
        <v>10.05</v>
      </c>
      <c r="AEC8" s="16" t="n">
        <v>27.11</v>
      </c>
      <c r="AED8" s="16"/>
      <c r="AEE8" s="16"/>
      <c r="AEF8" s="16" t="n">
        <v>0</v>
      </c>
      <c r="AEG8" s="16" t="n">
        <v>0</v>
      </c>
      <c r="AEH8" s="16" t="n">
        <v>0</v>
      </c>
      <c r="AEI8" s="0" t="n">
        <v>0</v>
      </c>
      <c r="AEJ8" s="0" t="s">
        <v>225</v>
      </c>
      <c r="AEK8" s="0" t="n">
        <v>47</v>
      </c>
      <c r="AEL8" s="16" t="n">
        <v>72.3</v>
      </c>
      <c r="AEM8" s="16" t="n">
        <v>80.4</v>
      </c>
      <c r="AEN8" s="16" t="n">
        <v>18</v>
      </c>
      <c r="AEO8" s="0" t="n">
        <v>70.55</v>
      </c>
      <c r="AEP8" s="0" t="n">
        <v>6.81</v>
      </c>
      <c r="AEQ8" s="0" t="n">
        <v>3.09</v>
      </c>
      <c r="AER8" s="0" t="n">
        <v>0</v>
      </c>
      <c r="AES8" s="0" t="n">
        <v>19.55</v>
      </c>
      <c r="AET8" s="0" t="n">
        <v>0</v>
      </c>
      <c r="AEU8" s="0" t="n">
        <v>0</v>
      </c>
      <c r="AEV8" s="0" t="n">
        <v>0</v>
      </c>
      <c r="AEW8" s="0" t="n">
        <v>0</v>
      </c>
      <c r="AEX8" s="0" t="n">
        <v>0</v>
      </c>
      <c r="AEY8" s="0" t="n">
        <v>0</v>
      </c>
      <c r="AEZ8" s="0" t="n">
        <v>0</v>
      </c>
      <c r="AFA8" s="0" t="n">
        <v>18.07</v>
      </c>
      <c r="AFB8" s="0" t="n">
        <v>30.57</v>
      </c>
      <c r="AFC8" s="0" t="n">
        <v>7.61</v>
      </c>
      <c r="AFD8" s="0" t="n">
        <v>0</v>
      </c>
      <c r="AFE8" s="0" t="n">
        <v>14</v>
      </c>
      <c r="AFF8" s="0" t="n">
        <v>2</v>
      </c>
      <c r="AFG8" s="0" t="n">
        <v>5</v>
      </c>
      <c r="AFH8" s="0" t="n">
        <v>4.47</v>
      </c>
      <c r="AFJ8" s="0" t="n">
        <v>7</v>
      </c>
      <c r="AFK8" s="0" t="n">
        <v>5.15</v>
      </c>
      <c r="AFM8" s="0" t="n">
        <v>5</v>
      </c>
      <c r="AFN8" s="0" t="n">
        <v>4.47</v>
      </c>
      <c r="AFP8" s="0" t="n">
        <v>7</v>
      </c>
      <c r="AFQ8" s="0" t="n">
        <v>5.15</v>
      </c>
      <c r="AFS8" s="0" t="n">
        <v>0</v>
      </c>
      <c r="AFT8" s="0" t="n">
        <v>0</v>
      </c>
      <c r="AGE8" s="18"/>
      <c r="AGW8" s="0" t="n">
        <v>0</v>
      </c>
      <c r="AIH8" s="16" t="n">
        <v>4.21</v>
      </c>
      <c r="AII8" s="16" t="n">
        <v>1</v>
      </c>
      <c r="AIJ8" s="16" t="n">
        <v>2</v>
      </c>
      <c r="AIK8" s="16"/>
      <c r="AIL8" s="16" t="n">
        <f aca="false">7.46+1.59+0.6</f>
        <v>9.65</v>
      </c>
      <c r="AIM8" s="16"/>
      <c r="AIN8" s="16"/>
      <c r="AIO8" s="16"/>
      <c r="AIP8" s="16"/>
      <c r="AIQ8" s="16"/>
      <c r="AIR8" s="16"/>
      <c r="AIS8" s="16" t="n">
        <v>10.63</v>
      </c>
      <c r="AIT8" s="16" t="n">
        <v>36.38</v>
      </c>
      <c r="AIU8" s="16"/>
      <c r="AIV8" s="16"/>
      <c r="AIW8" s="16" t="n">
        <v>0</v>
      </c>
      <c r="AIX8" s="16" t="n">
        <v>0</v>
      </c>
      <c r="AIY8" s="16" t="n">
        <v>0</v>
      </c>
      <c r="AIZ8" s="0" t="n">
        <v>0</v>
      </c>
      <c r="AJA8" s="0" t="s">
        <v>226</v>
      </c>
      <c r="AJB8" s="0" t="n">
        <v>19</v>
      </c>
      <c r="AJC8" s="16" t="n">
        <v>82.6</v>
      </c>
      <c r="AJD8" s="16" t="n">
        <v>80.4</v>
      </c>
      <c r="AJE8" s="16" t="n">
        <v>7.7</v>
      </c>
      <c r="AJF8" s="0" t="n">
        <v>86.83</v>
      </c>
      <c r="AJG8" s="0" t="n">
        <v>12.69</v>
      </c>
      <c r="AJH8" s="0" t="n">
        <v>0</v>
      </c>
      <c r="AJI8" s="0" t="n">
        <v>0</v>
      </c>
      <c r="AJJ8" s="0" t="n">
        <v>0.48</v>
      </c>
      <c r="AJK8" s="0" t="n">
        <v>0</v>
      </c>
      <c r="AJL8" s="0" t="n">
        <v>0</v>
      </c>
      <c r="AJM8" s="0" t="n">
        <v>0</v>
      </c>
      <c r="AJN8" s="0" t="n">
        <v>0</v>
      </c>
      <c r="AJO8" s="0" t="n">
        <v>0</v>
      </c>
      <c r="AJP8" s="0" t="n">
        <v>0</v>
      </c>
      <c r="AJQ8" s="0" t="n">
        <v>0</v>
      </c>
      <c r="AJR8" s="0" t="n">
        <v>7.16</v>
      </c>
      <c r="AJS8" s="0" t="n">
        <v>10.76</v>
      </c>
      <c r="AJT8" s="0" t="n">
        <v>0</v>
      </c>
      <c r="AJU8" s="0" t="n">
        <v>0</v>
      </c>
      <c r="AJV8" s="0" t="n">
        <v>3.4</v>
      </c>
      <c r="AJW8" s="0" t="n">
        <v>2</v>
      </c>
      <c r="AJX8" s="0" t="n">
        <v>11.9</v>
      </c>
      <c r="AJY8" s="0" t="n">
        <v>0.48</v>
      </c>
      <c r="AKD8" s="0" t="n">
        <v>11.9</v>
      </c>
      <c r="AKE8" s="0" t="n">
        <v>0.48</v>
      </c>
      <c r="AKJ8" s="0" t="n">
        <v>0</v>
      </c>
      <c r="AKK8" s="0" t="n">
        <v>1</v>
      </c>
      <c r="AKL8" s="0" t="n">
        <v>34</v>
      </c>
      <c r="AKM8" s="0" t="n">
        <v>2</v>
      </c>
      <c r="AKN8" s="0" t="n">
        <f aca="false">0.84*2</f>
        <v>1.68</v>
      </c>
      <c r="AKO8" s="0" t="n">
        <v>1</v>
      </c>
      <c r="AKV8" s="18"/>
      <c r="ALN8" s="0" t="n">
        <v>0</v>
      </c>
    </row>
    <row r="9" customFormat="false" ht="13.8" hidden="false" customHeight="false" outlineLevel="0" collapsed="false">
      <c r="A9" s="22" t="s">
        <v>227</v>
      </c>
      <c r="B9" s="23" t="n">
        <v>42886</v>
      </c>
      <c r="C9" s="24" t="n">
        <v>2</v>
      </c>
      <c r="D9" s="25" t="n">
        <v>40513</v>
      </c>
      <c r="E9" s="23" t="n">
        <v>31624</v>
      </c>
      <c r="F9" s="14" t="n">
        <f aca="false">(B9-E9)/365.25</f>
        <v>30.8336755646817</v>
      </c>
      <c r="G9" s="14" t="n">
        <f aca="false">(B9-D9)/365.25</f>
        <v>6.49691991786448</v>
      </c>
      <c r="H9" s="21" t="s">
        <v>228</v>
      </c>
      <c r="I9" s="21" t="s">
        <v>229</v>
      </c>
      <c r="J9" s="21" t="s">
        <v>181</v>
      </c>
      <c r="K9" s="21" t="n">
        <v>8</v>
      </c>
      <c r="L9" s="26" t="n">
        <v>65</v>
      </c>
      <c r="M9" s="24" t="n">
        <v>1.71</v>
      </c>
      <c r="N9" s="27" t="n">
        <f aca="false">L9/(M9*M9)</f>
        <v>22.2290619335864</v>
      </c>
      <c r="O9" s="26" t="n">
        <v>0</v>
      </c>
      <c r="P9" s="26" t="n">
        <v>0</v>
      </c>
      <c r="Q9" s="26" t="n">
        <v>0</v>
      </c>
      <c r="R9" s="26" t="n">
        <v>0</v>
      </c>
      <c r="S9" s="26" t="n">
        <v>0</v>
      </c>
      <c r="T9" s="26" t="n">
        <v>0</v>
      </c>
      <c r="U9" s="26" t="n">
        <v>0</v>
      </c>
      <c r="V9" s="26" t="n">
        <v>0</v>
      </c>
      <c r="W9" s="26" t="n">
        <v>0</v>
      </c>
      <c r="X9" s="26" t="n">
        <v>0</v>
      </c>
      <c r="Y9" s="26" t="n">
        <v>0</v>
      </c>
      <c r="Z9" s="26" t="n">
        <v>0</v>
      </c>
      <c r="AA9" s="26" t="n">
        <v>0</v>
      </c>
      <c r="AB9" s="26" t="n">
        <v>0</v>
      </c>
      <c r="AC9" s="26" t="n">
        <v>0</v>
      </c>
      <c r="AD9" s="26" t="n">
        <v>0</v>
      </c>
      <c r="AE9" s="26" t="n">
        <v>0</v>
      </c>
      <c r="AF9" s="26" t="n">
        <v>0</v>
      </c>
      <c r="AG9" s="26" t="n">
        <v>0</v>
      </c>
      <c r="AH9" s="26" t="n">
        <v>0</v>
      </c>
      <c r="AI9" s="26" t="n">
        <v>0</v>
      </c>
      <c r="AJ9" s="26" t="n">
        <v>0</v>
      </c>
      <c r="AK9" s="26" t="n">
        <v>0</v>
      </c>
      <c r="AL9" s="26" t="n">
        <v>0</v>
      </c>
      <c r="AM9" s="26" t="n">
        <v>0</v>
      </c>
      <c r="AN9" s="26" t="n">
        <v>0</v>
      </c>
      <c r="AO9" s="26" t="n">
        <v>0</v>
      </c>
      <c r="AP9" s="26" t="n">
        <v>0</v>
      </c>
      <c r="AQ9" s="26" t="n">
        <v>0</v>
      </c>
      <c r="AR9" s="26" t="n">
        <v>0</v>
      </c>
      <c r="AS9" s="26" t="n">
        <v>0</v>
      </c>
      <c r="AT9" s="26" t="n">
        <v>0</v>
      </c>
      <c r="AU9" s="26" t="n">
        <v>0</v>
      </c>
      <c r="AV9" s="26" t="n">
        <v>0</v>
      </c>
      <c r="AW9" s="26" t="n">
        <v>0</v>
      </c>
      <c r="AX9" s="26" t="n">
        <v>0</v>
      </c>
      <c r="AY9" s="26" t="n">
        <v>0</v>
      </c>
      <c r="AZ9" s="26" t="n">
        <v>0</v>
      </c>
      <c r="BA9" s="26" t="n">
        <v>0</v>
      </c>
      <c r="BB9" s="26" t="n">
        <v>0</v>
      </c>
      <c r="BC9" s="26" t="n">
        <v>0</v>
      </c>
      <c r="BD9" s="26" t="n">
        <v>0</v>
      </c>
      <c r="BE9" s="26" t="n">
        <v>0</v>
      </c>
      <c r="BF9" s="26" t="n">
        <v>0</v>
      </c>
      <c r="BG9" s="26" t="n">
        <v>0</v>
      </c>
      <c r="BH9" s="26" t="n">
        <v>0</v>
      </c>
      <c r="BI9" s="26" t="n">
        <v>0</v>
      </c>
      <c r="BJ9" s="26" t="n">
        <v>0</v>
      </c>
      <c r="BK9" s="26" t="n">
        <v>0</v>
      </c>
      <c r="BL9" s="26" t="n">
        <v>0</v>
      </c>
      <c r="BM9" s="26" t="n">
        <v>0</v>
      </c>
      <c r="BN9" s="26" t="n">
        <v>0</v>
      </c>
      <c r="BO9" s="26" t="n">
        <v>0</v>
      </c>
      <c r="BP9" s="26" t="n">
        <v>0</v>
      </c>
      <c r="BQ9" s="26" t="n">
        <v>0</v>
      </c>
      <c r="BR9" s="26" t="n">
        <v>4</v>
      </c>
      <c r="BS9" s="26" t="n">
        <v>3</v>
      </c>
      <c r="BT9" s="26" t="n">
        <v>3</v>
      </c>
      <c r="BU9" s="26" t="n">
        <v>5</v>
      </c>
      <c r="BV9" s="26" t="n">
        <v>4</v>
      </c>
      <c r="BW9" s="26" t="n">
        <v>3</v>
      </c>
      <c r="BX9" s="26" t="n">
        <v>3</v>
      </c>
      <c r="BY9" s="26" t="n">
        <v>5</v>
      </c>
      <c r="BZ9" s="26" t="n">
        <v>5</v>
      </c>
      <c r="CA9" s="26" t="n">
        <v>5</v>
      </c>
      <c r="CB9" s="26" t="n">
        <v>4</v>
      </c>
      <c r="CC9" s="26" t="n">
        <v>5</v>
      </c>
      <c r="CD9" s="26" t="n">
        <v>4</v>
      </c>
      <c r="CE9" s="26" t="n">
        <v>4</v>
      </c>
      <c r="CF9" s="26" t="n">
        <v>4</v>
      </c>
      <c r="CG9" s="26" t="n">
        <v>5</v>
      </c>
      <c r="CH9" s="26" t="n">
        <v>4</v>
      </c>
      <c r="CI9" s="26" t="n">
        <v>4</v>
      </c>
      <c r="CJ9" s="26" t="n">
        <v>4</v>
      </c>
      <c r="CK9" s="26" t="n">
        <v>9</v>
      </c>
      <c r="CL9" s="0" t="s">
        <v>230</v>
      </c>
      <c r="CM9" s="0" t="n">
        <v>64</v>
      </c>
      <c r="CN9" s="16" t="n">
        <v>74.3</v>
      </c>
      <c r="CO9" s="16" t="n">
        <v>81</v>
      </c>
      <c r="CP9" s="16" t="n">
        <v>58.5</v>
      </c>
      <c r="CQ9" s="0" t="n">
        <v>49.17</v>
      </c>
      <c r="CR9" s="0" t="n">
        <v>0</v>
      </c>
      <c r="CS9" s="0" t="n">
        <v>34.45</v>
      </c>
      <c r="CT9" s="0" t="n">
        <v>16.22</v>
      </c>
      <c r="CU9" s="0" t="n">
        <v>0.16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2.52</v>
      </c>
      <c r="DE9" s="0" t="n">
        <v>9.18</v>
      </c>
      <c r="DF9" s="0" t="n">
        <v>0</v>
      </c>
      <c r="DG9" s="0" t="n">
        <v>0</v>
      </c>
      <c r="DH9" s="0" t="n">
        <v>0</v>
      </c>
      <c r="DU9" s="0" t="n">
        <v>0.3</v>
      </c>
      <c r="DV9" s="0" t="n">
        <v>1</v>
      </c>
      <c r="DW9" s="0" t="n">
        <v>34</v>
      </c>
      <c r="DX9" s="0" t="n">
        <v>8</v>
      </c>
      <c r="DY9" s="0" t="n">
        <v>0.43</v>
      </c>
      <c r="DZ9" s="0" t="n">
        <v>1</v>
      </c>
      <c r="EA9" s="0" t="n">
        <v>47</v>
      </c>
      <c r="EB9" s="0" t="n">
        <v>1</v>
      </c>
      <c r="EC9" s="0" t="n">
        <v>0.04</v>
      </c>
      <c r="ED9" s="0" t="n">
        <v>3</v>
      </c>
      <c r="EG9" s="18"/>
      <c r="EY9" s="0" t="n">
        <v>0</v>
      </c>
      <c r="GJ9" s="16" t="n">
        <v>2.89</v>
      </c>
      <c r="GK9" s="16" t="n">
        <v>1</v>
      </c>
      <c r="GL9" s="16" t="n">
        <v>1</v>
      </c>
      <c r="GM9" s="16"/>
      <c r="GN9" s="16" t="n">
        <v>7.35</v>
      </c>
      <c r="GO9" s="16"/>
      <c r="GP9" s="16"/>
      <c r="GQ9" s="16"/>
      <c r="GR9" s="16"/>
      <c r="GS9" s="16"/>
      <c r="GT9" s="16"/>
      <c r="GU9" s="16" t="n">
        <v>0</v>
      </c>
      <c r="GV9" s="16" t="n">
        <v>0</v>
      </c>
      <c r="GW9" s="16"/>
      <c r="GX9" s="16"/>
      <c r="GY9" s="16" t="n">
        <v>0</v>
      </c>
      <c r="GZ9" s="16" t="n">
        <v>0</v>
      </c>
      <c r="HA9" s="16" t="n">
        <v>0</v>
      </c>
      <c r="HB9" s="0" t="n">
        <v>0</v>
      </c>
      <c r="HC9" s="0" t="s">
        <v>231</v>
      </c>
      <c r="HD9" s="0" t="n">
        <v>64.5</v>
      </c>
      <c r="HE9" s="16" t="n">
        <v>77.8</v>
      </c>
      <c r="HF9" s="16" t="n">
        <v>81</v>
      </c>
      <c r="HG9" s="16" t="n">
        <v>52.5</v>
      </c>
      <c r="HH9" s="0" t="n">
        <v>50.19</v>
      </c>
      <c r="HI9" s="0" t="n">
        <v>0</v>
      </c>
      <c r="HJ9" s="0" t="n">
        <v>26.36</v>
      </c>
      <c r="HK9" s="0" t="n">
        <v>23.45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1.91</v>
      </c>
      <c r="HU9" s="0" t="n">
        <v>2.12</v>
      </c>
      <c r="HV9" s="0" t="n">
        <v>0</v>
      </c>
      <c r="HW9" s="0" t="n">
        <v>0</v>
      </c>
      <c r="HX9" s="0" t="n">
        <v>0</v>
      </c>
      <c r="HY9" s="0" t="n">
        <v>0</v>
      </c>
      <c r="IL9" s="0" t="n">
        <v>5.4</v>
      </c>
      <c r="IM9" s="0" t="n">
        <v>1</v>
      </c>
      <c r="IN9" s="0" t="n">
        <v>68</v>
      </c>
      <c r="IO9" s="0" t="n">
        <v>8</v>
      </c>
      <c r="IP9" s="0" t="n">
        <f aca="false">1.4*2+0.13</f>
        <v>2.93</v>
      </c>
      <c r="IQ9" s="0" t="n">
        <v>1</v>
      </c>
      <c r="IR9" s="0" t="n">
        <v>34</v>
      </c>
      <c r="IS9" s="0" t="n">
        <v>1</v>
      </c>
      <c r="IT9" s="0" t="n">
        <v>0.13</v>
      </c>
      <c r="IU9" s="0" t="n">
        <v>1</v>
      </c>
      <c r="IX9" s="18"/>
      <c r="JP9" s="0" t="n">
        <v>1</v>
      </c>
      <c r="JQ9" s="0" t="n">
        <v>60</v>
      </c>
      <c r="JR9" s="0" t="n">
        <v>1</v>
      </c>
      <c r="JS9" s="0" t="n">
        <v>0.22</v>
      </c>
      <c r="JT9" s="0" t="n">
        <v>3</v>
      </c>
      <c r="LA9" s="16" t="n">
        <v>3.48</v>
      </c>
      <c r="LB9" s="16" t="n">
        <v>1</v>
      </c>
      <c r="LC9" s="16" t="n">
        <v>1</v>
      </c>
      <c r="LD9" s="16"/>
      <c r="LE9" s="16" t="n">
        <f aca="false">7.35+1.4*2+0.62+0.74+0.03+0.7+0.18+0.03+0.05+0.01</f>
        <v>12.51</v>
      </c>
      <c r="LF9" s="16"/>
      <c r="LG9" s="16"/>
      <c r="LH9" s="16"/>
      <c r="LI9" s="16"/>
      <c r="LJ9" s="16"/>
      <c r="LK9" s="16"/>
      <c r="LL9" s="16" t="n">
        <v>0.13</v>
      </c>
      <c r="LM9" s="16" t="n">
        <v>0.13</v>
      </c>
      <c r="LN9" s="16"/>
      <c r="LO9" s="16"/>
      <c r="LP9" s="16" t="n">
        <v>0</v>
      </c>
      <c r="LQ9" s="16" t="n">
        <v>0</v>
      </c>
      <c r="LR9" s="16" t="n">
        <v>0</v>
      </c>
      <c r="LS9" s="0" t="n">
        <v>0</v>
      </c>
      <c r="LT9" s="0" t="s">
        <v>232</v>
      </c>
      <c r="LU9" s="0" t="n">
        <v>40</v>
      </c>
      <c r="LV9" s="16" t="n">
        <v>84.9</v>
      </c>
      <c r="LW9" s="16" t="n">
        <v>81</v>
      </c>
      <c r="LX9" s="16" t="n">
        <v>13.2</v>
      </c>
      <c r="LY9" s="0" t="n">
        <v>93.04</v>
      </c>
      <c r="LZ9" s="0" t="n">
        <v>0</v>
      </c>
      <c r="MA9" s="0" t="n">
        <v>0</v>
      </c>
      <c r="MB9" s="0" t="n">
        <v>3.59</v>
      </c>
      <c r="MC9" s="0" t="n">
        <v>3.38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1.7</v>
      </c>
      <c r="MK9" s="0" t="n">
        <v>3.97</v>
      </c>
      <c r="ML9" s="0" t="n">
        <v>39.76</v>
      </c>
      <c r="MM9" s="0" t="n">
        <v>0.13</v>
      </c>
      <c r="MN9" s="0" t="n">
        <v>0</v>
      </c>
      <c r="MO9" s="0" t="n">
        <v>0</v>
      </c>
      <c r="MP9" s="0" t="n">
        <v>0</v>
      </c>
      <c r="NC9" s="0" t="n">
        <v>15.9</v>
      </c>
      <c r="ND9" s="0" t="n">
        <v>1</v>
      </c>
      <c r="NE9" s="0" t="n">
        <v>47</v>
      </c>
      <c r="NF9" s="0" t="n">
        <v>2</v>
      </c>
      <c r="NG9" s="0" t="n">
        <v>1.51</v>
      </c>
      <c r="NH9" s="0" t="n">
        <v>3</v>
      </c>
      <c r="NO9" s="18"/>
      <c r="OG9" s="0" t="n">
        <v>1</v>
      </c>
      <c r="OH9" s="0" t="n">
        <v>40</v>
      </c>
      <c r="OI9" s="0" t="n">
        <v>7</v>
      </c>
      <c r="OJ9" s="0" t="n">
        <f aca="false">2.27+3.02</f>
        <v>5.29</v>
      </c>
      <c r="OK9" s="0" t="n">
        <v>3</v>
      </c>
      <c r="PR9" s="16" t="n">
        <v>1.48</v>
      </c>
      <c r="PS9" s="16" t="n">
        <v>1</v>
      </c>
      <c r="PT9" s="16" t="n">
        <v>1</v>
      </c>
      <c r="PU9" s="16"/>
      <c r="PV9" s="16" t="n">
        <f aca="false">2.1+1.7+0.37+0.74</f>
        <v>4.91</v>
      </c>
      <c r="PW9" s="16"/>
      <c r="PX9" s="16"/>
      <c r="PY9" s="16"/>
      <c r="PZ9" s="16"/>
      <c r="QA9" s="16"/>
      <c r="QB9" s="16"/>
      <c r="QC9" s="16" t="n">
        <v>7.34</v>
      </c>
      <c r="QD9" s="16" t="n">
        <v>5.01</v>
      </c>
      <c r="QE9" s="16"/>
      <c r="QF9" s="16"/>
      <c r="QG9" s="16" t="n">
        <v>0</v>
      </c>
      <c r="QH9" s="16" t="n">
        <v>0</v>
      </c>
      <c r="QI9" s="16" t="n">
        <v>0</v>
      </c>
      <c r="QJ9" s="0" t="n">
        <v>0</v>
      </c>
      <c r="QK9" s="0" t="s">
        <v>233</v>
      </c>
      <c r="QL9" s="0" t="n">
        <v>39.5</v>
      </c>
      <c r="QM9" s="16" t="n">
        <v>85</v>
      </c>
      <c r="QN9" s="16" t="n">
        <v>81</v>
      </c>
      <c r="QO9" s="16" t="n">
        <v>12.7</v>
      </c>
      <c r="QP9" s="0" t="n">
        <v>93.14</v>
      </c>
      <c r="QQ9" s="0" t="n">
        <v>0</v>
      </c>
      <c r="QR9" s="0" t="n">
        <v>1.57</v>
      </c>
      <c r="QS9" s="0" t="n">
        <v>2.08</v>
      </c>
      <c r="QT9" s="0" t="n">
        <v>3.21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1.7</v>
      </c>
      <c r="RB9" s="0" t="n">
        <v>6.54</v>
      </c>
      <c r="RC9" s="0" t="n">
        <v>37.88</v>
      </c>
      <c r="RD9" s="0" t="n">
        <v>3</v>
      </c>
      <c r="RE9" s="0" t="n">
        <v>0</v>
      </c>
      <c r="RF9" s="0" t="n">
        <v>0</v>
      </c>
      <c r="RG9" s="0" t="n">
        <v>0</v>
      </c>
      <c r="RT9" s="0" t="n">
        <v>15.7</v>
      </c>
      <c r="RU9" s="0" t="n">
        <v>1</v>
      </c>
      <c r="RV9" s="0" t="n">
        <v>47</v>
      </c>
      <c r="RW9" s="0" t="n">
        <v>2</v>
      </c>
      <c r="RX9" s="0" t="n">
        <v>1.51</v>
      </c>
      <c r="RY9" s="0" t="n">
        <v>3</v>
      </c>
      <c r="SF9" s="18"/>
      <c r="SX9" s="0" t="n">
        <v>1</v>
      </c>
      <c r="SY9" s="0" t="n">
        <v>50</v>
      </c>
      <c r="SZ9" s="0" t="n">
        <v>3</v>
      </c>
      <c r="TA9" s="0" t="n">
        <v>0.4</v>
      </c>
      <c r="TB9" s="0" t="n">
        <v>3</v>
      </c>
      <c r="TC9" s="0" t="n">
        <v>40</v>
      </c>
      <c r="TD9" s="0" t="n">
        <v>7</v>
      </c>
      <c r="TE9" s="0" t="n">
        <f aca="false">2.27+3.02</f>
        <v>5.29</v>
      </c>
      <c r="TF9" s="0" t="n">
        <v>3</v>
      </c>
      <c r="UI9" s="16" t="n">
        <v>1.76</v>
      </c>
      <c r="UJ9" s="16" t="n">
        <v>1</v>
      </c>
      <c r="UK9" s="16" t="n">
        <v>1</v>
      </c>
      <c r="UL9" s="16"/>
      <c r="UM9" s="16" t="n">
        <f aca="false">2.1+1.7+0.4+0.37+0.74</f>
        <v>5.31</v>
      </c>
      <c r="UN9" s="16"/>
      <c r="UO9" s="16"/>
      <c r="UP9" s="16"/>
      <c r="UQ9" s="16"/>
      <c r="UR9" s="16"/>
      <c r="US9" s="16"/>
      <c r="UT9" s="16" t="n">
        <v>7.31</v>
      </c>
      <c r="UU9" s="16" t="n">
        <v>6.99</v>
      </c>
      <c r="UV9" s="16"/>
      <c r="UW9" s="16"/>
      <c r="UX9" s="16" t="n">
        <v>0</v>
      </c>
      <c r="UY9" s="16" t="n">
        <v>0</v>
      </c>
      <c r="UZ9" s="16" t="n">
        <v>0</v>
      </c>
      <c r="VA9" s="0" t="n">
        <v>0</v>
      </c>
      <c r="VB9" s="0" t="s">
        <v>234</v>
      </c>
      <c r="VC9" s="0" t="n">
        <v>22.5</v>
      </c>
      <c r="VD9" s="16" t="n">
        <v>60.3</v>
      </c>
      <c r="VE9" s="16" t="n">
        <v>81</v>
      </c>
      <c r="VF9" s="16" t="n">
        <v>13.3</v>
      </c>
      <c r="VG9" s="0" t="n">
        <v>92.98</v>
      </c>
      <c r="VH9" s="0" t="n">
        <v>0</v>
      </c>
      <c r="VI9" s="0" t="n">
        <v>0</v>
      </c>
      <c r="VJ9" s="0" t="n">
        <v>0</v>
      </c>
      <c r="VK9" s="0" t="n">
        <v>7.02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0.72</v>
      </c>
      <c r="VT9" s="0" t="n">
        <v>23.12</v>
      </c>
      <c r="VU9" s="0" t="n">
        <v>24.81</v>
      </c>
      <c r="VV9" s="0" t="n">
        <v>0</v>
      </c>
      <c r="VW9" s="0" t="n">
        <v>0</v>
      </c>
      <c r="VX9" s="0" t="n">
        <v>0</v>
      </c>
      <c r="WK9" s="0" t="n">
        <v>0</v>
      </c>
      <c r="WL9" s="0" t="n">
        <v>1</v>
      </c>
      <c r="WM9" s="0" t="n">
        <v>23</v>
      </c>
      <c r="WN9" s="0" t="n">
        <v>1</v>
      </c>
      <c r="WO9" s="0" t="n">
        <v>0.3</v>
      </c>
      <c r="WP9" s="0" t="n">
        <v>3</v>
      </c>
      <c r="WW9" s="18"/>
      <c r="XO9" s="0" t="n">
        <v>0</v>
      </c>
      <c r="YZ9" s="16" t="n">
        <v>1.26</v>
      </c>
      <c r="ZA9" s="16" t="n">
        <v>1</v>
      </c>
      <c r="ZB9" s="16" t="n">
        <v>1</v>
      </c>
      <c r="ZC9" s="16"/>
      <c r="ZD9" s="16" t="n">
        <f aca="false">2.1+1.7+0.4+0.37+0.74</f>
        <v>5.31</v>
      </c>
      <c r="ZE9" s="16"/>
      <c r="ZF9" s="16"/>
      <c r="ZG9" s="16"/>
      <c r="ZH9" s="16"/>
      <c r="ZI9" s="16"/>
      <c r="ZJ9" s="16"/>
      <c r="ZK9" s="16" t="n">
        <v>6.24</v>
      </c>
      <c r="ZL9" s="16" t="n">
        <v>6.99</v>
      </c>
      <c r="ZM9" s="16"/>
      <c r="ZN9" s="16"/>
      <c r="ZO9" s="16" t="n">
        <v>0</v>
      </c>
      <c r="ZP9" s="16" t="n">
        <v>0</v>
      </c>
      <c r="ZQ9" s="16" t="n">
        <v>0</v>
      </c>
      <c r="ZR9" s="0" t="n">
        <v>0</v>
      </c>
      <c r="ZS9" s="0" t="s">
        <v>235</v>
      </c>
      <c r="ZT9" s="0" t="n">
        <v>37</v>
      </c>
      <c r="ZU9" s="16" t="n">
        <v>81.9</v>
      </c>
      <c r="ZV9" s="16" t="n">
        <v>81</v>
      </c>
      <c r="ZW9" s="16" t="n">
        <v>26.3</v>
      </c>
      <c r="ZX9" s="0" t="n">
        <v>68.54</v>
      </c>
      <c r="ZY9" s="0" t="n">
        <v>0</v>
      </c>
      <c r="ZZ9" s="0" t="n">
        <v>0</v>
      </c>
      <c r="AAA9" s="0" t="n">
        <v>0</v>
      </c>
      <c r="AAB9" s="0" t="n">
        <v>31.46</v>
      </c>
      <c r="AAC9" s="0" t="n">
        <v>0</v>
      </c>
      <c r="AAD9" s="0" t="n">
        <v>0</v>
      </c>
      <c r="AAE9" s="0" t="n">
        <v>0</v>
      </c>
      <c r="AAF9" s="0" t="n">
        <v>0</v>
      </c>
      <c r="AAG9" s="0" t="n">
        <v>0</v>
      </c>
      <c r="AAH9" s="0" t="n">
        <v>0</v>
      </c>
      <c r="AAI9" s="0" t="n">
        <v>0</v>
      </c>
      <c r="AAJ9" s="0" t="n">
        <v>5.42</v>
      </c>
      <c r="AAK9" s="0" t="n">
        <v>17.37</v>
      </c>
      <c r="AAL9" s="0" t="n">
        <v>41.85</v>
      </c>
      <c r="AAM9" s="0" t="n">
        <v>0</v>
      </c>
      <c r="AAN9" s="0" t="n">
        <v>0</v>
      </c>
      <c r="AAO9" s="0" t="n">
        <v>0</v>
      </c>
      <c r="ABB9" s="0" t="n">
        <v>0</v>
      </c>
      <c r="ABC9" s="0" t="n">
        <v>1</v>
      </c>
      <c r="ABD9" s="0" t="n">
        <v>23</v>
      </c>
      <c r="ABE9" s="0" t="n">
        <v>2</v>
      </c>
      <c r="ABF9" s="0" t="n">
        <v>2.11</v>
      </c>
      <c r="ABG9" s="0" t="n">
        <v>3</v>
      </c>
      <c r="ABN9" s="18"/>
      <c r="ACF9" s="0" t="n">
        <v>0</v>
      </c>
      <c r="ADQ9" s="16" t="n">
        <v>2.64</v>
      </c>
      <c r="ADR9" s="16" t="n">
        <v>1</v>
      </c>
      <c r="ADS9" s="16" t="n">
        <v>1</v>
      </c>
      <c r="ADT9" s="16"/>
      <c r="ADU9" s="16" t="n">
        <f aca="false">4.2*2+1.7+5.1+0.37+0.74</f>
        <v>16.31</v>
      </c>
      <c r="ADV9" s="16"/>
      <c r="ADW9" s="16"/>
      <c r="ADX9" s="16"/>
      <c r="ADY9" s="16"/>
      <c r="ADZ9" s="16"/>
      <c r="AEA9" s="16"/>
      <c r="AEB9" s="16" t="n">
        <v>5.32</v>
      </c>
      <c r="AEC9" s="16" t="n">
        <v>8.04</v>
      </c>
      <c r="AED9" s="16"/>
      <c r="AEE9" s="16"/>
      <c r="AEF9" s="16" t="n">
        <v>0</v>
      </c>
      <c r="AEG9" s="16" t="n">
        <v>0</v>
      </c>
      <c r="AEH9" s="16" t="n">
        <v>0</v>
      </c>
      <c r="AEI9" s="0" t="n">
        <v>0</v>
      </c>
      <c r="AEJ9" s="0" t="s">
        <v>236</v>
      </c>
      <c r="AEK9" s="0" t="n">
        <v>51</v>
      </c>
      <c r="AEL9" s="16" t="n">
        <v>93.4</v>
      </c>
      <c r="AEM9" s="16" t="n">
        <v>81</v>
      </c>
      <c r="AEN9" s="16" t="n">
        <v>29.5</v>
      </c>
      <c r="AEO9" s="0" t="n">
        <v>55.24</v>
      </c>
      <c r="AEP9" s="0" t="n">
        <v>0</v>
      </c>
      <c r="AEQ9" s="0" t="n">
        <v>0</v>
      </c>
      <c r="AER9" s="0" t="n">
        <v>0</v>
      </c>
      <c r="AES9" s="0" t="n">
        <v>44.76</v>
      </c>
      <c r="AET9" s="0" t="n">
        <v>0</v>
      </c>
      <c r="AEU9" s="0" t="n">
        <v>0</v>
      </c>
      <c r="AEV9" s="0" t="n">
        <v>0</v>
      </c>
      <c r="AEW9" s="0" t="n">
        <v>0</v>
      </c>
      <c r="AEX9" s="0" t="n">
        <v>0</v>
      </c>
      <c r="AEY9" s="0" t="n">
        <v>0</v>
      </c>
      <c r="AEZ9" s="0" t="n">
        <v>0.67</v>
      </c>
      <c r="AFA9" s="0" t="n">
        <v>5.1</v>
      </c>
      <c r="AFB9" s="0" t="n">
        <v>47.22</v>
      </c>
      <c r="AFC9" s="0" t="n">
        <v>18.3</v>
      </c>
      <c r="AFD9" s="0" t="n">
        <v>0</v>
      </c>
      <c r="AFE9" s="0" t="n">
        <v>7.5</v>
      </c>
      <c r="AFF9" s="0" t="n">
        <v>1</v>
      </c>
      <c r="AFG9" s="0" t="n">
        <v>3.6</v>
      </c>
      <c r="AFI9" s="0" t="n">
        <v>1</v>
      </c>
      <c r="AFM9" s="0" t="n">
        <v>3.6</v>
      </c>
      <c r="AFO9" s="0" t="n">
        <v>1</v>
      </c>
      <c r="AFS9" s="0" t="n">
        <v>0</v>
      </c>
      <c r="AFT9" s="0" t="n">
        <v>0</v>
      </c>
      <c r="AGE9" s="18"/>
      <c r="AGW9" s="0" t="n">
        <v>0</v>
      </c>
      <c r="AIH9" s="16" t="n">
        <v>1.95</v>
      </c>
      <c r="AII9" s="16" t="n">
        <v>1</v>
      </c>
      <c r="AIJ9" s="16" t="n">
        <v>1</v>
      </c>
      <c r="AIK9" s="16"/>
      <c r="AIL9" s="16" t="n">
        <f aca="false">2.42+1.67+5+0.22+0.66+0.22</f>
        <v>10.19</v>
      </c>
      <c r="AIM9" s="16"/>
      <c r="AIN9" s="16"/>
      <c r="AIO9" s="16"/>
      <c r="AIP9" s="16"/>
      <c r="AIQ9" s="16"/>
      <c r="AIR9" s="16"/>
      <c r="AIS9" s="16" t="n">
        <v>5.63</v>
      </c>
      <c r="AIT9" s="16" t="n">
        <v>11.04</v>
      </c>
      <c r="AIU9" s="16"/>
      <c r="AIV9" s="16"/>
      <c r="AIW9" s="16" t="n">
        <v>0</v>
      </c>
      <c r="AIX9" s="16" t="n">
        <v>0</v>
      </c>
      <c r="AIY9" s="16" t="n">
        <v>0</v>
      </c>
      <c r="AIZ9" s="0" t="n">
        <v>0</v>
      </c>
      <c r="AJA9" s="0" t="s">
        <v>237</v>
      </c>
      <c r="AJB9" s="0" t="n">
        <v>46</v>
      </c>
      <c r="AJC9" s="16" t="n">
        <v>92.7</v>
      </c>
      <c r="AJD9" s="16" t="n">
        <v>81</v>
      </c>
      <c r="AJE9" s="16" t="n">
        <v>20.8</v>
      </c>
      <c r="AJF9" s="0" t="n">
        <v>76.44</v>
      </c>
      <c r="AJG9" s="0" t="n">
        <v>0</v>
      </c>
      <c r="AJH9" s="0" t="n">
        <v>0</v>
      </c>
      <c r="AJI9" s="0" t="n">
        <v>0</v>
      </c>
      <c r="AJJ9" s="0" t="n">
        <v>23.56</v>
      </c>
      <c r="AJK9" s="0" t="n">
        <v>0</v>
      </c>
      <c r="AJL9" s="0" t="n">
        <v>0</v>
      </c>
      <c r="AJM9" s="0" t="n">
        <v>0</v>
      </c>
      <c r="AJN9" s="0" t="n">
        <v>0</v>
      </c>
      <c r="AJO9" s="0" t="n">
        <v>0</v>
      </c>
      <c r="AJP9" s="0" t="n">
        <v>0</v>
      </c>
      <c r="AJQ9" s="0" t="n">
        <v>0.23</v>
      </c>
      <c r="AJR9" s="0" t="n">
        <v>0.51</v>
      </c>
      <c r="AJS9" s="0" t="n">
        <v>26.55</v>
      </c>
      <c r="AJT9" s="0" t="n">
        <v>36.69</v>
      </c>
      <c r="AJU9" s="0" t="n">
        <v>0</v>
      </c>
      <c r="AJV9" s="0" t="n">
        <v>10.6</v>
      </c>
      <c r="AJW9" s="0" t="n">
        <v>1</v>
      </c>
      <c r="AJX9" s="0" t="n">
        <v>6</v>
      </c>
      <c r="AJZ9" s="0" t="n">
        <v>1</v>
      </c>
      <c r="AKD9" s="0" t="n">
        <v>6</v>
      </c>
      <c r="AKF9" s="0" t="n">
        <v>1</v>
      </c>
      <c r="AKJ9" s="0" t="n">
        <v>7.1</v>
      </c>
      <c r="AKK9" s="0" t="n">
        <v>1</v>
      </c>
      <c r="AKL9" s="0" t="n">
        <v>35</v>
      </c>
      <c r="AKM9" s="0" t="n">
        <v>2</v>
      </c>
      <c r="AKN9" s="0" t="n">
        <f aca="false">0.76*2</f>
        <v>1.52</v>
      </c>
      <c r="AKO9" s="0" t="n">
        <v>3</v>
      </c>
      <c r="AKV9" s="18"/>
      <c r="ALN9" s="0" t="n">
        <v>0</v>
      </c>
    </row>
    <row r="10" customFormat="false" ht="13.8" hidden="false" customHeight="false" outlineLevel="0" collapsed="false">
      <c r="A10" s="1" t="s">
        <v>238</v>
      </c>
      <c r="B10" s="12" t="n">
        <v>42886</v>
      </c>
      <c r="C10" s="0" t="n">
        <v>2</v>
      </c>
      <c r="D10" s="13" t="n">
        <v>39252</v>
      </c>
      <c r="E10" s="12" t="n">
        <v>29993</v>
      </c>
      <c r="F10" s="14" t="n">
        <f aca="false">(B10-E10)/365.25</f>
        <v>35.2991101984942</v>
      </c>
      <c r="G10" s="14" t="n">
        <f aca="false">(B10-D10)/365.25</f>
        <v>9.94934976043806</v>
      </c>
      <c r="H10" s="21" t="s">
        <v>217</v>
      </c>
      <c r="I10" s="15"/>
      <c r="J10" s="21" t="s">
        <v>183</v>
      </c>
      <c r="K10" s="21" t="n">
        <v>8</v>
      </c>
      <c r="L10" s="19" t="n">
        <v>92</v>
      </c>
      <c r="M10" s="0" t="n">
        <v>1.78</v>
      </c>
      <c r="N10" s="16" t="n">
        <f aca="false">L10/(M10*M10)</f>
        <v>29.0367377856331</v>
      </c>
      <c r="O10" s="19" t="n">
        <v>0</v>
      </c>
      <c r="P10" s="19" t="n">
        <v>0</v>
      </c>
      <c r="Q10" s="19" t="n">
        <v>0</v>
      </c>
      <c r="R10" s="19" t="n">
        <v>0</v>
      </c>
      <c r="S10" s="19" t="n">
        <v>0</v>
      </c>
      <c r="T10" s="19" t="n">
        <v>0</v>
      </c>
      <c r="U10" s="19" t="n">
        <v>0</v>
      </c>
      <c r="V10" s="19" t="n">
        <v>0</v>
      </c>
      <c r="W10" s="19" t="n">
        <v>0</v>
      </c>
      <c r="X10" s="19" t="n">
        <v>0</v>
      </c>
      <c r="Y10" s="19" t="n">
        <v>0</v>
      </c>
      <c r="Z10" s="19" t="n">
        <v>0</v>
      </c>
      <c r="AA10" s="19" t="n">
        <v>0</v>
      </c>
      <c r="AB10" s="19" t="n">
        <v>0</v>
      </c>
      <c r="AC10" s="19" t="n">
        <v>1</v>
      </c>
      <c r="AD10" s="19" t="n">
        <v>15</v>
      </c>
      <c r="AE10" s="19" t="n">
        <v>0</v>
      </c>
      <c r="AF10" s="19" t="n">
        <v>0</v>
      </c>
      <c r="AG10" s="19" t="n">
        <v>0</v>
      </c>
      <c r="AH10" s="19" t="n">
        <v>0</v>
      </c>
      <c r="AI10" s="19" t="n">
        <v>0</v>
      </c>
      <c r="AJ10" s="19" t="n">
        <v>0</v>
      </c>
      <c r="AK10" s="19" t="n">
        <v>0</v>
      </c>
      <c r="AL10" s="19" t="n">
        <v>0</v>
      </c>
      <c r="AM10" s="19" t="n">
        <v>0</v>
      </c>
      <c r="AN10" s="19" t="n">
        <v>0</v>
      </c>
      <c r="AO10" s="19" t="n">
        <v>0</v>
      </c>
      <c r="AP10" s="19" t="n">
        <v>0</v>
      </c>
      <c r="AQ10" s="19" t="n">
        <v>0</v>
      </c>
      <c r="AR10" s="19" t="n">
        <v>0</v>
      </c>
      <c r="AS10" s="19" t="n">
        <v>0</v>
      </c>
      <c r="AT10" s="19" t="n">
        <v>0</v>
      </c>
      <c r="AU10" s="19" t="n">
        <v>0</v>
      </c>
      <c r="AV10" s="19" t="n">
        <v>0</v>
      </c>
      <c r="AW10" s="19" t="n">
        <v>0</v>
      </c>
      <c r="AX10" s="19" t="n">
        <v>0</v>
      </c>
      <c r="AY10" s="19" t="n">
        <v>0</v>
      </c>
      <c r="AZ10" s="19" t="n">
        <v>0</v>
      </c>
      <c r="BA10" s="19" t="n">
        <v>0</v>
      </c>
      <c r="BB10" s="19" t="n">
        <v>0</v>
      </c>
      <c r="BC10" s="19" t="n">
        <v>0</v>
      </c>
      <c r="BD10" s="19" t="n">
        <v>0</v>
      </c>
      <c r="BE10" s="19" t="n">
        <v>0</v>
      </c>
      <c r="BF10" s="19" t="n">
        <v>0</v>
      </c>
      <c r="BG10" s="19" t="n">
        <v>0</v>
      </c>
      <c r="BH10" s="19" t="n">
        <v>0</v>
      </c>
      <c r="BI10" s="19" t="n">
        <v>0</v>
      </c>
      <c r="BJ10" s="19" t="n">
        <v>0</v>
      </c>
      <c r="BK10" s="19" t="n">
        <v>0</v>
      </c>
      <c r="BL10" s="19" t="n">
        <v>0</v>
      </c>
      <c r="BM10" s="19" t="n">
        <v>0</v>
      </c>
      <c r="BN10" s="19" t="n">
        <v>0</v>
      </c>
      <c r="BO10" s="19" t="n">
        <v>0</v>
      </c>
      <c r="BP10" s="19" t="n">
        <v>0</v>
      </c>
      <c r="BQ10" s="19" t="n">
        <v>0</v>
      </c>
      <c r="BR10" s="19" t="n">
        <v>3</v>
      </c>
      <c r="BS10" s="19" t="n">
        <v>3</v>
      </c>
      <c r="BT10" s="19" t="n">
        <v>3</v>
      </c>
      <c r="BU10" s="19" t="n">
        <v>5</v>
      </c>
      <c r="BV10" s="19" t="n">
        <v>3</v>
      </c>
      <c r="BW10" s="19" t="n">
        <v>4</v>
      </c>
      <c r="BX10" s="19" t="n">
        <v>2</v>
      </c>
      <c r="BY10" s="19" t="n">
        <v>3</v>
      </c>
      <c r="BZ10" s="19" t="n">
        <v>4</v>
      </c>
      <c r="CA10" s="19" t="n">
        <v>1</v>
      </c>
      <c r="CB10" s="19" t="n">
        <v>4</v>
      </c>
      <c r="CC10" s="19" t="n">
        <v>5</v>
      </c>
      <c r="CD10" s="19" t="n">
        <v>3</v>
      </c>
      <c r="CE10" s="19" t="n">
        <v>4</v>
      </c>
      <c r="CF10" s="19" t="n">
        <v>4</v>
      </c>
      <c r="CG10" s="19" t="n">
        <v>4</v>
      </c>
      <c r="CH10" s="19" t="n">
        <v>4</v>
      </c>
      <c r="CI10" s="19" t="n">
        <v>3</v>
      </c>
      <c r="CJ10" s="19" t="n">
        <v>3</v>
      </c>
      <c r="CK10" s="19" t="n">
        <v>9</v>
      </c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Y10" s="15"/>
      <c r="DZ10" s="15"/>
      <c r="EG10" s="15"/>
      <c r="EH10" s="15"/>
      <c r="EO10" s="15"/>
      <c r="EP10" s="15"/>
      <c r="EW10" s="15"/>
      <c r="EX10" s="15"/>
      <c r="FE10" s="15"/>
      <c r="FF10" s="15"/>
      <c r="FM10" s="15"/>
      <c r="FN10" s="15"/>
      <c r="FU10" s="15"/>
      <c r="FV10" s="15"/>
      <c r="GC10" s="15"/>
      <c r="GD10" s="15"/>
      <c r="GK10" s="15"/>
      <c r="GL10" s="15"/>
      <c r="GS10" s="15"/>
      <c r="GT10" s="15"/>
      <c r="HA10" s="15"/>
      <c r="HB10" s="15"/>
      <c r="HI10" s="15"/>
      <c r="HJ10" s="15"/>
      <c r="HQ10" s="15"/>
      <c r="HR10" s="15"/>
      <c r="HY10" s="15"/>
      <c r="HZ10" s="15"/>
      <c r="IG10" s="15"/>
      <c r="IH10" s="15"/>
      <c r="IO10" s="15"/>
      <c r="IP10" s="15"/>
      <c r="IW10" s="15"/>
      <c r="IX10" s="15"/>
      <c r="JE10" s="15"/>
      <c r="JF10" s="15"/>
      <c r="JM10" s="15"/>
      <c r="JN10" s="15"/>
      <c r="JU10" s="15"/>
      <c r="JV10" s="15"/>
      <c r="KC10" s="15"/>
      <c r="KD10" s="15"/>
      <c r="KK10" s="15"/>
      <c r="KL10" s="15"/>
      <c r="KS10" s="15"/>
      <c r="KT10" s="15"/>
      <c r="LA10" s="15"/>
      <c r="LB10" s="15"/>
      <c r="LI10" s="15"/>
      <c r="LJ10" s="15"/>
      <c r="LQ10" s="15"/>
      <c r="LR10" s="15"/>
      <c r="LY10" s="15"/>
      <c r="LZ10" s="15"/>
      <c r="MG10" s="15"/>
      <c r="MH10" s="15"/>
      <c r="MO10" s="15"/>
      <c r="MP10" s="15"/>
      <c r="MW10" s="15"/>
      <c r="MX10" s="15"/>
      <c r="NE10" s="15"/>
      <c r="NF10" s="15"/>
      <c r="NM10" s="15"/>
      <c r="NN10" s="15"/>
      <c r="NU10" s="15"/>
      <c r="NV10" s="15"/>
      <c r="OC10" s="15"/>
      <c r="OD10" s="15"/>
      <c r="OK10" s="15"/>
      <c r="OL10" s="15"/>
      <c r="OS10" s="15"/>
      <c r="OT10" s="15"/>
      <c r="PA10" s="15"/>
      <c r="PB10" s="15"/>
      <c r="PI10" s="15"/>
      <c r="PJ10" s="15"/>
      <c r="PQ10" s="15"/>
      <c r="PR10" s="15"/>
      <c r="PY10" s="15"/>
      <c r="PZ10" s="15"/>
      <c r="QG10" s="15"/>
      <c r="QH10" s="15"/>
      <c r="QO10" s="15"/>
      <c r="QP10" s="15"/>
      <c r="QW10" s="15"/>
      <c r="QX10" s="15"/>
      <c r="RE10" s="15"/>
      <c r="RF10" s="15"/>
      <c r="RM10" s="15"/>
      <c r="RN10" s="15"/>
      <c r="RU10" s="15"/>
      <c r="RV10" s="15"/>
      <c r="SC10" s="15"/>
      <c r="SD10" s="15"/>
      <c r="SK10" s="15"/>
      <c r="SL10" s="15"/>
      <c r="SS10" s="15"/>
      <c r="ST10" s="15"/>
      <c r="TA10" s="15"/>
      <c r="TB10" s="15"/>
      <c r="TI10" s="15"/>
      <c r="TJ10" s="15"/>
      <c r="TQ10" s="15"/>
      <c r="TR10" s="15"/>
      <c r="TY10" s="15"/>
      <c r="TZ10" s="15"/>
      <c r="UG10" s="15"/>
      <c r="UH10" s="15"/>
      <c r="UO10" s="15"/>
      <c r="UP10" s="15"/>
      <c r="UW10" s="15"/>
      <c r="UX10" s="15"/>
      <c r="VE10" s="15"/>
      <c r="VF10" s="15"/>
      <c r="VM10" s="15"/>
      <c r="VN10" s="15"/>
      <c r="VU10" s="15"/>
      <c r="VV10" s="15"/>
      <c r="WC10" s="15"/>
      <c r="WD10" s="15"/>
      <c r="WK10" s="15"/>
      <c r="WL10" s="15"/>
      <c r="WS10" s="15"/>
      <c r="WT10" s="15"/>
      <c r="XA10" s="15"/>
      <c r="XB10" s="15"/>
      <c r="XI10" s="15"/>
      <c r="XJ10" s="15"/>
      <c r="XQ10" s="15"/>
      <c r="XR10" s="15"/>
      <c r="XY10" s="15"/>
      <c r="XZ10" s="15"/>
      <c r="YG10" s="15"/>
      <c r="YH10" s="15"/>
      <c r="YO10" s="15"/>
      <c r="YP10" s="15"/>
      <c r="YW10" s="15"/>
      <c r="YX10" s="15"/>
      <c r="ZE10" s="15"/>
      <c r="ZF10" s="15"/>
      <c r="ZM10" s="15"/>
      <c r="ZN10" s="15"/>
      <c r="ZU10" s="15"/>
      <c r="ZV10" s="15"/>
      <c r="AAC10" s="15"/>
      <c r="AAD10" s="15"/>
      <c r="AAK10" s="15"/>
      <c r="AAL10" s="15"/>
      <c r="AAS10" s="15"/>
      <c r="AAT10" s="15"/>
      <c r="ABA10" s="15"/>
      <c r="ABB10" s="15"/>
      <c r="ABI10" s="15"/>
      <c r="ABJ10" s="15"/>
      <c r="ABQ10" s="15"/>
      <c r="ABR10" s="15"/>
      <c r="ABY10" s="15"/>
      <c r="ABZ10" s="15"/>
      <c r="ACG10" s="15"/>
      <c r="ACH10" s="15"/>
      <c r="ACO10" s="15"/>
      <c r="ACP10" s="15"/>
      <c r="ACW10" s="15"/>
      <c r="ACX10" s="15"/>
      <c r="ADE10" s="15"/>
      <c r="ADF10" s="15"/>
      <c r="ADM10" s="15"/>
      <c r="ADN10" s="15"/>
      <c r="ADU10" s="15"/>
      <c r="ADV10" s="15"/>
      <c r="AEC10" s="15"/>
      <c r="AED10" s="15"/>
      <c r="AEK10" s="15"/>
      <c r="AEL10" s="15"/>
      <c r="AES10" s="15"/>
      <c r="AET10" s="15"/>
      <c r="AFA10" s="15"/>
      <c r="AFB10" s="15"/>
      <c r="AFI10" s="15"/>
      <c r="AFJ10" s="15"/>
      <c r="AFQ10" s="15"/>
      <c r="AFR10" s="15"/>
      <c r="AFY10" s="15"/>
      <c r="AFZ10" s="15"/>
      <c r="AGG10" s="15"/>
      <c r="AGH10" s="15"/>
      <c r="AGO10" s="15"/>
      <c r="AGP10" s="15"/>
      <c r="AGW10" s="15"/>
      <c r="AGX10" s="15"/>
      <c r="AHE10" s="15"/>
      <c r="AHF10" s="15"/>
      <c r="AHM10" s="15"/>
      <c r="AHN10" s="15"/>
      <c r="AHU10" s="15"/>
      <c r="AHV10" s="15"/>
      <c r="AIC10" s="15"/>
      <c r="AID10" s="15"/>
      <c r="AIK10" s="15"/>
      <c r="AIL10" s="15"/>
      <c r="AIS10" s="15"/>
      <c r="AIT10" s="15"/>
      <c r="AJA10" s="15"/>
      <c r="AJB10" s="15"/>
      <c r="AJI10" s="15"/>
      <c r="AJJ10" s="15"/>
      <c r="AJQ10" s="15"/>
      <c r="AJR10" s="15"/>
      <c r="AJY10" s="15"/>
      <c r="AJZ10" s="15"/>
      <c r="AKG10" s="15"/>
      <c r="AKH10" s="15"/>
      <c r="AKO10" s="15"/>
      <c r="AKP10" s="15"/>
      <c r="AKW10" s="15"/>
      <c r="AKX10" s="15"/>
      <c r="ALE10" s="15"/>
      <c r="ALF10" s="15"/>
      <c r="ALM10" s="15"/>
      <c r="ALN10" s="15"/>
      <c r="ALU10" s="15"/>
      <c r="ALV10" s="15"/>
      <c r="AMC10" s="15"/>
      <c r="AMD10" s="15"/>
    </row>
    <row r="11" s="24" customFormat="true" ht="13.8" hidden="false" customHeight="false" outlineLevel="0" collapsed="false">
      <c r="A11" s="1" t="s">
        <v>239</v>
      </c>
      <c r="B11" s="12" t="n">
        <v>42886</v>
      </c>
      <c r="C11" s="0" t="n">
        <v>2</v>
      </c>
      <c r="D11" s="13" t="n">
        <v>39041</v>
      </c>
      <c r="E11" s="12" t="n">
        <v>31661</v>
      </c>
      <c r="F11" s="14" t="n">
        <f aca="false">(B11-E11)/365.25</f>
        <v>30.7323750855578</v>
      </c>
      <c r="G11" s="14" t="n">
        <f aca="false">(B11-D11)/365.25</f>
        <v>10.5270362765229</v>
      </c>
      <c r="H11" s="21" t="s">
        <v>228</v>
      </c>
      <c r="I11" s="15" t="s">
        <v>240</v>
      </c>
      <c r="J11" s="21" t="s">
        <v>181</v>
      </c>
      <c r="K11" s="21" t="n">
        <v>8</v>
      </c>
      <c r="L11" s="19" t="n">
        <v>75</v>
      </c>
      <c r="M11" s="0" t="n">
        <v>1.75</v>
      </c>
      <c r="N11" s="16" t="n">
        <f aca="false">L11/(M11*M11)</f>
        <v>24.4897959183673</v>
      </c>
      <c r="O11" s="19" t="n">
        <v>1</v>
      </c>
      <c r="P11" s="19" t="n">
        <v>1</v>
      </c>
      <c r="Q11" s="19" t="s">
        <v>241</v>
      </c>
      <c r="R11" s="19" t="n">
        <v>0</v>
      </c>
      <c r="S11" s="19" t="n">
        <v>0</v>
      </c>
      <c r="T11" s="19" t="n">
        <v>0</v>
      </c>
      <c r="U11" s="19" t="n">
        <v>0</v>
      </c>
      <c r="V11" s="19" t="n">
        <v>0</v>
      </c>
      <c r="W11" s="19" t="n">
        <v>0</v>
      </c>
      <c r="X11" s="19" t="n">
        <v>0</v>
      </c>
      <c r="Y11" s="19" t="n">
        <v>0</v>
      </c>
      <c r="Z11" s="19" t="n">
        <v>0</v>
      </c>
      <c r="AA11" s="19" t="n">
        <v>0</v>
      </c>
      <c r="AB11" s="19" t="n">
        <v>0</v>
      </c>
      <c r="AC11" s="19" t="n">
        <v>0</v>
      </c>
      <c r="AD11" s="19" t="n">
        <v>0</v>
      </c>
      <c r="AE11" s="19" t="n">
        <v>1</v>
      </c>
      <c r="AF11" s="19"/>
      <c r="AG11" s="19"/>
      <c r="AH11" s="19"/>
      <c r="AI11" s="19" t="n">
        <v>3</v>
      </c>
      <c r="AJ11" s="19"/>
      <c r="AK11" s="19"/>
      <c r="AL11" s="19"/>
      <c r="AM11" s="19"/>
      <c r="AN11" s="19" t="n">
        <v>0</v>
      </c>
      <c r="AO11" s="19" t="n">
        <v>0</v>
      </c>
      <c r="AP11" s="19" t="n">
        <v>0</v>
      </c>
      <c r="AQ11" s="19" t="n">
        <v>0</v>
      </c>
      <c r="AR11" s="19" t="n">
        <v>0</v>
      </c>
      <c r="AS11" s="19" t="n">
        <v>0</v>
      </c>
      <c r="AT11" s="19" t="n">
        <v>0</v>
      </c>
      <c r="AU11" s="19" t="n">
        <v>0</v>
      </c>
      <c r="AV11" s="19" t="n">
        <v>0</v>
      </c>
      <c r="AW11" s="19" t="n">
        <v>0</v>
      </c>
      <c r="AX11" s="19" t="n">
        <v>0</v>
      </c>
      <c r="AY11" s="19" t="n">
        <v>0</v>
      </c>
      <c r="AZ11" s="19" t="n">
        <v>0</v>
      </c>
      <c r="BA11" s="19" t="n">
        <v>0</v>
      </c>
      <c r="BB11" s="19" t="n">
        <v>0</v>
      </c>
      <c r="BC11" s="19" t="n">
        <v>0</v>
      </c>
      <c r="BD11" s="19" t="n">
        <v>0</v>
      </c>
      <c r="BE11" s="19" t="n">
        <v>0</v>
      </c>
      <c r="BF11" s="19" t="n">
        <v>0</v>
      </c>
      <c r="BG11" s="19" t="n">
        <v>0</v>
      </c>
      <c r="BH11" s="19" t="n">
        <v>0</v>
      </c>
      <c r="BI11" s="19" t="n">
        <v>0</v>
      </c>
      <c r="BJ11" s="19" t="n">
        <v>0</v>
      </c>
      <c r="BK11" s="19" t="n">
        <v>0</v>
      </c>
      <c r="BL11" s="19" t="n">
        <v>0</v>
      </c>
      <c r="BM11" s="19" t="n">
        <v>0</v>
      </c>
      <c r="BN11" s="19" t="n">
        <v>0</v>
      </c>
      <c r="BO11" s="19" t="n">
        <v>0</v>
      </c>
      <c r="BP11" s="19" t="n">
        <v>0</v>
      </c>
      <c r="BQ11" s="19" t="n">
        <v>0</v>
      </c>
      <c r="BR11" s="19" t="n">
        <v>2</v>
      </c>
      <c r="BS11" s="19" t="n">
        <v>2</v>
      </c>
      <c r="BT11" s="19" t="n">
        <v>4</v>
      </c>
      <c r="BU11" s="19" t="n">
        <v>5</v>
      </c>
      <c r="BV11" s="19" t="n">
        <v>2</v>
      </c>
      <c r="BW11" s="19" t="n">
        <v>2</v>
      </c>
      <c r="BX11" s="19" t="n">
        <v>4</v>
      </c>
      <c r="BY11" s="19" t="n">
        <v>3</v>
      </c>
      <c r="BZ11" s="19" t="n">
        <v>3</v>
      </c>
      <c r="CA11" s="19" t="n">
        <v>4</v>
      </c>
      <c r="CB11" s="19" t="n">
        <v>4</v>
      </c>
      <c r="CC11" s="19" t="n">
        <v>5</v>
      </c>
      <c r="CD11" s="19" t="n">
        <v>3</v>
      </c>
      <c r="CE11" s="19" t="n">
        <v>3</v>
      </c>
      <c r="CF11" s="19" t="n">
        <v>3</v>
      </c>
      <c r="CG11" s="19" t="n">
        <v>4</v>
      </c>
      <c r="CH11" s="19" t="n">
        <v>4</v>
      </c>
      <c r="CI11" s="19" t="n">
        <v>4</v>
      </c>
      <c r="CJ11" s="19" t="n">
        <v>4</v>
      </c>
      <c r="CK11" s="19" t="n">
        <v>10</v>
      </c>
      <c r="CL11" s="24" t="s">
        <v>242</v>
      </c>
      <c r="CM11" s="24" t="n">
        <v>36.5</v>
      </c>
      <c r="CN11" s="27" t="n">
        <v>88.3</v>
      </c>
      <c r="CO11" s="27" t="n">
        <v>80.4</v>
      </c>
      <c r="CP11" s="27" t="n">
        <v>28.2</v>
      </c>
      <c r="CQ11" s="24" t="n">
        <v>73.82</v>
      </c>
      <c r="CR11" s="24" t="n">
        <v>0</v>
      </c>
      <c r="CS11" s="24" t="n">
        <v>25.61</v>
      </c>
      <c r="CT11" s="24" t="n">
        <v>0</v>
      </c>
      <c r="CU11" s="24" t="n">
        <v>0.57</v>
      </c>
      <c r="CV11" s="24" t="n">
        <v>0</v>
      </c>
      <c r="CW11" s="24" t="n">
        <v>0</v>
      </c>
      <c r="CX11" s="24" t="n">
        <v>0</v>
      </c>
      <c r="CY11" s="24" t="n">
        <v>0</v>
      </c>
      <c r="CZ11" s="24" t="n">
        <v>0</v>
      </c>
      <c r="DA11" s="24" t="n">
        <v>0</v>
      </c>
      <c r="DB11" s="24" t="n">
        <v>1.17</v>
      </c>
      <c r="DC11" s="24" t="n">
        <v>31.76</v>
      </c>
      <c r="DD11" s="24" t="n">
        <v>23.3</v>
      </c>
      <c r="DE11" s="24" t="n">
        <v>26.08</v>
      </c>
      <c r="DF11" s="24" t="n">
        <v>0</v>
      </c>
      <c r="DG11" s="24" t="n">
        <v>0</v>
      </c>
      <c r="DH11" s="24" t="n">
        <v>0</v>
      </c>
      <c r="DU11" s="24" t="n">
        <v>2.1</v>
      </c>
      <c r="DV11" s="24" t="n">
        <v>1</v>
      </c>
      <c r="DW11" s="24" t="n">
        <v>47</v>
      </c>
      <c r="DX11" s="24" t="n">
        <v>2</v>
      </c>
      <c r="DY11" s="24" t="n">
        <v>0.27</v>
      </c>
      <c r="DZ11" s="24" t="n">
        <v>3</v>
      </c>
      <c r="EG11" s="28"/>
      <c r="EY11" s="24" t="n">
        <v>0</v>
      </c>
      <c r="GJ11" s="27" t="n">
        <v>1.9</v>
      </c>
      <c r="GK11" s="27" t="n">
        <v>1</v>
      </c>
      <c r="GL11" s="27" t="n">
        <v>1</v>
      </c>
      <c r="GM11" s="27"/>
      <c r="GN11" s="27" t="n">
        <f aca="false">5.29*3</f>
        <v>15.87</v>
      </c>
      <c r="GO11" s="27"/>
      <c r="GP11" s="27"/>
      <c r="GQ11" s="27"/>
      <c r="GR11" s="27"/>
      <c r="GS11" s="27"/>
      <c r="GT11" s="27"/>
      <c r="GU11" s="27" t="n">
        <v>0.57</v>
      </c>
      <c r="GV11" s="27" t="n">
        <v>0.56</v>
      </c>
      <c r="GW11" s="27"/>
      <c r="GX11" s="27"/>
      <c r="GY11" s="27" t="n">
        <v>0</v>
      </c>
      <c r="GZ11" s="27" t="n">
        <v>0</v>
      </c>
      <c r="HA11" s="27" t="n">
        <v>0</v>
      </c>
      <c r="HB11" s="24" t="n">
        <v>0</v>
      </c>
      <c r="HC11" s="24" t="s">
        <v>243</v>
      </c>
      <c r="HD11" s="24" t="n">
        <v>38</v>
      </c>
      <c r="HE11" s="27" t="n">
        <v>87.8</v>
      </c>
      <c r="HF11" s="27" t="n">
        <v>80.4</v>
      </c>
      <c r="HG11" s="27" t="n">
        <v>29.1</v>
      </c>
      <c r="HH11" s="24" t="n">
        <v>71.17</v>
      </c>
      <c r="HI11" s="24" t="n">
        <v>0</v>
      </c>
      <c r="HJ11" s="24" t="n">
        <v>25.61</v>
      </c>
      <c r="HK11" s="24" t="n">
        <v>0</v>
      </c>
      <c r="HL11" s="24" t="n">
        <v>3.22</v>
      </c>
      <c r="HM11" s="24" t="n">
        <v>0</v>
      </c>
      <c r="HN11" s="24" t="n">
        <v>0</v>
      </c>
      <c r="HO11" s="24" t="n">
        <v>0</v>
      </c>
      <c r="HP11" s="24" t="n">
        <v>0</v>
      </c>
      <c r="HQ11" s="24" t="n">
        <v>0</v>
      </c>
      <c r="HR11" s="24" t="n">
        <v>0</v>
      </c>
      <c r="HS11" s="24" t="n">
        <v>1.08</v>
      </c>
      <c r="HT11" s="24" t="n">
        <v>31.76</v>
      </c>
      <c r="HU11" s="24" t="n">
        <v>22.19</v>
      </c>
      <c r="HV11" s="24" t="n">
        <v>26.38</v>
      </c>
      <c r="HW11" s="24" t="n">
        <v>0</v>
      </c>
      <c r="HX11" s="24" t="n">
        <v>0</v>
      </c>
      <c r="HY11" s="24" t="n">
        <v>0</v>
      </c>
      <c r="IL11" s="24" t="n">
        <v>2.1</v>
      </c>
      <c r="IM11" s="24" t="n">
        <v>1</v>
      </c>
      <c r="IN11" s="24" t="n">
        <v>47</v>
      </c>
      <c r="IO11" s="24" t="n">
        <v>2</v>
      </c>
      <c r="IP11" s="24" t="n">
        <v>0.27</v>
      </c>
      <c r="IQ11" s="24" t="n">
        <v>3</v>
      </c>
      <c r="IX11" s="28"/>
      <c r="JP11" s="24" t="n">
        <v>0</v>
      </c>
      <c r="LA11" s="27" t="n">
        <v>1.9</v>
      </c>
      <c r="LB11" s="27" t="n">
        <v>1</v>
      </c>
      <c r="LC11" s="27" t="n">
        <v>1</v>
      </c>
      <c r="LD11" s="27"/>
      <c r="LE11" s="27" t="n">
        <f aca="false">5.29*3</f>
        <v>15.87</v>
      </c>
      <c r="LF11" s="27"/>
      <c r="LG11" s="27"/>
      <c r="LH11" s="27"/>
      <c r="LI11" s="27"/>
      <c r="LJ11" s="27"/>
      <c r="LK11" s="27"/>
      <c r="LL11" s="27" t="n">
        <v>1.12</v>
      </c>
      <c r="LM11" s="27" t="n">
        <v>0.27</v>
      </c>
      <c r="LN11" s="27"/>
      <c r="LO11" s="27"/>
      <c r="LP11" s="27" t="n">
        <v>0</v>
      </c>
      <c r="LQ11" s="27" t="n">
        <v>0</v>
      </c>
      <c r="LR11" s="27" t="n">
        <v>0</v>
      </c>
      <c r="LS11" s="24" t="n">
        <v>0</v>
      </c>
      <c r="LT11" s="24" t="s">
        <v>244</v>
      </c>
      <c r="LU11" s="24" t="n">
        <v>24.5</v>
      </c>
      <c r="LV11" s="27" t="n">
        <v>84.2</v>
      </c>
      <c r="LW11" s="27" t="n">
        <v>80.4</v>
      </c>
      <c r="LX11" s="27" t="n">
        <v>11.9</v>
      </c>
      <c r="LY11" s="24" t="n">
        <v>97.51</v>
      </c>
      <c r="LZ11" s="24" t="n">
        <v>0</v>
      </c>
      <c r="MA11" s="24" t="n">
        <v>2.49</v>
      </c>
      <c r="MB11" s="24" t="n">
        <v>0</v>
      </c>
      <c r="MC11" s="24" t="n">
        <v>0</v>
      </c>
      <c r="MD11" s="24" t="n">
        <v>0</v>
      </c>
      <c r="ME11" s="24" t="n">
        <v>0</v>
      </c>
      <c r="MF11" s="24" t="n">
        <v>0</v>
      </c>
      <c r="MG11" s="24" t="n">
        <v>0</v>
      </c>
      <c r="MH11" s="24" t="n">
        <v>0</v>
      </c>
      <c r="MI11" s="24" t="n">
        <v>0</v>
      </c>
      <c r="MJ11" s="24" t="n">
        <v>0</v>
      </c>
      <c r="MK11" s="24" t="n">
        <v>3.13</v>
      </c>
      <c r="ML11" s="24" t="n">
        <v>26.34</v>
      </c>
      <c r="MM11" s="24" t="n">
        <v>45.74</v>
      </c>
      <c r="MN11" s="24" t="n">
        <v>0</v>
      </c>
      <c r="MO11" s="24" t="n">
        <v>0</v>
      </c>
      <c r="MP11" s="24" t="n">
        <v>0</v>
      </c>
      <c r="NC11" s="24" t="n">
        <v>0</v>
      </c>
      <c r="ND11" s="24" t="n">
        <v>0</v>
      </c>
      <c r="NO11" s="28"/>
      <c r="OG11" s="24" t="n">
        <v>0</v>
      </c>
      <c r="PR11" s="27" t="n">
        <v>6.4</v>
      </c>
      <c r="PS11" s="27" t="n">
        <v>1</v>
      </c>
      <c r="PT11" s="27" t="n">
        <v>2</v>
      </c>
      <c r="PU11" s="27"/>
      <c r="PV11" s="27" t="n">
        <f aca="false">1.24*2</f>
        <v>2.48</v>
      </c>
      <c r="PW11" s="27" t="n">
        <v>1</v>
      </c>
      <c r="PX11" s="27"/>
      <c r="PY11" s="27" t="n">
        <f aca="false">1.24*3+0.62+0.93+3.18+1.59+3.73+7.46</f>
        <v>21.23</v>
      </c>
      <c r="PZ11" s="27"/>
      <c r="QA11" s="27"/>
      <c r="QB11" s="27"/>
      <c r="QC11" s="27" t="n">
        <v>1.61</v>
      </c>
      <c r="QD11" s="27" t="n">
        <v>1.46</v>
      </c>
      <c r="QE11" s="27"/>
      <c r="QF11" s="27"/>
      <c r="QG11" s="27" t="n">
        <v>0</v>
      </c>
      <c r="QH11" s="27" t="n">
        <v>0</v>
      </c>
      <c r="QI11" s="27" t="n">
        <v>0</v>
      </c>
      <c r="QJ11" s="24" t="n">
        <v>0</v>
      </c>
      <c r="QK11" s="24" t="s">
        <v>245</v>
      </c>
      <c r="QL11" s="24" t="n">
        <v>19.5</v>
      </c>
      <c r="QM11" s="27" t="n">
        <v>76</v>
      </c>
      <c r="QN11" s="27" t="n">
        <v>80.4</v>
      </c>
      <c r="QO11" s="27" t="n">
        <v>10.9</v>
      </c>
      <c r="QP11" s="24" t="n">
        <v>99.87</v>
      </c>
      <c r="QQ11" s="24" t="n">
        <v>0</v>
      </c>
      <c r="QR11" s="24" t="n">
        <v>0</v>
      </c>
      <c r="QS11" s="24" t="n">
        <v>0</v>
      </c>
      <c r="QT11" s="24" t="n">
        <v>0.13</v>
      </c>
      <c r="QU11" s="24" t="n">
        <v>0</v>
      </c>
      <c r="QV11" s="24" t="n">
        <v>0</v>
      </c>
      <c r="QW11" s="24" t="n">
        <v>0</v>
      </c>
      <c r="QX11" s="24" t="n">
        <v>0</v>
      </c>
      <c r="QY11" s="24" t="n">
        <v>0</v>
      </c>
      <c r="QZ11" s="24" t="n">
        <v>0</v>
      </c>
      <c r="RA11" s="24" t="n">
        <v>0.1</v>
      </c>
      <c r="RB11" s="24" t="n">
        <v>0</v>
      </c>
      <c r="RC11" s="24" t="n">
        <v>17.25</v>
      </c>
      <c r="RD11" s="24" t="n">
        <v>40.01</v>
      </c>
      <c r="RE11" s="24" t="n">
        <v>0</v>
      </c>
      <c r="RF11" s="24" t="n">
        <v>0</v>
      </c>
      <c r="RG11" s="24" t="n">
        <v>0</v>
      </c>
      <c r="RT11" s="24" t="n">
        <v>4.5</v>
      </c>
      <c r="RU11" s="24" t="n">
        <v>1</v>
      </c>
      <c r="RV11" s="24" t="n">
        <v>34</v>
      </c>
      <c r="RW11" s="24" t="n">
        <v>2</v>
      </c>
      <c r="RX11" s="24" t="n">
        <v>0.13</v>
      </c>
      <c r="RY11" s="24" t="n">
        <v>1</v>
      </c>
      <c r="RZ11" s="24" t="n">
        <v>52</v>
      </c>
      <c r="SA11" s="24" t="n">
        <v>2</v>
      </c>
      <c r="SB11" s="24" t="n">
        <v>1.52</v>
      </c>
      <c r="SC11" s="24" t="n">
        <v>2</v>
      </c>
      <c r="SF11" s="28"/>
      <c r="SX11" s="24" t="n">
        <v>1</v>
      </c>
      <c r="SY11" s="24" t="n">
        <v>70</v>
      </c>
      <c r="SZ11" s="24" t="n">
        <v>7</v>
      </c>
      <c r="TA11" s="24" t="n">
        <v>0.7</v>
      </c>
      <c r="TB11" s="24" t="n">
        <v>3</v>
      </c>
      <c r="UI11" s="27" t="n">
        <v>0.72</v>
      </c>
      <c r="UJ11" s="27" t="n">
        <v>1</v>
      </c>
      <c r="UK11" s="27" t="n">
        <v>1</v>
      </c>
      <c r="UL11" s="27"/>
      <c r="UM11" s="27" t="n">
        <f aca="false">1.15+0.56+0.29</f>
        <v>2</v>
      </c>
      <c r="UN11" s="27"/>
      <c r="UO11" s="27"/>
      <c r="UP11" s="27"/>
      <c r="UQ11" s="27"/>
      <c r="UR11" s="27"/>
      <c r="US11" s="27"/>
      <c r="UT11" s="27" t="n">
        <v>0.17</v>
      </c>
      <c r="UU11" s="27" t="n">
        <v>0.17</v>
      </c>
      <c r="UV11" s="27"/>
      <c r="UW11" s="27"/>
      <c r="UX11" s="27" t="n">
        <v>0</v>
      </c>
      <c r="UY11" s="27" t="n">
        <v>0</v>
      </c>
      <c r="UZ11" s="27" t="n">
        <v>0</v>
      </c>
      <c r="VA11" s="24" t="n">
        <v>0</v>
      </c>
      <c r="VB11" s="24" t="s">
        <v>246</v>
      </c>
      <c r="VC11" s="24" t="n">
        <v>27</v>
      </c>
      <c r="VD11" s="27" t="n">
        <v>72</v>
      </c>
      <c r="VE11" s="27" t="n">
        <v>80.4</v>
      </c>
      <c r="VF11" s="27" t="n">
        <v>19.2</v>
      </c>
      <c r="VG11" s="24" t="n">
        <v>86.83</v>
      </c>
      <c r="VH11" s="24" t="n">
        <v>0</v>
      </c>
      <c r="VI11" s="24" t="n">
        <v>0</v>
      </c>
      <c r="VJ11" s="24" t="n">
        <v>0</v>
      </c>
      <c r="VK11" s="24" t="n">
        <v>13.17</v>
      </c>
      <c r="VL11" s="24" t="n">
        <v>0</v>
      </c>
      <c r="VM11" s="24" t="n">
        <v>0</v>
      </c>
      <c r="VN11" s="24" t="n">
        <v>0</v>
      </c>
      <c r="VO11" s="24" t="n">
        <v>0</v>
      </c>
      <c r="VP11" s="24" t="n">
        <v>0</v>
      </c>
      <c r="VQ11" s="24" t="n">
        <v>0</v>
      </c>
      <c r="VR11" s="24" t="n">
        <v>18.28</v>
      </c>
      <c r="VS11" s="24" t="n">
        <v>16.81</v>
      </c>
      <c r="VT11" s="24" t="n">
        <v>9.64</v>
      </c>
      <c r="VU11" s="24" t="n">
        <v>19.74</v>
      </c>
      <c r="VV11" s="24" t="n">
        <v>0</v>
      </c>
      <c r="VW11" s="24" t="n">
        <v>0</v>
      </c>
      <c r="VX11" s="24" t="n">
        <v>0</v>
      </c>
      <c r="WK11" s="24" t="n">
        <v>0</v>
      </c>
      <c r="WL11" s="24" t="n">
        <v>0</v>
      </c>
      <c r="WW11" s="28"/>
      <c r="XO11" s="24" t="n">
        <v>0</v>
      </c>
      <c r="YZ11" s="27" t="n">
        <v>1.43</v>
      </c>
      <c r="ZA11" s="27" t="n">
        <v>1</v>
      </c>
      <c r="ZB11" s="27" t="n">
        <v>1</v>
      </c>
      <c r="ZC11" s="27"/>
      <c r="ZD11" s="27" t="n">
        <f aca="false">6.34+2.11+0.08+0.37</f>
        <v>8.9</v>
      </c>
      <c r="ZE11" s="27"/>
      <c r="ZF11" s="27"/>
      <c r="ZG11" s="27"/>
      <c r="ZH11" s="27"/>
      <c r="ZI11" s="27"/>
      <c r="ZJ11" s="27"/>
      <c r="ZK11" s="27" t="n">
        <v>3.5</v>
      </c>
      <c r="ZL11" s="27" t="n">
        <v>3.5</v>
      </c>
      <c r="ZM11" s="27"/>
      <c r="ZN11" s="27"/>
      <c r="ZO11" s="27" t="n">
        <v>0</v>
      </c>
      <c r="ZP11" s="27" t="n">
        <v>0</v>
      </c>
      <c r="ZQ11" s="27" t="n">
        <v>0</v>
      </c>
      <c r="ZR11" s="24" t="n">
        <v>0</v>
      </c>
      <c r="ZS11" s="24" t="s">
        <v>247</v>
      </c>
      <c r="ZT11" s="24" t="n">
        <v>37</v>
      </c>
      <c r="ZU11" s="27" t="n">
        <v>79.2</v>
      </c>
      <c r="ZV11" s="27" t="n">
        <v>80.4</v>
      </c>
      <c r="ZW11" s="27" t="n">
        <v>12.1</v>
      </c>
      <c r="ZX11" s="24" t="n">
        <v>96.75</v>
      </c>
      <c r="ZY11" s="24" t="n">
        <v>0</v>
      </c>
      <c r="ZZ11" s="24" t="n">
        <v>0</v>
      </c>
      <c r="AAA11" s="24" t="n">
        <v>0</v>
      </c>
      <c r="AAB11" s="24" t="n">
        <v>3.25</v>
      </c>
      <c r="AAC11" s="24" t="n">
        <v>0</v>
      </c>
      <c r="AAD11" s="24" t="n">
        <v>0</v>
      </c>
      <c r="AAE11" s="24" t="n">
        <v>0</v>
      </c>
      <c r="AAF11" s="24" t="n">
        <v>0</v>
      </c>
      <c r="AAG11" s="24" t="n">
        <v>0</v>
      </c>
      <c r="AAH11" s="24" t="n">
        <v>0</v>
      </c>
      <c r="AAI11" s="24" t="n">
        <v>9.06</v>
      </c>
      <c r="AAJ11" s="24" t="n">
        <v>18.15</v>
      </c>
      <c r="AAK11" s="24" t="n">
        <v>25.66</v>
      </c>
      <c r="AAL11" s="24" t="n">
        <v>15.61</v>
      </c>
      <c r="AAM11" s="24" t="n">
        <v>0</v>
      </c>
      <c r="AAN11" s="24" t="n">
        <v>0</v>
      </c>
      <c r="AAO11" s="24" t="n">
        <v>0</v>
      </c>
      <c r="ABB11" s="24" t="n">
        <v>17.8</v>
      </c>
      <c r="ABC11" s="24" t="n">
        <v>1</v>
      </c>
      <c r="ABD11" s="24" t="n">
        <v>47</v>
      </c>
      <c r="ABE11" s="24" t="n">
        <v>3</v>
      </c>
      <c r="ABF11" s="24" t="n">
        <v>2.28</v>
      </c>
      <c r="ABG11" s="24" t="n">
        <v>3</v>
      </c>
      <c r="ABH11" s="24" t="n">
        <v>26</v>
      </c>
      <c r="ABI11" s="24" t="n">
        <v>1</v>
      </c>
      <c r="ABJ11" s="24" t="n">
        <v>0.76</v>
      </c>
      <c r="ABK11" s="24" t="n">
        <v>2</v>
      </c>
      <c r="ABN11" s="28"/>
      <c r="ACF11" s="24" t="n">
        <v>0</v>
      </c>
      <c r="ADQ11" s="27" t="n">
        <v>1.27</v>
      </c>
      <c r="ADR11" s="27" t="n">
        <v>1</v>
      </c>
      <c r="ADS11" s="27" t="n">
        <v>1</v>
      </c>
      <c r="ADT11" s="27"/>
      <c r="ADU11" s="27" t="n">
        <f aca="false">6.34+1.06</f>
        <v>7.4</v>
      </c>
      <c r="ADV11" s="27"/>
      <c r="ADW11" s="27"/>
      <c r="ADX11" s="27"/>
      <c r="ADY11" s="27"/>
      <c r="ADZ11" s="27"/>
      <c r="AEA11" s="27"/>
      <c r="AEB11" s="27" t="n">
        <v>2.86</v>
      </c>
      <c r="AEC11" s="27" t="n">
        <v>2.86</v>
      </c>
      <c r="AED11" s="27"/>
      <c r="AEE11" s="27"/>
      <c r="AEF11" s="27" t="n">
        <v>0</v>
      </c>
      <c r="AEG11" s="27" t="n">
        <v>0</v>
      </c>
      <c r="AEH11" s="27" t="n">
        <v>0</v>
      </c>
      <c r="AEI11" s="24" t="n">
        <v>0</v>
      </c>
      <c r="AEJ11" s="24" t="s">
        <v>248</v>
      </c>
      <c r="AEK11" s="24" t="n">
        <v>33</v>
      </c>
      <c r="AEL11" s="27" t="n">
        <v>122.1</v>
      </c>
      <c r="AEM11" s="27" t="n">
        <v>80.4</v>
      </c>
      <c r="AEN11" s="27" t="n">
        <v>14.1</v>
      </c>
      <c r="AEO11" s="24" t="n">
        <v>91.87</v>
      </c>
      <c r="AEP11" s="24" t="n">
        <v>0</v>
      </c>
      <c r="AEQ11" s="24" t="n">
        <v>5.85</v>
      </c>
      <c r="AER11" s="24" t="n">
        <v>0</v>
      </c>
      <c r="AES11" s="24" t="n">
        <v>2.28</v>
      </c>
      <c r="AET11" s="24" t="n">
        <v>0</v>
      </c>
      <c r="AEU11" s="24" t="n">
        <v>0</v>
      </c>
      <c r="AEV11" s="24" t="n">
        <v>0</v>
      </c>
      <c r="AEW11" s="24" t="n">
        <v>0</v>
      </c>
      <c r="AEX11" s="24" t="n">
        <v>0</v>
      </c>
      <c r="AEY11" s="24" t="n">
        <v>0</v>
      </c>
      <c r="AEZ11" s="24" t="n">
        <v>0</v>
      </c>
      <c r="AFA11" s="24" t="n">
        <v>23.39</v>
      </c>
      <c r="AFB11" s="24" t="n">
        <v>10.3</v>
      </c>
      <c r="AFC11" s="24" t="n">
        <v>49.9</v>
      </c>
      <c r="AFD11" s="24" t="n">
        <v>0</v>
      </c>
      <c r="AFE11" s="24" t="n">
        <v>0</v>
      </c>
      <c r="AFF11" s="24" t="n">
        <v>0</v>
      </c>
      <c r="AFS11" s="24" t="n">
        <v>0</v>
      </c>
      <c r="AFT11" s="24" t="n">
        <v>1</v>
      </c>
      <c r="AFU11" s="24" t="n">
        <v>34</v>
      </c>
      <c r="AFV11" s="24" t="n">
        <v>1</v>
      </c>
      <c r="AFW11" s="24" t="n">
        <v>1.14</v>
      </c>
      <c r="AFX11" s="24" t="n">
        <v>1</v>
      </c>
      <c r="AGE11" s="28"/>
      <c r="AGW11" s="24" t="n">
        <v>0</v>
      </c>
      <c r="AIH11" s="27" t="n">
        <v>4.78</v>
      </c>
      <c r="AII11" s="27" t="n">
        <v>1</v>
      </c>
      <c r="AIJ11" s="27" t="n">
        <v>1</v>
      </c>
      <c r="AIK11" s="27"/>
      <c r="AIL11" s="27" t="n">
        <v>4.23</v>
      </c>
      <c r="AIM11" s="27" t="n">
        <v>2</v>
      </c>
      <c r="AIN11" s="27"/>
      <c r="AIO11" s="27" t="n">
        <f aca="false">1.14+9.52+1.68</f>
        <v>12.34</v>
      </c>
      <c r="AIP11" s="27"/>
      <c r="AIQ11" s="27"/>
      <c r="AIR11" s="27"/>
      <c r="AIS11" s="27" t="n">
        <v>10.43</v>
      </c>
      <c r="AIT11" s="27" t="n">
        <v>22.43</v>
      </c>
      <c r="AIU11" s="27"/>
      <c r="AIV11" s="27"/>
      <c r="AIW11" s="27" t="n">
        <v>0</v>
      </c>
      <c r="AIX11" s="27" t="n">
        <v>0</v>
      </c>
      <c r="AIY11" s="27" t="n">
        <v>0</v>
      </c>
      <c r="AIZ11" s="24" t="n">
        <v>0</v>
      </c>
      <c r="AJA11" s="24" t="s">
        <v>249</v>
      </c>
      <c r="AJB11" s="24" t="n">
        <v>25</v>
      </c>
      <c r="AJC11" s="27" t="n">
        <v>87.3</v>
      </c>
      <c r="AJD11" s="27" t="n">
        <v>80.4</v>
      </c>
      <c r="AJE11" s="27" t="n">
        <v>8.8</v>
      </c>
      <c r="AJF11" s="24" t="n">
        <v>100</v>
      </c>
      <c r="AJG11" s="24" t="n">
        <v>0</v>
      </c>
      <c r="AJH11" s="24" t="n">
        <v>0</v>
      </c>
      <c r="AJI11" s="24" t="n">
        <v>0</v>
      </c>
      <c r="AJJ11" s="24" t="n">
        <v>0</v>
      </c>
      <c r="AJK11" s="24" t="n">
        <v>0</v>
      </c>
      <c r="AJL11" s="24" t="n">
        <v>0</v>
      </c>
      <c r="AJM11" s="24" t="n">
        <v>0</v>
      </c>
      <c r="AJN11" s="24" t="n">
        <v>0</v>
      </c>
      <c r="AJO11" s="24" t="n">
        <v>0</v>
      </c>
      <c r="AJP11" s="24" t="n">
        <v>0</v>
      </c>
      <c r="AJQ11" s="24" t="n">
        <v>0</v>
      </c>
      <c r="AJR11" s="24" t="n">
        <v>11.94</v>
      </c>
      <c r="AJS11" s="24" t="n">
        <v>34.17</v>
      </c>
      <c r="AJT11" s="24" t="n">
        <v>24.72</v>
      </c>
      <c r="AJU11" s="24" t="n">
        <v>0</v>
      </c>
      <c r="AJV11" s="24" t="n">
        <v>6.9</v>
      </c>
      <c r="AJW11" s="24" t="n">
        <v>3</v>
      </c>
      <c r="AJX11" s="24" t="n">
        <v>50</v>
      </c>
      <c r="AJZ11" s="24" t="n">
        <v>2</v>
      </c>
      <c r="AKD11" s="24" t="n">
        <v>50</v>
      </c>
      <c r="AKF11" s="24" t="n">
        <v>2</v>
      </c>
      <c r="AKJ11" s="24" t="n">
        <v>0</v>
      </c>
      <c r="AKK11" s="24" t="n">
        <v>0</v>
      </c>
      <c r="AKV11" s="28"/>
      <c r="ALN11" s="24" t="n">
        <v>1</v>
      </c>
      <c r="ALO11" s="24" t="n">
        <v>50</v>
      </c>
      <c r="ALP11" s="24" t="n">
        <v>1</v>
      </c>
      <c r="ALQ11" s="24" t="n">
        <v>1.86</v>
      </c>
      <c r="ALR11" s="24" t="n">
        <v>3</v>
      </c>
    </row>
    <row r="12" customFormat="false" ht="13.8" hidden="false" customHeight="false" outlineLevel="0" collapsed="false">
      <c r="A12" s="1" t="s">
        <v>250</v>
      </c>
      <c r="B12" s="12" t="n">
        <v>42892</v>
      </c>
      <c r="C12" s="0" t="n">
        <v>2</v>
      </c>
      <c r="D12" s="13" t="n">
        <v>35569</v>
      </c>
      <c r="E12" s="12" t="n">
        <v>27823</v>
      </c>
      <c r="F12" s="14" t="n">
        <f aca="false">(B12-E12)/365.25</f>
        <v>41.2566735112936</v>
      </c>
      <c r="G12" s="14" t="n">
        <f aca="false">(B12-D12)/365.25</f>
        <v>20.0492813141684</v>
      </c>
      <c r="H12" s="21" t="s">
        <v>228</v>
      </c>
      <c r="I12" s="15" t="s">
        <v>251</v>
      </c>
      <c r="J12" s="21" t="s">
        <v>181</v>
      </c>
      <c r="K12" s="21" t="n">
        <v>8</v>
      </c>
      <c r="L12" s="14" t="n">
        <v>81.2</v>
      </c>
      <c r="M12" s="0" t="n">
        <v>1.77</v>
      </c>
      <c r="N12" s="16" t="n">
        <f aca="false">L12/(M12*M12)</f>
        <v>25.9184780873951</v>
      </c>
      <c r="O12" s="19" t="n">
        <v>1</v>
      </c>
      <c r="P12" s="19" t="n">
        <v>1</v>
      </c>
      <c r="Q12" s="19" t="s">
        <v>252</v>
      </c>
      <c r="R12" s="19" t="n">
        <v>0</v>
      </c>
      <c r="S12" s="19" t="n">
        <v>0</v>
      </c>
      <c r="T12" s="19" t="n">
        <v>0</v>
      </c>
      <c r="U12" s="19" t="n">
        <v>0</v>
      </c>
      <c r="V12" s="19" t="n">
        <v>0</v>
      </c>
      <c r="W12" s="19" t="n">
        <v>0</v>
      </c>
      <c r="X12" s="19" t="n">
        <v>0</v>
      </c>
      <c r="Y12" s="19" t="n">
        <v>0</v>
      </c>
      <c r="Z12" s="19" t="n">
        <v>0</v>
      </c>
      <c r="AA12" s="19" t="n">
        <v>0</v>
      </c>
      <c r="AB12" s="19" t="n">
        <v>0</v>
      </c>
      <c r="AC12" s="19" t="n">
        <v>0</v>
      </c>
      <c r="AD12" s="19" t="n">
        <v>0</v>
      </c>
      <c r="AE12" s="19" t="n">
        <v>0</v>
      </c>
      <c r="AF12" s="19" t="n">
        <v>0</v>
      </c>
      <c r="AG12" s="19" t="n">
        <v>0</v>
      </c>
      <c r="AH12" s="19" t="n">
        <v>0</v>
      </c>
      <c r="AI12" s="19" t="n">
        <v>0</v>
      </c>
      <c r="AJ12" s="19" t="n">
        <v>0</v>
      </c>
      <c r="AK12" s="19" t="n">
        <v>0</v>
      </c>
      <c r="AL12" s="19" t="n">
        <v>0</v>
      </c>
      <c r="AM12" s="19" t="n">
        <v>0</v>
      </c>
      <c r="AN12" s="19" t="n">
        <v>0</v>
      </c>
      <c r="AO12" s="19" t="n">
        <v>0</v>
      </c>
      <c r="AP12" s="19" t="n">
        <v>0</v>
      </c>
      <c r="AQ12" s="19" t="n">
        <v>0</v>
      </c>
      <c r="AR12" s="19" t="n">
        <v>0</v>
      </c>
      <c r="AS12" s="19" t="n">
        <v>3</v>
      </c>
      <c r="AT12" s="19" t="n">
        <v>0</v>
      </c>
      <c r="AU12" s="19" t="n">
        <v>0</v>
      </c>
      <c r="AV12" s="19" t="n">
        <v>0</v>
      </c>
      <c r="AW12" s="19" t="n">
        <v>0</v>
      </c>
      <c r="AX12" s="19" t="n">
        <v>0</v>
      </c>
      <c r="AY12" s="19" t="n">
        <v>0</v>
      </c>
      <c r="AZ12" s="19" t="n">
        <v>0</v>
      </c>
      <c r="BA12" s="19" t="n">
        <v>0</v>
      </c>
      <c r="BB12" s="19" t="n">
        <v>1</v>
      </c>
      <c r="BC12" s="19" t="n">
        <v>0</v>
      </c>
      <c r="BD12" s="19" t="n">
        <v>0</v>
      </c>
      <c r="BE12" s="19" t="n">
        <v>0</v>
      </c>
      <c r="BF12" s="19"/>
      <c r="BG12" s="19"/>
      <c r="BH12" s="19"/>
      <c r="BI12" s="19"/>
      <c r="BJ12" s="19" t="n">
        <v>1</v>
      </c>
      <c r="BK12" s="19" t="n">
        <v>0</v>
      </c>
      <c r="BL12" s="19" t="n">
        <v>0</v>
      </c>
      <c r="BM12" s="19" t="n">
        <v>0</v>
      </c>
      <c r="BN12" s="19"/>
      <c r="BO12" s="19"/>
      <c r="BP12" s="19"/>
      <c r="BQ12" s="19"/>
      <c r="BR12" s="19" t="n">
        <v>1</v>
      </c>
      <c r="BS12" s="19" t="n">
        <v>2</v>
      </c>
      <c r="BT12" s="19" t="n">
        <v>1</v>
      </c>
      <c r="BU12" s="19" t="n">
        <v>5</v>
      </c>
      <c r="BV12" s="19" t="n">
        <v>3</v>
      </c>
      <c r="BW12" s="19" t="n">
        <v>3</v>
      </c>
      <c r="BX12" s="19" t="n">
        <v>3</v>
      </c>
      <c r="BY12" s="19" t="n">
        <v>4</v>
      </c>
      <c r="BZ12" s="19" t="n">
        <v>4</v>
      </c>
      <c r="CA12" s="19" t="n">
        <v>4</v>
      </c>
      <c r="CB12" s="19" t="n">
        <v>4</v>
      </c>
      <c r="CC12" s="19" t="n">
        <v>4</v>
      </c>
      <c r="CD12" s="19" t="n">
        <v>4</v>
      </c>
      <c r="CE12" s="19" t="n">
        <v>4</v>
      </c>
      <c r="CF12" s="19" t="n">
        <v>4</v>
      </c>
      <c r="CG12" s="19" t="n">
        <v>5</v>
      </c>
      <c r="CH12" s="19" t="n">
        <v>5</v>
      </c>
      <c r="CI12" s="19" t="n">
        <v>5</v>
      </c>
      <c r="CJ12" s="19" t="n">
        <v>5</v>
      </c>
      <c r="CK12" s="19" t="n">
        <v>10</v>
      </c>
      <c r="CL12" s="0" t="s">
        <v>253</v>
      </c>
      <c r="CM12" s="0" t="n">
        <v>30</v>
      </c>
      <c r="CN12" s="16" t="n">
        <v>85.5</v>
      </c>
      <c r="CO12" s="16" t="n">
        <v>81</v>
      </c>
      <c r="CP12" s="16" t="n">
        <v>15.2</v>
      </c>
      <c r="CQ12" s="0" t="n">
        <v>87.44</v>
      </c>
      <c r="CR12" s="0" t="n">
        <v>0</v>
      </c>
      <c r="CS12" s="0" t="n">
        <v>0.94</v>
      </c>
      <c r="CT12" s="0" t="n">
        <v>1.97</v>
      </c>
      <c r="CU12" s="0" t="n">
        <v>9.65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2.71</v>
      </c>
      <c r="DC12" s="0" t="n">
        <v>0.6</v>
      </c>
      <c r="DD12" s="0" t="n">
        <v>2.17</v>
      </c>
      <c r="DE12" s="0" t="n">
        <v>5.97</v>
      </c>
      <c r="DF12" s="0" t="n">
        <v>2.65</v>
      </c>
      <c r="DG12" s="0" t="n">
        <v>0</v>
      </c>
      <c r="DH12" s="0" t="n">
        <v>0</v>
      </c>
      <c r="DU12" s="0" t="n">
        <v>10.6</v>
      </c>
      <c r="DV12" s="0" t="n">
        <v>1</v>
      </c>
      <c r="DW12" s="0" t="n">
        <v>60</v>
      </c>
      <c r="DX12" s="0" t="n">
        <v>2</v>
      </c>
      <c r="DY12" s="0" t="n">
        <f aca="false">0.38+0.07</f>
        <v>0.45</v>
      </c>
      <c r="DZ12" s="0" t="n">
        <v>1</v>
      </c>
      <c r="EA12" s="0" t="n">
        <v>68</v>
      </c>
      <c r="EB12" s="0" t="n">
        <v>1</v>
      </c>
      <c r="EC12" s="16" t="n">
        <v>0.31</v>
      </c>
      <c r="ED12" s="0" t="n">
        <v>1</v>
      </c>
      <c r="EE12" s="0" t="n">
        <v>85</v>
      </c>
      <c r="EF12" s="0" t="n">
        <v>2</v>
      </c>
      <c r="EG12" s="18" t="n">
        <f aca="false">1.89+0.94</f>
        <v>2.83</v>
      </c>
      <c r="EH12" s="0" t="n">
        <v>2</v>
      </c>
      <c r="EI12" s="0" t="n">
        <v>25</v>
      </c>
      <c r="EJ12" s="0" t="n">
        <v>1</v>
      </c>
      <c r="EK12" s="16" t="n">
        <v>0.27</v>
      </c>
      <c r="EL12" s="0" t="n">
        <v>2</v>
      </c>
      <c r="EY12" s="0" t="n">
        <v>0</v>
      </c>
      <c r="GJ12" s="16" t="n">
        <v>0</v>
      </c>
      <c r="GK12" s="16" t="n">
        <v>0</v>
      </c>
      <c r="GL12" s="16"/>
      <c r="GM12" s="16"/>
      <c r="GN12" s="16"/>
      <c r="GO12" s="16"/>
      <c r="GP12" s="16"/>
      <c r="GQ12" s="16"/>
      <c r="GR12" s="16"/>
      <c r="GS12" s="16"/>
      <c r="GT12" s="16"/>
      <c r="GU12" s="16" t="n">
        <v>4.17</v>
      </c>
      <c r="GV12" s="16" t="n">
        <v>2.54</v>
      </c>
      <c r="GW12" s="16"/>
      <c r="GX12" s="16"/>
      <c r="GY12" s="16" t="n">
        <v>0</v>
      </c>
      <c r="GZ12" s="16" t="n">
        <v>0</v>
      </c>
      <c r="HA12" s="16" t="n">
        <v>0</v>
      </c>
      <c r="HB12" s="0" t="n">
        <v>0</v>
      </c>
      <c r="HC12" s="0" t="s">
        <v>254</v>
      </c>
      <c r="HD12" s="0" t="n">
        <v>53</v>
      </c>
      <c r="HE12" s="16" t="n">
        <v>81.5</v>
      </c>
      <c r="HF12" s="16" t="n">
        <v>81</v>
      </c>
      <c r="HG12" s="16" t="n">
        <v>36.4</v>
      </c>
      <c r="HH12" s="0" t="n">
        <v>56.99</v>
      </c>
      <c r="HI12" s="0" t="n">
        <v>0</v>
      </c>
      <c r="HJ12" s="0" t="n">
        <v>0</v>
      </c>
      <c r="HK12" s="0" t="n">
        <v>0.12</v>
      </c>
      <c r="HL12" s="0" t="n">
        <v>42.89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25.37</v>
      </c>
      <c r="HT12" s="0" t="n">
        <v>0</v>
      </c>
      <c r="HU12" s="0" t="n">
        <v>42.65</v>
      </c>
      <c r="HV12" s="0" t="n">
        <v>6.3</v>
      </c>
      <c r="HW12" s="0" t="n">
        <v>0</v>
      </c>
      <c r="HX12" s="0" t="n">
        <v>0</v>
      </c>
      <c r="HY12" s="0" t="n">
        <v>0</v>
      </c>
      <c r="IL12" s="0" t="n">
        <v>8.7</v>
      </c>
      <c r="IM12" s="0" t="n">
        <v>1</v>
      </c>
      <c r="IN12" s="0" t="n">
        <v>137</v>
      </c>
      <c r="IO12" s="0" t="n">
        <v>2</v>
      </c>
      <c r="IP12" s="0" t="n">
        <f aca="false">0.65+0.05</f>
        <v>0.7</v>
      </c>
      <c r="IQ12" s="0" t="n">
        <v>1</v>
      </c>
      <c r="IR12" s="0" t="n">
        <v>103</v>
      </c>
      <c r="IS12" s="0" t="n">
        <v>2</v>
      </c>
      <c r="IT12" s="16" t="n">
        <f aca="false">0.65+0.05</f>
        <v>0.7</v>
      </c>
      <c r="IU12" s="0" t="n">
        <v>1</v>
      </c>
      <c r="IX12" s="18"/>
      <c r="JP12" s="0" t="n">
        <v>0</v>
      </c>
      <c r="LA12" s="16" t="n">
        <v>2.28</v>
      </c>
      <c r="LB12" s="16" t="n">
        <v>1</v>
      </c>
      <c r="LC12" s="16" t="n">
        <v>3</v>
      </c>
      <c r="LD12" s="16"/>
      <c r="LE12" s="16" t="n">
        <f aca="false">2.69+0.37+0.74</f>
        <v>3.8</v>
      </c>
      <c r="LF12" s="16"/>
      <c r="LG12" s="16"/>
      <c r="LH12" s="16"/>
      <c r="LI12" s="16"/>
      <c r="LJ12" s="16"/>
      <c r="LK12" s="16"/>
      <c r="LL12" s="16" t="n">
        <v>0.48</v>
      </c>
      <c r="LM12" s="16" t="n">
        <v>0.48</v>
      </c>
      <c r="LN12" s="16"/>
      <c r="LO12" s="16"/>
      <c r="LP12" s="16" t="n">
        <v>2.22</v>
      </c>
      <c r="LQ12" s="16" t="n">
        <v>23.08</v>
      </c>
      <c r="LR12" s="16" t="n">
        <v>0</v>
      </c>
      <c r="LS12" s="0" t="n">
        <v>0</v>
      </c>
      <c r="LT12" s="0" t="s">
        <v>255</v>
      </c>
      <c r="LU12" s="0" t="n">
        <v>41</v>
      </c>
      <c r="LV12" s="16" t="n">
        <v>48.6</v>
      </c>
      <c r="LW12" s="16" t="n">
        <v>81</v>
      </c>
      <c r="LX12" s="16" t="n">
        <v>21.6</v>
      </c>
      <c r="LY12" s="0" t="n">
        <v>76.16</v>
      </c>
      <c r="LZ12" s="0" t="n">
        <v>0</v>
      </c>
      <c r="MA12" s="0" t="n">
        <v>0.07</v>
      </c>
      <c r="MB12" s="0" t="n">
        <v>0.13</v>
      </c>
      <c r="MC12" s="0" t="n">
        <v>23.64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6.53</v>
      </c>
      <c r="MK12" s="0" t="n">
        <v>0.2</v>
      </c>
      <c r="ML12" s="0" t="n">
        <v>27.15</v>
      </c>
      <c r="MM12" s="0" t="n">
        <v>4.11</v>
      </c>
      <c r="MN12" s="0" t="n">
        <v>0</v>
      </c>
      <c r="MO12" s="0" t="n">
        <v>3.9</v>
      </c>
      <c r="MP12" s="0" t="n">
        <v>1</v>
      </c>
      <c r="MQ12" s="0" t="n">
        <v>10</v>
      </c>
      <c r="MS12" s="0" t="n">
        <v>1</v>
      </c>
      <c r="NC12" s="0" t="n">
        <v>0.6</v>
      </c>
      <c r="ND12" s="0" t="n">
        <v>1</v>
      </c>
      <c r="NE12" s="0" t="n">
        <v>52</v>
      </c>
      <c r="NF12" s="0" t="n">
        <v>3</v>
      </c>
      <c r="NG12" s="16" t="n">
        <f aca="false">0.16+0.13</f>
        <v>0.29</v>
      </c>
      <c r="NH12" s="0" t="n">
        <v>2</v>
      </c>
      <c r="NO12" s="18"/>
      <c r="OG12" s="0" t="n">
        <v>0</v>
      </c>
      <c r="PR12" s="16" t="n">
        <v>0.57</v>
      </c>
      <c r="PS12" s="16" t="n">
        <v>1</v>
      </c>
      <c r="PT12" s="16" t="n">
        <v>1</v>
      </c>
      <c r="PU12" s="16"/>
      <c r="PV12" s="16" t="n">
        <f aca="false">0.93</f>
        <v>0.93</v>
      </c>
      <c r="PW12" s="16" t="n">
        <v>2</v>
      </c>
      <c r="PX12" s="16"/>
      <c r="PY12" s="16" t="n">
        <f aca="false">0.31+0.22</f>
        <v>0.53</v>
      </c>
      <c r="PZ12" s="16"/>
      <c r="QA12" s="16"/>
      <c r="QB12" s="16"/>
      <c r="QC12" s="16" t="n">
        <v>5.72</v>
      </c>
      <c r="QD12" s="16" t="n">
        <v>5.75</v>
      </c>
      <c r="QE12" s="16"/>
      <c r="QF12" s="16"/>
      <c r="QG12" s="16" t="n">
        <v>7.41</v>
      </c>
      <c r="QH12" s="16" t="n">
        <v>0</v>
      </c>
      <c r="QI12" s="16" t="n">
        <v>0.22</v>
      </c>
      <c r="QJ12" s="0" t="n">
        <v>5</v>
      </c>
      <c r="QK12" s="0" t="s">
        <v>256</v>
      </c>
      <c r="QL12" s="0" t="n">
        <v>40</v>
      </c>
      <c r="QM12" s="16" t="n">
        <v>89.1</v>
      </c>
      <c r="QN12" s="16" t="n">
        <v>81</v>
      </c>
      <c r="QO12" s="16" t="n">
        <v>5.4</v>
      </c>
      <c r="QP12" s="0" t="n">
        <v>99.83</v>
      </c>
      <c r="QQ12" s="0" t="n">
        <v>0</v>
      </c>
      <c r="QR12" s="0" t="n">
        <v>0</v>
      </c>
      <c r="QS12" s="0" t="n">
        <v>0.17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19.8</v>
      </c>
      <c r="RC12" s="0" t="n">
        <v>8.95</v>
      </c>
      <c r="RD12" s="0" t="n">
        <v>0</v>
      </c>
      <c r="RE12" s="0" t="n">
        <v>0</v>
      </c>
      <c r="RF12" s="0" t="n">
        <v>22.5</v>
      </c>
      <c r="RG12" s="0" t="n">
        <v>1</v>
      </c>
      <c r="RH12" s="0" t="n">
        <v>5</v>
      </c>
      <c r="RJ12" s="0" t="n">
        <v>8</v>
      </c>
      <c r="RT12" s="0" t="n">
        <v>0</v>
      </c>
      <c r="RU12" s="0" t="n">
        <v>0</v>
      </c>
      <c r="SF12" s="18"/>
      <c r="SX12" s="0" t="n">
        <v>1</v>
      </c>
      <c r="SY12" s="0" t="n">
        <v>50</v>
      </c>
      <c r="SZ12" s="0" t="n">
        <v>4</v>
      </c>
      <c r="TA12" s="0" t="n">
        <f aca="false">0.73*2+0.13*2</f>
        <v>1.72</v>
      </c>
      <c r="TB12" s="0" t="n">
        <v>3</v>
      </c>
      <c r="UI12" s="16" t="n">
        <v>1.48</v>
      </c>
      <c r="UJ12" s="16" t="n">
        <v>1</v>
      </c>
      <c r="UK12" s="16" t="n">
        <v>1</v>
      </c>
      <c r="UL12" s="16"/>
      <c r="UM12" s="16" t="n">
        <f aca="false">2.1*2+0.37*2</f>
        <v>4.94</v>
      </c>
      <c r="UN12" s="16"/>
      <c r="UO12" s="16"/>
      <c r="UP12" s="16"/>
      <c r="UQ12" s="16"/>
      <c r="UR12" s="16"/>
      <c r="US12" s="16"/>
      <c r="UT12" s="16" t="n">
        <v>7.71</v>
      </c>
      <c r="UU12" s="16" t="n">
        <v>4.35</v>
      </c>
      <c r="UV12" s="16"/>
      <c r="UW12" s="16"/>
      <c r="UX12" s="16" t="n">
        <v>0</v>
      </c>
      <c r="UY12" s="16" t="n">
        <v>0</v>
      </c>
      <c r="UZ12" s="16" t="n">
        <v>0</v>
      </c>
      <c r="VA12" s="0" t="n">
        <v>0</v>
      </c>
      <c r="VB12" s="0" t="s">
        <v>257</v>
      </c>
      <c r="VC12" s="0" t="n">
        <v>43</v>
      </c>
      <c r="VD12" s="16" t="n">
        <v>93.3</v>
      </c>
      <c r="VE12" s="16" t="n">
        <v>81</v>
      </c>
      <c r="VF12" s="16" t="n">
        <v>6.4</v>
      </c>
      <c r="VG12" s="0" t="n">
        <v>100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18.51</v>
      </c>
      <c r="VT12" s="0" t="n">
        <v>28.46</v>
      </c>
      <c r="VU12" s="0" t="n">
        <v>0</v>
      </c>
      <c r="VV12" s="0" t="n">
        <v>0</v>
      </c>
      <c r="VW12" s="0" t="n">
        <v>0</v>
      </c>
      <c r="VX12" s="0" t="n">
        <v>0</v>
      </c>
      <c r="WK12" s="0" t="n">
        <v>33</v>
      </c>
      <c r="WL12" s="0" t="n">
        <v>0</v>
      </c>
      <c r="WW12" s="18"/>
      <c r="XO12" s="0" t="n">
        <v>1</v>
      </c>
      <c r="XP12" s="0" t="n">
        <v>40</v>
      </c>
      <c r="XQ12" s="0" t="n">
        <v>8</v>
      </c>
      <c r="XR12" s="0" t="n">
        <f aca="false">1.51*2+3.02+0.27*2</f>
        <v>6.58</v>
      </c>
      <c r="XS12" s="0" t="n">
        <v>3</v>
      </c>
      <c r="XT12" s="0" t="n">
        <v>60</v>
      </c>
      <c r="XU12" s="0" t="n">
        <v>20</v>
      </c>
      <c r="XV12" s="0" t="n">
        <f aca="false">3.65*2+0.67*2</f>
        <v>8.64</v>
      </c>
      <c r="XW12" s="0" t="n">
        <v>3</v>
      </c>
      <c r="YZ12" s="16" t="n">
        <v>0</v>
      </c>
      <c r="ZA12" s="16" t="n">
        <v>0</v>
      </c>
      <c r="ZB12" s="16"/>
      <c r="ZC12" s="16"/>
      <c r="ZD12" s="16"/>
      <c r="ZE12" s="16"/>
      <c r="ZF12" s="16"/>
      <c r="ZG12" s="16"/>
      <c r="ZH12" s="16"/>
      <c r="ZI12" s="16"/>
      <c r="ZJ12" s="16"/>
      <c r="ZK12" s="16" t="n">
        <v>0</v>
      </c>
      <c r="ZL12" s="16" t="n">
        <v>0</v>
      </c>
      <c r="ZM12" s="16"/>
      <c r="ZN12" s="16"/>
      <c r="ZO12" s="16" t="n">
        <v>0</v>
      </c>
      <c r="ZP12" s="16" t="n">
        <v>0</v>
      </c>
      <c r="ZQ12" s="16" t="n">
        <v>0</v>
      </c>
      <c r="ZR12" s="0" t="n">
        <v>0</v>
      </c>
      <c r="ZS12" s="0" t="s">
        <v>258</v>
      </c>
      <c r="ZT12" s="0" t="n">
        <v>40</v>
      </c>
      <c r="ZU12" s="16" t="n">
        <v>90.1</v>
      </c>
      <c r="ZV12" s="16" t="n">
        <v>81</v>
      </c>
      <c r="ZW12" s="16" t="n">
        <v>5.9</v>
      </c>
      <c r="ZX12" s="0" t="n">
        <v>99.34</v>
      </c>
      <c r="ZY12" s="0" t="n">
        <v>0</v>
      </c>
      <c r="ZZ12" s="0" t="n">
        <v>0</v>
      </c>
      <c r="AAA12" s="0" t="n">
        <v>0.66</v>
      </c>
      <c r="AAB12" s="0" t="n">
        <v>0</v>
      </c>
      <c r="AAC12" s="0" t="n">
        <v>0</v>
      </c>
      <c r="AAD12" s="0" t="n">
        <v>0</v>
      </c>
      <c r="AAE12" s="0" t="n">
        <v>0</v>
      </c>
      <c r="AAF12" s="0" t="n">
        <v>0</v>
      </c>
      <c r="AAG12" s="0" t="n">
        <v>0</v>
      </c>
      <c r="AAH12" s="0" t="n">
        <v>0</v>
      </c>
      <c r="AAI12" s="0" t="n">
        <v>0</v>
      </c>
      <c r="AAJ12" s="0" t="n">
        <v>19.8</v>
      </c>
      <c r="AAK12" s="0" t="n">
        <v>8.95</v>
      </c>
      <c r="AAL12" s="0" t="n">
        <v>0</v>
      </c>
      <c r="AAM12" s="0" t="n">
        <v>0</v>
      </c>
      <c r="AAN12" s="0" t="n">
        <v>22.3</v>
      </c>
      <c r="AAO12" s="0" t="n">
        <v>1</v>
      </c>
      <c r="AAP12" s="0" t="n">
        <v>5</v>
      </c>
      <c r="AAR12" s="0" t="n">
        <v>8</v>
      </c>
      <c r="ABB12" s="0" t="n">
        <v>0</v>
      </c>
      <c r="ABC12" s="0" t="n">
        <v>0</v>
      </c>
      <c r="ABN12" s="18"/>
      <c r="ACF12" s="0" t="n">
        <v>1</v>
      </c>
      <c r="ACG12" s="0" t="n">
        <v>50</v>
      </c>
      <c r="ACH12" s="0" t="n">
        <v>4</v>
      </c>
      <c r="ACI12" s="0" t="n">
        <f aca="false">0.73*2+0.13*2</f>
        <v>1.72</v>
      </c>
      <c r="ACJ12" s="0" t="n">
        <v>3</v>
      </c>
      <c r="ADQ12" s="16" t="n">
        <v>1.48</v>
      </c>
      <c r="ADR12" s="16" t="n">
        <v>1</v>
      </c>
      <c r="ADS12" s="16" t="n">
        <v>1</v>
      </c>
      <c r="ADT12" s="16"/>
      <c r="ADU12" s="16" t="n">
        <f aca="false">2.1*2+0.37*2</f>
        <v>4.94</v>
      </c>
      <c r="ADV12" s="16"/>
      <c r="ADW12" s="16"/>
      <c r="ADX12" s="16"/>
      <c r="ADY12" s="16"/>
      <c r="ADZ12" s="16"/>
      <c r="AEA12" s="16"/>
      <c r="AEB12" s="16" t="n">
        <v>7.71</v>
      </c>
      <c r="AEC12" s="16" t="n">
        <v>4.35</v>
      </c>
      <c r="AED12" s="16"/>
      <c r="AEE12" s="16"/>
      <c r="AEF12" s="16" t="n">
        <v>0</v>
      </c>
      <c r="AEG12" s="16" t="n">
        <v>0</v>
      </c>
      <c r="AEH12" s="16" t="n">
        <v>0</v>
      </c>
      <c r="AEI12" s="0" t="n">
        <v>0</v>
      </c>
      <c r="AEJ12" s="0" t="s">
        <v>259</v>
      </c>
      <c r="AEK12" s="0" t="n">
        <v>43</v>
      </c>
      <c r="AEL12" s="16" t="n">
        <v>93.3</v>
      </c>
      <c r="AEM12" s="16" t="n">
        <v>81</v>
      </c>
      <c r="AEN12" s="16" t="n">
        <v>6.4</v>
      </c>
      <c r="AEO12" s="0" t="n">
        <v>100</v>
      </c>
      <c r="AEP12" s="0" t="n">
        <v>0</v>
      </c>
      <c r="AEQ12" s="0" t="n">
        <v>0</v>
      </c>
      <c r="AER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EZ12" s="0" t="n">
        <v>0</v>
      </c>
      <c r="AFA12" s="0" t="n">
        <v>18.51</v>
      </c>
      <c r="AFB12" s="0" t="n">
        <v>28.46</v>
      </c>
      <c r="AFC12" s="0" t="n">
        <v>0</v>
      </c>
      <c r="AFD12" s="0" t="n">
        <v>0</v>
      </c>
      <c r="AFE12" s="0" t="n">
        <v>0</v>
      </c>
      <c r="AFF12" s="0" t="n">
        <v>0</v>
      </c>
      <c r="AFS12" s="0" t="n">
        <v>33</v>
      </c>
      <c r="AFT12" s="0" t="n">
        <v>0</v>
      </c>
      <c r="AGE12" s="18"/>
      <c r="AGW12" s="0" t="n">
        <v>1</v>
      </c>
      <c r="AGX12" s="0" t="n">
        <v>40</v>
      </c>
      <c r="AGY12" s="0" t="n">
        <v>8</v>
      </c>
      <c r="AGZ12" s="0" t="n">
        <f aca="false">1.51*2+0.27*2+3.02</f>
        <v>6.58</v>
      </c>
      <c r="AHA12" s="0" t="n">
        <v>3</v>
      </c>
      <c r="AHB12" s="0" t="n">
        <v>60</v>
      </c>
      <c r="AHC12" s="0" t="n">
        <v>20</v>
      </c>
      <c r="AHD12" s="0" t="n">
        <f aca="false">3.65*2+0.67*2</f>
        <v>8.64</v>
      </c>
      <c r="AHE12" s="0" t="n">
        <v>3</v>
      </c>
      <c r="AIH12" s="16" t="n">
        <v>0</v>
      </c>
      <c r="AII12" s="16" t="n">
        <v>0</v>
      </c>
      <c r="AIJ12" s="16"/>
      <c r="AIK12" s="16"/>
      <c r="AIL12" s="16"/>
      <c r="AIM12" s="16"/>
      <c r="AIN12" s="16"/>
      <c r="AIO12" s="16"/>
      <c r="AIP12" s="16"/>
      <c r="AIQ12" s="16"/>
      <c r="AIR12" s="16"/>
      <c r="AIS12" s="16" t="n">
        <v>0</v>
      </c>
      <c r="AIT12" s="16" t="n">
        <v>0</v>
      </c>
      <c r="AIU12" s="16"/>
      <c r="AIV12" s="16"/>
      <c r="AIW12" s="16" t="n">
        <v>0</v>
      </c>
      <c r="AIX12" s="16" t="n">
        <v>0</v>
      </c>
      <c r="AIY12" s="16" t="n">
        <v>0</v>
      </c>
      <c r="AIZ12" s="0" t="n">
        <v>0</v>
      </c>
      <c r="AJA12" s="0" t="s">
        <v>260</v>
      </c>
      <c r="AJB12" s="0" t="n">
        <v>57.5</v>
      </c>
      <c r="AJC12" s="16" t="n">
        <v>91.5</v>
      </c>
      <c r="AJD12" s="16" t="n">
        <v>81</v>
      </c>
      <c r="AJE12" s="16" t="n">
        <v>49.9</v>
      </c>
      <c r="AJF12" s="0" t="n">
        <v>47.29</v>
      </c>
      <c r="AJG12" s="0" t="n">
        <v>0</v>
      </c>
      <c r="AJH12" s="0" t="n">
        <v>45.65</v>
      </c>
      <c r="AJI12" s="0" t="n">
        <v>6.91</v>
      </c>
      <c r="AJJ12" s="0" t="n">
        <v>0.15</v>
      </c>
      <c r="AJK12" s="0" t="n">
        <v>0</v>
      </c>
      <c r="AJL12" s="0" t="n">
        <v>0</v>
      </c>
      <c r="AJM12" s="0" t="n">
        <v>0</v>
      </c>
      <c r="AJN12" s="0" t="n">
        <v>0</v>
      </c>
      <c r="AJO12" s="0" t="n">
        <v>0</v>
      </c>
      <c r="AJP12" s="0" t="n">
        <v>0</v>
      </c>
      <c r="AJQ12" s="0" t="n">
        <v>0</v>
      </c>
      <c r="AJR12" s="0" t="n">
        <v>9.23</v>
      </c>
      <c r="AJS12" s="0" t="n">
        <v>4.35</v>
      </c>
      <c r="AJT12" s="0" t="n">
        <v>6.63</v>
      </c>
      <c r="AJU12" s="0" t="n">
        <v>0</v>
      </c>
      <c r="AJV12" s="0" t="n">
        <v>0</v>
      </c>
      <c r="AJW12" s="0" t="n">
        <v>1</v>
      </c>
      <c r="AJX12" s="0" t="n">
        <v>5</v>
      </c>
      <c r="AJZ12" s="0" t="n">
        <v>2</v>
      </c>
      <c r="AKJ12" s="0" t="n">
        <v>1.1</v>
      </c>
      <c r="AKK12" s="0" t="n">
        <v>0</v>
      </c>
      <c r="AKV12" s="18"/>
      <c r="ALN12" s="0" t="n">
        <v>1</v>
      </c>
      <c r="ALO12" s="0" t="n">
        <v>50</v>
      </c>
      <c r="ALP12" s="0" t="n">
        <v>1</v>
      </c>
      <c r="ALQ12" s="0" t="n">
        <v>0.27</v>
      </c>
      <c r="ALR12" s="0" t="n">
        <v>2</v>
      </c>
    </row>
    <row r="13" customFormat="false" ht="13.8" hidden="false" customHeight="false" outlineLevel="0" collapsed="false">
      <c r="A13" s="1" t="s">
        <v>261</v>
      </c>
      <c r="B13" s="12" t="n">
        <v>42893</v>
      </c>
      <c r="C13" s="0" t="n">
        <v>2</v>
      </c>
      <c r="D13" s="13" t="n">
        <v>35059</v>
      </c>
      <c r="E13" s="12" t="n">
        <v>27424</v>
      </c>
      <c r="F13" s="14" t="n">
        <f aca="false">(B13-E13)/365.25</f>
        <v>42.3518138261465</v>
      </c>
      <c r="G13" s="14" t="n">
        <f aca="false">(B13-D13)/365.25</f>
        <v>21.4483230663929</v>
      </c>
      <c r="H13" s="21" t="s">
        <v>183</v>
      </c>
      <c r="I13" s="15" t="s">
        <v>262</v>
      </c>
      <c r="J13" s="21" t="s">
        <v>181</v>
      </c>
      <c r="K13" s="21" t="n">
        <v>8</v>
      </c>
      <c r="L13" s="19" t="n">
        <v>71</v>
      </c>
      <c r="M13" s="0" t="n">
        <v>1.74</v>
      </c>
      <c r="N13" s="16" t="n">
        <f aca="false">L13/(M13*M13)</f>
        <v>23.4509182190514</v>
      </c>
      <c r="O13" s="19" t="n">
        <v>0</v>
      </c>
      <c r="P13" s="19" t="n">
        <v>0</v>
      </c>
      <c r="Q13" s="19" t="n">
        <v>0</v>
      </c>
      <c r="R13" s="19" t="n">
        <v>0</v>
      </c>
      <c r="S13" s="19" t="n">
        <v>0</v>
      </c>
      <c r="T13" s="19" t="n">
        <v>0</v>
      </c>
      <c r="U13" s="19" t="n">
        <v>0</v>
      </c>
      <c r="V13" s="19" t="n">
        <v>0</v>
      </c>
      <c r="W13" s="19" t="n">
        <v>1</v>
      </c>
      <c r="X13" s="19" t="n">
        <v>0</v>
      </c>
      <c r="Y13" s="19" t="n">
        <v>0</v>
      </c>
      <c r="Z13" s="19" t="n">
        <v>0</v>
      </c>
      <c r="AA13" s="19" t="n">
        <v>0</v>
      </c>
      <c r="AB13" s="19" t="n">
        <v>0</v>
      </c>
      <c r="AC13" s="19" t="n">
        <v>1</v>
      </c>
      <c r="AD13" s="19" t="n">
        <v>20</v>
      </c>
      <c r="AE13" s="19" t="n">
        <v>1</v>
      </c>
      <c r="AF13" s="19" t="n">
        <v>1</v>
      </c>
      <c r="AG13" s="19" t="n">
        <v>0</v>
      </c>
      <c r="AH13" s="19" t="n">
        <v>0</v>
      </c>
      <c r="AI13" s="19" t="n">
        <v>3</v>
      </c>
      <c r="AJ13" s="19" t="n">
        <v>3</v>
      </c>
      <c r="AK13" s="19" t="n">
        <v>3</v>
      </c>
      <c r="AL13" s="19" t="n">
        <v>5</v>
      </c>
      <c r="AM13" s="19" t="n">
        <v>5</v>
      </c>
      <c r="AN13" s="19" t="n">
        <v>1</v>
      </c>
      <c r="AO13" s="19" t="n">
        <v>1</v>
      </c>
      <c r="AP13" s="19" t="n">
        <v>1</v>
      </c>
      <c r="AQ13" s="19" t="n">
        <v>5</v>
      </c>
      <c r="AR13" s="19" t="n">
        <v>0</v>
      </c>
      <c r="AS13" s="19" t="n">
        <v>3</v>
      </c>
      <c r="AT13" s="19" t="n">
        <v>3</v>
      </c>
      <c r="AU13" s="19" t="n">
        <v>3</v>
      </c>
      <c r="AV13" s="19" t="n">
        <v>6</v>
      </c>
      <c r="AW13" s="19" t="n">
        <v>6</v>
      </c>
      <c r="AX13" s="19" t="n">
        <v>0</v>
      </c>
      <c r="AY13" s="19" t="n">
        <v>0</v>
      </c>
      <c r="AZ13" s="19" t="n">
        <v>0</v>
      </c>
      <c r="BA13" s="19" t="n">
        <v>0</v>
      </c>
      <c r="BB13" s="19" t="n">
        <v>1</v>
      </c>
      <c r="BC13" s="19" t="n">
        <v>1</v>
      </c>
      <c r="BD13" s="19" t="n">
        <v>1</v>
      </c>
      <c r="BE13" s="19" t="n">
        <v>5</v>
      </c>
      <c r="BF13" s="19" t="n">
        <v>0</v>
      </c>
      <c r="BG13" s="19" t="n">
        <v>0</v>
      </c>
      <c r="BH13" s="19" t="n">
        <v>0</v>
      </c>
      <c r="BI13" s="19" t="n">
        <v>0</v>
      </c>
      <c r="BJ13" s="19" t="n">
        <v>0</v>
      </c>
      <c r="BK13" s="19" t="n">
        <v>0</v>
      </c>
      <c r="BL13" s="19" t="n">
        <v>0</v>
      </c>
      <c r="BM13" s="19" t="n">
        <v>0</v>
      </c>
      <c r="BN13" s="19" t="n">
        <v>0</v>
      </c>
      <c r="BO13" s="19" t="n">
        <v>0</v>
      </c>
      <c r="BP13" s="19" t="n">
        <v>0</v>
      </c>
      <c r="BQ13" s="19" t="n">
        <v>0</v>
      </c>
      <c r="BR13" s="19" t="n">
        <v>3</v>
      </c>
      <c r="BS13" s="19" t="n">
        <v>2</v>
      </c>
      <c r="BT13" s="19" t="n">
        <v>4</v>
      </c>
      <c r="BU13" s="19" t="n">
        <v>4</v>
      </c>
      <c r="BV13" s="19" t="n">
        <v>4</v>
      </c>
      <c r="BW13" s="19" t="n">
        <v>4</v>
      </c>
      <c r="BX13" s="19" t="n">
        <v>4</v>
      </c>
      <c r="BY13" s="19" t="n">
        <v>4</v>
      </c>
      <c r="BZ13" s="19" t="n">
        <v>3</v>
      </c>
      <c r="CA13" s="19" t="n">
        <v>3</v>
      </c>
      <c r="CB13" s="19" t="n">
        <v>3</v>
      </c>
      <c r="CC13" s="19" t="n">
        <v>5</v>
      </c>
      <c r="CD13" s="19" t="n">
        <v>4</v>
      </c>
      <c r="CE13" s="19" t="n">
        <v>4</v>
      </c>
      <c r="CF13" s="19" t="n">
        <v>5</v>
      </c>
      <c r="CG13" s="19" t="n">
        <v>5</v>
      </c>
      <c r="CH13" s="19" t="n">
        <v>5</v>
      </c>
      <c r="CI13" s="19" t="n">
        <v>5</v>
      </c>
      <c r="CJ13" s="19" t="n">
        <v>5</v>
      </c>
      <c r="CK13" s="19" t="n">
        <v>9</v>
      </c>
      <c r="CL13" s="0" t="s">
        <v>263</v>
      </c>
      <c r="CM13" s="0" t="n">
        <v>55.5</v>
      </c>
      <c r="CN13" s="16" t="n">
        <v>63.8</v>
      </c>
      <c r="CO13" s="16" t="n">
        <v>80.4</v>
      </c>
      <c r="CP13" s="16" t="n">
        <v>27.2</v>
      </c>
      <c r="CQ13" s="0" t="n">
        <v>64.1</v>
      </c>
      <c r="CR13" s="17" t="n">
        <v>0</v>
      </c>
      <c r="CS13" s="0" t="n">
        <v>0</v>
      </c>
      <c r="CT13" s="0" t="n">
        <v>0</v>
      </c>
      <c r="CU13" s="0" t="n">
        <v>35.9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5.71</v>
      </c>
      <c r="DC13" s="0" t="n">
        <v>22.43</v>
      </c>
      <c r="DD13" s="0" t="n">
        <v>14.12</v>
      </c>
      <c r="DE13" s="0" t="n">
        <v>15.78</v>
      </c>
      <c r="DF13" s="0" t="n">
        <v>0</v>
      </c>
      <c r="DG13" s="0" t="n">
        <v>0</v>
      </c>
      <c r="DH13" s="0" t="n">
        <v>0</v>
      </c>
      <c r="DU13" s="0" t="n">
        <v>26.2</v>
      </c>
      <c r="DV13" s="0" t="n">
        <v>1</v>
      </c>
      <c r="DW13" s="0" t="n">
        <v>35</v>
      </c>
      <c r="DX13" s="0" t="n">
        <v>10</v>
      </c>
      <c r="DY13" s="0" t="n">
        <v>9.87</v>
      </c>
      <c r="DZ13" s="0" t="n">
        <v>3</v>
      </c>
      <c r="EA13" s="0" t="n">
        <v>23</v>
      </c>
      <c r="EB13" s="0" t="n">
        <v>4</v>
      </c>
      <c r="EC13" s="0" t="n">
        <v>0.52</v>
      </c>
      <c r="ED13" s="0" t="n">
        <v>3</v>
      </c>
      <c r="EG13" s="20"/>
      <c r="EY13" s="0" t="n">
        <v>0</v>
      </c>
      <c r="GJ13" s="16" t="n">
        <v>0</v>
      </c>
      <c r="GK13" s="16" t="n">
        <v>0</v>
      </c>
      <c r="GL13" s="16"/>
      <c r="GM13" s="16"/>
      <c r="GN13" s="16"/>
      <c r="GO13" s="16"/>
      <c r="GP13" s="16"/>
      <c r="GQ13" s="16"/>
      <c r="GR13" s="16"/>
      <c r="GS13" s="16"/>
      <c r="GT13" s="16"/>
      <c r="GU13" s="16" t="n">
        <v>0</v>
      </c>
      <c r="GV13" s="16" t="n">
        <v>0</v>
      </c>
      <c r="GW13" s="16" t="n">
        <v>0</v>
      </c>
      <c r="GX13" s="16" t="n">
        <v>0</v>
      </c>
      <c r="GY13" s="16" t="n">
        <v>0</v>
      </c>
      <c r="GZ13" s="16" t="n">
        <v>0</v>
      </c>
      <c r="HA13" s="16" t="n">
        <v>0</v>
      </c>
      <c r="HB13" s="0" t="n">
        <v>0</v>
      </c>
      <c r="HC13" s="0" t="s">
        <v>264</v>
      </c>
      <c r="HD13" s="0" t="n">
        <v>43.5</v>
      </c>
      <c r="HE13" s="16" t="n">
        <v>73.2</v>
      </c>
      <c r="HF13" s="16" t="n">
        <v>80.4</v>
      </c>
      <c r="HG13" s="16" t="n">
        <v>12.9</v>
      </c>
      <c r="HH13" s="0" t="n">
        <v>89.25</v>
      </c>
      <c r="HI13" s="17" t="n">
        <v>0</v>
      </c>
      <c r="HJ13" s="0" t="n">
        <v>0</v>
      </c>
      <c r="HK13" s="0" t="n">
        <v>0</v>
      </c>
      <c r="HL13" s="0" t="n">
        <v>10.75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10.43</v>
      </c>
      <c r="HT13" s="0" t="n">
        <v>36.97</v>
      </c>
      <c r="HU13" s="0" t="n">
        <v>24.72</v>
      </c>
      <c r="HV13" s="0" t="n">
        <v>0</v>
      </c>
      <c r="HW13" s="0" t="n">
        <v>0</v>
      </c>
      <c r="HX13" s="0" t="n">
        <v>0</v>
      </c>
      <c r="HY13" s="0" t="n">
        <v>0</v>
      </c>
      <c r="IL13" s="0" t="n">
        <v>21.1</v>
      </c>
      <c r="IM13" s="0" t="n">
        <v>1</v>
      </c>
      <c r="IN13" s="0" t="n">
        <v>35</v>
      </c>
      <c r="IO13" s="0" t="n">
        <v>8</v>
      </c>
      <c r="IP13" s="0" t="n">
        <v>4.44</v>
      </c>
      <c r="IQ13" s="0" t="n">
        <v>3</v>
      </c>
      <c r="IR13" s="0" t="n">
        <v>2</v>
      </c>
      <c r="IS13" s="0" t="n">
        <v>0.27</v>
      </c>
      <c r="IT13" s="0" t="n">
        <v>0.27</v>
      </c>
      <c r="IU13" s="0" t="n">
        <v>1</v>
      </c>
      <c r="IX13" s="20"/>
      <c r="JP13" s="0" t="n">
        <v>0</v>
      </c>
      <c r="LA13" s="16" t="n">
        <v>5.26</v>
      </c>
      <c r="LB13" s="16" t="n">
        <v>1</v>
      </c>
      <c r="LC13" s="16" t="n">
        <v>2</v>
      </c>
      <c r="LD13" s="16"/>
      <c r="LE13" s="16" t="n">
        <f aca="false">3.17+5.42+0.93+0.38+0.56+0.45+0.67</f>
        <v>11.58</v>
      </c>
      <c r="LF13" s="16"/>
      <c r="LG13" s="16"/>
      <c r="LH13" s="16"/>
      <c r="LI13" s="16"/>
      <c r="LJ13" s="16"/>
      <c r="LK13" s="16"/>
      <c r="LL13" s="16" t="n">
        <v>0</v>
      </c>
      <c r="LM13" s="16" t="n">
        <v>0</v>
      </c>
      <c r="LN13" s="16" t="n">
        <v>0</v>
      </c>
      <c r="LO13" s="16" t="n">
        <v>0</v>
      </c>
      <c r="LP13" s="16" t="n">
        <v>0</v>
      </c>
      <c r="LQ13" s="16" t="n">
        <v>0</v>
      </c>
      <c r="LR13" s="16" t="n">
        <v>0</v>
      </c>
      <c r="LS13" s="0" t="n">
        <v>0</v>
      </c>
      <c r="LT13" s="0" t="s">
        <v>265</v>
      </c>
      <c r="LU13" s="0" t="n">
        <v>54</v>
      </c>
      <c r="LV13" s="16" t="n">
        <v>83.5</v>
      </c>
      <c r="LW13" s="16" t="n">
        <v>80.4</v>
      </c>
      <c r="LX13" s="16" t="n">
        <v>20.4</v>
      </c>
      <c r="LY13" s="0" t="n">
        <v>74.42</v>
      </c>
      <c r="LZ13" s="17" t="n">
        <v>0</v>
      </c>
      <c r="MA13" s="0" t="n">
        <v>2</v>
      </c>
      <c r="MB13" s="0" t="n">
        <v>0</v>
      </c>
      <c r="MC13" s="0" t="n">
        <v>23.59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4.19</v>
      </c>
      <c r="MK13" s="0" t="n">
        <v>26.53</v>
      </c>
      <c r="ML13" s="0" t="n">
        <v>20.66</v>
      </c>
      <c r="MM13" s="0" t="n">
        <v>18.9</v>
      </c>
      <c r="MN13" s="0" t="n">
        <v>0</v>
      </c>
      <c r="MO13" s="0" t="n">
        <v>0</v>
      </c>
      <c r="MP13" s="0" t="n">
        <v>0</v>
      </c>
      <c r="NC13" s="0" t="n">
        <v>24.1</v>
      </c>
      <c r="ND13" s="0" t="n">
        <v>1</v>
      </c>
      <c r="NE13" s="0" t="n">
        <v>35</v>
      </c>
      <c r="NF13" s="0" t="n">
        <v>15</v>
      </c>
      <c r="NG13" s="0" t="n">
        <v>6.36</v>
      </c>
      <c r="NH13" s="0" t="n">
        <v>3</v>
      </c>
      <c r="NI13" s="0" t="n">
        <v>23</v>
      </c>
      <c r="NJ13" s="0" t="n">
        <v>2</v>
      </c>
      <c r="NK13" s="0" t="n">
        <v>0.35</v>
      </c>
      <c r="NL13" s="0" t="n">
        <v>3</v>
      </c>
      <c r="NO13" s="20"/>
      <c r="OG13" s="0" t="n">
        <v>0</v>
      </c>
      <c r="PR13" s="16" t="n">
        <v>4.48</v>
      </c>
      <c r="PS13" s="16" t="n">
        <v>1</v>
      </c>
      <c r="PT13" s="16" t="n">
        <v>2</v>
      </c>
      <c r="PU13" s="16"/>
      <c r="PV13" s="16" t="n">
        <f aca="false">3.61+0.31+4.23+0.3+0.22+0.75</f>
        <v>9.42</v>
      </c>
      <c r="PW13" s="16"/>
      <c r="PX13" s="16"/>
      <c r="PY13" s="16"/>
      <c r="PZ13" s="16"/>
      <c r="QA13" s="16"/>
      <c r="QB13" s="16"/>
      <c r="QC13" s="16" t="n">
        <v>0.56</v>
      </c>
      <c r="QD13" s="16" t="n">
        <v>0.27</v>
      </c>
      <c r="QE13" s="16" t="n">
        <v>0</v>
      </c>
      <c r="QF13" s="16" t="n">
        <v>0</v>
      </c>
      <c r="QG13" s="16" t="n">
        <v>0</v>
      </c>
      <c r="QH13" s="16" t="n">
        <v>0</v>
      </c>
      <c r="QI13" s="16" t="n">
        <v>0</v>
      </c>
      <c r="QJ13" s="0" t="n">
        <v>0</v>
      </c>
      <c r="QK13" s="0" t="s">
        <v>266</v>
      </c>
      <c r="QL13" s="0" t="n">
        <v>52.5</v>
      </c>
      <c r="QM13" s="16" t="n">
        <v>94.2</v>
      </c>
      <c r="QN13" s="16" t="n">
        <v>80.4</v>
      </c>
      <c r="QO13" s="16" t="n">
        <v>31.4</v>
      </c>
      <c r="QP13" s="0" t="n">
        <v>61.43</v>
      </c>
      <c r="QQ13" s="17" t="n">
        <v>0</v>
      </c>
      <c r="QR13" s="0" t="n">
        <v>4.57</v>
      </c>
      <c r="QS13" s="0" t="n">
        <v>0</v>
      </c>
      <c r="QT13" s="0" t="n">
        <v>34</v>
      </c>
      <c r="QU13" s="0" t="n">
        <v>0</v>
      </c>
      <c r="QV13" s="0" t="n">
        <v>0</v>
      </c>
      <c r="QW13" s="0" t="n">
        <v>0</v>
      </c>
      <c r="QX13" s="0" t="n">
        <v>0</v>
      </c>
      <c r="QY13" s="0" t="n">
        <v>0</v>
      </c>
      <c r="QZ13" s="0" t="n">
        <v>0</v>
      </c>
      <c r="RA13" s="0" t="n">
        <v>9.9</v>
      </c>
      <c r="RB13" s="0" t="n">
        <v>48.09</v>
      </c>
      <c r="RC13" s="0" t="n">
        <v>33.8</v>
      </c>
      <c r="RD13" s="0" t="n">
        <v>1.01</v>
      </c>
      <c r="RE13" s="0" t="n">
        <v>0</v>
      </c>
      <c r="RF13" s="0" t="n">
        <v>0</v>
      </c>
      <c r="RG13" s="0" t="n">
        <v>0</v>
      </c>
      <c r="RT13" s="0" t="n">
        <v>15.2</v>
      </c>
      <c r="RU13" s="0" t="n">
        <v>1</v>
      </c>
      <c r="RV13" s="0" t="n">
        <v>23</v>
      </c>
      <c r="RW13" s="0" t="n">
        <v>6</v>
      </c>
      <c r="RX13" s="0" t="n">
        <f aca="false">0.65+13+0.11+0.2</f>
        <v>13.96</v>
      </c>
      <c r="RY13" s="0" t="n">
        <v>3</v>
      </c>
      <c r="RZ13" s="0" t="n">
        <v>34</v>
      </c>
      <c r="SA13" s="0" t="n">
        <v>10</v>
      </c>
      <c r="SB13" s="0" t="n">
        <f aca="false">1.3+1.3+0.22+0.22+0.11+0.08</f>
        <v>3.23</v>
      </c>
      <c r="SC13" s="0" t="n">
        <v>3</v>
      </c>
      <c r="SF13" s="20"/>
      <c r="SX13" s="0" t="n">
        <v>0</v>
      </c>
      <c r="UI13" s="16" t="n">
        <v>1.65</v>
      </c>
      <c r="UJ13" s="16" t="n">
        <v>1</v>
      </c>
      <c r="UK13" s="16" t="n">
        <v>1</v>
      </c>
      <c r="UL13" s="16"/>
      <c r="UM13" s="16" t="n">
        <f aca="false">4.23+1.81+0.62+0.62+0.75+0.15+0.45+0.45</f>
        <v>9.08</v>
      </c>
      <c r="UN13" s="16"/>
      <c r="UO13" s="16"/>
      <c r="UP13" s="16"/>
      <c r="UQ13" s="16"/>
      <c r="UR13" s="16"/>
      <c r="US13" s="16"/>
      <c r="UT13" s="16" t="n">
        <v>0.67</v>
      </c>
      <c r="UU13" s="16" t="n">
        <v>0.67</v>
      </c>
      <c r="UV13" s="16" t="n">
        <v>0</v>
      </c>
      <c r="UW13" s="16" t="n">
        <v>0</v>
      </c>
      <c r="UX13" s="16" t="n">
        <v>0</v>
      </c>
      <c r="UY13" s="16" t="n">
        <v>0</v>
      </c>
      <c r="UZ13" s="16" t="n">
        <v>0</v>
      </c>
      <c r="VA13" s="0" t="n">
        <v>0</v>
      </c>
      <c r="VB13" s="0" t="s">
        <v>267</v>
      </c>
      <c r="VC13" s="0" t="n">
        <v>35</v>
      </c>
      <c r="VD13" s="16" t="n">
        <v>83.4</v>
      </c>
      <c r="VE13" s="16" t="n">
        <v>80.4</v>
      </c>
      <c r="VF13" s="16" t="n">
        <v>14.8</v>
      </c>
      <c r="VG13" s="0" t="n">
        <v>89.72</v>
      </c>
      <c r="VH13" s="17" t="n">
        <v>0</v>
      </c>
      <c r="VI13" s="0" t="n">
        <v>10.28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0</v>
      </c>
      <c r="VS13" s="0" t="n">
        <v>36.26</v>
      </c>
      <c r="VT13" s="0" t="n">
        <v>32.65</v>
      </c>
      <c r="VU13" s="0" t="n">
        <v>2.66</v>
      </c>
      <c r="VV13" s="0" t="n">
        <v>0</v>
      </c>
      <c r="VW13" s="0" t="n">
        <v>0</v>
      </c>
      <c r="VX13" s="0" t="n">
        <v>0</v>
      </c>
      <c r="WK13" s="0" t="n">
        <v>14.3</v>
      </c>
      <c r="WL13" s="0" t="n">
        <v>1</v>
      </c>
      <c r="WM13" s="0" t="n">
        <v>35</v>
      </c>
      <c r="WN13" s="0" t="n">
        <v>2</v>
      </c>
      <c r="WO13" s="0" t="n">
        <f aca="false">0.76*4</f>
        <v>3.04</v>
      </c>
      <c r="WP13" s="0" t="n">
        <v>3</v>
      </c>
      <c r="WW13" s="20"/>
      <c r="XO13" s="0" t="n">
        <v>0</v>
      </c>
      <c r="YZ13" s="16" t="n">
        <v>0.75</v>
      </c>
      <c r="ZA13" s="16" t="n">
        <v>1</v>
      </c>
      <c r="ZB13" s="16" t="n">
        <v>1</v>
      </c>
      <c r="ZC13" s="16"/>
      <c r="ZD13" s="16" t="n">
        <f aca="false">3.17+0.56</f>
        <v>3.73</v>
      </c>
      <c r="ZE13" s="16"/>
      <c r="ZF13" s="16"/>
      <c r="ZG13" s="16"/>
      <c r="ZH13" s="16"/>
      <c r="ZI13" s="16"/>
      <c r="ZJ13" s="16"/>
      <c r="ZK13" s="16" t="n">
        <v>0</v>
      </c>
      <c r="ZL13" s="16" t="n">
        <v>0</v>
      </c>
      <c r="ZM13" s="16" t="n">
        <v>0</v>
      </c>
      <c r="ZN13" s="16" t="n">
        <v>0</v>
      </c>
      <c r="ZO13" s="16" t="n">
        <v>0</v>
      </c>
      <c r="ZP13" s="16" t="n">
        <v>0</v>
      </c>
      <c r="ZQ13" s="16" t="n">
        <v>0</v>
      </c>
      <c r="ZR13" s="0" t="n">
        <v>0</v>
      </c>
      <c r="ZS13" s="0" t="s">
        <v>268</v>
      </c>
      <c r="ZT13" s="0" t="n">
        <v>36</v>
      </c>
      <c r="ZU13" s="16" t="n">
        <v>78.8</v>
      </c>
      <c r="ZV13" s="16" t="n">
        <v>80.4</v>
      </c>
      <c r="ZW13" s="16" t="n">
        <v>24.3</v>
      </c>
      <c r="ZX13" s="0" t="n">
        <v>76.76</v>
      </c>
      <c r="ZY13" s="17" t="n">
        <v>0</v>
      </c>
      <c r="ZZ13" s="0" t="n">
        <v>14.09</v>
      </c>
      <c r="AAA13" s="0" t="n">
        <v>0</v>
      </c>
      <c r="AAB13" s="0" t="n">
        <v>9.14</v>
      </c>
      <c r="AAC13" s="0" t="n">
        <v>0</v>
      </c>
      <c r="AAD13" s="0" t="n">
        <v>0</v>
      </c>
      <c r="AAE13" s="0" t="n">
        <v>0</v>
      </c>
      <c r="AAF13" s="0" t="n">
        <v>0</v>
      </c>
      <c r="AAG13" s="0" t="n">
        <v>0</v>
      </c>
      <c r="AAH13" s="0" t="n">
        <v>0</v>
      </c>
      <c r="AAI13" s="0" t="n">
        <v>5.33</v>
      </c>
      <c r="AAJ13" s="0" t="n">
        <v>23.58</v>
      </c>
      <c r="AAK13" s="0" t="n">
        <v>24.45</v>
      </c>
      <c r="AAL13" s="0" t="n">
        <v>15.39</v>
      </c>
      <c r="AAM13" s="0" t="n">
        <v>0</v>
      </c>
      <c r="AAN13" s="0" t="n">
        <v>0</v>
      </c>
      <c r="AAO13" s="0" t="n">
        <v>0</v>
      </c>
      <c r="ABB13" s="0" t="n">
        <v>3.9</v>
      </c>
      <c r="ABC13" s="0" t="n">
        <v>1</v>
      </c>
      <c r="ABD13" s="0" t="n">
        <v>68</v>
      </c>
      <c r="ABE13" s="0" t="n">
        <v>1</v>
      </c>
      <c r="ABF13" s="0" t="n">
        <v>0.19</v>
      </c>
      <c r="ABG13" s="0" t="n">
        <v>1</v>
      </c>
      <c r="ABH13" s="0" t="n">
        <v>35</v>
      </c>
      <c r="ABI13" s="0" t="n">
        <v>5</v>
      </c>
      <c r="ABJ13" s="0" t="n">
        <f aca="false">0.19+0.07+0.13+0.27</f>
        <v>0.66</v>
      </c>
      <c r="ABK13" s="0" t="n">
        <v>1</v>
      </c>
      <c r="ABN13" s="20"/>
      <c r="ACF13" s="0" t="n">
        <v>0</v>
      </c>
      <c r="ADQ13" s="16" t="n">
        <v>0</v>
      </c>
      <c r="ADR13" s="16" t="n">
        <v>0</v>
      </c>
      <c r="ADS13" s="16"/>
      <c r="ADT13" s="16"/>
      <c r="ADU13" s="16"/>
      <c r="ADV13" s="16"/>
      <c r="ADW13" s="16"/>
      <c r="ADX13" s="16"/>
      <c r="ADY13" s="16"/>
      <c r="ADZ13" s="16"/>
      <c r="AEA13" s="16"/>
      <c r="AEB13" s="16" t="n">
        <v>0.56</v>
      </c>
      <c r="AEC13" s="16" t="n">
        <v>0.13</v>
      </c>
      <c r="AED13" s="16" t="n">
        <v>0</v>
      </c>
      <c r="AEE13" s="16" t="n">
        <v>0</v>
      </c>
      <c r="AEF13" s="16" t="n">
        <v>0</v>
      </c>
      <c r="AEG13" s="16" t="n">
        <v>0</v>
      </c>
      <c r="AEH13" s="16" t="n">
        <v>0</v>
      </c>
      <c r="AEI13" s="0" t="n">
        <v>0</v>
      </c>
      <c r="AEJ13" s="0" t="s">
        <v>269</v>
      </c>
      <c r="AEK13" s="0" t="n">
        <v>64.5</v>
      </c>
      <c r="AEL13" s="16" t="n">
        <v>70.6</v>
      </c>
      <c r="AEM13" s="16" t="n">
        <v>80.4</v>
      </c>
      <c r="AEN13" s="16" t="n">
        <v>33.2</v>
      </c>
      <c r="AEO13" s="0" t="n">
        <v>67.02</v>
      </c>
      <c r="AEP13" s="17" t="n">
        <v>0</v>
      </c>
      <c r="AEQ13" s="0" t="n">
        <v>0</v>
      </c>
      <c r="AER13" s="0" t="n">
        <v>0</v>
      </c>
      <c r="AES13" s="0" t="n">
        <v>32.98</v>
      </c>
      <c r="AET13" s="0" t="n">
        <v>0</v>
      </c>
      <c r="AEU13" s="0" t="n">
        <v>0</v>
      </c>
      <c r="AEV13" s="0" t="n">
        <v>0</v>
      </c>
      <c r="AEW13" s="0" t="n">
        <v>0</v>
      </c>
      <c r="AEX13" s="0" t="n">
        <v>0</v>
      </c>
      <c r="AEY13" s="0" t="n">
        <v>0</v>
      </c>
      <c r="AEZ13" s="0" t="n">
        <v>25.74</v>
      </c>
      <c r="AFA13" s="0" t="n">
        <v>7.23</v>
      </c>
      <c r="AFB13" s="0" t="n">
        <v>32.26</v>
      </c>
      <c r="AFC13" s="0" t="n">
        <v>7.81</v>
      </c>
      <c r="AFD13" s="0" t="n">
        <v>0</v>
      </c>
      <c r="AFE13" s="0" t="n">
        <v>0</v>
      </c>
      <c r="AFF13" s="0" t="n">
        <v>0</v>
      </c>
      <c r="AFS13" s="0" t="n">
        <v>24.3</v>
      </c>
      <c r="AFT13" s="0" t="n">
        <v>1</v>
      </c>
      <c r="AFU13" s="0" t="n">
        <v>35</v>
      </c>
      <c r="AFV13" s="0" t="n">
        <v>9</v>
      </c>
      <c r="AFW13" s="0" t="n">
        <f aca="false">0.76+0.76+0.76+0.76+0.27+0.13+0.13+0.05+0.05</f>
        <v>3.67</v>
      </c>
      <c r="AFX13" s="0" t="n">
        <v>3</v>
      </c>
      <c r="AFY13" s="0" t="n">
        <v>47</v>
      </c>
      <c r="AFZ13" s="0" t="n">
        <v>2</v>
      </c>
      <c r="AGA13" s="0" t="n">
        <f aca="false">0.76+0.13</f>
        <v>0.89</v>
      </c>
      <c r="AGB13" s="0" t="n">
        <v>3</v>
      </c>
      <c r="AGE13" s="20"/>
      <c r="AGW13" s="0" t="n">
        <v>0</v>
      </c>
      <c r="AIH13" s="16" t="n">
        <v>0.59</v>
      </c>
      <c r="AII13" s="16" t="n">
        <v>1</v>
      </c>
      <c r="AIJ13" s="16" t="n">
        <v>1</v>
      </c>
      <c r="AIK13" s="16"/>
      <c r="AIL13" s="16" t="n">
        <f aca="false">1.46+0.3</f>
        <v>1.76</v>
      </c>
      <c r="AIM13" s="16"/>
      <c r="AIN13" s="16"/>
      <c r="AIO13" s="16"/>
      <c r="AIP13" s="16"/>
      <c r="AIQ13" s="16"/>
      <c r="AIR13" s="16"/>
      <c r="AIS13" s="16" t="n">
        <v>0</v>
      </c>
      <c r="AIT13" s="16" t="n">
        <v>0</v>
      </c>
      <c r="AIU13" s="16" t="n">
        <v>0</v>
      </c>
      <c r="AIV13" s="16" t="n">
        <v>0</v>
      </c>
      <c r="AIW13" s="16" t="n">
        <v>3.73</v>
      </c>
      <c r="AIX13" s="16" t="n">
        <v>1</v>
      </c>
      <c r="AIY13" s="16" t="n">
        <v>0</v>
      </c>
      <c r="AIZ13" s="0" t="n">
        <v>0</v>
      </c>
      <c r="AJA13" s="0" t="s">
        <v>270</v>
      </c>
      <c r="AJB13" s="0" t="n">
        <v>35.5</v>
      </c>
      <c r="AJC13" s="16" t="n">
        <v>74</v>
      </c>
      <c r="AJD13" s="16" t="n">
        <v>80.4</v>
      </c>
      <c r="AJE13" s="16" t="n">
        <v>15.3</v>
      </c>
      <c r="AJF13" s="0" t="n">
        <v>86.79</v>
      </c>
      <c r="AJG13" s="17" t="n">
        <v>0</v>
      </c>
      <c r="AJH13" s="0" t="n">
        <v>0</v>
      </c>
      <c r="AJI13" s="0" t="n">
        <v>0</v>
      </c>
      <c r="AJJ13" s="0" t="n">
        <v>13.16</v>
      </c>
      <c r="AJK13" s="0" t="n">
        <v>0</v>
      </c>
      <c r="AJL13" s="0" t="n">
        <v>0</v>
      </c>
      <c r="AJM13" s="0" t="n">
        <v>0</v>
      </c>
      <c r="AJN13" s="0" t="n">
        <v>0</v>
      </c>
      <c r="AJO13" s="0" t="n">
        <v>0</v>
      </c>
      <c r="AJP13" s="0" t="n">
        <v>0</v>
      </c>
      <c r="AJQ13" s="0" t="n">
        <v>10.75</v>
      </c>
      <c r="AJR13" s="0" t="n">
        <v>44.32</v>
      </c>
      <c r="AJS13" s="0" t="n">
        <v>19.61</v>
      </c>
      <c r="AJT13" s="0" t="n">
        <v>0.08</v>
      </c>
      <c r="AJU13" s="0" t="n">
        <v>0</v>
      </c>
      <c r="AJV13" s="0" t="n">
        <v>0</v>
      </c>
      <c r="AJW13" s="0" t="n">
        <v>0</v>
      </c>
      <c r="AKJ13" s="0" t="n">
        <v>15.4</v>
      </c>
      <c r="AKK13" s="0" t="n">
        <v>1</v>
      </c>
      <c r="AKL13" s="0" t="n">
        <v>35</v>
      </c>
      <c r="AKM13" s="0" t="n">
        <v>4</v>
      </c>
      <c r="AKN13" s="0" t="n">
        <f aca="false">0.76+0.76+0.13+0.13</f>
        <v>1.78</v>
      </c>
      <c r="AKO13" s="0" t="n">
        <v>3</v>
      </c>
      <c r="AKP13" s="0" t="n">
        <v>47</v>
      </c>
      <c r="AKQ13" s="0" t="n">
        <v>2</v>
      </c>
      <c r="AKR13" s="0" t="n">
        <f aca="false">0.76+0.13</f>
        <v>0.89</v>
      </c>
      <c r="AKS13" s="0" t="n">
        <v>3</v>
      </c>
      <c r="AKV13" s="20"/>
      <c r="ALN13" s="0" t="n">
        <v>0</v>
      </c>
    </row>
    <row r="14" customFormat="false" ht="13.8" hidden="false" customHeight="false" outlineLevel="0" collapsed="false">
      <c r="A14" s="1" t="s">
        <v>271</v>
      </c>
      <c r="B14" s="12" t="n">
        <v>42886</v>
      </c>
      <c r="C14" s="0" t="n">
        <v>2</v>
      </c>
      <c r="D14" s="13" t="n">
        <v>39118</v>
      </c>
      <c r="E14" s="12" t="n">
        <v>28944</v>
      </c>
      <c r="F14" s="14" t="n">
        <f aca="false">(B14-E14)/365.25</f>
        <v>38.1711156741958</v>
      </c>
      <c r="G14" s="14" t="n">
        <f aca="false">(B14-D14)/365.25</f>
        <v>10.3162217659138</v>
      </c>
      <c r="H14" s="21" t="s">
        <v>217</v>
      </c>
      <c r="I14" s="15" t="s">
        <v>272</v>
      </c>
      <c r="J14" s="21" t="s">
        <v>183</v>
      </c>
      <c r="K14" s="21" t="n">
        <v>8</v>
      </c>
      <c r="L14" s="19" t="n">
        <v>83</v>
      </c>
      <c r="M14" s="0" t="n">
        <v>1.77</v>
      </c>
      <c r="N14" s="16" t="n">
        <f aca="false">L14/(M14*M14)</f>
        <v>26.4930256312043</v>
      </c>
      <c r="O14" s="19" t="n">
        <v>0</v>
      </c>
      <c r="P14" s="19" t="n">
        <v>0</v>
      </c>
      <c r="Q14" s="19" t="n">
        <v>0</v>
      </c>
      <c r="R14" s="19" t="n">
        <v>0</v>
      </c>
      <c r="S14" s="19" t="n">
        <v>0</v>
      </c>
      <c r="T14" s="19" t="n">
        <v>0</v>
      </c>
      <c r="U14" s="19" t="n">
        <v>0</v>
      </c>
      <c r="V14" s="19" t="n">
        <v>0</v>
      </c>
      <c r="W14" s="19" t="n">
        <v>0</v>
      </c>
      <c r="X14" s="19" t="n">
        <v>0</v>
      </c>
      <c r="Y14" s="19" t="n">
        <v>1</v>
      </c>
      <c r="Z14" s="19" t="n">
        <v>1</v>
      </c>
      <c r="AA14" s="19" t="n">
        <v>40</v>
      </c>
      <c r="AB14" s="19" t="s">
        <v>273</v>
      </c>
      <c r="AC14" s="19" t="n">
        <v>0</v>
      </c>
      <c r="AD14" s="19" t="n">
        <v>0</v>
      </c>
      <c r="AE14" s="19" t="n">
        <v>0</v>
      </c>
      <c r="AF14" s="19" t="n">
        <v>0</v>
      </c>
      <c r="AG14" s="19" t="n">
        <v>0</v>
      </c>
      <c r="AH14" s="19" t="n">
        <v>0</v>
      </c>
      <c r="AI14" s="19" t="n">
        <v>0</v>
      </c>
      <c r="AJ14" s="19" t="n">
        <v>0</v>
      </c>
      <c r="AK14" s="19" t="n">
        <v>0</v>
      </c>
      <c r="AL14" s="19" t="n">
        <v>0</v>
      </c>
      <c r="AM14" s="19" t="n">
        <v>0</v>
      </c>
      <c r="AN14" s="19" t="n">
        <v>0</v>
      </c>
      <c r="AO14" s="19" t="n">
        <v>0</v>
      </c>
      <c r="AP14" s="19" t="n">
        <v>0</v>
      </c>
      <c r="AQ14" s="19" t="n">
        <v>0</v>
      </c>
      <c r="AR14" s="19" t="n">
        <v>0</v>
      </c>
      <c r="AS14" s="19" t="n">
        <v>0</v>
      </c>
      <c r="AT14" s="19" t="n">
        <v>0</v>
      </c>
      <c r="AU14" s="19" t="n">
        <v>0</v>
      </c>
      <c r="AV14" s="19" t="n">
        <v>0</v>
      </c>
      <c r="AW14" s="19" t="n">
        <v>0</v>
      </c>
      <c r="AX14" s="19" t="n">
        <v>0</v>
      </c>
      <c r="AY14" s="19" t="n">
        <v>0</v>
      </c>
      <c r="AZ14" s="19" t="n">
        <v>0</v>
      </c>
      <c r="BA14" s="19" t="n">
        <v>0</v>
      </c>
      <c r="BB14" s="19" t="n">
        <v>0</v>
      </c>
      <c r="BC14" s="19" t="n">
        <v>0</v>
      </c>
      <c r="BD14" s="19" t="n">
        <v>0</v>
      </c>
      <c r="BE14" s="19" t="n">
        <v>0</v>
      </c>
      <c r="BF14" s="19" t="n">
        <v>0</v>
      </c>
      <c r="BG14" s="19" t="n">
        <v>0</v>
      </c>
      <c r="BH14" s="19" t="n">
        <v>0</v>
      </c>
      <c r="BI14" s="19" t="n">
        <v>0</v>
      </c>
      <c r="BJ14" s="19" t="n">
        <v>0</v>
      </c>
      <c r="BK14" s="19" t="n">
        <v>0</v>
      </c>
      <c r="BL14" s="19" t="n">
        <v>0</v>
      </c>
      <c r="BM14" s="19" t="n">
        <v>0</v>
      </c>
      <c r="BN14" s="19" t="n">
        <v>0</v>
      </c>
      <c r="BO14" s="19" t="n">
        <v>0</v>
      </c>
      <c r="BP14" s="19" t="n">
        <v>0</v>
      </c>
      <c r="BQ14" s="19" t="n">
        <v>0</v>
      </c>
      <c r="BR14" s="19" t="n">
        <v>3</v>
      </c>
      <c r="BS14" s="19" t="n">
        <v>3</v>
      </c>
      <c r="BT14" s="19" t="n">
        <v>3</v>
      </c>
      <c r="BU14" s="19" t="n">
        <v>5</v>
      </c>
      <c r="BV14" s="19" t="n">
        <v>3</v>
      </c>
      <c r="BW14" s="19" t="n">
        <v>2</v>
      </c>
      <c r="BX14" s="19" t="n">
        <v>5</v>
      </c>
      <c r="BY14" s="19" t="n">
        <v>5</v>
      </c>
      <c r="BZ14" s="19" t="n">
        <v>5</v>
      </c>
      <c r="CA14" s="19" t="n">
        <v>4</v>
      </c>
      <c r="CB14" s="19" t="n">
        <v>4</v>
      </c>
      <c r="CC14" s="19" t="n">
        <v>5</v>
      </c>
      <c r="CD14" s="19" t="n">
        <v>3</v>
      </c>
      <c r="CE14" s="19" t="n">
        <v>4</v>
      </c>
      <c r="CF14" s="19" t="n">
        <v>4</v>
      </c>
      <c r="CG14" s="19" t="n">
        <v>4</v>
      </c>
      <c r="CH14" s="19" t="n">
        <v>4</v>
      </c>
      <c r="CI14" s="19" t="n">
        <v>4</v>
      </c>
      <c r="CJ14" s="19" t="n">
        <v>4</v>
      </c>
      <c r="CK14" s="19" t="n">
        <v>10</v>
      </c>
      <c r="CL14" s="0" t="s">
        <v>274</v>
      </c>
      <c r="CM14" s="0" t="n">
        <v>19.5</v>
      </c>
      <c r="CN14" s="16" t="n">
        <v>74.3</v>
      </c>
      <c r="CO14" s="16" t="n">
        <v>80.4</v>
      </c>
      <c r="CP14" s="16" t="n">
        <v>7.8</v>
      </c>
      <c r="CQ14" s="0" t="n">
        <v>89.52</v>
      </c>
      <c r="CR14" s="0" t="n">
        <v>8.69</v>
      </c>
      <c r="CS14" s="0" t="n">
        <v>1.79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18.73</v>
      </c>
      <c r="DD14" s="0" t="n">
        <v>9.35</v>
      </c>
      <c r="DE14" s="0" t="n">
        <v>0</v>
      </c>
      <c r="DF14" s="0" t="n">
        <v>0</v>
      </c>
      <c r="DG14" s="0" t="n">
        <v>0</v>
      </c>
      <c r="DU14" s="0" t="n">
        <v>3.92</v>
      </c>
      <c r="DV14" s="0" t="n">
        <v>1</v>
      </c>
      <c r="DW14" s="0" t="n">
        <v>52</v>
      </c>
      <c r="DX14" s="0" t="n">
        <v>4</v>
      </c>
      <c r="DY14" s="0" t="n">
        <f aca="false">1.01*2+0.56+0.9</f>
        <v>3.48</v>
      </c>
      <c r="DZ14" s="0" t="n">
        <v>2</v>
      </c>
      <c r="EG14" s="18"/>
      <c r="EY14" s="0" t="n">
        <v>1</v>
      </c>
      <c r="EZ14" s="0" t="n">
        <v>50</v>
      </c>
      <c r="FA14" s="0" t="n">
        <v>1</v>
      </c>
      <c r="FB14" s="0" t="n">
        <v>1.9</v>
      </c>
      <c r="FC14" s="0" t="n">
        <v>3</v>
      </c>
      <c r="GJ14" s="16" t="n">
        <v>2.24</v>
      </c>
      <c r="GK14" s="16" t="n">
        <v>1</v>
      </c>
      <c r="GL14" s="16" t="n">
        <v>2</v>
      </c>
      <c r="GM14" s="16"/>
      <c r="GN14" s="16" t="n">
        <f aca="false">1.87*2</f>
        <v>3.74</v>
      </c>
      <c r="GO14" s="16"/>
      <c r="GP14" s="16"/>
      <c r="GQ14" s="16"/>
      <c r="GR14" s="16"/>
      <c r="GS14" s="16"/>
      <c r="GT14" s="16"/>
      <c r="GU14" s="16" t="n">
        <v>5.49</v>
      </c>
      <c r="GV14" s="16" t="n">
        <f aca="false">1.01*2+0.56+1.87*2+0.9</f>
        <v>7.22</v>
      </c>
      <c r="GW14" s="16"/>
      <c r="GX14" s="16"/>
      <c r="GY14" s="16" t="n">
        <v>0</v>
      </c>
      <c r="GZ14" s="16" t="n">
        <v>0</v>
      </c>
      <c r="HA14" s="16" t="n">
        <v>0</v>
      </c>
      <c r="HB14" s="0" t="n">
        <v>0</v>
      </c>
      <c r="HC14" s="0" t="s">
        <v>275</v>
      </c>
      <c r="HD14" s="0" t="n">
        <v>19.5</v>
      </c>
      <c r="HE14" s="16" t="n">
        <v>74.6</v>
      </c>
      <c r="HF14" s="16" t="n">
        <v>80.4</v>
      </c>
      <c r="HG14" s="16" t="n">
        <v>7.8</v>
      </c>
      <c r="HH14" s="0" t="n">
        <v>89.29</v>
      </c>
      <c r="HI14" s="0" t="n">
        <v>8.92</v>
      </c>
      <c r="HJ14" s="0" t="n">
        <v>1.79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18.95</v>
      </c>
      <c r="HU14" s="0" t="n">
        <v>9.35</v>
      </c>
      <c r="HV14" s="0" t="n">
        <v>0</v>
      </c>
      <c r="HW14" s="0" t="n">
        <v>0</v>
      </c>
      <c r="HX14" s="0" t="n">
        <v>0</v>
      </c>
      <c r="IL14" s="0" t="n">
        <v>3.9</v>
      </c>
      <c r="IM14" s="0" t="n">
        <v>1</v>
      </c>
      <c r="IN14" s="0" t="n">
        <v>52</v>
      </c>
      <c r="IO14" s="0" t="n">
        <v>4</v>
      </c>
      <c r="IP14" s="0" t="n">
        <f aca="false">1.01*2+0.56+0.9</f>
        <v>3.48</v>
      </c>
      <c r="IQ14" s="0" t="n">
        <v>3</v>
      </c>
      <c r="IX14" s="18"/>
      <c r="JP14" s="0" t="n">
        <v>1</v>
      </c>
      <c r="JQ14" s="0" t="n">
        <v>50</v>
      </c>
      <c r="JR14" s="0" t="n">
        <v>1</v>
      </c>
      <c r="JS14" s="0" t="n">
        <v>1.9</v>
      </c>
      <c r="JT14" s="0" t="n">
        <v>3</v>
      </c>
      <c r="LA14" s="16" t="n">
        <v>2.24</v>
      </c>
      <c r="LB14" s="16" t="n">
        <v>1</v>
      </c>
      <c r="LC14" s="16" t="n">
        <v>2</v>
      </c>
      <c r="LD14" s="16"/>
      <c r="LE14" s="16" t="n">
        <f aca="false">1.87*2</f>
        <v>3.74</v>
      </c>
      <c r="LF14" s="16"/>
      <c r="LG14" s="16"/>
      <c r="LH14" s="16"/>
      <c r="LI14" s="16"/>
      <c r="LJ14" s="16"/>
      <c r="LK14" s="16"/>
      <c r="LL14" s="16" t="n">
        <v>6.49</v>
      </c>
      <c r="LM14" s="16" t="n">
        <f aca="false">1.01*2+0.56+1.87*2+0.9</f>
        <v>7.22</v>
      </c>
      <c r="LN14" s="16"/>
      <c r="LO14" s="16"/>
      <c r="LP14" s="16" t="n">
        <v>0</v>
      </c>
      <c r="LQ14" s="16" t="n">
        <v>0</v>
      </c>
      <c r="LR14" s="16" t="n">
        <v>0</v>
      </c>
      <c r="LS14" s="0" t="n">
        <v>0</v>
      </c>
      <c r="LT14" s="0" t="s">
        <v>276</v>
      </c>
      <c r="LU14" s="0" t="n">
        <v>22.5</v>
      </c>
      <c r="LV14" s="16" t="n">
        <v>73.4</v>
      </c>
      <c r="LW14" s="16" t="n">
        <v>80.4</v>
      </c>
      <c r="LX14" s="16" t="n">
        <v>10.4</v>
      </c>
      <c r="LY14" s="0" t="n">
        <v>88.12</v>
      </c>
      <c r="LZ14" s="0" t="n">
        <v>6.29</v>
      </c>
      <c r="MA14" s="0" t="n">
        <v>4.25</v>
      </c>
      <c r="MB14" s="0" t="n">
        <v>0</v>
      </c>
      <c r="MC14" s="0" t="n">
        <v>1.34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2.46</v>
      </c>
      <c r="ML14" s="0" t="n">
        <v>13.2</v>
      </c>
      <c r="MM14" s="0" t="n">
        <v>0</v>
      </c>
      <c r="MN14" s="0" t="n">
        <v>0</v>
      </c>
      <c r="MO14" s="0" t="n">
        <v>0</v>
      </c>
      <c r="NC14" s="0" t="n">
        <v>0</v>
      </c>
      <c r="NO14" s="18"/>
      <c r="PR14" s="16" t="n">
        <v>2.24</v>
      </c>
      <c r="PS14" s="16" t="n">
        <v>1</v>
      </c>
      <c r="PT14" s="16" t="n">
        <v>2</v>
      </c>
      <c r="PU14" s="16" t="n">
        <v>3.73</v>
      </c>
      <c r="PV14" s="16"/>
      <c r="PW14" s="16"/>
      <c r="PX14" s="16"/>
      <c r="PY14" s="16"/>
      <c r="PZ14" s="16"/>
      <c r="QA14" s="16"/>
      <c r="QB14" s="16"/>
      <c r="QC14" s="16" t="n">
        <v>9.68</v>
      </c>
      <c r="QD14" s="16" t="n">
        <f aca="false">2.01+1.34+2.69+3.73+0.81</f>
        <v>10.58</v>
      </c>
      <c r="QE14" s="16"/>
      <c r="QF14" s="16"/>
      <c r="QG14" s="16" t="n">
        <v>0</v>
      </c>
      <c r="QH14" s="16" t="n">
        <v>0</v>
      </c>
      <c r="QI14" s="16" t="n">
        <v>0.16</v>
      </c>
      <c r="QJ14" s="0" t="n">
        <v>0</v>
      </c>
      <c r="QK14" s="0" t="s">
        <v>277</v>
      </c>
      <c r="QL14" s="0" t="n">
        <v>29.5</v>
      </c>
      <c r="QM14" s="16" t="n">
        <v>53.8</v>
      </c>
      <c r="QN14" s="16" t="n">
        <v>80.4</v>
      </c>
      <c r="QO14" s="16" t="n">
        <v>12.1</v>
      </c>
      <c r="QP14" s="0" t="n">
        <v>86.6</v>
      </c>
      <c r="QQ14" s="0" t="n">
        <v>8.48</v>
      </c>
      <c r="QR14" s="0" t="n">
        <v>4.93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2.02</v>
      </c>
      <c r="RC14" s="0" t="n">
        <v>19.56</v>
      </c>
      <c r="RD14" s="0" t="n">
        <v>0.25</v>
      </c>
      <c r="RE14" s="0" t="n">
        <v>0</v>
      </c>
      <c r="RF14" s="0" t="n">
        <v>0</v>
      </c>
      <c r="RG14" s="0" t="n">
        <v>0</v>
      </c>
      <c r="RH14" s="0" t="n">
        <v>0</v>
      </c>
      <c r="RN14" s="0" t="n">
        <v>0</v>
      </c>
      <c r="RT14" s="0" t="n">
        <v>0</v>
      </c>
      <c r="RU14" s="0" t="n">
        <v>0</v>
      </c>
      <c r="SF14" s="18"/>
      <c r="SX14" s="0" t="n">
        <v>0</v>
      </c>
      <c r="UI14" s="16" t="n">
        <v>6.72</v>
      </c>
      <c r="UJ14" s="16" t="n">
        <v>1</v>
      </c>
      <c r="UK14" s="16" t="n">
        <v>2</v>
      </c>
      <c r="UL14" s="16"/>
      <c r="UM14" s="16" t="n">
        <f aca="false">3.73*3</f>
        <v>11.19</v>
      </c>
      <c r="UN14" s="16"/>
      <c r="UO14" s="16"/>
      <c r="UP14" s="16"/>
      <c r="UQ14" s="16"/>
      <c r="UR14" s="16"/>
      <c r="US14" s="16"/>
      <c r="UT14" s="16" t="n">
        <v>10.6</v>
      </c>
      <c r="UU14" s="16" t="n">
        <v>12.44</v>
      </c>
      <c r="UV14" s="16"/>
      <c r="UW14" s="16"/>
      <c r="UX14" s="16" t="n">
        <v>0</v>
      </c>
      <c r="UY14" s="16" t="n">
        <v>0</v>
      </c>
      <c r="UZ14" s="16" t="n">
        <v>0</v>
      </c>
      <c r="VA14" s="0" t="n">
        <v>0</v>
      </c>
      <c r="VB14" s="0" t="s">
        <v>278</v>
      </c>
      <c r="VC14" s="0" t="n">
        <v>51.5</v>
      </c>
      <c r="VD14" s="16" t="n">
        <v>63.4</v>
      </c>
      <c r="VE14" s="16" t="n">
        <v>80.4</v>
      </c>
      <c r="VF14" s="16" t="n">
        <v>18.1</v>
      </c>
      <c r="VG14" s="0" t="n">
        <v>83.5</v>
      </c>
      <c r="VH14" s="0" t="n">
        <v>5.36</v>
      </c>
      <c r="VI14" s="0" t="n">
        <v>8.46</v>
      </c>
      <c r="VJ14" s="0" t="n">
        <v>0</v>
      </c>
      <c r="VK14" s="0" t="n">
        <v>2.69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0.99</v>
      </c>
      <c r="VT14" s="0" t="n">
        <v>13.55</v>
      </c>
      <c r="VU14" s="0" t="n">
        <v>16.2</v>
      </c>
      <c r="VV14" s="0" t="n">
        <v>0</v>
      </c>
      <c r="VW14" s="0" t="n">
        <v>0</v>
      </c>
      <c r="VX14" s="0" t="n">
        <v>0</v>
      </c>
      <c r="WK14" s="0" t="n">
        <v>18.4</v>
      </c>
      <c r="WL14" s="0" t="n">
        <v>1</v>
      </c>
      <c r="WM14" s="0" t="n">
        <v>47</v>
      </c>
      <c r="WN14" s="0" t="n">
        <v>1</v>
      </c>
      <c r="WO14" s="0" t="n">
        <v>0.9</v>
      </c>
      <c r="WP14" s="0" t="n">
        <v>3</v>
      </c>
      <c r="WQ14" s="0" t="n">
        <v>35</v>
      </c>
      <c r="WR14" s="0" t="n">
        <v>3</v>
      </c>
      <c r="WS14" s="0" t="n">
        <f aca="false">0.94</f>
        <v>0.94</v>
      </c>
      <c r="WT14" s="0" t="n">
        <v>3</v>
      </c>
      <c r="WU14" s="0" t="n">
        <v>68</v>
      </c>
      <c r="WV14" s="0" t="n">
        <v>1</v>
      </c>
      <c r="WW14" s="18" t="n">
        <v>6.22</v>
      </c>
      <c r="WX14" s="0" t="n">
        <v>1</v>
      </c>
      <c r="XO14" s="0" t="n">
        <v>0</v>
      </c>
      <c r="YZ14" s="16" t="n">
        <v>3.75</v>
      </c>
      <c r="ZA14" s="16" t="n">
        <v>1</v>
      </c>
      <c r="ZB14" s="16" t="n">
        <v>1</v>
      </c>
      <c r="ZC14" s="16"/>
      <c r="ZD14" s="16" t="n">
        <f aca="false">2.49+0.05+0.03</f>
        <v>2.57</v>
      </c>
      <c r="ZE14" s="16" t="n">
        <v>2</v>
      </c>
      <c r="ZF14" s="16"/>
      <c r="ZG14" s="16" t="n">
        <v>2.49</v>
      </c>
      <c r="ZH14" s="16"/>
      <c r="ZI14" s="16"/>
      <c r="ZJ14" s="16"/>
      <c r="ZK14" s="16" t="n">
        <v>11.1</v>
      </c>
      <c r="ZL14" s="16" t="n">
        <v>18.47</v>
      </c>
      <c r="ZM14" s="16"/>
      <c r="ZN14" s="16"/>
      <c r="ZO14" s="16" t="n">
        <v>0</v>
      </c>
      <c r="ZP14" s="16" t="n">
        <v>0</v>
      </c>
      <c r="ZQ14" s="16" t="n">
        <v>0</v>
      </c>
      <c r="ZR14" s="0" t="n">
        <v>0</v>
      </c>
      <c r="ZS14" s="0" t="s">
        <v>279</v>
      </c>
      <c r="ZT14" s="0" t="n">
        <v>33.5</v>
      </c>
      <c r="ZU14" s="16" t="n">
        <v>54</v>
      </c>
      <c r="ZV14" s="16" t="n">
        <v>80.4</v>
      </c>
      <c r="ZW14" s="16" t="n">
        <v>9.6</v>
      </c>
      <c r="ZX14" s="0" t="n">
        <v>86.69</v>
      </c>
      <c r="ZY14" s="0" t="n">
        <v>8.34</v>
      </c>
      <c r="ZZ14" s="0" t="n">
        <v>4.97</v>
      </c>
      <c r="AAA14" s="0" t="n">
        <v>0</v>
      </c>
      <c r="AAB14" s="0" t="n">
        <v>0</v>
      </c>
      <c r="AAC14" s="0" t="n">
        <v>0</v>
      </c>
      <c r="AAD14" s="0" t="n">
        <v>0</v>
      </c>
      <c r="AAE14" s="0" t="n">
        <v>0</v>
      </c>
      <c r="AAF14" s="0" t="n">
        <v>0</v>
      </c>
      <c r="AAG14" s="0" t="n">
        <v>0</v>
      </c>
      <c r="AAH14" s="0" t="n">
        <v>0</v>
      </c>
      <c r="AAI14" s="0" t="n">
        <v>0</v>
      </c>
      <c r="AAJ14" s="0" t="n">
        <v>12.83</v>
      </c>
      <c r="AAK14" s="0" t="n">
        <v>6.09</v>
      </c>
      <c r="AAL14" s="0" t="n">
        <v>0</v>
      </c>
      <c r="AAM14" s="0" t="n">
        <v>0</v>
      </c>
      <c r="AAN14" s="0" t="n">
        <v>0</v>
      </c>
      <c r="AAO14" s="0" t="n">
        <v>0</v>
      </c>
      <c r="ABB14" s="0" t="n">
        <v>11.3</v>
      </c>
      <c r="ABC14" s="0" t="n">
        <v>1</v>
      </c>
      <c r="ABD14" s="0" t="n">
        <v>47</v>
      </c>
      <c r="ABE14" s="0" t="n">
        <v>1</v>
      </c>
      <c r="ABF14" s="0" t="n">
        <v>0.9</v>
      </c>
      <c r="ABG14" s="0" t="n">
        <v>3</v>
      </c>
      <c r="ABH14" s="0" t="n">
        <v>35</v>
      </c>
      <c r="ABI14" s="0" t="n">
        <v>2</v>
      </c>
      <c r="ABJ14" s="0" t="n">
        <v>0.92</v>
      </c>
      <c r="ABK14" s="0" t="n">
        <v>3</v>
      </c>
      <c r="ABN14" s="18"/>
      <c r="ACF14" s="0" t="n">
        <v>0</v>
      </c>
      <c r="ADQ14" s="16" t="n">
        <v>3.75</v>
      </c>
      <c r="ADR14" s="16" t="n">
        <v>1</v>
      </c>
      <c r="ADS14" s="16" t="n">
        <v>1</v>
      </c>
      <c r="ADT14" s="16"/>
      <c r="ADU14" s="16" t="n">
        <f aca="false">2.49+0.05+0.03</f>
        <v>2.57</v>
      </c>
      <c r="ADV14" s="16" t="n">
        <v>2</v>
      </c>
      <c r="ADW14" s="16"/>
      <c r="ADX14" s="16" t="n">
        <v>2.49</v>
      </c>
      <c r="ADY14" s="16"/>
      <c r="ADZ14" s="16"/>
      <c r="AEA14" s="16"/>
      <c r="AEB14" s="16" t="n">
        <v>8.81</v>
      </c>
      <c r="AEC14" s="16" t="n">
        <v>6.01</v>
      </c>
      <c r="AED14" s="16"/>
      <c r="AEE14" s="16"/>
      <c r="AEF14" s="16" t="n">
        <v>0</v>
      </c>
      <c r="AEG14" s="16" t="n">
        <v>0</v>
      </c>
      <c r="AEH14" s="16" t="n">
        <v>0</v>
      </c>
      <c r="AEI14" s="0" t="n">
        <v>0</v>
      </c>
      <c r="AEJ14" s="0" t="s">
        <v>280</v>
      </c>
      <c r="AEK14" s="0" t="n">
        <v>79</v>
      </c>
      <c r="AEL14" s="16" t="n">
        <v>63.9</v>
      </c>
      <c r="AEM14" s="16" t="n">
        <v>80.4</v>
      </c>
      <c r="AEN14" s="16" t="n">
        <v>11.2</v>
      </c>
      <c r="AEO14" s="0" t="n">
        <v>77.43</v>
      </c>
      <c r="AEP14" s="0" t="n">
        <v>22.57</v>
      </c>
      <c r="AEQ14" s="0" t="n">
        <v>0</v>
      </c>
      <c r="AER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EZ14" s="0" t="n">
        <v>0</v>
      </c>
      <c r="AFA14" s="0" t="n">
        <v>0</v>
      </c>
      <c r="AFB14" s="0" t="n">
        <v>45.87</v>
      </c>
      <c r="AFC14" s="0" t="n">
        <v>0</v>
      </c>
      <c r="AFD14" s="0" t="n">
        <v>0</v>
      </c>
      <c r="AFE14" s="0" t="n">
        <v>0</v>
      </c>
      <c r="AFF14" s="0" t="n">
        <v>0</v>
      </c>
      <c r="AFS14" s="0" t="n">
        <v>56.3</v>
      </c>
      <c r="AFT14" s="0" t="n">
        <v>1</v>
      </c>
      <c r="AFU14" s="0" t="n">
        <v>47</v>
      </c>
      <c r="AFV14" s="0" t="n">
        <v>18</v>
      </c>
      <c r="AFW14" s="0" t="n">
        <f aca="false">13.43+9.14</f>
        <v>22.57</v>
      </c>
      <c r="AFX14" s="0" t="n">
        <v>3</v>
      </c>
      <c r="AGE14" s="18"/>
      <c r="AGW14" s="0" t="n">
        <v>0</v>
      </c>
      <c r="AIH14" s="16" t="n">
        <v>0</v>
      </c>
      <c r="AII14" s="16" t="n">
        <v>0</v>
      </c>
      <c r="AIJ14" s="16"/>
      <c r="AIK14" s="16"/>
      <c r="AIL14" s="16"/>
      <c r="AIM14" s="16"/>
      <c r="AIN14" s="16"/>
      <c r="AIO14" s="16"/>
      <c r="AIP14" s="16"/>
      <c r="AIQ14" s="16"/>
      <c r="AIR14" s="16"/>
      <c r="AIS14" s="16" t="n">
        <v>11.54</v>
      </c>
      <c r="AIT14" s="16" t="n">
        <v>22.57</v>
      </c>
      <c r="AIU14" s="16"/>
      <c r="AIV14" s="16"/>
      <c r="AIW14" s="16" t="n">
        <v>0</v>
      </c>
      <c r="AIX14" s="16" t="n">
        <v>0</v>
      </c>
      <c r="AIY14" s="16" t="n">
        <v>0</v>
      </c>
      <c r="AIZ14" s="0" t="n">
        <v>0</v>
      </c>
      <c r="AJA14" s="0" t="s">
        <v>281</v>
      </c>
      <c r="AJB14" s="0" t="n">
        <v>42.5</v>
      </c>
      <c r="AJC14" s="16" t="n">
        <v>76.4</v>
      </c>
      <c r="AJD14" s="16" t="n">
        <v>80.4</v>
      </c>
      <c r="AJE14" s="16" t="n">
        <v>15.3</v>
      </c>
      <c r="AJF14" s="0" t="n">
        <v>73.6</v>
      </c>
      <c r="AJG14" s="0" t="n">
        <v>20.42</v>
      </c>
      <c r="AJH14" s="0" t="n">
        <v>3.69</v>
      </c>
      <c r="AJI14" s="0" t="n">
        <v>0</v>
      </c>
      <c r="AJJ14" s="0" t="n">
        <v>2.28</v>
      </c>
      <c r="AJK14" s="0" t="n">
        <v>0</v>
      </c>
      <c r="AJL14" s="0" t="n">
        <v>0</v>
      </c>
      <c r="AJM14" s="0" t="n">
        <v>0</v>
      </c>
      <c r="AJN14" s="0" t="n">
        <v>0</v>
      </c>
      <c r="AJO14" s="0" t="n">
        <v>0</v>
      </c>
      <c r="AJP14" s="0" t="n">
        <v>0</v>
      </c>
      <c r="AJQ14" s="0" t="n">
        <v>0</v>
      </c>
      <c r="AJR14" s="0" t="n">
        <v>0</v>
      </c>
      <c r="AJS14" s="0" t="n">
        <v>35.36</v>
      </c>
      <c r="AJT14" s="0" t="n">
        <v>16.37</v>
      </c>
      <c r="AJU14" s="0" t="n">
        <v>0</v>
      </c>
      <c r="AJV14" s="0" t="n">
        <v>4.4</v>
      </c>
      <c r="AJW14" s="0" t="n">
        <v>2</v>
      </c>
      <c r="AJX14" s="0" t="n">
        <v>10</v>
      </c>
      <c r="AJY14" s="0" t="n">
        <v>0.9</v>
      </c>
      <c r="AKD14" s="0" t="n">
        <v>10</v>
      </c>
      <c r="AKE14" s="0" t="n">
        <v>0.9</v>
      </c>
      <c r="AKJ14" s="0" t="n">
        <v>9.7</v>
      </c>
      <c r="AKK14" s="0" t="n">
        <v>1</v>
      </c>
      <c r="AKL14" s="0" t="n">
        <v>68</v>
      </c>
      <c r="AKM14" s="0" t="n">
        <v>2</v>
      </c>
      <c r="AKN14" s="0" t="n">
        <f aca="false">3.34+5.29</f>
        <v>8.63</v>
      </c>
      <c r="AKO14" s="0" t="n">
        <v>1</v>
      </c>
      <c r="AKP14" s="0" t="n">
        <v>34</v>
      </c>
      <c r="AKQ14" s="0" t="n">
        <v>86</v>
      </c>
      <c r="AKR14" s="0" t="n">
        <f aca="false">0.8+0.6</f>
        <v>1.4</v>
      </c>
      <c r="AKS14" s="0" t="n">
        <v>1</v>
      </c>
      <c r="AKT14" s="0" t="n">
        <v>47</v>
      </c>
      <c r="AKU14" s="0" t="n">
        <v>1</v>
      </c>
      <c r="AKV14" s="18" t="n">
        <v>1.52</v>
      </c>
      <c r="AKW14" s="0" t="n">
        <v>3</v>
      </c>
      <c r="ALN14" s="0" t="n">
        <v>0</v>
      </c>
    </row>
    <row r="15" s="24" customFormat="true" ht="13.8" hidden="false" customHeight="false" outlineLevel="0" collapsed="false">
      <c r="A15" s="22" t="s">
        <v>282</v>
      </c>
      <c r="B15" s="23" t="n">
        <v>42892</v>
      </c>
      <c r="C15" s="24" t="n">
        <v>2</v>
      </c>
      <c r="D15" s="25" t="n">
        <v>34843</v>
      </c>
      <c r="E15" s="23" t="n">
        <v>24204</v>
      </c>
      <c r="F15" s="14" t="n">
        <f aca="false">(B15-E15)/365.25</f>
        <v>51.1649555099247</v>
      </c>
      <c r="G15" s="14" t="n">
        <f aca="false">(B15-D15)/365.25</f>
        <v>22.0369609856263</v>
      </c>
      <c r="H15" s="21" t="s">
        <v>181</v>
      </c>
      <c r="I15" s="21" t="s">
        <v>283</v>
      </c>
      <c r="J15" s="21" t="s">
        <v>181</v>
      </c>
      <c r="K15" s="21" t="n">
        <v>8</v>
      </c>
      <c r="L15" s="26" t="n">
        <v>83</v>
      </c>
      <c r="M15" s="24" t="n">
        <v>1.88</v>
      </c>
      <c r="N15" s="27" t="n">
        <f aca="false">L15/(M15*M15)</f>
        <v>23.4834766862834</v>
      </c>
      <c r="O15" s="26" t="n">
        <v>0</v>
      </c>
      <c r="P15" s="26" t="n">
        <v>0</v>
      </c>
      <c r="Q15" s="26" t="n">
        <v>0</v>
      </c>
      <c r="R15" s="26" t="n">
        <v>0</v>
      </c>
      <c r="S15" s="26" t="n">
        <v>0</v>
      </c>
      <c r="T15" s="26" t="n">
        <v>0</v>
      </c>
      <c r="U15" s="26" t="n">
        <v>0</v>
      </c>
      <c r="V15" s="26" t="n">
        <v>0</v>
      </c>
      <c r="W15" s="26" t="n">
        <v>1</v>
      </c>
      <c r="X15" s="26" t="n">
        <v>0</v>
      </c>
      <c r="Y15" s="26" t="n">
        <v>1</v>
      </c>
      <c r="Z15" s="26" t="n">
        <v>1</v>
      </c>
      <c r="AA15" s="26" t="n">
        <v>60</v>
      </c>
      <c r="AB15" s="26" t="s">
        <v>284</v>
      </c>
      <c r="AC15" s="26" t="n">
        <v>0</v>
      </c>
      <c r="AD15" s="26" t="n">
        <v>0</v>
      </c>
      <c r="AE15" s="26" t="n">
        <v>0</v>
      </c>
      <c r="AF15" s="26" t="n">
        <v>0</v>
      </c>
      <c r="AG15" s="26" t="n">
        <v>0</v>
      </c>
      <c r="AH15" s="26" t="n">
        <v>0</v>
      </c>
      <c r="AI15" s="26" t="n">
        <v>0</v>
      </c>
      <c r="AJ15" s="26" t="n">
        <v>0</v>
      </c>
      <c r="AK15" s="26" t="n">
        <v>0</v>
      </c>
      <c r="AL15" s="26" t="n">
        <v>0</v>
      </c>
      <c r="AM15" s="19" t="n">
        <v>0</v>
      </c>
      <c r="AN15" s="26" t="n">
        <v>0</v>
      </c>
      <c r="AO15" s="26" t="n">
        <v>0</v>
      </c>
      <c r="AP15" s="26" t="n">
        <v>0</v>
      </c>
      <c r="AQ15" s="26" t="n">
        <v>0</v>
      </c>
      <c r="AR15" s="26" t="n">
        <v>0</v>
      </c>
      <c r="AS15" s="26" t="n">
        <v>1</v>
      </c>
      <c r="AT15" s="26" t="n">
        <v>1</v>
      </c>
      <c r="AU15" s="26" t="n">
        <v>1</v>
      </c>
      <c r="AV15" s="26" t="n">
        <v>4</v>
      </c>
      <c r="AW15" s="26" t="n">
        <v>0</v>
      </c>
      <c r="AX15" s="26" t="n">
        <v>0</v>
      </c>
      <c r="AY15" s="26" t="n">
        <v>0</v>
      </c>
      <c r="AZ15" s="26" t="n">
        <v>0</v>
      </c>
      <c r="BA15" s="26" t="n">
        <v>0</v>
      </c>
      <c r="BB15" s="26" t="n">
        <v>1</v>
      </c>
      <c r="BC15" s="26" t="n">
        <v>1</v>
      </c>
      <c r="BD15" s="26" t="n">
        <v>1</v>
      </c>
      <c r="BE15" s="26" t="n">
        <v>3</v>
      </c>
      <c r="BF15" s="26" t="n">
        <v>0</v>
      </c>
      <c r="BG15" s="26" t="n">
        <v>0</v>
      </c>
      <c r="BH15" s="26" t="n">
        <v>0</v>
      </c>
      <c r="BI15" s="26" t="n">
        <v>0</v>
      </c>
      <c r="BJ15" s="26" t="n">
        <v>1</v>
      </c>
      <c r="BK15" s="26" t="n">
        <v>0</v>
      </c>
      <c r="BL15" s="26" t="n">
        <v>0</v>
      </c>
      <c r="BM15" s="26" t="n">
        <v>0</v>
      </c>
      <c r="BN15" s="26" t="n">
        <v>1</v>
      </c>
      <c r="BO15" s="26" t="n">
        <v>0</v>
      </c>
      <c r="BP15" s="26" t="n">
        <v>1</v>
      </c>
      <c r="BQ15" s="26" t="n">
        <v>2</v>
      </c>
      <c r="BR15" s="26" t="n">
        <v>2</v>
      </c>
      <c r="BS15" s="26" t="n">
        <v>2</v>
      </c>
      <c r="BT15" s="26" t="n">
        <v>3</v>
      </c>
      <c r="BU15" s="26" t="n">
        <v>5</v>
      </c>
      <c r="BV15" s="26" t="n">
        <v>4</v>
      </c>
      <c r="BW15" s="26" t="n">
        <v>4</v>
      </c>
      <c r="BX15" s="26" t="n">
        <v>4</v>
      </c>
      <c r="BY15" s="26" t="n">
        <v>4</v>
      </c>
      <c r="BZ15" s="26" t="n">
        <v>4</v>
      </c>
      <c r="CA15" s="26" t="n">
        <v>4</v>
      </c>
      <c r="CB15" s="26" t="n">
        <v>4</v>
      </c>
      <c r="CC15" s="26" t="n">
        <v>4</v>
      </c>
      <c r="CD15" s="26" t="n">
        <v>3</v>
      </c>
      <c r="CE15" s="26" t="n">
        <v>4</v>
      </c>
      <c r="CF15" s="26" t="n">
        <v>4</v>
      </c>
      <c r="CG15" s="26" t="n">
        <v>5</v>
      </c>
      <c r="CH15" s="26" t="n">
        <v>4</v>
      </c>
      <c r="CI15" s="26" t="n">
        <v>4</v>
      </c>
      <c r="CJ15" s="26" t="n">
        <v>4</v>
      </c>
      <c r="CK15" s="26" t="n">
        <v>10</v>
      </c>
      <c r="CL15" s="24" t="s">
        <v>285</v>
      </c>
      <c r="CM15" s="24" t="n">
        <v>70</v>
      </c>
      <c r="CN15" s="27" t="n">
        <v>79.8</v>
      </c>
      <c r="CO15" s="27" t="n">
        <v>80.4</v>
      </c>
      <c r="CP15" s="27" t="n">
        <v>62.1</v>
      </c>
      <c r="CQ15" s="24" t="n">
        <v>39.51</v>
      </c>
      <c r="CR15" s="29" t="n">
        <v>0</v>
      </c>
      <c r="CS15" s="24" t="n">
        <v>47.45</v>
      </c>
      <c r="CT15" s="24" t="n">
        <v>13.05</v>
      </c>
      <c r="CU15" s="24" t="n">
        <v>0</v>
      </c>
      <c r="CV15" s="24" t="n">
        <v>0</v>
      </c>
      <c r="CW15" s="24" t="n">
        <v>0</v>
      </c>
      <c r="CX15" s="24" t="n">
        <v>0</v>
      </c>
      <c r="CY15" s="24" t="n">
        <v>0</v>
      </c>
      <c r="CZ15" s="24" t="n">
        <v>0</v>
      </c>
      <c r="DA15" s="24" t="n">
        <v>0</v>
      </c>
      <c r="DB15" s="24" t="n">
        <v>0</v>
      </c>
      <c r="DC15" s="24" t="n">
        <v>0</v>
      </c>
      <c r="DD15" s="24" t="n">
        <v>30.76</v>
      </c>
      <c r="DE15" s="24" t="n">
        <v>14.19</v>
      </c>
      <c r="DF15" s="24" t="n">
        <v>0</v>
      </c>
      <c r="DG15" s="24" t="n">
        <v>0</v>
      </c>
      <c r="DH15" s="24" t="n">
        <v>0</v>
      </c>
      <c r="DU15" s="24" t="n">
        <v>0.3</v>
      </c>
      <c r="DV15" s="24" t="n">
        <v>1</v>
      </c>
      <c r="DW15" s="24" t="n">
        <v>68</v>
      </c>
      <c r="DX15" s="24" t="n">
        <v>1</v>
      </c>
      <c r="DY15" s="24" t="n">
        <v>0.13</v>
      </c>
      <c r="DZ15" s="24" t="n">
        <v>1</v>
      </c>
      <c r="EG15" s="28"/>
      <c r="EY15" s="24" t="n">
        <v>0</v>
      </c>
      <c r="GJ15" s="27" t="n">
        <v>0.63</v>
      </c>
      <c r="GK15" s="27" t="n">
        <v>1</v>
      </c>
      <c r="GL15" s="27" t="n">
        <v>1</v>
      </c>
      <c r="GM15" s="27"/>
      <c r="GN15" s="27" t="n">
        <v>1.52</v>
      </c>
      <c r="GO15" s="27"/>
      <c r="GP15" s="27"/>
      <c r="GQ15" s="27"/>
      <c r="GR15" s="27"/>
      <c r="GS15" s="27"/>
      <c r="GT15" s="27"/>
      <c r="GU15" s="27" t="n">
        <v>3.55</v>
      </c>
      <c r="GV15" s="27" t="n">
        <v>4.46</v>
      </c>
      <c r="GW15" s="27"/>
      <c r="GX15" s="27"/>
      <c r="GY15" s="27" t="n">
        <v>0</v>
      </c>
      <c r="GZ15" s="27" t="n">
        <v>0</v>
      </c>
      <c r="HA15" s="27" t="n">
        <v>0</v>
      </c>
      <c r="HB15" s="24" t="n">
        <v>0</v>
      </c>
      <c r="HC15" s="24" t="s">
        <v>286</v>
      </c>
      <c r="HD15" s="24" t="n">
        <v>95.5</v>
      </c>
      <c r="HE15" s="27" t="n">
        <v>99.1</v>
      </c>
      <c r="HF15" s="27" t="n">
        <v>80.4</v>
      </c>
      <c r="HG15" s="27" t="n">
        <v>90.4</v>
      </c>
      <c r="HH15" s="24" t="n">
        <v>24.15</v>
      </c>
      <c r="HI15" s="29" t="n">
        <v>0</v>
      </c>
      <c r="HJ15" s="24" t="n">
        <v>31.26</v>
      </c>
      <c r="HK15" s="24" t="n">
        <v>44.6</v>
      </c>
      <c r="HL15" s="24" t="n">
        <v>0</v>
      </c>
      <c r="HM15" s="24" t="n">
        <v>0</v>
      </c>
      <c r="HN15" s="24" t="n">
        <v>0</v>
      </c>
      <c r="HO15" s="24" t="n">
        <v>0</v>
      </c>
      <c r="HP15" s="24" t="n">
        <v>0</v>
      </c>
      <c r="HQ15" s="24" t="n">
        <v>0</v>
      </c>
      <c r="HR15" s="24" t="n">
        <v>0</v>
      </c>
      <c r="HS15" s="24" t="n">
        <v>0</v>
      </c>
      <c r="HT15" s="24" t="n">
        <v>0</v>
      </c>
      <c r="HU15" s="24" t="n">
        <v>24.75</v>
      </c>
      <c r="HV15" s="24" t="n">
        <v>2.47</v>
      </c>
      <c r="HW15" s="24" t="n">
        <v>0</v>
      </c>
      <c r="HX15" s="24" t="n">
        <v>0</v>
      </c>
      <c r="HY15" s="24" t="n">
        <v>0</v>
      </c>
      <c r="IL15" s="24" t="n">
        <v>0.2</v>
      </c>
      <c r="IM15" s="24" t="n">
        <v>1</v>
      </c>
      <c r="IN15" s="24" t="n">
        <v>34</v>
      </c>
      <c r="IO15" s="24" t="n">
        <v>16</v>
      </c>
      <c r="IP15" s="24" t="n">
        <f aca="false">6.09+1.07</f>
        <v>7.16</v>
      </c>
      <c r="IQ15" s="24" t="n">
        <v>1</v>
      </c>
      <c r="IR15" s="24" t="n">
        <v>68</v>
      </c>
      <c r="IS15" s="24" t="n">
        <v>1</v>
      </c>
      <c r="IT15" s="24" t="n">
        <v>0.13</v>
      </c>
      <c r="IU15" s="24" t="n">
        <v>1</v>
      </c>
      <c r="IX15" s="28"/>
      <c r="JP15" s="24" t="n">
        <v>0</v>
      </c>
      <c r="LA15" s="27" t="n">
        <v>0.63</v>
      </c>
      <c r="LB15" s="27" t="n">
        <v>1</v>
      </c>
      <c r="LC15" s="27" t="n">
        <v>1</v>
      </c>
      <c r="LD15" s="27"/>
      <c r="LE15" s="27" t="n">
        <v>1.52</v>
      </c>
      <c r="LF15" s="27"/>
      <c r="LG15" s="27"/>
      <c r="LH15" s="27"/>
      <c r="LI15" s="27"/>
      <c r="LJ15" s="27"/>
      <c r="LK15" s="27"/>
      <c r="LL15" s="27" t="n">
        <v>0</v>
      </c>
      <c r="LM15" s="27" t="n">
        <v>0</v>
      </c>
      <c r="LN15" s="27"/>
      <c r="LO15" s="27"/>
      <c r="LP15" s="27" t="n">
        <v>0</v>
      </c>
      <c r="LQ15" s="27" t="n">
        <v>0</v>
      </c>
      <c r="LR15" s="27" t="n">
        <v>0</v>
      </c>
      <c r="LS15" s="24" t="n">
        <v>0</v>
      </c>
      <c r="LT15" s="24" t="s">
        <v>287</v>
      </c>
      <c r="LU15" s="24" t="n">
        <v>61.5</v>
      </c>
      <c r="LV15" s="27" t="n">
        <v>83.5</v>
      </c>
      <c r="LW15" s="27" t="n">
        <v>80.4</v>
      </c>
      <c r="LX15" s="27" t="n">
        <v>56.1</v>
      </c>
      <c r="LY15" s="24" t="n">
        <v>51.73</v>
      </c>
      <c r="LZ15" s="29" t="n">
        <v>0</v>
      </c>
      <c r="MA15" s="24" t="n">
        <v>30.08</v>
      </c>
      <c r="MB15" s="24" t="n">
        <v>18.19</v>
      </c>
      <c r="MC15" s="24" t="n">
        <v>0</v>
      </c>
      <c r="MD15" s="24" t="n">
        <v>0</v>
      </c>
      <c r="ME15" s="24" t="n">
        <v>0</v>
      </c>
      <c r="MF15" s="24" t="n">
        <v>0</v>
      </c>
      <c r="MG15" s="24" t="n">
        <v>0</v>
      </c>
      <c r="MH15" s="24" t="n">
        <v>0</v>
      </c>
      <c r="MI15" s="24" t="n">
        <v>0</v>
      </c>
      <c r="MJ15" s="24" t="n">
        <v>0</v>
      </c>
      <c r="MK15" s="24" t="n">
        <v>0.3</v>
      </c>
      <c r="ML15" s="24" t="n">
        <v>27.59</v>
      </c>
      <c r="MM15" s="24" t="n">
        <v>0</v>
      </c>
      <c r="MN15" s="24" t="n">
        <v>0</v>
      </c>
      <c r="MO15" s="24" t="n">
        <v>0</v>
      </c>
      <c r="MP15" s="24" t="n">
        <v>0</v>
      </c>
      <c r="NC15" s="24" t="n">
        <v>0</v>
      </c>
      <c r="ND15" s="24" t="n">
        <v>0</v>
      </c>
      <c r="NO15" s="28"/>
      <c r="OG15" s="24" t="n">
        <v>0</v>
      </c>
      <c r="PR15" s="27" t="n">
        <v>1.96</v>
      </c>
      <c r="PS15" s="27" t="n">
        <v>1</v>
      </c>
      <c r="PT15" s="27" t="n">
        <v>1</v>
      </c>
      <c r="PU15" s="27"/>
      <c r="PV15" s="27" t="n">
        <f aca="false">5.53+3.68+1.71+1.12+0.74</f>
        <v>12.78</v>
      </c>
      <c r="PW15" s="27"/>
      <c r="PX15" s="27"/>
      <c r="PY15" s="27"/>
      <c r="PZ15" s="27"/>
      <c r="QA15" s="27"/>
      <c r="QB15" s="27"/>
      <c r="QC15" s="27" t="n">
        <v>0.94</v>
      </c>
      <c r="QD15" s="27" t="n">
        <v>0.94</v>
      </c>
      <c r="QE15" s="27"/>
      <c r="QF15" s="27"/>
      <c r="QG15" s="27" t="n">
        <v>0</v>
      </c>
      <c r="QH15" s="27" t="n">
        <v>0</v>
      </c>
      <c r="QI15" s="27" t="n">
        <v>0</v>
      </c>
      <c r="QJ15" s="24" t="n">
        <v>0</v>
      </c>
      <c r="QK15" s="24" t="s">
        <v>288</v>
      </c>
      <c r="QL15" s="24" t="n">
        <v>77.5</v>
      </c>
      <c r="QM15" s="27" t="n">
        <v>87.4</v>
      </c>
      <c r="QN15" s="27" t="n">
        <v>80.4</v>
      </c>
      <c r="QO15" s="27" t="n">
        <v>53.5</v>
      </c>
      <c r="QP15" s="24" t="n">
        <v>51.28</v>
      </c>
      <c r="QQ15" s="29" t="n">
        <v>0</v>
      </c>
      <c r="QR15" s="24" t="n">
        <v>27.27</v>
      </c>
      <c r="QS15" s="24" t="n">
        <v>21.22</v>
      </c>
      <c r="QT15" s="24" t="n">
        <v>0</v>
      </c>
      <c r="QU15" s="24" t="n">
        <v>0</v>
      </c>
      <c r="QV15" s="24" t="n">
        <v>0</v>
      </c>
      <c r="QW15" s="24" t="n">
        <v>0</v>
      </c>
      <c r="QX15" s="24" t="n">
        <v>0</v>
      </c>
      <c r="QY15" s="24" t="n">
        <v>0</v>
      </c>
      <c r="QZ15" s="24" t="n">
        <v>0</v>
      </c>
      <c r="RA15" s="24" t="n">
        <v>0</v>
      </c>
      <c r="RB15" s="24" t="n">
        <v>5.93</v>
      </c>
      <c r="RC15" s="24" t="n">
        <v>4.61</v>
      </c>
      <c r="RD15" s="24" t="n">
        <v>5.38</v>
      </c>
      <c r="RE15" s="24" t="n">
        <v>0</v>
      </c>
      <c r="RF15" s="24" t="n">
        <v>15.4</v>
      </c>
      <c r="RG15" s="24" t="n">
        <v>1</v>
      </c>
      <c r="RH15" s="24" t="n">
        <v>4</v>
      </c>
      <c r="RJ15" s="24" t="n">
        <v>2</v>
      </c>
      <c r="RN15" s="24" t="n">
        <v>4</v>
      </c>
      <c r="RP15" s="24" t="n">
        <v>2</v>
      </c>
      <c r="RT15" s="24" t="n">
        <v>6.7</v>
      </c>
      <c r="RU15" s="24" t="n">
        <v>1</v>
      </c>
      <c r="RV15" s="24" t="n">
        <v>35</v>
      </c>
      <c r="RW15" s="24" t="n">
        <v>6</v>
      </c>
      <c r="RX15" s="24" t="n">
        <v>0.8</v>
      </c>
      <c r="RY15" s="24" t="n">
        <v>3</v>
      </c>
      <c r="RZ15" s="24" t="n">
        <v>47</v>
      </c>
      <c r="SA15" s="24" t="n">
        <v>1</v>
      </c>
      <c r="SB15" s="24" t="n">
        <v>0.13</v>
      </c>
      <c r="SC15" s="24" t="n">
        <v>3</v>
      </c>
      <c r="SF15" s="28"/>
      <c r="SX15" s="24" t="n">
        <v>1</v>
      </c>
      <c r="SY15" s="24" t="n">
        <v>60</v>
      </c>
      <c r="SZ15" s="24" t="n">
        <v>3</v>
      </c>
      <c r="TA15" s="24" t="n">
        <v>1.35</v>
      </c>
      <c r="TB15" s="24" t="n">
        <v>2</v>
      </c>
      <c r="UI15" s="27" t="n">
        <v>0</v>
      </c>
      <c r="UJ15" s="27" t="n">
        <v>0</v>
      </c>
      <c r="UK15" s="27"/>
      <c r="UL15" s="27"/>
      <c r="UM15" s="27"/>
      <c r="UN15" s="27"/>
      <c r="UO15" s="27"/>
      <c r="UP15" s="27"/>
      <c r="UQ15" s="27"/>
      <c r="UR15" s="27"/>
      <c r="US15" s="27"/>
      <c r="UT15" s="27" t="n">
        <v>0</v>
      </c>
      <c r="UU15" s="27" t="n">
        <v>0</v>
      </c>
      <c r="UV15" s="27"/>
      <c r="UW15" s="27"/>
      <c r="UX15" s="27" t="n">
        <v>0</v>
      </c>
      <c r="UY15" s="27" t="n">
        <v>0</v>
      </c>
      <c r="UZ15" s="27" t="n">
        <v>0</v>
      </c>
      <c r="VA15" s="24" t="n">
        <v>0</v>
      </c>
      <c r="VB15" s="24" t="s">
        <v>289</v>
      </c>
      <c r="VC15" s="24" t="n">
        <v>44</v>
      </c>
      <c r="VD15" s="27" t="n">
        <v>69.9</v>
      </c>
      <c r="VE15" s="27" t="n">
        <v>80.4</v>
      </c>
      <c r="VF15" s="27" t="n">
        <v>41</v>
      </c>
      <c r="VG15" s="24" t="n">
        <v>68.16</v>
      </c>
      <c r="VH15" s="29" t="n">
        <v>0</v>
      </c>
      <c r="VI15" s="24" t="n">
        <v>11.52</v>
      </c>
      <c r="VJ15" s="24" t="n">
        <v>20.32</v>
      </c>
      <c r="VK15" s="24" t="n">
        <v>0</v>
      </c>
      <c r="VL15" s="24" t="n">
        <v>0</v>
      </c>
      <c r="VM15" s="24" t="n">
        <v>0</v>
      </c>
      <c r="VN15" s="24" t="n">
        <v>0</v>
      </c>
      <c r="VO15" s="24" t="n">
        <v>0</v>
      </c>
      <c r="VP15" s="24" t="n">
        <v>0</v>
      </c>
      <c r="VQ15" s="24" t="n">
        <v>0</v>
      </c>
      <c r="VR15" s="24" t="n">
        <v>0</v>
      </c>
      <c r="VS15" s="24" t="n">
        <v>13.13</v>
      </c>
      <c r="VT15" s="24" t="n">
        <v>8.66</v>
      </c>
      <c r="VU15" s="24" t="n">
        <v>0</v>
      </c>
      <c r="VV15" s="24" t="n">
        <v>0</v>
      </c>
      <c r="VW15" s="24" t="n">
        <v>0</v>
      </c>
      <c r="VX15" s="24" t="n">
        <v>0</v>
      </c>
      <c r="WK15" s="24" t="n">
        <v>1.5</v>
      </c>
      <c r="WL15" s="24" t="n">
        <v>1</v>
      </c>
      <c r="WM15" s="24" t="n">
        <v>47</v>
      </c>
      <c r="WN15" s="24" t="n">
        <v>5</v>
      </c>
      <c r="WO15" s="24" t="n">
        <f aca="false">0.15+0.04</f>
        <v>0.19</v>
      </c>
      <c r="WP15" s="24" t="n">
        <v>3</v>
      </c>
      <c r="WQ15" s="24" t="n">
        <v>25</v>
      </c>
      <c r="WR15" s="24" t="n">
        <v>1</v>
      </c>
      <c r="WS15" s="24" t="n">
        <v>0.4</v>
      </c>
      <c r="WT15" s="24" t="n">
        <v>1</v>
      </c>
      <c r="WW15" s="28"/>
      <c r="XO15" s="24" t="n">
        <v>0</v>
      </c>
      <c r="YZ15" s="27" t="n">
        <v>0.11</v>
      </c>
      <c r="ZA15" s="27" t="n">
        <v>1</v>
      </c>
      <c r="ZB15" s="27" t="n">
        <v>1</v>
      </c>
      <c r="ZC15" s="27"/>
      <c r="ZD15" s="27" t="n">
        <v>0.56</v>
      </c>
      <c r="ZE15" s="27"/>
      <c r="ZF15" s="27"/>
      <c r="ZG15" s="27"/>
      <c r="ZH15" s="27"/>
      <c r="ZI15" s="27"/>
      <c r="ZJ15" s="27"/>
      <c r="ZK15" s="27" t="n">
        <v>0</v>
      </c>
      <c r="ZL15" s="27" t="n">
        <v>0</v>
      </c>
      <c r="ZM15" s="27"/>
      <c r="ZN15" s="27"/>
      <c r="ZO15" s="27" t="n">
        <v>0</v>
      </c>
      <c r="ZP15" s="27" t="n">
        <v>0</v>
      </c>
      <c r="ZQ15" s="27" t="n">
        <v>0</v>
      </c>
      <c r="ZR15" s="24" t="n">
        <v>0</v>
      </c>
      <c r="ZS15" s="24" t="s">
        <v>290</v>
      </c>
      <c r="ZT15" s="24" t="n">
        <v>43</v>
      </c>
      <c r="ZU15" s="27" t="n">
        <v>49.3</v>
      </c>
      <c r="ZV15" s="27" t="n">
        <v>80.4</v>
      </c>
      <c r="ZW15" s="27" t="n">
        <v>32.9</v>
      </c>
      <c r="ZX15" s="24" t="n">
        <v>73.52</v>
      </c>
      <c r="ZY15" s="29" t="n">
        <v>0</v>
      </c>
      <c r="ZZ15" s="24" t="n">
        <v>16.84</v>
      </c>
      <c r="AAA15" s="24" t="n">
        <v>9.64</v>
      </c>
      <c r="AAB15" s="24" t="n">
        <v>0</v>
      </c>
      <c r="AAC15" s="24" t="n">
        <v>0</v>
      </c>
      <c r="AAD15" s="24" t="n">
        <v>0</v>
      </c>
      <c r="AAE15" s="24" t="n">
        <v>0</v>
      </c>
      <c r="AAF15" s="24" t="n">
        <v>0</v>
      </c>
      <c r="AAG15" s="24" t="n">
        <v>0</v>
      </c>
      <c r="AAH15" s="24" t="n">
        <v>0</v>
      </c>
      <c r="AAI15" s="24" t="n">
        <v>0</v>
      </c>
      <c r="AAJ15" s="24" t="n">
        <v>13.52</v>
      </c>
      <c r="AAK15" s="24" t="n">
        <v>3.69</v>
      </c>
      <c r="AAL15" s="24" t="n">
        <v>3.85</v>
      </c>
      <c r="AAM15" s="24" t="n">
        <v>0</v>
      </c>
      <c r="AAN15" s="24" t="n">
        <v>0</v>
      </c>
      <c r="AAO15" s="24" t="n">
        <v>0</v>
      </c>
      <c r="ABB15" s="24" t="n">
        <v>7.4</v>
      </c>
      <c r="ABC15" s="24" t="n">
        <v>1</v>
      </c>
      <c r="ABD15" s="24" t="n">
        <v>47</v>
      </c>
      <c r="ABE15" s="24" t="n">
        <v>11</v>
      </c>
      <c r="ABF15" s="24" t="n">
        <f aca="false">2.09+0.15+0.04</f>
        <v>2.28</v>
      </c>
      <c r="ABG15" s="24" t="n">
        <v>3</v>
      </c>
      <c r="ABN15" s="28"/>
      <c r="ACF15" s="24" t="n">
        <v>0</v>
      </c>
      <c r="ADQ15" s="27" t="n">
        <v>0.28</v>
      </c>
      <c r="ADR15" s="27" t="n">
        <v>1</v>
      </c>
      <c r="ADS15" s="27" t="n">
        <v>1</v>
      </c>
      <c r="ADT15" s="27"/>
      <c r="ADU15" s="27" t="n">
        <v>0.56</v>
      </c>
      <c r="ADV15" s="27"/>
      <c r="ADW15" s="27"/>
      <c r="ADX15" s="27"/>
      <c r="ADY15" s="27"/>
      <c r="ADZ15" s="27"/>
      <c r="AEA15" s="27"/>
      <c r="AEB15" s="27" t="n">
        <v>0.99</v>
      </c>
      <c r="AEC15" s="27" t="n">
        <v>0.39</v>
      </c>
      <c r="AED15" s="27"/>
      <c r="AEE15" s="27"/>
      <c r="AEF15" s="27" t="n">
        <v>0</v>
      </c>
      <c r="AEG15" s="27" t="n">
        <v>0</v>
      </c>
      <c r="AEH15" s="27" t="n">
        <v>0</v>
      </c>
      <c r="AEI15" s="24" t="n">
        <v>0</v>
      </c>
      <c r="AEJ15" s="24" t="n">
        <v>56</v>
      </c>
      <c r="AEK15" s="24" t="n">
        <v>26.5</v>
      </c>
      <c r="AEL15" s="27" t="n">
        <v>66.1</v>
      </c>
      <c r="AEM15" s="27" t="n">
        <v>80.4</v>
      </c>
      <c r="AEN15" s="27" t="n">
        <v>15</v>
      </c>
      <c r="AEO15" s="24" t="n">
        <v>89</v>
      </c>
      <c r="AEP15" s="29" t="n">
        <v>0</v>
      </c>
      <c r="AEQ15" s="24" t="n">
        <v>7.09</v>
      </c>
      <c r="AER15" s="24" t="n">
        <v>2.12</v>
      </c>
      <c r="AES15" s="24" t="n">
        <v>0</v>
      </c>
      <c r="AET15" s="24" t="n">
        <v>0</v>
      </c>
      <c r="AEU15" s="24" t="n">
        <v>0</v>
      </c>
      <c r="AEV15" s="24" t="n">
        <v>0</v>
      </c>
      <c r="AEW15" s="24" t="n">
        <v>0</v>
      </c>
      <c r="AEX15" s="24" t="n">
        <v>0</v>
      </c>
      <c r="AEY15" s="24" t="n">
        <v>0</v>
      </c>
      <c r="AEZ15" s="24" t="n">
        <v>0</v>
      </c>
      <c r="AFA15" s="24" t="n">
        <v>4.26</v>
      </c>
      <c r="AFB15" s="24" t="n">
        <v>32.68</v>
      </c>
      <c r="AFC15" s="24" t="n">
        <v>1.91</v>
      </c>
      <c r="AFD15" s="24" t="n">
        <v>0</v>
      </c>
      <c r="AFE15" s="24" t="n">
        <v>0</v>
      </c>
      <c r="AFF15" s="24" t="n">
        <v>0</v>
      </c>
      <c r="AFS15" s="24" t="n">
        <v>0</v>
      </c>
      <c r="AFT15" s="24" t="n">
        <v>0</v>
      </c>
      <c r="AGE15" s="28"/>
      <c r="AGW15" s="24" t="n">
        <v>0</v>
      </c>
      <c r="AIH15" s="27" t="n">
        <v>3.52</v>
      </c>
      <c r="AII15" s="27" t="n">
        <v>1</v>
      </c>
      <c r="AIJ15" s="27" t="n">
        <v>1</v>
      </c>
      <c r="AIK15" s="27"/>
      <c r="AIL15" s="27" t="n">
        <f aca="false">3.13+3.17*4</f>
        <v>15.81</v>
      </c>
      <c r="AIM15" s="27" t="n">
        <v>2</v>
      </c>
      <c r="AIN15" s="27"/>
      <c r="AIO15" s="27" t="n">
        <v>0.87</v>
      </c>
      <c r="AIP15" s="27"/>
      <c r="AIQ15" s="27"/>
      <c r="AIR15" s="27"/>
      <c r="AIS15" s="27" t="n">
        <v>5.36</v>
      </c>
      <c r="AIT15" s="27" t="n">
        <v>8.39</v>
      </c>
      <c r="AIU15" s="27"/>
      <c r="AIV15" s="27"/>
      <c r="AIW15" s="27" t="n">
        <v>0</v>
      </c>
      <c r="AIX15" s="27" t="n">
        <v>0</v>
      </c>
      <c r="AIY15" s="27" t="n">
        <v>0</v>
      </c>
      <c r="AIZ15" s="24" t="n">
        <v>0</v>
      </c>
      <c r="AJA15" s="24" t="s">
        <v>291</v>
      </c>
      <c r="AJB15" s="24" t="n">
        <v>35.5</v>
      </c>
      <c r="AJC15" s="27" t="n">
        <v>84</v>
      </c>
      <c r="AJD15" s="27" t="n">
        <v>80.4</v>
      </c>
      <c r="AJE15" s="27" t="n">
        <v>10.5</v>
      </c>
      <c r="AJF15" s="24" t="n">
        <v>95.42</v>
      </c>
      <c r="AJG15" s="29" t="n">
        <v>0</v>
      </c>
      <c r="AJH15" s="24" t="n">
        <v>4.58</v>
      </c>
      <c r="AJI15" s="24" t="n">
        <v>0</v>
      </c>
      <c r="AJJ15" s="24" t="n">
        <v>0</v>
      </c>
      <c r="AJK15" s="24" t="n">
        <v>0</v>
      </c>
      <c r="AJL15" s="24" t="n">
        <v>0</v>
      </c>
      <c r="AJM15" s="24" t="n">
        <v>0</v>
      </c>
      <c r="AJN15" s="24" t="n">
        <v>0</v>
      </c>
      <c r="AJO15" s="24" t="n">
        <v>0</v>
      </c>
      <c r="AJP15" s="24" t="n">
        <v>0</v>
      </c>
      <c r="AJQ15" s="24" t="n">
        <v>0</v>
      </c>
      <c r="AJR15" s="24" t="n">
        <v>17.83</v>
      </c>
      <c r="AJS15" s="24" t="n">
        <v>40.99</v>
      </c>
      <c r="AJT15" s="24" t="n">
        <v>9.34</v>
      </c>
      <c r="AJU15" s="24" t="n">
        <v>0</v>
      </c>
      <c r="AJV15" s="24" t="n">
        <v>0</v>
      </c>
      <c r="AJW15" s="24" t="n">
        <v>0</v>
      </c>
      <c r="AKJ15" s="24" t="n">
        <v>4.4</v>
      </c>
      <c r="AKK15" s="24" t="n">
        <v>1</v>
      </c>
      <c r="AKL15" s="24" t="n">
        <v>34</v>
      </c>
      <c r="AKM15" s="24" t="n">
        <v>10</v>
      </c>
      <c r="AKN15" s="24" t="n">
        <f aca="false">8.56+1.51</f>
        <v>10.07</v>
      </c>
      <c r="AKO15" s="24" t="n">
        <v>1</v>
      </c>
      <c r="AKP15" s="24" t="n">
        <v>68</v>
      </c>
      <c r="AKQ15" s="24" t="n">
        <v>6</v>
      </c>
      <c r="AKR15" s="24" t="n">
        <f aca="false">3.43+0.6</f>
        <v>4.03</v>
      </c>
      <c r="AKS15" s="24" t="n">
        <v>1</v>
      </c>
      <c r="AKV15" s="28"/>
      <c r="ALN15" s="24" t="n">
        <v>0</v>
      </c>
    </row>
    <row r="16" customFormat="false" ht="13.8" hidden="false" customHeight="false" outlineLevel="0" collapsed="false">
      <c r="A16" s="22" t="s">
        <v>292</v>
      </c>
      <c r="B16" s="23" t="n">
        <v>42892</v>
      </c>
      <c r="C16" s="24" t="n">
        <v>2</v>
      </c>
      <c r="D16" s="25" t="n">
        <v>35620</v>
      </c>
      <c r="E16" s="23" t="n">
        <v>26889</v>
      </c>
      <c r="F16" s="14" t="n">
        <f aca="false">(B16-E16)/365.25</f>
        <v>43.813826146475</v>
      </c>
      <c r="G16" s="14" t="n">
        <f aca="false">(B16-D16)/365.25</f>
        <v>19.9096509240246</v>
      </c>
      <c r="H16" s="21" t="s">
        <v>228</v>
      </c>
      <c r="I16" s="21" t="s">
        <v>240</v>
      </c>
      <c r="J16" s="21" t="s">
        <v>181</v>
      </c>
      <c r="K16" s="21" t="n">
        <v>8</v>
      </c>
      <c r="L16" s="26" t="n">
        <v>75</v>
      </c>
      <c r="M16" s="24" t="n">
        <v>1.73</v>
      </c>
      <c r="N16" s="27" t="n">
        <f aca="false">L16/(M16*M16)</f>
        <v>25.0593070266297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  <c r="W16" s="26" t="n">
        <v>0</v>
      </c>
      <c r="X16" s="26" t="n">
        <v>0</v>
      </c>
      <c r="Y16" s="26" t="n">
        <v>1</v>
      </c>
      <c r="Z16" s="26" t="n">
        <v>1</v>
      </c>
      <c r="AA16" s="26" t="n">
        <v>90</v>
      </c>
      <c r="AB16" s="26" t="s">
        <v>293</v>
      </c>
      <c r="AC16" s="26" t="n">
        <v>1</v>
      </c>
      <c r="AD16" s="26" t="n">
        <v>10</v>
      </c>
      <c r="AE16" s="26" t="n">
        <v>0</v>
      </c>
      <c r="AF16" s="26" t="n">
        <v>0</v>
      </c>
      <c r="AG16" s="26" t="n">
        <v>0</v>
      </c>
      <c r="AH16" s="26" t="n">
        <v>0</v>
      </c>
      <c r="AI16" s="26" t="n">
        <v>0</v>
      </c>
      <c r="AJ16" s="26" t="n">
        <v>0</v>
      </c>
      <c r="AK16" s="26" t="n">
        <v>0</v>
      </c>
      <c r="AL16" s="26" t="n">
        <v>0</v>
      </c>
      <c r="AM16" s="19" t="n">
        <v>0</v>
      </c>
      <c r="AN16" s="26" t="n">
        <v>0</v>
      </c>
      <c r="AO16" s="26" t="n">
        <v>0</v>
      </c>
      <c r="AP16" s="26" t="n">
        <v>0</v>
      </c>
      <c r="AQ16" s="26" t="n">
        <v>0</v>
      </c>
      <c r="AR16" s="26" t="n">
        <v>0</v>
      </c>
      <c r="AS16" s="26" t="n">
        <v>1</v>
      </c>
      <c r="AT16" s="26" t="n">
        <v>1</v>
      </c>
      <c r="AU16" s="26" t="n">
        <v>1</v>
      </c>
      <c r="AV16" s="26"/>
      <c r="AW16" s="26" t="n">
        <v>0</v>
      </c>
      <c r="AX16" s="26" t="n">
        <v>0</v>
      </c>
      <c r="AY16" s="26" t="n">
        <v>0</v>
      </c>
      <c r="AZ16" s="26" t="n">
        <v>0</v>
      </c>
      <c r="BA16" s="26" t="n">
        <v>0</v>
      </c>
      <c r="BB16" s="26" t="n">
        <v>0</v>
      </c>
      <c r="BC16" s="26" t="n">
        <v>0</v>
      </c>
      <c r="BD16" s="26" t="n">
        <v>0</v>
      </c>
      <c r="BE16" s="26" t="n">
        <v>0</v>
      </c>
      <c r="BF16" s="26" t="n">
        <v>0</v>
      </c>
      <c r="BG16" s="26" t="n">
        <v>0</v>
      </c>
      <c r="BH16" s="26" t="n">
        <v>0</v>
      </c>
      <c r="BI16" s="26" t="n">
        <v>0</v>
      </c>
      <c r="BJ16" s="26" t="n">
        <v>1</v>
      </c>
      <c r="BK16" s="26" t="n">
        <v>1</v>
      </c>
      <c r="BL16" s="26" t="n">
        <v>1</v>
      </c>
      <c r="BM16" s="26" t="n">
        <v>7</v>
      </c>
      <c r="BN16" s="26" t="n">
        <v>0</v>
      </c>
      <c r="BO16" s="26" t="n">
        <v>0</v>
      </c>
      <c r="BP16" s="26" t="n">
        <v>0</v>
      </c>
      <c r="BQ16" s="26" t="n">
        <v>0</v>
      </c>
      <c r="BR16" s="26" t="n">
        <v>3</v>
      </c>
      <c r="BS16" s="26" t="n">
        <v>2</v>
      </c>
      <c r="BT16" s="26" t="n">
        <v>3</v>
      </c>
      <c r="BU16" s="26" t="n">
        <v>5</v>
      </c>
      <c r="BV16" s="26" t="n">
        <v>2</v>
      </c>
      <c r="BW16" s="26" t="n">
        <v>4</v>
      </c>
      <c r="BX16" s="26" t="n">
        <v>2</v>
      </c>
      <c r="BY16" s="26" t="n">
        <v>2</v>
      </c>
      <c r="BZ16" s="26" t="n">
        <v>2</v>
      </c>
      <c r="CA16" s="26" t="n">
        <v>3</v>
      </c>
      <c r="CB16" s="26" t="n">
        <v>4</v>
      </c>
      <c r="CC16" s="26" t="n">
        <v>5</v>
      </c>
      <c r="CD16" s="26" t="n">
        <v>4</v>
      </c>
      <c r="CE16" s="26" t="n">
        <v>3</v>
      </c>
      <c r="CF16" s="26" t="n">
        <v>3</v>
      </c>
      <c r="CG16" s="26" t="n">
        <v>4</v>
      </c>
      <c r="CH16" s="26" t="n">
        <v>2</v>
      </c>
      <c r="CI16" s="26" t="n">
        <v>4</v>
      </c>
      <c r="CJ16" s="26" t="n">
        <v>3</v>
      </c>
      <c r="CK16" s="26" t="n">
        <v>8</v>
      </c>
      <c r="CL16" s="24" t="s">
        <v>242</v>
      </c>
      <c r="CM16" s="24" t="n">
        <v>36.5</v>
      </c>
      <c r="CN16" s="27" t="n">
        <v>88.3</v>
      </c>
      <c r="CO16" s="27" t="n">
        <v>80.4</v>
      </c>
      <c r="CP16" s="27" t="n">
        <v>28.2</v>
      </c>
      <c r="CQ16" s="24" t="n">
        <v>73.82</v>
      </c>
      <c r="CR16" s="24" t="n">
        <v>0</v>
      </c>
      <c r="CS16" s="24" t="n">
        <v>25.61</v>
      </c>
      <c r="CT16" s="24" t="n">
        <v>0</v>
      </c>
      <c r="CU16" s="24" t="n">
        <v>0.57</v>
      </c>
      <c r="CV16" s="24" t="n">
        <v>0</v>
      </c>
      <c r="CW16" s="24" t="n">
        <v>0</v>
      </c>
      <c r="CX16" s="24" t="n">
        <v>0</v>
      </c>
      <c r="CY16" s="24" t="n">
        <v>0</v>
      </c>
      <c r="CZ16" s="24" t="n">
        <v>0</v>
      </c>
      <c r="DA16" s="24" t="n">
        <v>0</v>
      </c>
      <c r="DB16" s="24" t="n">
        <v>1.17</v>
      </c>
      <c r="DC16" s="24" t="n">
        <v>31.76</v>
      </c>
      <c r="DD16" s="24" t="n">
        <v>23.3</v>
      </c>
      <c r="DE16" s="24" t="n">
        <v>26.08</v>
      </c>
      <c r="DF16" s="24" t="n">
        <v>0</v>
      </c>
      <c r="DG16" s="24" t="n">
        <v>0</v>
      </c>
      <c r="DH16" s="24" t="n">
        <v>0</v>
      </c>
      <c r="DU16" s="24" t="n">
        <v>2.1</v>
      </c>
      <c r="DV16" s="24" t="n">
        <v>1</v>
      </c>
      <c r="DW16" s="24" t="n">
        <v>47</v>
      </c>
      <c r="DX16" s="24" t="n">
        <v>2</v>
      </c>
      <c r="DY16" s="24" t="n">
        <v>0.27</v>
      </c>
      <c r="DZ16" s="24" t="n">
        <v>3</v>
      </c>
      <c r="EG16" s="28"/>
      <c r="EY16" s="24" t="n">
        <v>0</v>
      </c>
      <c r="GJ16" s="27" t="n">
        <v>1.9</v>
      </c>
      <c r="GK16" s="27" t="n">
        <v>1</v>
      </c>
      <c r="GL16" s="27" t="n">
        <v>1</v>
      </c>
      <c r="GM16" s="27"/>
      <c r="GN16" s="27" t="n">
        <f aca="false">5.29*3</f>
        <v>15.87</v>
      </c>
      <c r="GO16" s="27"/>
      <c r="GP16" s="27"/>
      <c r="GQ16" s="27"/>
      <c r="GR16" s="27"/>
      <c r="GS16" s="27"/>
      <c r="GT16" s="27"/>
      <c r="GU16" s="27" t="n">
        <v>0.57</v>
      </c>
      <c r="GV16" s="27" t="n">
        <v>0.56</v>
      </c>
      <c r="GW16" s="27"/>
      <c r="GX16" s="27"/>
      <c r="GY16" s="27" t="n">
        <v>0</v>
      </c>
      <c r="GZ16" s="27" t="n">
        <v>0</v>
      </c>
      <c r="HA16" s="27" t="n">
        <v>0</v>
      </c>
      <c r="HB16" s="24" t="n">
        <v>0</v>
      </c>
      <c r="HC16" s="24" t="s">
        <v>243</v>
      </c>
      <c r="HD16" s="24" t="n">
        <v>38</v>
      </c>
      <c r="HE16" s="27" t="n">
        <v>87.8</v>
      </c>
      <c r="HF16" s="27" t="n">
        <v>80.4</v>
      </c>
      <c r="HG16" s="27" t="n">
        <v>29.1</v>
      </c>
      <c r="HH16" s="24" t="n">
        <v>71.17</v>
      </c>
      <c r="HI16" s="24" t="n">
        <v>0</v>
      </c>
      <c r="HJ16" s="24" t="n">
        <v>25.61</v>
      </c>
      <c r="HK16" s="24" t="n">
        <v>0</v>
      </c>
      <c r="HL16" s="24" t="n">
        <v>3.22</v>
      </c>
      <c r="HM16" s="24" t="n">
        <v>0</v>
      </c>
      <c r="HN16" s="24" t="n">
        <v>0</v>
      </c>
      <c r="HO16" s="24" t="n">
        <v>0</v>
      </c>
      <c r="HP16" s="24" t="n">
        <v>0</v>
      </c>
      <c r="HQ16" s="24" t="n">
        <v>0</v>
      </c>
      <c r="HR16" s="24" t="n">
        <v>0</v>
      </c>
      <c r="HS16" s="24" t="n">
        <v>1.08</v>
      </c>
      <c r="HT16" s="24" t="n">
        <v>31.76</v>
      </c>
      <c r="HU16" s="24" t="n">
        <v>22.19</v>
      </c>
      <c r="HV16" s="24" t="n">
        <v>26.38</v>
      </c>
      <c r="HW16" s="24" t="n">
        <v>0</v>
      </c>
      <c r="HX16" s="24" t="n">
        <v>0</v>
      </c>
      <c r="HY16" s="24" t="n">
        <v>0</v>
      </c>
      <c r="IL16" s="24" t="n">
        <v>2.1</v>
      </c>
      <c r="IM16" s="24" t="n">
        <v>1</v>
      </c>
      <c r="IN16" s="24" t="n">
        <v>47</v>
      </c>
      <c r="IO16" s="24" t="n">
        <v>2</v>
      </c>
      <c r="IP16" s="24" t="n">
        <v>0.27</v>
      </c>
      <c r="IQ16" s="24" t="n">
        <v>3</v>
      </c>
      <c r="IX16" s="28"/>
      <c r="JP16" s="24" t="n">
        <v>0</v>
      </c>
      <c r="LA16" s="27" t="n">
        <v>1.9</v>
      </c>
      <c r="LB16" s="27" t="n">
        <v>1</v>
      </c>
      <c r="LC16" s="27" t="n">
        <v>1</v>
      </c>
      <c r="LD16" s="27"/>
      <c r="LE16" s="27" t="n">
        <f aca="false">5.29*3</f>
        <v>15.87</v>
      </c>
      <c r="LF16" s="27"/>
      <c r="LG16" s="27"/>
      <c r="LH16" s="27"/>
      <c r="LI16" s="27"/>
      <c r="LJ16" s="27"/>
      <c r="LK16" s="27"/>
      <c r="LL16" s="27" t="n">
        <v>1.12</v>
      </c>
      <c r="LM16" s="27" t="n">
        <v>0.27</v>
      </c>
      <c r="LN16" s="27"/>
      <c r="LO16" s="27"/>
      <c r="LP16" s="27" t="n">
        <v>0</v>
      </c>
      <c r="LQ16" s="27" t="n">
        <v>0</v>
      </c>
      <c r="LR16" s="27" t="n">
        <v>0</v>
      </c>
      <c r="LS16" s="24" t="n">
        <v>0</v>
      </c>
      <c r="LT16" s="24" t="s">
        <v>244</v>
      </c>
      <c r="LU16" s="24" t="n">
        <v>24.5</v>
      </c>
      <c r="LV16" s="27" t="n">
        <v>84.2</v>
      </c>
      <c r="LW16" s="27" t="n">
        <v>80.4</v>
      </c>
      <c r="LX16" s="27" t="n">
        <v>11.9</v>
      </c>
      <c r="LY16" s="24" t="n">
        <v>97.51</v>
      </c>
      <c r="LZ16" s="24" t="n">
        <v>0</v>
      </c>
      <c r="MA16" s="24" t="n">
        <v>2.49</v>
      </c>
      <c r="MB16" s="24" t="n">
        <v>0</v>
      </c>
      <c r="MC16" s="24" t="n">
        <v>0</v>
      </c>
      <c r="MD16" s="24" t="n">
        <v>0</v>
      </c>
      <c r="ME16" s="24" t="n">
        <v>0</v>
      </c>
      <c r="MF16" s="24" t="n">
        <v>0</v>
      </c>
      <c r="MG16" s="24" t="n">
        <v>0</v>
      </c>
      <c r="MH16" s="24" t="n">
        <v>0</v>
      </c>
      <c r="MI16" s="24" t="n">
        <v>0</v>
      </c>
      <c r="MJ16" s="24" t="n">
        <v>0</v>
      </c>
      <c r="MK16" s="24" t="n">
        <v>3.13</v>
      </c>
      <c r="ML16" s="24" t="n">
        <v>26.34</v>
      </c>
      <c r="MM16" s="24" t="n">
        <v>45.74</v>
      </c>
      <c r="MN16" s="24" t="n">
        <v>0</v>
      </c>
      <c r="MO16" s="24" t="n">
        <v>0</v>
      </c>
      <c r="MP16" s="24" t="n">
        <v>0</v>
      </c>
      <c r="NC16" s="24" t="n">
        <v>0</v>
      </c>
      <c r="ND16" s="24" t="n">
        <v>0</v>
      </c>
      <c r="NO16" s="28"/>
      <c r="OG16" s="24" t="n">
        <v>0</v>
      </c>
      <c r="PR16" s="27" t="n">
        <v>6.4</v>
      </c>
      <c r="PS16" s="27" t="n">
        <v>1</v>
      </c>
      <c r="PT16" s="27" t="n">
        <v>2</v>
      </c>
      <c r="PU16" s="27"/>
      <c r="PV16" s="27" t="n">
        <f aca="false">1.24*2</f>
        <v>2.48</v>
      </c>
      <c r="PW16" s="27" t="n">
        <v>1</v>
      </c>
      <c r="PX16" s="27"/>
      <c r="PY16" s="27" t="n">
        <f aca="false">1.24*3+0.62+0.93+3.18+1.59+3.73+7.46</f>
        <v>21.23</v>
      </c>
      <c r="PZ16" s="27"/>
      <c r="QA16" s="27"/>
      <c r="QB16" s="27"/>
      <c r="QC16" s="27" t="n">
        <v>1.61</v>
      </c>
      <c r="QD16" s="27" t="n">
        <v>1.46</v>
      </c>
      <c r="QE16" s="27"/>
      <c r="QF16" s="27"/>
      <c r="QG16" s="27" t="n">
        <v>0</v>
      </c>
      <c r="QH16" s="27" t="n">
        <v>0</v>
      </c>
      <c r="QI16" s="27" t="n">
        <v>0</v>
      </c>
      <c r="QJ16" s="24" t="n">
        <v>0</v>
      </c>
      <c r="QK16" s="24" t="s">
        <v>245</v>
      </c>
      <c r="QL16" s="24" t="n">
        <v>19.5</v>
      </c>
      <c r="QM16" s="27" t="n">
        <v>76</v>
      </c>
      <c r="QN16" s="27" t="n">
        <v>80.4</v>
      </c>
      <c r="QO16" s="27" t="n">
        <v>10.9</v>
      </c>
      <c r="QP16" s="24" t="n">
        <v>99.87</v>
      </c>
      <c r="QQ16" s="24" t="n">
        <v>0</v>
      </c>
      <c r="QR16" s="24" t="n">
        <v>0</v>
      </c>
      <c r="QS16" s="24" t="n">
        <v>0</v>
      </c>
      <c r="QT16" s="24" t="n">
        <v>0.13</v>
      </c>
      <c r="QU16" s="24" t="n">
        <v>0</v>
      </c>
      <c r="QV16" s="24" t="n">
        <v>0</v>
      </c>
      <c r="QW16" s="24" t="n">
        <v>0</v>
      </c>
      <c r="QX16" s="24" t="n">
        <v>0</v>
      </c>
      <c r="QY16" s="24" t="n">
        <v>0</v>
      </c>
      <c r="QZ16" s="24" t="n">
        <v>0</v>
      </c>
      <c r="RA16" s="24" t="n">
        <v>0.1</v>
      </c>
      <c r="RB16" s="24" t="n">
        <v>0</v>
      </c>
      <c r="RC16" s="24" t="n">
        <v>17.25</v>
      </c>
      <c r="RD16" s="24" t="n">
        <v>40.01</v>
      </c>
      <c r="RE16" s="24" t="n">
        <v>0</v>
      </c>
      <c r="RF16" s="24" t="n">
        <v>0</v>
      </c>
      <c r="RG16" s="24" t="n">
        <v>0</v>
      </c>
      <c r="RT16" s="24" t="n">
        <v>4.5</v>
      </c>
      <c r="RU16" s="24" t="n">
        <v>1</v>
      </c>
      <c r="RV16" s="24" t="n">
        <v>34</v>
      </c>
      <c r="RW16" s="24" t="n">
        <v>2</v>
      </c>
      <c r="RX16" s="24" t="n">
        <v>0.13</v>
      </c>
      <c r="RY16" s="24" t="n">
        <v>1</v>
      </c>
      <c r="RZ16" s="24" t="n">
        <v>52</v>
      </c>
      <c r="SA16" s="24" t="n">
        <v>2</v>
      </c>
      <c r="SB16" s="24" t="n">
        <v>1.52</v>
      </c>
      <c r="SC16" s="24" t="n">
        <v>2</v>
      </c>
      <c r="SF16" s="28"/>
      <c r="SX16" s="24" t="n">
        <v>1</v>
      </c>
      <c r="SY16" s="24" t="n">
        <v>70</v>
      </c>
      <c r="SZ16" s="24" t="n">
        <v>7</v>
      </c>
      <c r="TA16" s="24" t="n">
        <v>0.7</v>
      </c>
      <c r="TB16" s="24" t="n">
        <v>3</v>
      </c>
      <c r="UI16" s="27" t="n">
        <v>0.72</v>
      </c>
      <c r="UJ16" s="27" t="n">
        <v>1</v>
      </c>
      <c r="UK16" s="27" t="n">
        <v>1</v>
      </c>
      <c r="UL16" s="27"/>
      <c r="UM16" s="27" t="n">
        <f aca="false">1.15+0.56+0.29</f>
        <v>2</v>
      </c>
      <c r="UN16" s="27"/>
      <c r="UO16" s="27"/>
      <c r="UP16" s="27"/>
      <c r="UQ16" s="27"/>
      <c r="UR16" s="27"/>
      <c r="US16" s="27"/>
      <c r="UT16" s="27" t="n">
        <v>0.17</v>
      </c>
      <c r="UU16" s="27" t="n">
        <v>0.17</v>
      </c>
      <c r="UV16" s="27"/>
      <c r="UW16" s="27"/>
      <c r="UX16" s="27" t="n">
        <v>0</v>
      </c>
      <c r="UY16" s="27" t="n">
        <v>0</v>
      </c>
      <c r="UZ16" s="27" t="n">
        <v>0</v>
      </c>
      <c r="VA16" s="24" t="n">
        <v>0</v>
      </c>
      <c r="VB16" s="24" t="s">
        <v>246</v>
      </c>
      <c r="VC16" s="24" t="n">
        <v>27</v>
      </c>
      <c r="VD16" s="27" t="n">
        <v>72</v>
      </c>
      <c r="VE16" s="27" t="n">
        <v>80.4</v>
      </c>
      <c r="VF16" s="27" t="n">
        <v>19.2</v>
      </c>
      <c r="VG16" s="24" t="n">
        <v>86.83</v>
      </c>
      <c r="VH16" s="24" t="n">
        <v>0</v>
      </c>
      <c r="VI16" s="24" t="n">
        <v>0</v>
      </c>
      <c r="VJ16" s="24" t="n">
        <v>0</v>
      </c>
      <c r="VK16" s="24" t="n">
        <v>13.17</v>
      </c>
      <c r="VL16" s="24" t="n">
        <v>0</v>
      </c>
      <c r="VM16" s="24" t="n">
        <v>0</v>
      </c>
      <c r="VN16" s="24" t="n">
        <v>0</v>
      </c>
      <c r="VO16" s="24" t="n">
        <v>0</v>
      </c>
      <c r="VP16" s="24" t="n">
        <v>0</v>
      </c>
      <c r="VQ16" s="24" t="n">
        <v>0</v>
      </c>
      <c r="VR16" s="24" t="n">
        <v>18.28</v>
      </c>
      <c r="VS16" s="24" t="n">
        <v>16.81</v>
      </c>
      <c r="VT16" s="24" t="n">
        <v>9.64</v>
      </c>
      <c r="VU16" s="24" t="n">
        <v>19.74</v>
      </c>
      <c r="VV16" s="24" t="n">
        <v>0</v>
      </c>
      <c r="VW16" s="24" t="n">
        <v>0</v>
      </c>
      <c r="VX16" s="24" t="n">
        <v>0</v>
      </c>
      <c r="WK16" s="24" t="n">
        <v>0</v>
      </c>
      <c r="WL16" s="24" t="n">
        <v>0</v>
      </c>
      <c r="WW16" s="28"/>
      <c r="XO16" s="24" t="n">
        <v>0</v>
      </c>
      <c r="YZ16" s="27" t="n">
        <v>1.43</v>
      </c>
      <c r="ZA16" s="27" t="n">
        <v>1</v>
      </c>
      <c r="ZB16" s="27" t="n">
        <v>1</v>
      </c>
      <c r="ZC16" s="27"/>
      <c r="ZD16" s="27" t="n">
        <f aca="false">6.34+2.11+0.08+0.37</f>
        <v>8.9</v>
      </c>
      <c r="ZE16" s="27"/>
      <c r="ZF16" s="27"/>
      <c r="ZG16" s="27"/>
      <c r="ZH16" s="27"/>
      <c r="ZI16" s="27"/>
      <c r="ZJ16" s="27"/>
      <c r="ZK16" s="27" t="n">
        <v>3.5</v>
      </c>
      <c r="ZL16" s="27" t="n">
        <v>3.5</v>
      </c>
      <c r="ZM16" s="27"/>
      <c r="ZN16" s="27"/>
      <c r="ZO16" s="27" t="n">
        <v>0</v>
      </c>
      <c r="ZP16" s="27" t="n">
        <v>0</v>
      </c>
      <c r="ZQ16" s="27" t="n">
        <v>0</v>
      </c>
      <c r="ZR16" s="24" t="n">
        <v>0</v>
      </c>
      <c r="ZS16" s="24" t="s">
        <v>247</v>
      </c>
      <c r="ZT16" s="24" t="n">
        <v>37</v>
      </c>
      <c r="ZU16" s="27" t="n">
        <v>79.2</v>
      </c>
      <c r="ZV16" s="27" t="n">
        <v>80.4</v>
      </c>
      <c r="ZW16" s="27" t="n">
        <v>12.1</v>
      </c>
      <c r="ZX16" s="24" t="n">
        <v>96.75</v>
      </c>
      <c r="ZY16" s="24" t="n">
        <v>0</v>
      </c>
      <c r="ZZ16" s="24" t="n">
        <v>0</v>
      </c>
      <c r="AAA16" s="24" t="n">
        <v>0</v>
      </c>
      <c r="AAB16" s="24" t="n">
        <v>3.25</v>
      </c>
      <c r="AAC16" s="24" t="n">
        <v>0</v>
      </c>
      <c r="AAD16" s="24" t="n">
        <v>0</v>
      </c>
      <c r="AAE16" s="24" t="n">
        <v>0</v>
      </c>
      <c r="AAF16" s="24" t="n">
        <v>0</v>
      </c>
      <c r="AAG16" s="24" t="n">
        <v>0</v>
      </c>
      <c r="AAH16" s="24" t="n">
        <v>0</v>
      </c>
      <c r="AAI16" s="24" t="n">
        <v>9.06</v>
      </c>
      <c r="AAJ16" s="24" t="n">
        <v>18.15</v>
      </c>
      <c r="AAK16" s="24" t="n">
        <v>25.66</v>
      </c>
      <c r="AAL16" s="24" t="n">
        <v>15.61</v>
      </c>
      <c r="AAM16" s="24" t="n">
        <v>0</v>
      </c>
      <c r="AAN16" s="24" t="n">
        <v>0</v>
      </c>
      <c r="AAO16" s="24" t="n">
        <v>0</v>
      </c>
      <c r="ABB16" s="24" t="n">
        <v>17.8</v>
      </c>
      <c r="ABC16" s="24" t="n">
        <v>1</v>
      </c>
      <c r="ABD16" s="24" t="n">
        <v>47</v>
      </c>
      <c r="ABE16" s="24" t="n">
        <v>3</v>
      </c>
      <c r="ABF16" s="24" t="n">
        <v>2.28</v>
      </c>
      <c r="ABG16" s="24" t="n">
        <v>3</v>
      </c>
      <c r="ABH16" s="24" t="n">
        <v>26</v>
      </c>
      <c r="ABI16" s="24" t="n">
        <v>1</v>
      </c>
      <c r="ABJ16" s="24" t="n">
        <v>0.76</v>
      </c>
      <c r="ABK16" s="24" t="n">
        <v>2</v>
      </c>
      <c r="ABN16" s="28"/>
      <c r="ACF16" s="24" t="n">
        <v>0</v>
      </c>
      <c r="ADQ16" s="27" t="n">
        <v>1.27</v>
      </c>
      <c r="ADR16" s="27" t="n">
        <v>1</v>
      </c>
      <c r="ADS16" s="27" t="n">
        <v>1</v>
      </c>
      <c r="ADT16" s="27"/>
      <c r="ADU16" s="27" t="n">
        <f aca="false">6.34+1.06</f>
        <v>7.4</v>
      </c>
      <c r="ADV16" s="27"/>
      <c r="ADW16" s="27"/>
      <c r="ADX16" s="27"/>
      <c r="ADY16" s="27"/>
      <c r="ADZ16" s="27"/>
      <c r="AEA16" s="27"/>
      <c r="AEB16" s="27" t="n">
        <v>2.86</v>
      </c>
      <c r="AEC16" s="27" t="n">
        <v>2.86</v>
      </c>
      <c r="AED16" s="27"/>
      <c r="AEE16" s="27"/>
      <c r="AEF16" s="27" t="n">
        <v>0</v>
      </c>
      <c r="AEG16" s="27" t="n">
        <v>0</v>
      </c>
      <c r="AEH16" s="27" t="n">
        <v>0</v>
      </c>
      <c r="AEI16" s="24" t="n">
        <v>0</v>
      </c>
      <c r="AEJ16" s="24" t="s">
        <v>248</v>
      </c>
      <c r="AEK16" s="24" t="n">
        <v>33</v>
      </c>
      <c r="AEL16" s="27" t="n">
        <v>122.1</v>
      </c>
      <c r="AEM16" s="27" t="n">
        <v>80.4</v>
      </c>
      <c r="AEN16" s="27" t="n">
        <v>14.1</v>
      </c>
      <c r="AEO16" s="24" t="n">
        <v>91.87</v>
      </c>
      <c r="AEP16" s="24" t="n">
        <v>0</v>
      </c>
      <c r="AEQ16" s="24" t="n">
        <v>5.85</v>
      </c>
      <c r="AER16" s="24" t="n">
        <v>0</v>
      </c>
      <c r="AES16" s="24" t="n">
        <v>2.28</v>
      </c>
      <c r="AET16" s="24" t="n">
        <v>0</v>
      </c>
      <c r="AEU16" s="24" t="n">
        <v>0</v>
      </c>
      <c r="AEV16" s="24" t="n">
        <v>0</v>
      </c>
      <c r="AEW16" s="24" t="n">
        <v>0</v>
      </c>
      <c r="AEX16" s="24" t="n">
        <v>0</v>
      </c>
      <c r="AEY16" s="24" t="n">
        <v>0</v>
      </c>
      <c r="AEZ16" s="24" t="n">
        <v>0</v>
      </c>
      <c r="AFA16" s="24" t="n">
        <v>23.39</v>
      </c>
      <c r="AFB16" s="24" t="n">
        <v>10.3</v>
      </c>
      <c r="AFC16" s="24" t="n">
        <v>49.9</v>
      </c>
      <c r="AFD16" s="24" t="n">
        <v>0</v>
      </c>
      <c r="AFE16" s="24" t="n">
        <v>0</v>
      </c>
      <c r="AFF16" s="24" t="n">
        <v>0</v>
      </c>
      <c r="AFS16" s="24" t="n">
        <v>0</v>
      </c>
      <c r="AFT16" s="24" t="n">
        <v>1</v>
      </c>
      <c r="AFU16" s="24" t="n">
        <v>34</v>
      </c>
      <c r="AFV16" s="24" t="n">
        <v>1</v>
      </c>
      <c r="AFW16" s="24" t="n">
        <v>1.14</v>
      </c>
      <c r="AFX16" s="24" t="n">
        <v>1</v>
      </c>
      <c r="AGE16" s="28"/>
      <c r="AGW16" s="24" t="n">
        <v>0</v>
      </c>
      <c r="AIH16" s="27" t="n">
        <v>4.78</v>
      </c>
      <c r="AII16" s="27" t="n">
        <v>1</v>
      </c>
      <c r="AIJ16" s="27" t="n">
        <v>1</v>
      </c>
      <c r="AIK16" s="27"/>
      <c r="AIL16" s="27" t="n">
        <v>4.23</v>
      </c>
      <c r="AIM16" s="27" t="n">
        <v>2</v>
      </c>
      <c r="AIN16" s="27"/>
      <c r="AIO16" s="27" t="n">
        <f aca="false">1.14+9.52+1.68</f>
        <v>12.34</v>
      </c>
      <c r="AIP16" s="27"/>
      <c r="AIQ16" s="27"/>
      <c r="AIR16" s="27"/>
      <c r="AIS16" s="27" t="n">
        <v>10.43</v>
      </c>
      <c r="AIT16" s="27" t="n">
        <v>22.43</v>
      </c>
      <c r="AIU16" s="27"/>
      <c r="AIV16" s="27"/>
      <c r="AIW16" s="27" t="n">
        <v>0</v>
      </c>
      <c r="AIX16" s="27" t="n">
        <v>0</v>
      </c>
      <c r="AIY16" s="27" t="n">
        <v>0</v>
      </c>
      <c r="AIZ16" s="24" t="n">
        <v>0</v>
      </c>
      <c r="AJA16" s="24" t="s">
        <v>249</v>
      </c>
      <c r="AJB16" s="24" t="n">
        <v>25</v>
      </c>
      <c r="AJC16" s="27" t="n">
        <v>87.3</v>
      </c>
      <c r="AJD16" s="27" t="n">
        <v>80.4</v>
      </c>
      <c r="AJE16" s="27" t="n">
        <v>8.8</v>
      </c>
      <c r="AJF16" s="24" t="n">
        <v>100</v>
      </c>
      <c r="AJG16" s="24" t="n">
        <v>0</v>
      </c>
      <c r="AJH16" s="24" t="n">
        <v>0</v>
      </c>
      <c r="AJI16" s="24" t="n">
        <v>0</v>
      </c>
      <c r="AJJ16" s="24" t="n">
        <v>0</v>
      </c>
      <c r="AJK16" s="24" t="n">
        <v>0</v>
      </c>
      <c r="AJL16" s="24" t="n">
        <v>0</v>
      </c>
      <c r="AJM16" s="24" t="n">
        <v>0</v>
      </c>
      <c r="AJN16" s="24" t="n">
        <v>0</v>
      </c>
      <c r="AJO16" s="24" t="n">
        <v>0</v>
      </c>
      <c r="AJP16" s="24" t="n">
        <v>0</v>
      </c>
      <c r="AJQ16" s="24" t="n">
        <v>0</v>
      </c>
      <c r="AJR16" s="24" t="n">
        <v>11.94</v>
      </c>
      <c r="AJS16" s="24" t="n">
        <v>34.17</v>
      </c>
      <c r="AJT16" s="24" t="n">
        <v>24.72</v>
      </c>
      <c r="AJU16" s="24" t="n">
        <v>0</v>
      </c>
      <c r="AJV16" s="24" t="n">
        <v>6.9</v>
      </c>
      <c r="AJW16" s="24" t="n">
        <v>3</v>
      </c>
      <c r="AJX16" s="24" t="n">
        <v>50</v>
      </c>
      <c r="AJZ16" s="24" t="n">
        <v>2</v>
      </c>
      <c r="AKD16" s="24" t="n">
        <v>50</v>
      </c>
      <c r="AKF16" s="24" t="n">
        <v>2</v>
      </c>
      <c r="AKJ16" s="24" t="n">
        <v>0</v>
      </c>
      <c r="AKK16" s="24" t="n">
        <v>0</v>
      </c>
      <c r="AKV16" s="28"/>
      <c r="ALN16" s="24" t="n">
        <v>1</v>
      </c>
      <c r="ALO16" s="24" t="n">
        <v>50</v>
      </c>
      <c r="ALP16" s="24" t="n">
        <v>1</v>
      </c>
      <c r="ALQ16" s="24" t="n">
        <v>1.86</v>
      </c>
      <c r="ALR16" s="24" t="n">
        <v>3</v>
      </c>
    </row>
    <row r="17" customFormat="false" ht="13.8" hidden="false" customHeight="false" outlineLevel="0" collapsed="false">
      <c r="A17" s="1" t="s">
        <v>294</v>
      </c>
      <c r="B17" s="12" t="n">
        <v>42893</v>
      </c>
      <c r="C17" s="0" t="n">
        <v>2</v>
      </c>
      <c r="D17" s="13" t="n">
        <v>36060</v>
      </c>
      <c r="E17" s="12" t="n">
        <v>27854</v>
      </c>
      <c r="F17" s="14" t="n">
        <f aca="false">(B17-E17)/365.25</f>
        <v>41.1745379876797</v>
      </c>
      <c r="G17" s="14" t="n">
        <f aca="false">(B17-D17)/365.25</f>
        <v>18.7077344284737</v>
      </c>
      <c r="H17" s="15" t="s">
        <v>217</v>
      </c>
      <c r="I17" s="15" t="s">
        <v>272</v>
      </c>
      <c r="J17" s="21" t="s">
        <v>183</v>
      </c>
      <c r="K17" s="21" t="n">
        <v>8</v>
      </c>
      <c r="L17" s="19" t="n">
        <v>81</v>
      </c>
      <c r="M17" s="0" t="n">
        <v>1.73</v>
      </c>
      <c r="N17" s="16" t="n">
        <f aca="false">L17/(M17*M17)</f>
        <v>27.0640515887601</v>
      </c>
      <c r="O17" s="19" t="n">
        <v>1</v>
      </c>
      <c r="P17" s="19" t="n">
        <v>1</v>
      </c>
      <c r="Q17" s="19" t="s">
        <v>295</v>
      </c>
      <c r="R17" s="19" t="n">
        <v>0</v>
      </c>
      <c r="S17" s="19" t="n">
        <v>0</v>
      </c>
      <c r="T17" s="19" t="n">
        <v>0</v>
      </c>
      <c r="U17" s="19" t="n">
        <v>0</v>
      </c>
      <c r="V17" s="19" t="n">
        <v>0</v>
      </c>
      <c r="W17" s="19" t="n">
        <v>0</v>
      </c>
      <c r="X17" s="19" t="n">
        <v>0</v>
      </c>
      <c r="Y17" s="19" t="n">
        <v>1</v>
      </c>
      <c r="Z17" s="19" t="n">
        <v>2</v>
      </c>
      <c r="AA17" s="19" t="n">
        <v>120</v>
      </c>
      <c r="AB17" s="19" t="s">
        <v>296</v>
      </c>
      <c r="AC17" s="19" t="n">
        <v>0</v>
      </c>
      <c r="AD17" s="19" t="n">
        <v>0</v>
      </c>
      <c r="AE17" s="19" t="n">
        <v>0</v>
      </c>
      <c r="AF17" s="19" t="n">
        <v>0</v>
      </c>
      <c r="AG17" s="19" t="n">
        <v>0</v>
      </c>
      <c r="AH17" s="19" t="n">
        <v>0</v>
      </c>
      <c r="AI17" s="19" t="n">
        <v>0</v>
      </c>
      <c r="AJ17" s="19" t="n">
        <v>0</v>
      </c>
      <c r="AK17" s="19" t="n">
        <v>0</v>
      </c>
      <c r="AL17" s="19" t="n">
        <v>0</v>
      </c>
      <c r="AM17" s="19" t="n">
        <v>0</v>
      </c>
      <c r="AN17" s="19" t="n">
        <v>0</v>
      </c>
      <c r="AO17" s="19" t="n">
        <v>0</v>
      </c>
      <c r="AP17" s="19" t="n">
        <v>0</v>
      </c>
      <c r="AQ17" s="19" t="n">
        <v>0</v>
      </c>
      <c r="AR17" s="19" t="n">
        <v>0</v>
      </c>
      <c r="AS17" s="19" t="n">
        <v>0</v>
      </c>
      <c r="AT17" s="19" t="n">
        <v>0</v>
      </c>
      <c r="AU17" s="19" t="n">
        <v>0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19" t="n">
        <v>0</v>
      </c>
      <c r="BB17" s="19" t="n">
        <v>0</v>
      </c>
      <c r="BC17" s="19" t="n">
        <v>0</v>
      </c>
      <c r="BD17" s="19" t="n">
        <v>0</v>
      </c>
      <c r="BE17" s="19" t="n">
        <v>0</v>
      </c>
      <c r="BF17" s="19" t="n">
        <v>0</v>
      </c>
      <c r="BG17" s="19" t="n">
        <v>0</v>
      </c>
      <c r="BH17" s="19" t="n">
        <v>0</v>
      </c>
      <c r="BI17" s="19" t="n">
        <v>0</v>
      </c>
      <c r="BJ17" s="19" t="n">
        <v>0</v>
      </c>
      <c r="BK17" s="19" t="n">
        <v>0</v>
      </c>
      <c r="BL17" s="19" t="n">
        <v>0</v>
      </c>
      <c r="BM17" s="19" t="n">
        <v>0</v>
      </c>
      <c r="BN17" s="19" t="n">
        <v>0</v>
      </c>
      <c r="BO17" s="19" t="n">
        <v>0</v>
      </c>
      <c r="BP17" s="19" t="n">
        <v>0</v>
      </c>
      <c r="BQ17" s="19" t="n">
        <v>0</v>
      </c>
      <c r="BR17" s="19" t="n">
        <v>3</v>
      </c>
      <c r="BS17" s="19" t="n">
        <v>2</v>
      </c>
      <c r="BT17" s="19" t="n">
        <v>3</v>
      </c>
      <c r="BU17" s="19" t="n">
        <v>4</v>
      </c>
      <c r="BV17" s="19" t="n">
        <v>3</v>
      </c>
      <c r="BW17" s="19" t="n">
        <v>2</v>
      </c>
      <c r="BX17" s="19" t="n">
        <v>3</v>
      </c>
      <c r="BY17" s="19" t="n">
        <v>4</v>
      </c>
      <c r="BZ17" s="19" t="n">
        <v>3</v>
      </c>
      <c r="CA17" s="19" t="n">
        <v>4</v>
      </c>
      <c r="CB17" s="19" t="n">
        <v>4</v>
      </c>
      <c r="CC17" s="19" t="n">
        <v>4</v>
      </c>
      <c r="CD17" s="19" t="n">
        <v>3</v>
      </c>
      <c r="CE17" s="19" t="n">
        <v>3</v>
      </c>
      <c r="CF17" s="19" t="n">
        <v>3</v>
      </c>
      <c r="CG17" s="19" t="n">
        <v>4</v>
      </c>
      <c r="CH17" s="19" t="n">
        <v>3</v>
      </c>
      <c r="CI17" s="19" t="n">
        <v>3</v>
      </c>
      <c r="CJ17" s="19" t="n">
        <v>3</v>
      </c>
      <c r="CK17" s="19" t="n">
        <v>5</v>
      </c>
      <c r="CL17" s="0" t="s">
        <v>274</v>
      </c>
      <c r="CM17" s="0" t="n">
        <v>19.5</v>
      </c>
      <c r="CN17" s="16" t="n">
        <v>74.3</v>
      </c>
      <c r="CO17" s="16" t="n">
        <v>80.4</v>
      </c>
      <c r="CP17" s="16" t="n">
        <v>7.8</v>
      </c>
      <c r="CQ17" s="0" t="n">
        <v>89.52</v>
      </c>
      <c r="CR17" s="0" t="n">
        <v>8.69</v>
      </c>
      <c r="CS17" s="0" t="n">
        <v>1.79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18.73</v>
      </c>
      <c r="DD17" s="0" t="n">
        <v>9.35</v>
      </c>
      <c r="DE17" s="0" t="n">
        <v>0</v>
      </c>
      <c r="DF17" s="0" t="n">
        <v>0</v>
      </c>
      <c r="DG17" s="0" t="n">
        <v>0</v>
      </c>
      <c r="DU17" s="0" t="n">
        <v>3.92</v>
      </c>
      <c r="DV17" s="0" t="n">
        <v>1</v>
      </c>
      <c r="DW17" s="0" t="n">
        <v>52</v>
      </c>
      <c r="DX17" s="0" t="n">
        <v>4</v>
      </c>
      <c r="DY17" s="0" t="n">
        <f aca="false">1.01*2+0.56+0.9</f>
        <v>3.48</v>
      </c>
      <c r="DZ17" s="0" t="n">
        <v>2</v>
      </c>
      <c r="EG17" s="18"/>
      <c r="EY17" s="0" t="n">
        <v>1</v>
      </c>
      <c r="EZ17" s="0" t="n">
        <v>50</v>
      </c>
      <c r="FA17" s="0" t="n">
        <v>1</v>
      </c>
      <c r="FB17" s="0" t="n">
        <v>1.9</v>
      </c>
      <c r="FC17" s="0" t="n">
        <v>3</v>
      </c>
      <c r="GJ17" s="16" t="n">
        <v>2.24</v>
      </c>
      <c r="GK17" s="16" t="n">
        <v>1</v>
      </c>
      <c r="GL17" s="16" t="n">
        <v>2</v>
      </c>
      <c r="GM17" s="16"/>
      <c r="GN17" s="16" t="n">
        <f aca="false">1.87*2</f>
        <v>3.74</v>
      </c>
      <c r="GO17" s="16"/>
      <c r="GP17" s="16"/>
      <c r="GQ17" s="16"/>
      <c r="GR17" s="16"/>
      <c r="GS17" s="16"/>
      <c r="GT17" s="16"/>
      <c r="GU17" s="16" t="n">
        <v>5.49</v>
      </c>
      <c r="GV17" s="16" t="n">
        <f aca="false">1.01*2+0.56+1.87*2+0.9</f>
        <v>7.22</v>
      </c>
      <c r="GW17" s="16"/>
      <c r="GX17" s="16"/>
      <c r="GY17" s="16" t="n">
        <v>0</v>
      </c>
      <c r="GZ17" s="16" t="n">
        <v>0</v>
      </c>
      <c r="HA17" s="16" t="n">
        <v>0</v>
      </c>
      <c r="HB17" s="0" t="n">
        <v>0</v>
      </c>
      <c r="HC17" s="0" t="s">
        <v>275</v>
      </c>
      <c r="HD17" s="0" t="n">
        <v>19.5</v>
      </c>
      <c r="HE17" s="16" t="n">
        <v>74.6</v>
      </c>
      <c r="HF17" s="16" t="n">
        <v>80.4</v>
      </c>
      <c r="HG17" s="16" t="n">
        <v>7.8</v>
      </c>
      <c r="HH17" s="0" t="n">
        <v>89.29</v>
      </c>
      <c r="HI17" s="0" t="n">
        <v>8.92</v>
      </c>
      <c r="HJ17" s="0" t="n">
        <v>1.79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18.95</v>
      </c>
      <c r="HU17" s="0" t="n">
        <v>9.35</v>
      </c>
      <c r="HV17" s="0" t="n">
        <v>0</v>
      </c>
      <c r="HW17" s="0" t="n">
        <v>0</v>
      </c>
      <c r="HX17" s="0" t="n">
        <v>0</v>
      </c>
      <c r="IL17" s="0" t="n">
        <v>3.9</v>
      </c>
      <c r="IM17" s="0" t="n">
        <v>1</v>
      </c>
      <c r="IN17" s="0" t="n">
        <v>52</v>
      </c>
      <c r="IO17" s="0" t="n">
        <v>4</v>
      </c>
      <c r="IP17" s="0" t="n">
        <f aca="false">1.01*2+0.56+0.9</f>
        <v>3.48</v>
      </c>
      <c r="IQ17" s="0" t="n">
        <v>3</v>
      </c>
      <c r="IX17" s="18"/>
      <c r="JP17" s="0" t="n">
        <v>1</v>
      </c>
      <c r="JQ17" s="0" t="n">
        <v>50</v>
      </c>
      <c r="JR17" s="0" t="n">
        <v>1</v>
      </c>
      <c r="JS17" s="0" t="n">
        <v>1.9</v>
      </c>
      <c r="JT17" s="0" t="n">
        <v>3</v>
      </c>
      <c r="LA17" s="16" t="n">
        <v>2.24</v>
      </c>
      <c r="LB17" s="16" t="n">
        <v>1</v>
      </c>
      <c r="LC17" s="16" t="n">
        <v>2</v>
      </c>
      <c r="LD17" s="16"/>
      <c r="LE17" s="16" t="n">
        <f aca="false">1.87*2</f>
        <v>3.74</v>
      </c>
      <c r="LF17" s="16"/>
      <c r="LG17" s="16"/>
      <c r="LH17" s="16"/>
      <c r="LI17" s="16"/>
      <c r="LJ17" s="16"/>
      <c r="LK17" s="16"/>
      <c r="LL17" s="16" t="n">
        <v>6.49</v>
      </c>
      <c r="LM17" s="16" t="n">
        <f aca="false">1.01*2+0.56+1.87*2+0.9</f>
        <v>7.22</v>
      </c>
      <c r="LN17" s="16"/>
      <c r="LO17" s="16"/>
      <c r="LP17" s="16" t="n">
        <v>0</v>
      </c>
      <c r="LQ17" s="16" t="n">
        <v>0</v>
      </c>
      <c r="LR17" s="16" t="n">
        <v>0</v>
      </c>
      <c r="LS17" s="0" t="n">
        <v>0</v>
      </c>
      <c r="LT17" s="0" t="s">
        <v>276</v>
      </c>
      <c r="LU17" s="0" t="n">
        <v>22.5</v>
      </c>
      <c r="LV17" s="16" t="n">
        <v>73.4</v>
      </c>
      <c r="LW17" s="16" t="n">
        <v>80.4</v>
      </c>
      <c r="LX17" s="16" t="n">
        <v>10.4</v>
      </c>
      <c r="LY17" s="0" t="n">
        <v>88.12</v>
      </c>
      <c r="LZ17" s="0" t="n">
        <v>6.29</v>
      </c>
      <c r="MA17" s="0" t="n">
        <v>4.25</v>
      </c>
      <c r="MB17" s="0" t="n">
        <v>0</v>
      </c>
      <c r="MC17" s="0" t="n">
        <v>1.34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2.46</v>
      </c>
      <c r="ML17" s="0" t="n">
        <v>13.2</v>
      </c>
      <c r="MM17" s="0" t="n">
        <v>0</v>
      </c>
      <c r="MN17" s="0" t="n">
        <v>0</v>
      </c>
      <c r="MO17" s="0" t="n">
        <v>0</v>
      </c>
      <c r="NC17" s="0" t="n">
        <v>0</v>
      </c>
      <c r="NO17" s="18"/>
      <c r="PR17" s="16" t="n">
        <v>2.24</v>
      </c>
      <c r="PS17" s="16" t="n">
        <v>1</v>
      </c>
      <c r="PT17" s="16" t="n">
        <v>2</v>
      </c>
      <c r="PU17" s="16" t="n">
        <v>3.73</v>
      </c>
      <c r="PV17" s="16"/>
      <c r="PW17" s="16"/>
      <c r="PX17" s="16"/>
      <c r="PY17" s="16"/>
      <c r="PZ17" s="16"/>
      <c r="QA17" s="16"/>
      <c r="QB17" s="16"/>
      <c r="QC17" s="16" t="n">
        <v>9.68</v>
      </c>
      <c r="QD17" s="16" t="n">
        <f aca="false">2.01+1.34+2.69+3.73+0.81</f>
        <v>10.58</v>
      </c>
      <c r="QE17" s="16"/>
      <c r="QF17" s="16"/>
      <c r="QG17" s="16" t="n">
        <v>0</v>
      </c>
      <c r="QH17" s="16" t="n">
        <v>0</v>
      </c>
      <c r="QI17" s="16" t="n">
        <v>0.16</v>
      </c>
      <c r="QJ17" s="0" t="n">
        <v>0</v>
      </c>
      <c r="QK17" s="0" t="s">
        <v>277</v>
      </c>
      <c r="QL17" s="0" t="n">
        <v>29.5</v>
      </c>
      <c r="QM17" s="16" t="n">
        <v>53.8</v>
      </c>
      <c r="QN17" s="16" t="n">
        <v>80.4</v>
      </c>
      <c r="QO17" s="16" t="n">
        <v>12.1</v>
      </c>
      <c r="QP17" s="0" t="n">
        <v>86.6</v>
      </c>
      <c r="QQ17" s="0" t="n">
        <v>8.48</v>
      </c>
      <c r="QR17" s="0" t="n">
        <v>4.93</v>
      </c>
      <c r="QS17" s="0" t="n">
        <v>0</v>
      </c>
      <c r="QT17" s="0" t="n">
        <v>0</v>
      </c>
      <c r="QU17" s="0" t="n">
        <v>0</v>
      </c>
      <c r="QV17" s="0" t="n">
        <v>0</v>
      </c>
      <c r="QW17" s="0" t="n">
        <v>0</v>
      </c>
      <c r="QX17" s="0" t="n">
        <v>0</v>
      </c>
      <c r="QY17" s="0" t="n">
        <v>0</v>
      </c>
      <c r="QZ17" s="0" t="n">
        <v>0</v>
      </c>
      <c r="RA17" s="0" t="n">
        <v>0</v>
      </c>
      <c r="RB17" s="0" t="n">
        <v>2.02</v>
      </c>
      <c r="RC17" s="0" t="n">
        <v>19.56</v>
      </c>
      <c r="RD17" s="0" t="n">
        <v>0.25</v>
      </c>
      <c r="RE17" s="0" t="n">
        <v>0</v>
      </c>
      <c r="RF17" s="0" t="n">
        <v>0</v>
      </c>
      <c r="RG17" s="0" t="n">
        <v>0</v>
      </c>
      <c r="RH17" s="0" t="n">
        <v>0</v>
      </c>
      <c r="RN17" s="0" t="n">
        <v>0</v>
      </c>
      <c r="RT17" s="0" t="n">
        <v>0</v>
      </c>
      <c r="RU17" s="0" t="n">
        <v>0</v>
      </c>
      <c r="SF17" s="18"/>
      <c r="SX17" s="0" t="n">
        <v>0</v>
      </c>
      <c r="UI17" s="16" t="n">
        <v>6.72</v>
      </c>
      <c r="UJ17" s="16" t="n">
        <v>1</v>
      </c>
      <c r="UK17" s="16" t="n">
        <v>2</v>
      </c>
      <c r="UL17" s="16"/>
      <c r="UM17" s="16" t="n">
        <f aca="false">3.73*3</f>
        <v>11.19</v>
      </c>
      <c r="UN17" s="16"/>
      <c r="UO17" s="16"/>
      <c r="UP17" s="16"/>
      <c r="UQ17" s="16"/>
      <c r="UR17" s="16"/>
      <c r="US17" s="16"/>
      <c r="UT17" s="16" t="n">
        <v>10.6</v>
      </c>
      <c r="UU17" s="16" t="n">
        <v>12.44</v>
      </c>
      <c r="UV17" s="16"/>
      <c r="UW17" s="16"/>
      <c r="UX17" s="16" t="n">
        <v>0</v>
      </c>
      <c r="UY17" s="16" t="n">
        <v>0</v>
      </c>
      <c r="UZ17" s="16" t="n">
        <v>0</v>
      </c>
      <c r="VA17" s="0" t="n">
        <v>0</v>
      </c>
      <c r="VB17" s="0" t="s">
        <v>278</v>
      </c>
      <c r="VC17" s="0" t="n">
        <v>51.5</v>
      </c>
      <c r="VD17" s="16" t="n">
        <v>63.4</v>
      </c>
      <c r="VE17" s="16" t="n">
        <v>80.4</v>
      </c>
      <c r="VF17" s="16" t="n">
        <v>18.1</v>
      </c>
      <c r="VG17" s="0" t="n">
        <v>83.5</v>
      </c>
      <c r="VH17" s="0" t="n">
        <v>5.36</v>
      </c>
      <c r="VI17" s="0" t="n">
        <v>8.46</v>
      </c>
      <c r="VJ17" s="0" t="n">
        <v>0</v>
      </c>
      <c r="VK17" s="0" t="n">
        <v>2.69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0</v>
      </c>
      <c r="VR17" s="0" t="n">
        <v>0</v>
      </c>
      <c r="VS17" s="0" t="n">
        <v>0.99</v>
      </c>
      <c r="VT17" s="0" t="n">
        <v>13.55</v>
      </c>
      <c r="VU17" s="0" t="n">
        <v>16.2</v>
      </c>
      <c r="VV17" s="0" t="n">
        <v>0</v>
      </c>
      <c r="VW17" s="0" t="n">
        <v>0</v>
      </c>
      <c r="VX17" s="0" t="n">
        <v>0</v>
      </c>
      <c r="WK17" s="0" t="n">
        <v>18.4</v>
      </c>
      <c r="WL17" s="0" t="n">
        <v>1</v>
      </c>
      <c r="WM17" s="0" t="n">
        <v>47</v>
      </c>
      <c r="WN17" s="0" t="n">
        <v>1</v>
      </c>
      <c r="WO17" s="0" t="n">
        <v>0.9</v>
      </c>
      <c r="WP17" s="0" t="n">
        <v>3</v>
      </c>
      <c r="WQ17" s="0" t="n">
        <v>35</v>
      </c>
      <c r="WR17" s="0" t="n">
        <v>3</v>
      </c>
      <c r="WS17" s="0" t="n">
        <f aca="false">0.94</f>
        <v>0.94</v>
      </c>
      <c r="WT17" s="0" t="n">
        <v>3</v>
      </c>
      <c r="WU17" s="0" t="n">
        <v>68</v>
      </c>
      <c r="WV17" s="0" t="n">
        <v>1</v>
      </c>
      <c r="WW17" s="18" t="n">
        <v>6.22</v>
      </c>
      <c r="WX17" s="0" t="n">
        <v>1</v>
      </c>
      <c r="XO17" s="0" t="n">
        <v>0</v>
      </c>
      <c r="YZ17" s="16" t="n">
        <v>3.75</v>
      </c>
      <c r="ZA17" s="16" t="n">
        <v>1</v>
      </c>
      <c r="ZB17" s="16" t="n">
        <v>1</v>
      </c>
      <c r="ZC17" s="16"/>
      <c r="ZD17" s="16" t="n">
        <f aca="false">2.49+0.05+0.03</f>
        <v>2.57</v>
      </c>
      <c r="ZE17" s="16" t="n">
        <v>2</v>
      </c>
      <c r="ZF17" s="16"/>
      <c r="ZG17" s="16" t="n">
        <v>2.49</v>
      </c>
      <c r="ZH17" s="16"/>
      <c r="ZI17" s="16"/>
      <c r="ZJ17" s="16"/>
      <c r="ZK17" s="16" t="n">
        <v>11.1</v>
      </c>
      <c r="ZL17" s="16" t="n">
        <v>18.47</v>
      </c>
      <c r="ZM17" s="16"/>
      <c r="ZN17" s="16"/>
      <c r="ZO17" s="16" t="n">
        <v>0</v>
      </c>
      <c r="ZP17" s="16" t="n">
        <v>0</v>
      </c>
      <c r="ZQ17" s="16" t="n">
        <v>0</v>
      </c>
      <c r="ZR17" s="0" t="n">
        <v>0</v>
      </c>
      <c r="ZS17" s="0" t="s">
        <v>279</v>
      </c>
      <c r="ZT17" s="0" t="n">
        <v>33.5</v>
      </c>
      <c r="ZU17" s="16" t="n">
        <v>54</v>
      </c>
      <c r="ZV17" s="16" t="n">
        <v>80.4</v>
      </c>
      <c r="ZW17" s="16" t="n">
        <v>9.6</v>
      </c>
      <c r="ZX17" s="0" t="n">
        <v>86.69</v>
      </c>
      <c r="ZY17" s="0" t="n">
        <v>8.34</v>
      </c>
      <c r="ZZ17" s="0" t="n">
        <v>4.97</v>
      </c>
      <c r="AAA17" s="0" t="n">
        <v>0</v>
      </c>
      <c r="AAB17" s="0" t="n">
        <v>0</v>
      </c>
      <c r="AAC17" s="0" t="n">
        <v>0</v>
      </c>
      <c r="AAD17" s="0" t="n">
        <v>0</v>
      </c>
      <c r="AAE17" s="0" t="n">
        <v>0</v>
      </c>
      <c r="AAF17" s="0" t="n">
        <v>0</v>
      </c>
      <c r="AAG17" s="0" t="n">
        <v>0</v>
      </c>
      <c r="AAH17" s="0" t="n">
        <v>0</v>
      </c>
      <c r="AAI17" s="0" t="n">
        <v>0</v>
      </c>
      <c r="AAJ17" s="0" t="n">
        <v>12.83</v>
      </c>
      <c r="AAK17" s="0" t="n">
        <v>6.09</v>
      </c>
      <c r="AAL17" s="0" t="n">
        <v>0</v>
      </c>
      <c r="AAM17" s="0" t="n">
        <v>0</v>
      </c>
      <c r="AAN17" s="0" t="n">
        <v>0</v>
      </c>
      <c r="AAO17" s="0" t="n">
        <v>0</v>
      </c>
      <c r="ABB17" s="0" t="n">
        <v>11.3</v>
      </c>
      <c r="ABC17" s="0" t="n">
        <v>1</v>
      </c>
      <c r="ABD17" s="0" t="n">
        <v>47</v>
      </c>
      <c r="ABE17" s="0" t="n">
        <v>1</v>
      </c>
      <c r="ABF17" s="0" t="n">
        <v>0.9</v>
      </c>
      <c r="ABG17" s="0" t="n">
        <v>3</v>
      </c>
      <c r="ABH17" s="0" t="n">
        <v>35</v>
      </c>
      <c r="ABI17" s="0" t="n">
        <v>2</v>
      </c>
      <c r="ABJ17" s="0" t="n">
        <v>0.92</v>
      </c>
      <c r="ABK17" s="0" t="n">
        <v>3</v>
      </c>
      <c r="ABN17" s="18"/>
      <c r="ACF17" s="0" t="n">
        <v>0</v>
      </c>
      <c r="ADQ17" s="16" t="n">
        <v>3.75</v>
      </c>
      <c r="ADR17" s="16" t="n">
        <v>1</v>
      </c>
      <c r="ADS17" s="16" t="n">
        <v>1</v>
      </c>
      <c r="ADT17" s="16"/>
      <c r="ADU17" s="16" t="n">
        <f aca="false">2.49+0.05+0.03</f>
        <v>2.57</v>
      </c>
      <c r="ADV17" s="16" t="n">
        <v>2</v>
      </c>
      <c r="ADW17" s="16"/>
      <c r="ADX17" s="16" t="n">
        <v>2.49</v>
      </c>
      <c r="ADY17" s="16"/>
      <c r="ADZ17" s="16"/>
      <c r="AEA17" s="16"/>
      <c r="AEB17" s="16" t="n">
        <v>8.81</v>
      </c>
      <c r="AEC17" s="16" t="n">
        <v>6.01</v>
      </c>
      <c r="AED17" s="16"/>
      <c r="AEE17" s="16"/>
      <c r="AEF17" s="16" t="n">
        <v>0</v>
      </c>
      <c r="AEG17" s="16" t="n">
        <v>0</v>
      </c>
      <c r="AEH17" s="16" t="n">
        <v>0</v>
      </c>
      <c r="AEI17" s="0" t="n">
        <v>0</v>
      </c>
      <c r="AEJ17" s="0" t="s">
        <v>280</v>
      </c>
      <c r="AEK17" s="0" t="n">
        <v>79</v>
      </c>
      <c r="AEL17" s="16" t="n">
        <v>63.9</v>
      </c>
      <c r="AEM17" s="16" t="n">
        <v>80.4</v>
      </c>
      <c r="AEN17" s="16" t="n">
        <v>11.2</v>
      </c>
      <c r="AEO17" s="0" t="n">
        <v>77.43</v>
      </c>
      <c r="AEP17" s="0" t="n">
        <v>22.57</v>
      </c>
      <c r="AEQ17" s="0" t="n">
        <v>0</v>
      </c>
      <c r="AER17" s="0" t="n">
        <v>0</v>
      </c>
      <c r="AES17" s="0" t="n">
        <v>0</v>
      </c>
      <c r="AET17" s="0" t="n">
        <v>0</v>
      </c>
      <c r="AEU17" s="0" t="n">
        <v>0</v>
      </c>
      <c r="AEV17" s="0" t="n">
        <v>0</v>
      </c>
      <c r="AEW17" s="0" t="n">
        <v>0</v>
      </c>
      <c r="AEX17" s="0" t="n">
        <v>0</v>
      </c>
      <c r="AEY17" s="0" t="n">
        <v>0</v>
      </c>
      <c r="AEZ17" s="0" t="n">
        <v>0</v>
      </c>
      <c r="AFA17" s="0" t="n">
        <v>0</v>
      </c>
      <c r="AFB17" s="0" t="n">
        <v>45.87</v>
      </c>
      <c r="AFC17" s="0" t="n">
        <v>0</v>
      </c>
      <c r="AFD17" s="0" t="n">
        <v>0</v>
      </c>
      <c r="AFE17" s="0" t="n">
        <v>0</v>
      </c>
      <c r="AFF17" s="0" t="n">
        <v>0</v>
      </c>
      <c r="AFS17" s="0" t="n">
        <v>56.3</v>
      </c>
      <c r="AFT17" s="0" t="n">
        <v>1</v>
      </c>
      <c r="AFU17" s="0" t="n">
        <v>47</v>
      </c>
      <c r="AFV17" s="0" t="n">
        <v>18</v>
      </c>
      <c r="AFW17" s="0" t="n">
        <f aca="false">13.43+9.14</f>
        <v>22.57</v>
      </c>
      <c r="AFX17" s="0" t="n">
        <v>3</v>
      </c>
      <c r="AGE17" s="18"/>
      <c r="AGW17" s="0" t="n">
        <v>0</v>
      </c>
      <c r="AIH17" s="16" t="n">
        <v>0</v>
      </c>
      <c r="AII17" s="16" t="n">
        <v>0</v>
      </c>
      <c r="AIJ17" s="16"/>
      <c r="AIK17" s="16"/>
      <c r="AIL17" s="16"/>
      <c r="AIM17" s="16"/>
      <c r="AIN17" s="16"/>
      <c r="AIO17" s="16"/>
      <c r="AIP17" s="16"/>
      <c r="AIQ17" s="16"/>
      <c r="AIR17" s="16"/>
      <c r="AIS17" s="16" t="n">
        <v>11.54</v>
      </c>
      <c r="AIT17" s="16" t="n">
        <v>22.57</v>
      </c>
      <c r="AIU17" s="16"/>
      <c r="AIV17" s="16"/>
      <c r="AIW17" s="16" t="n">
        <v>0</v>
      </c>
      <c r="AIX17" s="16" t="n">
        <v>0</v>
      </c>
      <c r="AIY17" s="16" t="n">
        <v>0</v>
      </c>
      <c r="AIZ17" s="0" t="n">
        <v>0</v>
      </c>
      <c r="AJA17" s="0" t="s">
        <v>281</v>
      </c>
      <c r="AJB17" s="0" t="n">
        <v>42.5</v>
      </c>
      <c r="AJC17" s="16" t="n">
        <v>76.4</v>
      </c>
      <c r="AJD17" s="16" t="n">
        <v>80.4</v>
      </c>
      <c r="AJE17" s="16" t="n">
        <v>15.3</v>
      </c>
      <c r="AJF17" s="0" t="n">
        <v>73.6</v>
      </c>
      <c r="AJG17" s="0" t="n">
        <v>20.42</v>
      </c>
      <c r="AJH17" s="0" t="n">
        <v>3.69</v>
      </c>
      <c r="AJI17" s="0" t="n">
        <v>0</v>
      </c>
      <c r="AJJ17" s="0" t="n">
        <v>2.28</v>
      </c>
      <c r="AJK17" s="0" t="n">
        <v>0</v>
      </c>
      <c r="AJL17" s="0" t="n">
        <v>0</v>
      </c>
      <c r="AJM17" s="0" t="n">
        <v>0</v>
      </c>
      <c r="AJN17" s="0" t="n">
        <v>0</v>
      </c>
      <c r="AJO17" s="0" t="n">
        <v>0</v>
      </c>
      <c r="AJP17" s="0" t="n">
        <v>0</v>
      </c>
      <c r="AJQ17" s="0" t="n">
        <v>0</v>
      </c>
      <c r="AJR17" s="0" t="n">
        <v>0</v>
      </c>
      <c r="AJS17" s="0" t="n">
        <v>35.36</v>
      </c>
      <c r="AJT17" s="0" t="n">
        <v>16.37</v>
      </c>
      <c r="AJU17" s="0" t="n">
        <v>0</v>
      </c>
      <c r="AJV17" s="0" t="n">
        <v>4.4</v>
      </c>
      <c r="AJW17" s="0" t="n">
        <v>2</v>
      </c>
      <c r="AJX17" s="0" t="n">
        <v>10</v>
      </c>
      <c r="AJY17" s="0" t="n">
        <v>0.9</v>
      </c>
      <c r="AKD17" s="0" t="n">
        <v>10</v>
      </c>
      <c r="AKE17" s="0" t="n">
        <v>0.9</v>
      </c>
      <c r="AKJ17" s="0" t="n">
        <v>9.7</v>
      </c>
      <c r="AKK17" s="0" t="n">
        <v>1</v>
      </c>
      <c r="AKL17" s="0" t="n">
        <v>68</v>
      </c>
      <c r="AKM17" s="0" t="n">
        <v>2</v>
      </c>
      <c r="AKN17" s="0" t="n">
        <f aca="false">3.34+5.29</f>
        <v>8.63</v>
      </c>
      <c r="AKO17" s="0" t="n">
        <v>1</v>
      </c>
      <c r="AKP17" s="0" t="n">
        <v>34</v>
      </c>
      <c r="AKQ17" s="0" t="n">
        <v>86</v>
      </c>
      <c r="AKR17" s="0" t="n">
        <f aca="false">0.8+0.6</f>
        <v>1.4</v>
      </c>
      <c r="AKS17" s="0" t="n">
        <v>1</v>
      </c>
      <c r="AKT17" s="0" t="n">
        <v>47</v>
      </c>
      <c r="AKU17" s="0" t="n">
        <v>1</v>
      </c>
      <c r="AKV17" s="18" t="n">
        <v>1.52</v>
      </c>
      <c r="AKW17" s="0" t="n">
        <v>3</v>
      </c>
      <c r="ALN17" s="0" t="n">
        <v>0</v>
      </c>
    </row>
    <row r="18" customFormat="false" ht="13.8" hidden="false" customHeight="false" outlineLevel="0" collapsed="false">
      <c r="A18" s="1" t="s">
        <v>297</v>
      </c>
      <c r="B18" s="12" t="n">
        <v>42893</v>
      </c>
      <c r="C18" s="0" t="n">
        <v>2</v>
      </c>
      <c r="D18" s="13" t="n">
        <v>35620</v>
      </c>
      <c r="E18" s="12" t="n">
        <v>25758</v>
      </c>
      <c r="F18" s="14" t="n">
        <f aca="false">(B18-E18)/365.25</f>
        <v>46.9130732375086</v>
      </c>
      <c r="G18" s="14" t="n">
        <f aca="false">(B18-D18)/365.25</f>
        <v>19.9123887748118</v>
      </c>
      <c r="H18" s="15" t="s">
        <v>183</v>
      </c>
      <c r="I18" s="15" t="s">
        <v>298</v>
      </c>
      <c r="J18" s="21" t="s">
        <v>183</v>
      </c>
      <c r="K18" s="21" t="n">
        <v>8</v>
      </c>
      <c r="L18" s="19" t="n">
        <v>88</v>
      </c>
      <c r="M18" s="0" t="n">
        <v>1.75</v>
      </c>
      <c r="N18" s="16" t="n">
        <f aca="false">L18/(M18*M18)</f>
        <v>28.734693877551</v>
      </c>
      <c r="O18" s="19" t="n">
        <v>0</v>
      </c>
      <c r="P18" s="19" t="n">
        <v>0</v>
      </c>
      <c r="Q18" s="19" t="n">
        <v>0</v>
      </c>
      <c r="R18" s="19" t="n">
        <v>0</v>
      </c>
      <c r="S18" s="19" t="n">
        <v>0</v>
      </c>
      <c r="T18" s="19" t="n">
        <v>0</v>
      </c>
      <c r="U18" s="19" t="n">
        <v>0</v>
      </c>
      <c r="V18" s="19" t="n">
        <v>0</v>
      </c>
      <c r="W18" s="19" t="n">
        <v>0</v>
      </c>
      <c r="X18" s="19" t="n">
        <v>0</v>
      </c>
      <c r="Y18" s="19" t="n">
        <v>0</v>
      </c>
      <c r="Z18" s="19" t="n">
        <v>0</v>
      </c>
      <c r="AA18" s="19" t="n">
        <v>0</v>
      </c>
      <c r="AB18" s="19" t="n">
        <v>0</v>
      </c>
      <c r="AC18" s="19" t="n">
        <v>0</v>
      </c>
      <c r="AD18" s="19" t="n">
        <v>0</v>
      </c>
      <c r="AE18" s="19" t="n">
        <v>0</v>
      </c>
      <c r="AF18" s="19" t="n">
        <v>0</v>
      </c>
      <c r="AG18" s="19" t="n">
        <v>0</v>
      </c>
      <c r="AH18" s="19" t="n">
        <v>0</v>
      </c>
      <c r="AI18" s="19" t="n">
        <v>1</v>
      </c>
      <c r="AJ18" s="19" t="n">
        <v>1</v>
      </c>
      <c r="AK18" s="19" t="n">
        <v>0</v>
      </c>
      <c r="AL18" s="19" t="n">
        <v>0</v>
      </c>
      <c r="AM18" s="19" t="n">
        <v>0</v>
      </c>
      <c r="AN18" s="19" t="n">
        <v>0</v>
      </c>
      <c r="AO18" s="19" t="n">
        <v>0</v>
      </c>
      <c r="AP18" s="19" t="n">
        <v>0</v>
      </c>
      <c r="AQ18" s="19" t="n">
        <v>0</v>
      </c>
      <c r="AR18" s="19" t="n">
        <v>0</v>
      </c>
      <c r="AS18" s="19" t="n">
        <v>0</v>
      </c>
      <c r="AT18" s="19" t="n">
        <v>0</v>
      </c>
      <c r="AU18" s="19" t="n">
        <v>0</v>
      </c>
      <c r="AV18" s="19" t="n">
        <v>0</v>
      </c>
      <c r="AW18" s="19" t="n">
        <v>0</v>
      </c>
      <c r="AX18" s="19" t="n">
        <v>0</v>
      </c>
      <c r="AY18" s="19" t="n">
        <v>0</v>
      </c>
      <c r="AZ18" s="19" t="n">
        <v>0</v>
      </c>
      <c r="BA18" s="19" t="n">
        <v>0</v>
      </c>
      <c r="BB18" s="19" t="n">
        <v>0</v>
      </c>
      <c r="BC18" s="19" t="n">
        <v>0</v>
      </c>
      <c r="BD18" s="19" t="n">
        <v>0</v>
      </c>
      <c r="BE18" s="19" t="n">
        <v>0</v>
      </c>
      <c r="BF18" s="19"/>
      <c r="BG18" s="19"/>
      <c r="BH18" s="19"/>
      <c r="BI18" s="19"/>
      <c r="BJ18" s="19" t="n">
        <v>0</v>
      </c>
      <c r="BK18" s="19" t="n">
        <v>0</v>
      </c>
      <c r="BL18" s="19" t="n">
        <v>0</v>
      </c>
      <c r="BM18" s="19" t="n">
        <v>0</v>
      </c>
      <c r="BN18" s="19" t="n">
        <v>0</v>
      </c>
      <c r="BO18" s="19" t="n">
        <v>0</v>
      </c>
      <c r="BP18" s="19" t="n">
        <v>0</v>
      </c>
      <c r="BQ18" s="19" t="n">
        <v>0</v>
      </c>
      <c r="BR18" s="19" t="n">
        <v>2</v>
      </c>
      <c r="BS18" s="19" t="n">
        <v>2</v>
      </c>
      <c r="BT18" s="19" t="n">
        <v>4</v>
      </c>
      <c r="BU18" s="19" t="n">
        <v>4</v>
      </c>
      <c r="BV18" s="19" t="n">
        <v>4</v>
      </c>
      <c r="BW18" s="19" t="n">
        <v>4</v>
      </c>
      <c r="BX18" s="19" t="n">
        <v>4</v>
      </c>
      <c r="BY18" s="19" t="n">
        <v>4</v>
      </c>
      <c r="BZ18" s="19" t="n">
        <v>4</v>
      </c>
      <c r="CA18" s="19" t="n">
        <v>3</v>
      </c>
      <c r="CB18" s="19" t="n">
        <v>3</v>
      </c>
      <c r="CC18" s="19" t="n">
        <v>5</v>
      </c>
      <c r="CD18" s="19" t="n">
        <v>3</v>
      </c>
      <c r="CE18" s="19" t="n">
        <v>4</v>
      </c>
      <c r="CF18" s="19" t="n">
        <v>4</v>
      </c>
      <c r="CG18" s="19" t="n">
        <v>4</v>
      </c>
      <c r="CH18" s="19" t="n">
        <v>3</v>
      </c>
      <c r="CI18" s="19" t="n">
        <v>3</v>
      </c>
      <c r="CJ18" s="19" t="n">
        <v>4</v>
      </c>
      <c r="CK18" s="19" t="n">
        <v>10</v>
      </c>
      <c r="CL18" s="0" t="s">
        <v>299</v>
      </c>
      <c r="CM18" s="0" t="n">
        <v>17.5</v>
      </c>
      <c r="CN18" s="16" t="n">
        <v>81.9</v>
      </c>
      <c r="CO18" s="16" t="n">
        <v>80.4</v>
      </c>
      <c r="CP18" s="16" t="n">
        <v>12.5</v>
      </c>
      <c r="CQ18" s="0" t="n">
        <v>85.79</v>
      </c>
      <c r="CR18" s="17" t="n">
        <v>0</v>
      </c>
      <c r="CS18" s="0" t="n">
        <v>10.02</v>
      </c>
      <c r="CT18" s="0" t="n">
        <v>0</v>
      </c>
      <c r="CU18" s="0" t="n">
        <v>0</v>
      </c>
      <c r="CV18" s="0" t="n">
        <v>0</v>
      </c>
      <c r="CW18" s="0" t="n">
        <v>4.19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53.51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U18" s="0" t="n">
        <v>0</v>
      </c>
      <c r="DV18" s="0" t="n">
        <v>0</v>
      </c>
      <c r="EG18" s="20"/>
      <c r="EY18" s="0" t="n">
        <v>0</v>
      </c>
      <c r="GJ18" s="16" t="n">
        <v>3.38</v>
      </c>
      <c r="GK18" s="16" t="n">
        <v>1</v>
      </c>
      <c r="GL18" s="16" t="n">
        <v>1</v>
      </c>
      <c r="GM18" s="16"/>
      <c r="GN18" s="16" t="n">
        <v>12.64</v>
      </c>
      <c r="GO18" s="16"/>
      <c r="GP18" s="16"/>
      <c r="GQ18" s="16"/>
      <c r="GR18" s="16"/>
      <c r="GS18" s="16"/>
      <c r="GT18" s="16"/>
      <c r="GU18" s="16" t="n">
        <v>0</v>
      </c>
      <c r="GV18" s="16" t="n">
        <v>0</v>
      </c>
      <c r="GW18" s="16" t="n">
        <v>0</v>
      </c>
      <c r="GX18" s="16" t="n">
        <v>0</v>
      </c>
      <c r="GY18" s="16" t="n">
        <v>0</v>
      </c>
      <c r="GZ18" s="16" t="n">
        <v>0</v>
      </c>
      <c r="HA18" s="16" t="n">
        <v>0</v>
      </c>
      <c r="HB18" s="0" t="n">
        <v>0</v>
      </c>
      <c r="HC18" s="0" t="s">
        <v>300</v>
      </c>
      <c r="HD18" s="0" t="n">
        <v>31</v>
      </c>
      <c r="HE18" s="16" t="n">
        <v>86.2</v>
      </c>
      <c r="HF18" s="16" t="n">
        <v>80.4</v>
      </c>
      <c r="HG18" s="16" t="n">
        <v>19.4</v>
      </c>
      <c r="HH18" s="0" t="n">
        <v>23.44</v>
      </c>
      <c r="HI18" s="17" t="n">
        <v>0</v>
      </c>
      <c r="HJ18" s="0" t="n">
        <v>0</v>
      </c>
      <c r="HK18" s="0" t="n">
        <v>0</v>
      </c>
      <c r="HL18" s="0" t="n">
        <v>0.94</v>
      </c>
      <c r="HM18" s="0" t="n">
        <v>0</v>
      </c>
      <c r="HN18" s="0" t="n">
        <v>75.62</v>
      </c>
      <c r="HO18" s="0" t="n">
        <v>16.83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6.9</v>
      </c>
      <c r="HU18" s="0" t="n">
        <v>42.32</v>
      </c>
      <c r="HV18" s="0" t="n">
        <v>0</v>
      </c>
      <c r="HW18" s="0" t="n">
        <v>0</v>
      </c>
      <c r="HX18" s="0" t="n">
        <v>0</v>
      </c>
      <c r="HY18" s="0" t="n">
        <v>0</v>
      </c>
      <c r="IL18" s="0" t="n">
        <v>0</v>
      </c>
      <c r="IM18" s="0" t="n">
        <v>0</v>
      </c>
      <c r="IX18" s="20"/>
      <c r="JP18" s="0" t="n">
        <v>0</v>
      </c>
      <c r="LA18" s="16" t="n">
        <v>5.06</v>
      </c>
      <c r="LB18" s="16" t="n">
        <v>1</v>
      </c>
      <c r="LC18" s="16" t="n">
        <v>1</v>
      </c>
      <c r="LD18" s="16"/>
      <c r="LE18" s="16" t="n">
        <v>6.74</v>
      </c>
      <c r="LF18" s="16" t="n">
        <v>2</v>
      </c>
      <c r="LG18" s="16"/>
      <c r="LH18" s="16" t="n">
        <v>10.7</v>
      </c>
      <c r="LI18" s="16"/>
      <c r="LJ18" s="16"/>
      <c r="LK18" s="16"/>
      <c r="LL18" s="16" t="n">
        <v>0</v>
      </c>
      <c r="LM18" s="16" t="n">
        <v>0</v>
      </c>
      <c r="LN18" s="16" t="n">
        <v>0</v>
      </c>
      <c r="LO18" s="16" t="n">
        <v>0</v>
      </c>
      <c r="LP18" s="16" t="n">
        <v>5.97</v>
      </c>
      <c r="LQ18" s="16" t="n">
        <v>0</v>
      </c>
      <c r="LR18" s="16" t="n">
        <v>0</v>
      </c>
      <c r="LS18" s="0" t="n">
        <v>1</v>
      </c>
      <c r="LT18" s="0" t="s">
        <v>301</v>
      </c>
      <c r="LU18" s="0" t="n">
        <v>44</v>
      </c>
      <c r="LV18" s="16" t="n">
        <v>88.4</v>
      </c>
      <c r="LW18" s="16" t="n">
        <v>80.4</v>
      </c>
      <c r="LX18" s="16" t="n">
        <v>40</v>
      </c>
      <c r="LY18" s="0" t="n">
        <v>11.38</v>
      </c>
      <c r="LZ18" s="17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88.62</v>
      </c>
      <c r="MF18" s="0" t="n">
        <v>22.58</v>
      </c>
      <c r="MG18" s="0" t="n">
        <v>24.22</v>
      </c>
      <c r="MH18" s="0" t="n">
        <v>0</v>
      </c>
      <c r="MI18" s="0" t="n">
        <v>0</v>
      </c>
      <c r="MJ18" s="0" t="n">
        <v>0</v>
      </c>
      <c r="MK18" s="0" t="n">
        <v>26.59</v>
      </c>
      <c r="ML18" s="0" t="n">
        <v>0.54</v>
      </c>
      <c r="MM18" s="0" t="n">
        <v>0</v>
      </c>
      <c r="MN18" s="0" t="n">
        <v>0</v>
      </c>
      <c r="MO18" s="0" t="n">
        <v>0</v>
      </c>
      <c r="MP18" s="0" t="n">
        <v>0</v>
      </c>
      <c r="NC18" s="0" t="n">
        <v>0</v>
      </c>
      <c r="ND18" s="0" t="n">
        <v>0</v>
      </c>
      <c r="NO18" s="20"/>
      <c r="OG18" s="0" t="n">
        <v>1</v>
      </c>
      <c r="OH18" s="0" t="n">
        <v>40</v>
      </c>
      <c r="OI18" s="0" t="n">
        <v>2</v>
      </c>
      <c r="OJ18" s="0" t="n">
        <v>0.26</v>
      </c>
      <c r="OK18" s="0" t="n">
        <v>3</v>
      </c>
      <c r="PR18" s="16" t="n">
        <v>3.77</v>
      </c>
      <c r="PS18" s="16" t="n">
        <v>1</v>
      </c>
      <c r="PT18" s="16" t="n">
        <v>1</v>
      </c>
      <c r="PU18" s="16"/>
      <c r="PV18" s="16" t="n">
        <v>25.78</v>
      </c>
      <c r="PW18" s="16"/>
      <c r="PX18" s="16"/>
      <c r="PY18" s="16"/>
      <c r="PZ18" s="16"/>
      <c r="QA18" s="16"/>
      <c r="QB18" s="16"/>
      <c r="QC18" s="16" t="n">
        <v>0</v>
      </c>
      <c r="QD18" s="16" t="n">
        <v>0</v>
      </c>
      <c r="QE18" s="16" t="n">
        <v>0</v>
      </c>
      <c r="QF18" s="16" t="n">
        <v>0</v>
      </c>
      <c r="QG18" s="16" t="n">
        <v>0</v>
      </c>
      <c r="QH18" s="16" t="n">
        <v>0</v>
      </c>
      <c r="QI18" s="16" t="n">
        <v>0</v>
      </c>
      <c r="QJ18" s="0" t="n">
        <v>0</v>
      </c>
      <c r="QK18" s="0" t="s">
        <v>207</v>
      </c>
      <c r="QL18" s="0" t="n">
        <v>20.5</v>
      </c>
      <c r="QM18" s="16" t="n">
        <v>85.6</v>
      </c>
      <c r="QN18" s="16" t="n">
        <v>80.4</v>
      </c>
      <c r="QO18" s="16" t="n">
        <v>17.7</v>
      </c>
      <c r="QP18" s="0" t="n">
        <v>63.65</v>
      </c>
      <c r="QQ18" s="17" t="n">
        <v>0</v>
      </c>
      <c r="QR18" s="0" t="n">
        <v>0</v>
      </c>
      <c r="QS18" s="0" t="n">
        <v>0</v>
      </c>
      <c r="QT18" s="0" t="n">
        <v>47.03</v>
      </c>
      <c r="QU18" s="0" t="n">
        <v>0</v>
      </c>
      <c r="QV18" s="0" t="n">
        <v>11.64</v>
      </c>
      <c r="QW18" s="0" t="n">
        <v>0</v>
      </c>
      <c r="QX18" s="0" t="n">
        <v>0</v>
      </c>
      <c r="QY18" s="0" t="n">
        <v>5.03</v>
      </c>
      <c r="QZ18" s="0" t="n">
        <v>0</v>
      </c>
      <c r="RA18" s="0" t="n">
        <v>2.93</v>
      </c>
      <c r="RB18" s="0" t="n">
        <v>24.27</v>
      </c>
      <c r="RC18" s="0" t="n">
        <v>17.25</v>
      </c>
      <c r="RD18" s="0" t="n">
        <v>0</v>
      </c>
      <c r="RE18" s="0" t="n">
        <v>0</v>
      </c>
      <c r="RF18" s="0" t="n">
        <v>0</v>
      </c>
      <c r="RG18" s="0" t="n">
        <v>0</v>
      </c>
      <c r="RT18" s="0" t="n">
        <v>0</v>
      </c>
      <c r="RU18" s="0" t="n">
        <v>0</v>
      </c>
      <c r="SF18" s="20"/>
      <c r="SX18" s="0" t="n">
        <v>0</v>
      </c>
      <c r="UI18" s="16" t="n">
        <v>1.47</v>
      </c>
      <c r="UJ18" s="16" t="n">
        <v>1</v>
      </c>
      <c r="UK18" s="16" t="n">
        <v>1</v>
      </c>
      <c r="UL18" s="16"/>
      <c r="UM18" s="16" t="n">
        <v>2.94</v>
      </c>
      <c r="UN18" s="16"/>
      <c r="UO18" s="16"/>
      <c r="UP18" s="16"/>
      <c r="UQ18" s="16"/>
      <c r="UR18" s="16"/>
      <c r="US18" s="16"/>
      <c r="UT18" s="16" t="n">
        <v>0</v>
      </c>
      <c r="UU18" s="16" t="n">
        <v>0</v>
      </c>
      <c r="UV18" s="16" t="n">
        <v>0</v>
      </c>
      <c r="UW18" s="16" t="n">
        <v>0</v>
      </c>
      <c r="UX18" s="16" t="n">
        <v>0</v>
      </c>
      <c r="UY18" s="16" t="n">
        <v>0</v>
      </c>
      <c r="UZ18" s="16" t="n">
        <v>0</v>
      </c>
      <c r="VA18" s="0" t="n">
        <v>0</v>
      </c>
      <c r="VB18" s="0" t="s">
        <v>208</v>
      </c>
      <c r="VC18" s="0" t="n">
        <v>35</v>
      </c>
      <c r="VD18" s="16" t="n">
        <v>69.2</v>
      </c>
      <c r="VE18" s="16" t="n">
        <v>80.4</v>
      </c>
      <c r="VF18" s="16" t="n">
        <v>24</v>
      </c>
      <c r="VG18" s="0" t="n">
        <v>71.73</v>
      </c>
      <c r="VH18" s="17" t="n">
        <v>0</v>
      </c>
      <c r="VI18" s="0" t="n">
        <v>0</v>
      </c>
      <c r="VJ18" s="0" t="n">
        <v>6.09</v>
      </c>
      <c r="VK18" s="0" t="n">
        <v>19.28</v>
      </c>
      <c r="VL18" s="0" t="n">
        <v>0</v>
      </c>
      <c r="VM18" s="0" t="n">
        <v>2.83</v>
      </c>
      <c r="VN18" s="0" t="n">
        <v>0</v>
      </c>
      <c r="VO18" s="0" t="n">
        <v>0</v>
      </c>
      <c r="VP18" s="0" t="n">
        <v>0</v>
      </c>
      <c r="VQ18" s="0" t="n">
        <v>0</v>
      </c>
      <c r="VR18" s="0" t="n">
        <v>14.46</v>
      </c>
      <c r="VS18" s="0" t="n">
        <v>19.89</v>
      </c>
      <c r="VT18" s="0" t="n">
        <v>24.43</v>
      </c>
      <c r="VU18" s="0" t="n">
        <v>0</v>
      </c>
      <c r="VV18" s="0" t="n">
        <v>0.07</v>
      </c>
      <c r="VW18" s="0" t="n">
        <v>0</v>
      </c>
      <c r="VX18" s="0" t="n">
        <v>0</v>
      </c>
      <c r="WK18" s="0" t="n">
        <v>2</v>
      </c>
      <c r="WL18" s="0" t="n">
        <v>0</v>
      </c>
      <c r="WW18" s="20"/>
      <c r="XO18" s="0" t="n">
        <v>1</v>
      </c>
      <c r="XP18" s="0" t="n">
        <v>40</v>
      </c>
      <c r="XQ18" s="0" t="n">
        <v>2</v>
      </c>
      <c r="XR18" s="0" t="n">
        <v>1.52</v>
      </c>
      <c r="XS18" s="0" t="n">
        <v>3</v>
      </c>
      <c r="XT18" s="0" t="n">
        <v>50</v>
      </c>
      <c r="XU18" s="0" t="n">
        <v>4</v>
      </c>
      <c r="XV18" s="0" t="n">
        <v>0.54</v>
      </c>
      <c r="XW18" s="0" t="n">
        <v>1</v>
      </c>
      <c r="YZ18" s="16" t="n">
        <v>1.6</v>
      </c>
      <c r="ZA18" s="16" t="n">
        <v>1</v>
      </c>
      <c r="ZB18" s="16" t="n">
        <v>1</v>
      </c>
      <c r="ZC18" s="16"/>
      <c r="ZD18" s="16" t="n">
        <v>7.09</v>
      </c>
      <c r="ZE18" s="16"/>
      <c r="ZF18" s="16"/>
      <c r="ZG18" s="16"/>
      <c r="ZH18" s="16"/>
      <c r="ZI18" s="16"/>
      <c r="ZJ18" s="16"/>
      <c r="ZK18" s="16" t="n">
        <v>1.12</v>
      </c>
      <c r="ZL18" s="16" t="n">
        <v>0.27</v>
      </c>
      <c r="ZM18" s="16" t="n">
        <v>0</v>
      </c>
      <c r="ZN18" s="16" t="n">
        <v>0</v>
      </c>
      <c r="ZO18" s="16" t="n">
        <v>0</v>
      </c>
      <c r="ZP18" s="16" t="n">
        <v>0</v>
      </c>
      <c r="ZQ18" s="16" t="n">
        <v>3</v>
      </c>
      <c r="ZR18" s="0" t="n">
        <v>0</v>
      </c>
      <c r="ZS18" s="0" t="s">
        <v>302</v>
      </c>
      <c r="ZT18" s="0" t="n">
        <v>22</v>
      </c>
      <c r="ZU18" s="16" t="n">
        <v>87.6</v>
      </c>
      <c r="ZV18" s="16" t="n">
        <v>80.4</v>
      </c>
      <c r="ZW18" s="16" t="n">
        <v>4.5</v>
      </c>
      <c r="ZX18" s="0" t="n">
        <v>100</v>
      </c>
      <c r="ZY18" s="17" t="n">
        <v>0</v>
      </c>
      <c r="ZZ18" s="0" t="n">
        <v>0</v>
      </c>
      <c r="AAA18" s="0" t="n">
        <v>0</v>
      </c>
      <c r="AAB18" s="0" t="n">
        <v>0</v>
      </c>
      <c r="AAC18" s="0" t="n">
        <v>0</v>
      </c>
      <c r="AAD18" s="0" t="n">
        <v>0</v>
      </c>
      <c r="AAE18" s="0" t="n">
        <v>0</v>
      </c>
      <c r="AAF18" s="0" t="n">
        <v>0</v>
      </c>
      <c r="AAG18" s="0" t="n">
        <v>0</v>
      </c>
      <c r="AAH18" s="0" t="n">
        <v>0</v>
      </c>
      <c r="AAI18" s="0" t="n">
        <v>1.14</v>
      </c>
      <c r="AAJ18" s="0" t="n">
        <v>27.07</v>
      </c>
      <c r="AAK18" s="0" t="n">
        <v>1.9</v>
      </c>
      <c r="AAL18" s="0" t="n">
        <v>0</v>
      </c>
      <c r="AAM18" s="0" t="n">
        <v>0</v>
      </c>
      <c r="AAN18" s="0" t="n">
        <v>0</v>
      </c>
      <c r="AAO18" s="0" t="n">
        <v>0</v>
      </c>
      <c r="ABB18" s="0" t="n">
        <v>8</v>
      </c>
      <c r="ABC18" s="0" t="n">
        <v>1</v>
      </c>
      <c r="ABD18" s="0" t="n">
        <v>35</v>
      </c>
      <c r="ABE18" s="0" t="n">
        <v>2</v>
      </c>
      <c r="ABF18" s="0" t="n">
        <v>1.52</v>
      </c>
      <c r="ABG18" s="0" t="n">
        <v>3</v>
      </c>
      <c r="ABN18" s="20"/>
      <c r="ACF18" s="0" t="n">
        <v>1</v>
      </c>
      <c r="ACG18" s="0" t="n">
        <v>40</v>
      </c>
      <c r="ACH18" s="0" t="n">
        <v>3</v>
      </c>
      <c r="ACI18" s="0" t="n">
        <v>2.28</v>
      </c>
      <c r="ACJ18" s="0" t="n">
        <v>3</v>
      </c>
      <c r="ADQ18" s="16" t="n">
        <v>1.12</v>
      </c>
      <c r="ADR18" s="16" t="n">
        <v>1</v>
      </c>
      <c r="ADS18" s="16" t="n">
        <v>1</v>
      </c>
      <c r="ADT18" s="16"/>
      <c r="ADU18" s="16" t="n">
        <v>2.24</v>
      </c>
      <c r="ADV18" s="16"/>
      <c r="ADW18" s="16"/>
      <c r="ADX18" s="16"/>
      <c r="ADY18" s="16"/>
      <c r="ADZ18" s="16"/>
      <c r="AEA18" s="16"/>
      <c r="AEB18" s="16" t="n">
        <v>6.72</v>
      </c>
      <c r="AEC18" s="16" t="n">
        <v>0</v>
      </c>
      <c r="AED18" s="16" t="n">
        <v>0</v>
      </c>
      <c r="AEE18" s="16" t="n">
        <v>0</v>
      </c>
      <c r="AEF18" s="16" t="n">
        <v>0</v>
      </c>
      <c r="AEG18" s="16" t="n">
        <v>0</v>
      </c>
      <c r="AEH18" s="16" t="n">
        <v>0</v>
      </c>
      <c r="AEI18" s="0" t="n">
        <v>1</v>
      </c>
      <c r="AEJ18" s="0" t="s">
        <v>303</v>
      </c>
      <c r="AEK18" s="0" t="n">
        <v>18</v>
      </c>
      <c r="AEL18" s="16" t="n">
        <v>84.7</v>
      </c>
      <c r="AEM18" s="16" t="n">
        <v>80.4</v>
      </c>
      <c r="AEN18" s="16" t="n">
        <v>6.7</v>
      </c>
      <c r="AEO18" s="0" t="n">
        <v>100</v>
      </c>
      <c r="AEP18" s="17" t="n">
        <v>0</v>
      </c>
      <c r="AEQ18" s="0" t="n">
        <v>0</v>
      </c>
      <c r="AER18" s="0" t="n">
        <v>0</v>
      </c>
      <c r="AES18" s="0" t="n">
        <v>0</v>
      </c>
      <c r="AET18" s="0" t="n">
        <v>0</v>
      </c>
      <c r="AEU18" s="0" t="n">
        <v>0</v>
      </c>
      <c r="AEV18" s="0" t="n">
        <v>0</v>
      </c>
      <c r="AEW18" s="0" t="n">
        <v>0</v>
      </c>
      <c r="AEX18" s="0" t="n">
        <v>0</v>
      </c>
      <c r="AEY18" s="0" t="n">
        <v>0</v>
      </c>
      <c r="AEZ18" s="0" t="n">
        <v>14.84</v>
      </c>
      <c r="AFA18" s="0" t="n">
        <v>28.79</v>
      </c>
      <c r="AFB18" s="0" t="n">
        <v>1.9</v>
      </c>
      <c r="AFC18" s="0" t="n">
        <v>0</v>
      </c>
      <c r="AFD18" s="0" t="n">
        <v>0</v>
      </c>
      <c r="AFE18" s="0" t="n">
        <v>0</v>
      </c>
      <c r="AFF18" s="0" t="n">
        <v>0</v>
      </c>
      <c r="AFS18" s="0" t="n">
        <v>1.9</v>
      </c>
      <c r="AFT18" s="0" t="n">
        <v>0</v>
      </c>
      <c r="AGE18" s="20"/>
      <c r="AGW18" s="0" t="n">
        <v>1</v>
      </c>
      <c r="AGX18" s="0" t="n">
        <v>50</v>
      </c>
      <c r="AGY18" s="0" t="n">
        <v>3</v>
      </c>
      <c r="AGZ18" s="0" t="n">
        <v>2.28</v>
      </c>
      <c r="AHA18" s="0" t="n">
        <v>3</v>
      </c>
      <c r="AIH18" s="16" t="n">
        <v>1.12</v>
      </c>
      <c r="AII18" s="16" t="n">
        <v>1</v>
      </c>
      <c r="AIJ18" s="16" t="n">
        <v>1</v>
      </c>
      <c r="AIK18" s="16"/>
      <c r="AIL18" s="16" t="n">
        <v>2.24</v>
      </c>
      <c r="AIM18" s="16"/>
      <c r="AIN18" s="16"/>
      <c r="AIO18" s="16"/>
      <c r="AIP18" s="16"/>
      <c r="AIQ18" s="16"/>
      <c r="AIR18" s="16"/>
      <c r="AIS18" s="16" t="n">
        <v>0</v>
      </c>
      <c r="AIT18" s="16" t="n">
        <v>0</v>
      </c>
      <c r="AIU18" s="16" t="n">
        <v>0</v>
      </c>
      <c r="AIV18" s="16" t="n">
        <v>0</v>
      </c>
      <c r="AIW18" s="16" t="n">
        <v>6.72</v>
      </c>
      <c r="AIX18" s="16" t="n">
        <v>0</v>
      </c>
      <c r="AIY18" s="16" t="n">
        <v>0</v>
      </c>
      <c r="AIZ18" s="0" t="n">
        <v>1</v>
      </c>
      <c r="AJA18" s="0" t="s">
        <v>304</v>
      </c>
      <c r="AJB18" s="0" t="n">
        <v>29</v>
      </c>
      <c r="AJC18" s="16" t="n">
        <v>84.9</v>
      </c>
      <c r="AJD18" s="16" t="n">
        <v>80.4</v>
      </c>
      <c r="AJE18" s="16" t="n">
        <v>22.7</v>
      </c>
      <c r="AJF18" s="0" t="n">
        <v>47.69</v>
      </c>
      <c r="AJG18" s="17" t="n">
        <v>0</v>
      </c>
      <c r="AJH18" s="0" t="n">
        <v>0</v>
      </c>
      <c r="AJI18" s="0" t="n">
        <v>0</v>
      </c>
      <c r="AJJ18" s="0" t="n">
        <v>22.69</v>
      </c>
      <c r="AJK18" s="0" t="n">
        <v>0</v>
      </c>
      <c r="AJL18" s="0" t="n">
        <v>28.56</v>
      </c>
      <c r="AJM18" s="0" t="n">
        <v>0</v>
      </c>
      <c r="AJN18" s="0" t="n">
        <v>0</v>
      </c>
      <c r="AJO18" s="0" t="n">
        <v>0</v>
      </c>
      <c r="AJP18" s="0" t="n">
        <v>0</v>
      </c>
      <c r="AJQ18" s="0" t="n">
        <v>30.64</v>
      </c>
      <c r="AJR18" s="0" t="n">
        <v>8.38</v>
      </c>
      <c r="AJS18" s="0" t="n">
        <v>43.35</v>
      </c>
      <c r="AJT18" s="0" t="n">
        <v>6.09</v>
      </c>
      <c r="AJU18" s="0" t="n">
        <v>0</v>
      </c>
      <c r="AJV18" s="0" t="n">
        <v>0</v>
      </c>
      <c r="AJW18" s="0" t="n">
        <v>0</v>
      </c>
      <c r="AKJ18" s="0" t="n">
        <v>2.5</v>
      </c>
      <c r="AKK18" s="0" t="n">
        <v>1</v>
      </c>
      <c r="AKL18" s="0" t="n">
        <v>35</v>
      </c>
      <c r="AKM18" s="0" t="n">
        <v>4</v>
      </c>
      <c r="AKN18" s="0" t="n">
        <v>0.54</v>
      </c>
      <c r="AKO18" s="0" t="n">
        <v>3</v>
      </c>
      <c r="AKV18" s="20"/>
      <c r="ALN18" s="0" t="n">
        <v>1</v>
      </c>
      <c r="ALO18" s="0" t="n">
        <v>40</v>
      </c>
      <c r="ALP18" s="0" t="n">
        <v>2</v>
      </c>
      <c r="ALQ18" s="0" t="n">
        <v>0.26</v>
      </c>
      <c r="ALR18" s="0" t="n">
        <v>3</v>
      </c>
    </row>
    <row r="19" s="24" customFormat="true" ht="13.8" hidden="false" customHeight="false" outlineLevel="0" collapsed="false">
      <c r="A19" s="1" t="s">
        <v>305</v>
      </c>
      <c r="B19" s="12" t="n">
        <v>42893</v>
      </c>
      <c r="C19" s="0" t="n">
        <v>2</v>
      </c>
      <c r="D19" s="13" t="n">
        <v>41080</v>
      </c>
      <c r="E19" s="12" t="n">
        <v>32394</v>
      </c>
      <c r="F19" s="14" t="n">
        <f aca="false">(B19-E19)/365.25</f>
        <v>28.7446954140999</v>
      </c>
      <c r="G19" s="14" t="n">
        <f aca="false">(B19-D19)/365.25</f>
        <v>4.9637234770705</v>
      </c>
      <c r="H19" s="15" t="s">
        <v>306</v>
      </c>
      <c r="I19" s="15" t="s">
        <v>307</v>
      </c>
      <c r="J19" s="21" t="s">
        <v>183</v>
      </c>
      <c r="K19" s="21" t="n">
        <v>8</v>
      </c>
      <c r="L19" s="19" t="n">
        <v>72</v>
      </c>
      <c r="M19" s="0" t="n">
        <v>1.71</v>
      </c>
      <c r="N19" s="16" t="n">
        <f aca="false">L19/(M19*M19)</f>
        <v>24.6229609110496</v>
      </c>
      <c r="O19" s="19" t="n">
        <v>0</v>
      </c>
      <c r="P19" s="19" t="n">
        <v>0</v>
      </c>
      <c r="Q19" s="19" t="n">
        <v>0</v>
      </c>
      <c r="R19" s="19" t="n">
        <v>0</v>
      </c>
      <c r="S19" s="19" t="n">
        <v>0</v>
      </c>
      <c r="T19" s="19" t="n">
        <v>0</v>
      </c>
      <c r="U19" s="19" t="n">
        <v>0</v>
      </c>
      <c r="V19" s="19" t="n">
        <v>0</v>
      </c>
      <c r="W19" s="19" t="n">
        <v>0</v>
      </c>
      <c r="X19" s="19" t="n">
        <v>0</v>
      </c>
      <c r="Y19" s="19" t="n">
        <v>1</v>
      </c>
      <c r="Z19" s="19" t="n">
        <v>2</v>
      </c>
      <c r="AA19" s="19" t="n">
        <v>90</v>
      </c>
      <c r="AB19" s="19" t="s">
        <v>308</v>
      </c>
      <c r="AC19" s="19" t="n">
        <v>0</v>
      </c>
      <c r="AD19" s="19" t="n">
        <v>0</v>
      </c>
      <c r="AE19" s="19" t="n">
        <v>0</v>
      </c>
      <c r="AF19" s="19" t="n">
        <v>0</v>
      </c>
      <c r="AG19" s="19" t="n">
        <v>0</v>
      </c>
      <c r="AH19" s="19" t="n">
        <v>0</v>
      </c>
      <c r="AI19" s="19" t="n">
        <v>0</v>
      </c>
      <c r="AJ19" s="19" t="n">
        <v>0</v>
      </c>
      <c r="AK19" s="19" t="n">
        <v>0</v>
      </c>
      <c r="AL19" s="19" t="n">
        <v>0</v>
      </c>
      <c r="AM19" s="19" t="n">
        <v>0</v>
      </c>
      <c r="AN19" s="19" t="n">
        <v>0</v>
      </c>
      <c r="AO19" s="19" t="n">
        <v>0</v>
      </c>
      <c r="AP19" s="19" t="n">
        <v>0</v>
      </c>
      <c r="AQ19" s="19" t="n">
        <v>0</v>
      </c>
      <c r="AR19" s="19" t="n">
        <v>0</v>
      </c>
      <c r="AS19" s="19" t="n">
        <v>0</v>
      </c>
      <c r="AT19" s="19" t="n">
        <v>0</v>
      </c>
      <c r="AU19" s="19" t="n">
        <v>0</v>
      </c>
      <c r="AV19" s="19" t="n">
        <v>0</v>
      </c>
      <c r="AW19" s="19" t="n">
        <v>0</v>
      </c>
      <c r="AX19" s="19" t="n">
        <v>0</v>
      </c>
      <c r="AY19" s="19" t="n">
        <v>0</v>
      </c>
      <c r="AZ19" s="19" t="n">
        <v>0</v>
      </c>
      <c r="BA19" s="19" t="n">
        <v>0</v>
      </c>
      <c r="BB19" s="19" t="n">
        <v>0</v>
      </c>
      <c r="BC19" s="19" t="n">
        <v>0</v>
      </c>
      <c r="BD19" s="19" t="n">
        <v>0</v>
      </c>
      <c r="BE19" s="19" t="n">
        <v>0</v>
      </c>
      <c r="BF19" s="19" t="n">
        <v>0</v>
      </c>
      <c r="BG19" s="19" t="n">
        <v>0</v>
      </c>
      <c r="BH19" s="19" t="n">
        <v>0</v>
      </c>
      <c r="BI19" s="19" t="n">
        <v>0</v>
      </c>
      <c r="BJ19" s="19" t="n">
        <v>1</v>
      </c>
      <c r="BK19" s="19"/>
      <c r="BL19" s="19"/>
      <c r="BM19" s="19"/>
      <c r="BN19" s="19" t="n">
        <v>0</v>
      </c>
      <c r="BO19" s="19" t="n">
        <v>0</v>
      </c>
      <c r="BP19" s="19" t="n">
        <v>0</v>
      </c>
      <c r="BQ19" s="19" t="n">
        <v>0</v>
      </c>
      <c r="BR19" s="19" t="n">
        <v>3</v>
      </c>
      <c r="BS19" s="19" t="n">
        <v>4</v>
      </c>
      <c r="BT19" s="19" t="n">
        <v>3</v>
      </c>
      <c r="BU19" s="19" t="n">
        <v>2</v>
      </c>
      <c r="BV19" s="19" t="n">
        <v>3</v>
      </c>
      <c r="BW19" s="19" t="n">
        <v>4</v>
      </c>
      <c r="BX19" s="19" t="n">
        <v>4</v>
      </c>
      <c r="BY19" s="19" t="n">
        <v>3</v>
      </c>
      <c r="BZ19" s="19" t="n">
        <v>4</v>
      </c>
      <c r="CA19" s="19" t="n">
        <v>2</v>
      </c>
      <c r="CB19" s="19" t="n">
        <v>3</v>
      </c>
      <c r="CC19" s="19" t="n">
        <v>5</v>
      </c>
      <c r="CD19" s="19" t="n">
        <v>3</v>
      </c>
      <c r="CE19" s="19" t="n">
        <v>3</v>
      </c>
      <c r="CF19" s="19" t="n">
        <v>3</v>
      </c>
      <c r="CG19" s="19" t="n">
        <v>4</v>
      </c>
      <c r="CH19" s="19" t="n">
        <v>4</v>
      </c>
      <c r="CI19" s="19" t="n">
        <v>3</v>
      </c>
      <c r="CJ19" s="19" t="n">
        <v>4</v>
      </c>
      <c r="CK19" s="19" t="n">
        <v>10</v>
      </c>
      <c r="CL19" s="24" t="s">
        <v>309</v>
      </c>
      <c r="CM19" s="24" t="n">
        <v>31</v>
      </c>
      <c r="CN19" s="27" t="n">
        <v>39.2</v>
      </c>
      <c r="CO19" s="27" t="n">
        <v>83.4</v>
      </c>
      <c r="CP19" s="27" t="n">
        <v>17.2</v>
      </c>
      <c r="CQ19" s="24" t="n">
        <v>85.69</v>
      </c>
      <c r="CR19" s="24" t="n">
        <v>0</v>
      </c>
      <c r="CS19" s="24" t="n">
        <v>0.39</v>
      </c>
      <c r="CT19" s="24" t="n">
        <v>0</v>
      </c>
      <c r="CU19" s="24" t="n">
        <v>13.37</v>
      </c>
      <c r="CV19" s="24" t="n">
        <v>0</v>
      </c>
      <c r="CW19" s="24" t="n">
        <v>0</v>
      </c>
      <c r="CX19" s="24" t="n">
        <v>0</v>
      </c>
      <c r="CY19" s="24" t="n">
        <v>0</v>
      </c>
      <c r="CZ19" s="24" t="n">
        <v>0</v>
      </c>
      <c r="DA19" s="24" t="n">
        <v>0</v>
      </c>
      <c r="DB19" s="24" t="n">
        <v>12.36</v>
      </c>
      <c r="DC19" s="24" t="n">
        <v>18.21</v>
      </c>
      <c r="DD19" s="24" t="n">
        <v>12.25</v>
      </c>
      <c r="DE19" s="24" t="n">
        <v>3.27</v>
      </c>
      <c r="DF19" s="24" t="n">
        <v>5.02</v>
      </c>
      <c r="DG19" s="24" t="n">
        <v>4.8</v>
      </c>
      <c r="DH19" s="24" t="n">
        <v>1</v>
      </c>
      <c r="DI19" s="24" t="n">
        <v>5</v>
      </c>
      <c r="DK19" s="24" t="n">
        <v>2</v>
      </c>
      <c r="DL19" s="24" t="n">
        <v>3</v>
      </c>
      <c r="DN19" s="24" t="n">
        <v>1</v>
      </c>
      <c r="DU19" s="24" t="n">
        <v>2.4</v>
      </c>
      <c r="DV19" s="24" t="n">
        <v>1</v>
      </c>
      <c r="DW19" s="24" t="n">
        <v>35</v>
      </c>
      <c r="DX19" s="24" t="n">
        <v>8</v>
      </c>
      <c r="DY19" s="24" t="n">
        <f aca="false">0.13*4</f>
        <v>0.52</v>
      </c>
      <c r="DZ19" s="24" t="n">
        <v>3</v>
      </c>
      <c r="EA19" s="24" t="n">
        <v>23</v>
      </c>
      <c r="EB19" s="24" t="n">
        <v>2</v>
      </c>
      <c r="EC19" s="24" t="n">
        <v>0.12</v>
      </c>
      <c r="ED19" s="24" t="n">
        <v>3</v>
      </c>
      <c r="EG19" s="28"/>
      <c r="EY19" s="24" t="n">
        <v>1</v>
      </c>
      <c r="EZ19" s="24" t="n">
        <v>50</v>
      </c>
      <c r="FA19" s="24" t="n">
        <v>5</v>
      </c>
      <c r="FB19" s="24" t="n">
        <v>0.32</v>
      </c>
      <c r="FC19" s="24" t="n">
        <v>3</v>
      </c>
      <c r="GJ19" s="27" t="n">
        <v>0.43</v>
      </c>
      <c r="GK19" s="27" t="n">
        <v>1</v>
      </c>
      <c r="GL19" s="27" t="n">
        <v>1</v>
      </c>
      <c r="GM19" s="27"/>
      <c r="GN19" s="27" t="n">
        <f aca="false">0.11+0.06+0.26*2</f>
        <v>0.69</v>
      </c>
      <c r="GO19" s="27" t="n">
        <v>2</v>
      </c>
      <c r="GP19" s="27"/>
      <c r="GQ19" s="27" t="n">
        <f aca="false">3.35*2+0.35*2</f>
        <v>7.4</v>
      </c>
      <c r="GR19" s="27"/>
      <c r="GS19" s="27"/>
      <c r="GT19" s="27"/>
      <c r="GU19" s="27" t="n">
        <v>1.74</v>
      </c>
      <c r="GV19" s="27" t="n">
        <v>1.32</v>
      </c>
      <c r="GW19" s="27"/>
      <c r="GX19" s="27"/>
      <c r="GY19" s="27" t="n">
        <v>4.32</v>
      </c>
      <c r="GZ19" s="27" t="n">
        <v>1.2</v>
      </c>
      <c r="HA19" s="27" t="n">
        <v>0.11</v>
      </c>
      <c r="HB19" s="24" t="n">
        <v>2</v>
      </c>
      <c r="HC19" s="24" t="s">
        <v>310</v>
      </c>
      <c r="HD19" s="24" t="n">
        <v>22.5</v>
      </c>
      <c r="HE19" s="27" t="n">
        <v>20.9</v>
      </c>
      <c r="HF19" s="27" t="n">
        <v>83.4</v>
      </c>
      <c r="HG19" s="27" t="n">
        <v>11</v>
      </c>
      <c r="HH19" s="24" t="n">
        <v>91.28</v>
      </c>
      <c r="HI19" s="24" t="n">
        <v>0</v>
      </c>
      <c r="HJ19" s="24" t="n">
        <v>0</v>
      </c>
      <c r="HK19" s="24" t="n">
        <v>0</v>
      </c>
      <c r="HL19" s="24" t="n">
        <v>4.15</v>
      </c>
      <c r="HM19" s="24" t="n">
        <v>0</v>
      </c>
      <c r="HN19" s="24" t="n">
        <v>0</v>
      </c>
      <c r="HO19" s="24" t="n">
        <v>0</v>
      </c>
      <c r="HP19" s="24" t="n">
        <v>0</v>
      </c>
      <c r="HQ19" s="24" t="n">
        <v>0</v>
      </c>
      <c r="HR19" s="24" t="n">
        <v>0</v>
      </c>
      <c r="HS19" s="24" t="n">
        <v>0.71</v>
      </c>
      <c r="HT19" s="24" t="n">
        <v>7.61</v>
      </c>
      <c r="HU19" s="24" t="n">
        <v>5.28</v>
      </c>
      <c r="HV19" s="24" t="n">
        <v>2.47</v>
      </c>
      <c r="HW19" s="24" t="n">
        <v>4.05</v>
      </c>
      <c r="HX19" s="24" t="n">
        <v>6.1</v>
      </c>
      <c r="HY19" s="24" t="n">
        <v>1</v>
      </c>
      <c r="HZ19" s="24" t="n">
        <v>5</v>
      </c>
      <c r="IB19" s="24" t="n">
        <v>1</v>
      </c>
      <c r="IC19" s="24" t="n">
        <v>3</v>
      </c>
      <c r="IE19" s="24" t="n">
        <v>2</v>
      </c>
      <c r="IL19" s="24" t="n">
        <v>4.7</v>
      </c>
      <c r="IM19" s="24" t="n">
        <v>1</v>
      </c>
      <c r="IN19" s="24" t="n">
        <v>35</v>
      </c>
      <c r="IO19" s="24" t="n">
        <v>8</v>
      </c>
      <c r="IP19" s="24" t="n">
        <f aca="false">0.19+0.32</f>
        <v>0.51</v>
      </c>
      <c r="IQ19" s="24" t="n">
        <v>3</v>
      </c>
      <c r="IX19" s="28"/>
      <c r="JP19" s="24" t="n">
        <v>1</v>
      </c>
      <c r="JQ19" s="24" t="n">
        <v>80</v>
      </c>
      <c r="JR19" s="24" t="n">
        <v>4</v>
      </c>
      <c r="JS19" s="24" t="n">
        <v>1.28</v>
      </c>
      <c r="JT19" s="24" t="n">
        <v>3</v>
      </c>
      <c r="JU19" s="24" t="n">
        <v>60</v>
      </c>
      <c r="JV19" s="24" t="n">
        <v>3</v>
      </c>
      <c r="JW19" s="24" t="n">
        <v>0.29</v>
      </c>
      <c r="JX19" s="24" t="n">
        <v>3</v>
      </c>
      <c r="JY19" s="24" t="n">
        <v>70</v>
      </c>
      <c r="JZ19" s="24" t="n">
        <v>4</v>
      </c>
      <c r="KA19" s="24" t="n">
        <v>0.58</v>
      </c>
      <c r="KB19" s="24" t="n">
        <v>3</v>
      </c>
      <c r="LA19" s="27" t="n">
        <v>0.49</v>
      </c>
      <c r="LB19" s="27" t="n">
        <v>1</v>
      </c>
      <c r="LC19" s="27" t="n">
        <v>2</v>
      </c>
      <c r="LD19" s="27"/>
      <c r="LE19" s="27" t="n">
        <f aca="false">0.27*3</f>
        <v>0.81</v>
      </c>
      <c r="LF19" s="27"/>
      <c r="LG19" s="27"/>
      <c r="LH19" s="27"/>
      <c r="LI19" s="27"/>
      <c r="LJ19" s="27"/>
      <c r="LK19" s="27"/>
      <c r="LL19" s="27" t="n">
        <v>0</v>
      </c>
      <c r="LM19" s="27"/>
      <c r="LN19" s="27"/>
      <c r="LO19" s="27"/>
      <c r="LP19" s="27" t="n">
        <v>0</v>
      </c>
      <c r="LQ19" s="27" t="n">
        <v>0</v>
      </c>
      <c r="LR19" s="27" t="n">
        <v>0</v>
      </c>
      <c r="LS19" s="24" t="n">
        <v>0</v>
      </c>
      <c r="LT19" s="24" t="s">
        <v>311</v>
      </c>
      <c r="LU19" s="24" t="n">
        <v>52</v>
      </c>
      <c r="LV19" s="27" t="n">
        <v>87.1</v>
      </c>
      <c r="LW19" s="27" t="n">
        <v>83.4</v>
      </c>
      <c r="LX19" s="27" t="n">
        <v>31.9</v>
      </c>
      <c r="LY19" s="24" t="n">
        <v>55.25</v>
      </c>
      <c r="LZ19" s="24" t="n">
        <v>0</v>
      </c>
      <c r="MA19" s="24" t="n">
        <v>0</v>
      </c>
      <c r="MB19" s="24" t="n">
        <v>0</v>
      </c>
      <c r="MC19" s="24" t="n">
        <v>36.01</v>
      </c>
      <c r="MD19" s="24" t="n">
        <v>0</v>
      </c>
      <c r="ME19" s="24" t="n">
        <v>0</v>
      </c>
      <c r="MF19" s="24" t="n">
        <v>0</v>
      </c>
      <c r="MG19" s="24" t="n">
        <v>0</v>
      </c>
      <c r="MH19" s="24" t="n">
        <v>0</v>
      </c>
      <c r="MI19" s="24" t="n">
        <v>0</v>
      </c>
      <c r="MJ19" s="24" t="n">
        <v>1.03</v>
      </c>
      <c r="MK19" s="24" t="n">
        <v>22.5</v>
      </c>
      <c r="ML19" s="24" t="n">
        <v>29.21</v>
      </c>
      <c r="MM19" s="24" t="n">
        <v>12.38</v>
      </c>
      <c r="MN19" s="24" t="n">
        <v>8.73</v>
      </c>
      <c r="MO19" s="24" t="n">
        <v>5.3</v>
      </c>
      <c r="MP19" s="24" t="n">
        <v>1</v>
      </c>
      <c r="MQ19" s="24" t="n">
        <v>5</v>
      </c>
      <c r="MS19" s="24" t="n">
        <v>1</v>
      </c>
      <c r="NC19" s="24" t="n">
        <v>7.1</v>
      </c>
      <c r="ND19" s="24" t="n">
        <v>1</v>
      </c>
      <c r="NE19" s="24" t="n">
        <v>35</v>
      </c>
      <c r="NF19" s="24" t="n">
        <v>8</v>
      </c>
      <c r="NG19" s="24" t="n">
        <f aca="false">0.19+0.32</f>
        <v>0.51</v>
      </c>
      <c r="NH19" s="24" t="n">
        <v>3</v>
      </c>
      <c r="NO19" s="28"/>
      <c r="OG19" s="24" t="n">
        <v>1</v>
      </c>
      <c r="OH19" s="24" t="n">
        <v>50</v>
      </c>
      <c r="OI19" s="24" t="n">
        <v>7</v>
      </c>
      <c r="OJ19" s="24" t="n">
        <f aca="false">0.92+0.73+0.32</f>
        <v>1.97</v>
      </c>
      <c r="OK19" s="24" t="n">
        <v>3</v>
      </c>
      <c r="OL19" s="24" t="n">
        <v>70</v>
      </c>
      <c r="OM19" s="24" t="n">
        <v>11</v>
      </c>
      <c r="ON19" s="24" t="n">
        <f aca="false">0.73+0.65</f>
        <v>1.38</v>
      </c>
      <c r="OO19" s="24" t="n">
        <v>3</v>
      </c>
      <c r="OP19" s="24" t="n">
        <v>50</v>
      </c>
      <c r="OQ19" s="24" t="n">
        <v>1</v>
      </c>
      <c r="OR19" s="24" t="n">
        <v>0.37</v>
      </c>
      <c r="OS19" s="24" t="n">
        <v>4</v>
      </c>
      <c r="OT19" s="24" t="n">
        <v>50</v>
      </c>
      <c r="OU19" s="24" t="n">
        <v>1</v>
      </c>
      <c r="OV19" s="24" t="n">
        <v>0.37</v>
      </c>
      <c r="OW19" s="24" t="n">
        <v>6</v>
      </c>
      <c r="OX19" s="24" t="n">
        <v>60</v>
      </c>
      <c r="OY19" s="24" t="n">
        <v>12</v>
      </c>
      <c r="OZ19" s="24" t="n">
        <f aca="false">0.65+0.13</f>
        <v>0.78</v>
      </c>
      <c r="PA19" s="24" t="n">
        <v>3</v>
      </c>
      <c r="PB19" s="24" t="n">
        <v>60</v>
      </c>
      <c r="PC19" s="24" t="n">
        <v>4</v>
      </c>
      <c r="PD19" s="24" t="n">
        <v>0.26</v>
      </c>
      <c r="PE19" s="24" t="n">
        <v>1</v>
      </c>
      <c r="PF19" s="24" t="n">
        <v>70</v>
      </c>
      <c r="PG19" s="24" t="n">
        <v>4</v>
      </c>
      <c r="PH19" s="24" t="n">
        <v>0.39</v>
      </c>
      <c r="PI19" s="24" t="n">
        <v>1</v>
      </c>
      <c r="PJ19" s="24" t="n">
        <v>60</v>
      </c>
      <c r="PK19" s="24" t="n">
        <v>2</v>
      </c>
      <c r="PL19" s="24" t="n">
        <v>0.13</v>
      </c>
      <c r="PM19" s="24" t="n">
        <v>6</v>
      </c>
      <c r="PN19" s="24" t="n">
        <v>50</v>
      </c>
      <c r="PO19" s="24" t="n">
        <v>1</v>
      </c>
      <c r="PP19" s="24" t="n">
        <v>0.83</v>
      </c>
      <c r="PQ19" s="24" t="n">
        <v>6</v>
      </c>
      <c r="PR19" s="27" t="n">
        <v>5.11</v>
      </c>
      <c r="PS19" s="27" t="n">
        <v>1</v>
      </c>
      <c r="PT19" s="27" t="n">
        <v>1</v>
      </c>
      <c r="PU19" s="27"/>
      <c r="PV19" s="27" t="n">
        <f aca="false">0.18*2</f>
        <v>0.36</v>
      </c>
      <c r="PW19" s="27" t="n">
        <v>2</v>
      </c>
      <c r="PX19" s="27"/>
      <c r="PY19" s="27" t="n">
        <f aca="false">0.75+1.53+2.04+1</f>
        <v>5.32</v>
      </c>
      <c r="PZ19" s="27"/>
      <c r="QA19" s="27"/>
      <c r="QB19" s="27"/>
      <c r="QC19" s="27" t="n">
        <v>2.17</v>
      </c>
      <c r="QD19" s="27" t="n">
        <v>2.18</v>
      </c>
      <c r="QE19" s="27"/>
      <c r="QF19" s="27"/>
      <c r="QG19" s="27" t="n">
        <v>0</v>
      </c>
      <c r="QH19" s="27" t="n">
        <v>0</v>
      </c>
      <c r="QI19" s="27" t="n">
        <v>0</v>
      </c>
      <c r="QJ19" s="24" t="n">
        <v>0</v>
      </c>
      <c r="QK19" s="24" t="s">
        <v>312</v>
      </c>
      <c r="QL19" s="24" t="n">
        <v>40</v>
      </c>
      <c r="QM19" s="27" t="n">
        <v>90.5</v>
      </c>
      <c r="QN19" s="27" t="n">
        <v>83.4</v>
      </c>
      <c r="QO19" s="27" t="n">
        <v>24.1</v>
      </c>
      <c r="QP19" s="24" t="n">
        <v>65.22</v>
      </c>
      <c r="QQ19" s="24" t="n">
        <v>0</v>
      </c>
      <c r="QR19" s="24" t="n">
        <v>0</v>
      </c>
      <c r="QS19" s="24" t="n">
        <v>0</v>
      </c>
      <c r="QT19" s="24" t="n">
        <v>27.95</v>
      </c>
      <c r="QU19" s="24" t="n">
        <v>0</v>
      </c>
      <c r="QV19" s="24" t="n">
        <v>0</v>
      </c>
      <c r="QW19" s="24" t="n">
        <v>0</v>
      </c>
      <c r="QX19" s="24" t="n">
        <v>0</v>
      </c>
      <c r="QY19" s="24" t="n">
        <v>0</v>
      </c>
      <c r="QZ19" s="24" t="n">
        <v>0</v>
      </c>
      <c r="RA19" s="24" t="n">
        <v>0.5</v>
      </c>
      <c r="RB19" s="24" t="n">
        <v>25.43</v>
      </c>
      <c r="RC19" s="24" t="n">
        <v>28.69</v>
      </c>
      <c r="RD19" s="24" t="n">
        <v>8.32</v>
      </c>
      <c r="RE19" s="24" t="n">
        <v>6.81</v>
      </c>
      <c r="RF19" s="24" t="n">
        <v>5.3</v>
      </c>
      <c r="RG19" s="24" t="n">
        <v>1</v>
      </c>
      <c r="RH19" s="24" t="n">
        <v>5</v>
      </c>
      <c r="RJ19" s="24" t="n">
        <v>1</v>
      </c>
      <c r="RT19" s="24" t="n">
        <v>3.5</v>
      </c>
      <c r="RU19" s="24" t="n">
        <v>0</v>
      </c>
      <c r="SF19" s="28"/>
      <c r="SX19" s="24" t="n">
        <v>1</v>
      </c>
      <c r="SY19" s="24" t="n">
        <v>50</v>
      </c>
      <c r="SZ19" s="24" t="n">
        <v>9</v>
      </c>
      <c r="TA19" s="24" t="n">
        <f aca="false">0.9+0.72+0.92+0.73+0.32</f>
        <v>3.59</v>
      </c>
      <c r="TB19" s="24" t="n">
        <v>3</v>
      </c>
      <c r="TC19" s="24" t="n">
        <v>70</v>
      </c>
      <c r="TD19" s="24" t="n">
        <v>12</v>
      </c>
      <c r="TE19" s="24" t="n">
        <f aca="false">0.72+0.73+0.65</f>
        <v>2.1</v>
      </c>
      <c r="TF19" s="24" t="n">
        <v>3</v>
      </c>
      <c r="TG19" s="24" t="n">
        <v>60</v>
      </c>
      <c r="TH19" s="24" t="n">
        <v>2</v>
      </c>
      <c r="TI19" s="24" t="n">
        <v>0.13</v>
      </c>
      <c r="TJ19" s="24" t="n">
        <v>3</v>
      </c>
      <c r="TK19" s="24" t="n">
        <v>50</v>
      </c>
      <c r="TL19" s="24" t="n">
        <v>1</v>
      </c>
      <c r="TM19" s="24" t="n">
        <v>0.83</v>
      </c>
      <c r="TN19" s="24" t="n">
        <v>6</v>
      </c>
      <c r="TO19" s="24" t="n">
        <v>60</v>
      </c>
      <c r="TP19" s="24" t="n">
        <v>1</v>
      </c>
      <c r="TQ19" s="24" t="n">
        <v>0.13</v>
      </c>
      <c r="TR19" s="24" t="n">
        <v>6</v>
      </c>
      <c r="TS19" s="24" t="n">
        <v>70</v>
      </c>
      <c r="TT19" s="24" t="n">
        <v>1</v>
      </c>
      <c r="TU19" s="24" t="n">
        <v>0.39</v>
      </c>
      <c r="TV19" s="24" t="n">
        <v>1</v>
      </c>
      <c r="TW19" s="24" t="n">
        <v>50</v>
      </c>
      <c r="TX19" s="24" t="n">
        <v>2</v>
      </c>
      <c r="TY19" s="24" t="n">
        <f aca="false">0.36+0.37</f>
        <v>0.73</v>
      </c>
      <c r="TZ19" s="24" t="n">
        <v>4</v>
      </c>
      <c r="UI19" s="27" t="n">
        <v>3.9</v>
      </c>
      <c r="UJ19" s="27" t="n">
        <v>1</v>
      </c>
      <c r="UK19" s="27" t="n">
        <v>1</v>
      </c>
      <c r="UL19" s="27"/>
      <c r="UM19" s="27" t="n">
        <f aca="false">1.53+0.75+0.18*2</f>
        <v>2.64</v>
      </c>
      <c r="UN19" s="27" t="n">
        <v>2</v>
      </c>
      <c r="UO19" s="27"/>
      <c r="UP19" s="27" t="n">
        <f aca="false">3.06+1.5</f>
        <v>4.56</v>
      </c>
      <c r="UQ19" s="27"/>
      <c r="UR19" s="27"/>
      <c r="US19" s="27"/>
      <c r="UT19" s="27" t="n">
        <v>3</v>
      </c>
      <c r="UU19" s="27" t="n">
        <v>2.19</v>
      </c>
      <c r="UV19" s="27"/>
      <c r="UW19" s="27"/>
      <c r="UX19" s="27" t="n">
        <v>0</v>
      </c>
      <c r="UY19" s="27" t="n">
        <v>0</v>
      </c>
      <c r="UZ19" s="27" t="n">
        <v>0</v>
      </c>
      <c r="VA19" s="24" t="n">
        <v>0</v>
      </c>
      <c r="VB19" s="24" t="s">
        <v>313</v>
      </c>
      <c r="VC19" s="24" t="n">
        <v>39</v>
      </c>
      <c r="VD19" s="27" t="n">
        <v>80.9</v>
      </c>
      <c r="VE19" s="27" t="n">
        <v>83.4</v>
      </c>
      <c r="VF19" s="27" t="n">
        <v>19.3</v>
      </c>
      <c r="VG19" s="24" t="n">
        <v>75.96</v>
      </c>
      <c r="VH19" s="24" t="n">
        <v>0</v>
      </c>
      <c r="VI19" s="24" t="n">
        <v>3.12</v>
      </c>
      <c r="VJ19" s="24" t="n">
        <v>0</v>
      </c>
      <c r="VK19" s="24" t="n">
        <v>20.93</v>
      </c>
      <c r="VL19" s="24" t="n">
        <v>0</v>
      </c>
      <c r="VM19" s="24" t="n">
        <v>0</v>
      </c>
      <c r="VN19" s="24" t="n">
        <v>0</v>
      </c>
      <c r="VO19" s="24" t="n">
        <v>0</v>
      </c>
      <c r="VP19" s="24" t="n">
        <v>0</v>
      </c>
      <c r="VQ19" s="24" t="n">
        <v>0</v>
      </c>
      <c r="VR19" s="24" t="n">
        <v>5.32</v>
      </c>
      <c r="VS19" s="24" t="n">
        <v>30.75</v>
      </c>
      <c r="VT19" s="24" t="n">
        <v>28.21</v>
      </c>
      <c r="VU19" s="24" t="n">
        <v>4.22</v>
      </c>
      <c r="VV19" s="24" t="n">
        <v>0</v>
      </c>
      <c r="VW19" s="24" t="n">
        <v>0</v>
      </c>
      <c r="VX19" s="24" t="n">
        <v>0</v>
      </c>
      <c r="WK19" s="24" t="n">
        <v>15.8</v>
      </c>
      <c r="WL19" s="24" t="n">
        <v>1</v>
      </c>
      <c r="WM19" s="24" t="n">
        <v>35</v>
      </c>
      <c r="WN19" s="24" t="n">
        <v>4</v>
      </c>
      <c r="WO19" s="24" t="n">
        <f aca="false">0.73*4</f>
        <v>2.92</v>
      </c>
      <c r="WP19" s="24" t="n">
        <v>3</v>
      </c>
      <c r="WQ19" s="24" t="n">
        <v>23</v>
      </c>
      <c r="WR19" s="24" t="n">
        <v>1</v>
      </c>
      <c r="WS19" s="24" t="n">
        <v>0.06</v>
      </c>
      <c r="WT19" s="24" t="n">
        <v>3</v>
      </c>
      <c r="WW19" s="28"/>
      <c r="XO19" s="24" t="n">
        <v>1</v>
      </c>
      <c r="XP19" s="24" t="n">
        <v>60</v>
      </c>
      <c r="XQ19" s="24" t="n">
        <v>1</v>
      </c>
      <c r="XR19" s="24" t="n">
        <v>0.73</v>
      </c>
      <c r="XS19" s="24" t="n">
        <v>3</v>
      </c>
      <c r="XT19" s="24" t="n">
        <v>50</v>
      </c>
      <c r="XU19" s="24" t="n">
        <v>1</v>
      </c>
      <c r="XV19" s="24" t="n">
        <v>0.73</v>
      </c>
      <c r="XW19" s="24" t="n">
        <v>1</v>
      </c>
      <c r="XX19" s="24" t="n">
        <v>40</v>
      </c>
      <c r="XY19" s="24" t="n">
        <v>1</v>
      </c>
      <c r="XZ19" s="24" t="n">
        <v>0.73</v>
      </c>
      <c r="YA19" s="24" t="n">
        <v>6</v>
      </c>
      <c r="YB19" s="24" t="n">
        <v>50</v>
      </c>
      <c r="YC19" s="24" t="n">
        <v>1</v>
      </c>
      <c r="YD19" s="24" t="n">
        <v>0.19</v>
      </c>
      <c r="YE19" s="24" t="n">
        <v>3</v>
      </c>
      <c r="YF19" s="24" t="n">
        <v>70</v>
      </c>
      <c r="YG19" s="24" t="n">
        <v>3</v>
      </c>
      <c r="YH19" s="24" t="n">
        <v>0.58</v>
      </c>
      <c r="YI19" s="24" t="n">
        <v>3</v>
      </c>
      <c r="YJ19" s="24" t="n">
        <v>50</v>
      </c>
      <c r="YK19" s="24" t="n">
        <v>1</v>
      </c>
      <c r="YL19" s="24" t="n">
        <v>0.29</v>
      </c>
      <c r="YM19" s="24" t="n">
        <v>6</v>
      </c>
      <c r="YZ19" s="27" t="n">
        <v>0</v>
      </c>
      <c r="ZA19" s="27" t="n">
        <v>0</v>
      </c>
      <c r="ZB19" s="27"/>
      <c r="ZC19" s="27"/>
      <c r="ZD19" s="27"/>
      <c r="ZE19" s="27"/>
      <c r="ZF19" s="27"/>
      <c r="ZG19" s="27"/>
      <c r="ZH19" s="27"/>
      <c r="ZI19" s="27"/>
      <c r="ZJ19" s="27"/>
      <c r="ZK19" s="27" t="n">
        <v>0.26</v>
      </c>
      <c r="ZL19" s="27" t="n">
        <v>0.26</v>
      </c>
      <c r="ZM19" s="27"/>
      <c r="ZN19" s="27"/>
      <c r="ZO19" s="27" t="n">
        <v>3.6</v>
      </c>
      <c r="ZP19" s="27" t="n">
        <v>0.88</v>
      </c>
      <c r="ZQ19" s="27" t="n">
        <v>0</v>
      </c>
      <c r="ZR19" s="24" t="n">
        <v>0</v>
      </c>
      <c r="ZS19" s="24" t="s">
        <v>314</v>
      </c>
      <c r="ZT19" s="24" t="n">
        <v>36</v>
      </c>
      <c r="ZU19" s="27" t="n">
        <v>71.4</v>
      </c>
      <c r="ZV19" s="27" t="n">
        <v>83.4</v>
      </c>
      <c r="ZW19" s="27" t="n">
        <v>17.2</v>
      </c>
      <c r="ZX19" s="24" t="n">
        <v>79.88</v>
      </c>
      <c r="ZY19" s="24" t="n">
        <v>0</v>
      </c>
      <c r="ZZ19" s="24" t="n">
        <v>3.12</v>
      </c>
      <c r="AAA19" s="24" t="n">
        <v>0</v>
      </c>
      <c r="AAB19" s="24" t="n">
        <v>17</v>
      </c>
      <c r="AAC19" s="24" t="n">
        <v>0</v>
      </c>
      <c r="AAD19" s="24" t="n">
        <v>0</v>
      </c>
      <c r="AAE19" s="24" t="n">
        <v>0</v>
      </c>
      <c r="AAF19" s="24" t="n">
        <v>0</v>
      </c>
      <c r="AAG19" s="24" t="n">
        <v>0</v>
      </c>
      <c r="AAH19" s="24" t="n">
        <v>0</v>
      </c>
      <c r="AAI19" s="24" t="n">
        <v>5.32</v>
      </c>
      <c r="AAJ19" s="24" t="n">
        <v>31.86</v>
      </c>
      <c r="AAK19" s="24" t="n">
        <v>24.1</v>
      </c>
      <c r="AAL19" s="24" t="n">
        <v>2.02</v>
      </c>
      <c r="AAM19" s="24" t="n">
        <v>0</v>
      </c>
      <c r="AAN19" s="24" t="n">
        <v>0</v>
      </c>
      <c r="AAO19" s="24" t="n">
        <v>0</v>
      </c>
      <c r="ABB19" s="24" t="n">
        <v>15.1</v>
      </c>
      <c r="ABC19" s="24" t="n">
        <v>1</v>
      </c>
      <c r="ABD19" s="24" t="n">
        <v>35</v>
      </c>
      <c r="ABE19" s="24" t="n">
        <v>4</v>
      </c>
      <c r="ABF19" s="24" t="n">
        <f aca="false">0.73*4</f>
        <v>2.92</v>
      </c>
      <c r="ABG19" s="24" t="n">
        <v>3</v>
      </c>
      <c r="ABN19" s="28"/>
      <c r="ACF19" s="24" t="n">
        <v>1</v>
      </c>
      <c r="ACG19" s="24" t="n">
        <v>50</v>
      </c>
      <c r="ACH19" s="24" t="n">
        <v>2</v>
      </c>
      <c r="ACI19" s="24" t="n">
        <f aca="false">0.73+0.19</f>
        <v>0.92</v>
      </c>
      <c r="ACJ19" s="24" t="n">
        <v>3</v>
      </c>
      <c r="ACK19" s="24" t="n">
        <v>50</v>
      </c>
      <c r="ACL19" s="24" t="n">
        <v>1</v>
      </c>
      <c r="ACM19" s="24" t="n">
        <v>0.73</v>
      </c>
      <c r="ACN19" s="24" t="n">
        <v>1</v>
      </c>
      <c r="ACO19" s="24" t="n">
        <v>70</v>
      </c>
      <c r="ACP19" s="24" t="n">
        <v>3</v>
      </c>
      <c r="ACQ19" s="24" t="n">
        <v>0.58</v>
      </c>
      <c r="ACR19" s="24" t="n">
        <v>3</v>
      </c>
      <c r="ACS19" s="24" t="n">
        <v>40</v>
      </c>
      <c r="ACT19" s="24" t="n">
        <v>1</v>
      </c>
      <c r="ACU19" s="24" t="n">
        <v>1.65</v>
      </c>
      <c r="ACV19" s="24" t="n">
        <v>6</v>
      </c>
      <c r="ADQ19" s="27" t="n">
        <v>0</v>
      </c>
      <c r="ADR19" s="27" t="n">
        <v>0</v>
      </c>
      <c r="ADS19" s="27"/>
      <c r="ADT19" s="27"/>
      <c r="ADU19" s="27"/>
      <c r="ADV19" s="27"/>
      <c r="ADW19" s="27"/>
      <c r="ADX19" s="27"/>
      <c r="ADY19" s="27"/>
      <c r="ADZ19" s="27"/>
      <c r="AEA19" s="27"/>
      <c r="AEB19" s="27" t="n">
        <v>0</v>
      </c>
      <c r="AEC19" s="27" t="n">
        <v>0</v>
      </c>
      <c r="AED19" s="27"/>
      <c r="AEE19" s="27"/>
      <c r="AEF19" s="27" t="n">
        <v>3.6</v>
      </c>
      <c r="AEG19" s="27" t="n">
        <v>0.88</v>
      </c>
      <c r="AEH19" s="27" t="n">
        <v>0</v>
      </c>
      <c r="AEI19" s="24" t="n">
        <v>0</v>
      </c>
      <c r="AEJ19" s="24" t="s">
        <v>315</v>
      </c>
      <c r="AEK19" s="24" t="n">
        <v>38.5</v>
      </c>
      <c r="AEL19" s="27" t="n">
        <v>90.6</v>
      </c>
      <c r="AEM19" s="27" t="n">
        <v>83.4</v>
      </c>
      <c r="AEN19" s="27" t="n">
        <v>29.4</v>
      </c>
      <c r="AEO19" s="24" t="n">
        <v>59.08</v>
      </c>
      <c r="AEP19" s="24" t="n">
        <v>0</v>
      </c>
      <c r="AEQ19" s="24" t="n">
        <v>0</v>
      </c>
      <c r="AER19" s="24" t="n">
        <v>0</v>
      </c>
      <c r="AES19" s="24" t="n">
        <v>40.92</v>
      </c>
      <c r="AET19" s="24" t="n">
        <v>0</v>
      </c>
      <c r="AEU19" s="24" t="n">
        <v>0</v>
      </c>
      <c r="AEV19" s="24" t="n">
        <v>0</v>
      </c>
      <c r="AEW19" s="24" t="n">
        <v>0</v>
      </c>
      <c r="AEX19" s="24" t="n">
        <v>0</v>
      </c>
      <c r="AEY19" s="24" t="n">
        <v>0</v>
      </c>
      <c r="AEZ19" s="24" t="n">
        <v>3.67</v>
      </c>
      <c r="AFA19" s="24" t="n">
        <v>24.93</v>
      </c>
      <c r="AFB19" s="24" t="n">
        <v>39.44</v>
      </c>
      <c r="AFC19" s="24" t="n">
        <v>8.51</v>
      </c>
      <c r="AFD19" s="24" t="n">
        <v>0</v>
      </c>
      <c r="AFE19" s="24" t="n">
        <v>0</v>
      </c>
      <c r="AFF19" s="24" t="n">
        <v>0</v>
      </c>
      <c r="AFS19" s="24" t="n">
        <v>3.7</v>
      </c>
      <c r="AFT19" s="24" t="n">
        <v>1</v>
      </c>
      <c r="AFU19" s="24" t="n">
        <v>34</v>
      </c>
      <c r="AFV19" s="24" t="n">
        <v>2</v>
      </c>
      <c r="AFW19" s="24" t="n">
        <f aca="false">4.05</f>
        <v>4.05</v>
      </c>
      <c r="AFX19" s="24" t="n">
        <v>1</v>
      </c>
      <c r="AGE19" s="28"/>
      <c r="AGW19" s="24" t="n">
        <v>1</v>
      </c>
      <c r="AGX19" s="24" t="n">
        <v>50</v>
      </c>
      <c r="AGY19" s="24" t="n">
        <v>2</v>
      </c>
      <c r="AGZ19" s="24" t="n">
        <f aca="false">0.73*2</f>
        <v>1.46</v>
      </c>
      <c r="AHA19" s="24" t="n">
        <v>6</v>
      </c>
      <c r="AIH19" s="27" t="n">
        <v>4.96</v>
      </c>
      <c r="AII19" s="27" t="n">
        <v>1</v>
      </c>
      <c r="AIJ19" s="27" t="n">
        <v>2</v>
      </c>
      <c r="AIK19" s="27"/>
      <c r="AIL19" s="27" t="n">
        <f aca="false">7.34*2+0.65*4</f>
        <v>17.28</v>
      </c>
      <c r="AIM19" s="27"/>
      <c r="AIN19" s="27"/>
      <c r="AIO19" s="27"/>
      <c r="AIP19" s="27"/>
      <c r="AIQ19" s="27"/>
      <c r="AIR19" s="27"/>
      <c r="AIS19" s="27" t="n">
        <v>0.19</v>
      </c>
      <c r="AIT19" s="27" t="n">
        <v>0.19</v>
      </c>
      <c r="AIU19" s="27"/>
      <c r="AIV19" s="27"/>
      <c r="AIW19" s="27" t="n">
        <v>0</v>
      </c>
      <c r="AIX19" s="27" t="n">
        <v>0</v>
      </c>
      <c r="AIY19" s="27" t="n">
        <v>0</v>
      </c>
      <c r="AIZ19" s="24" t="n">
        <v>0</v>
      </c>
      <c r="AJA19" s="24" t="s">
        <v>316</v>
      </c>
      <c r="AJB19" s="24" t="n">
        <v>36</v>
      </c>
      <c r="AJC19" s="27" t="n">
        <v>94.1</v>
      </c>
      <c r="AJD19" s="27" t="n">
        <v>83.4</v>
      </c>
      <c r="AJE19" s="27" t="n">
        <v>25.8</v>
      </c>
      <c r="AJF19" s="24" t="n">
        <v>60.57</v>
      </c>
      <c r="AJG19" s="24" t="n">
        <v>0</v>
      </c>
      <c r="AJH19" s="24" t="n">
        <v>0</v>
      </c>
      <c r="AJI19" s="24" t="n">
        <v>0</v>
      </c>
      <c r="AJJ19" s="24" t="n">
        <v>39.43</v>
      </c>
      <c r="AJK19" s="24" t="n">
        <v>0</v>
      </c>
      <c r="AJL19" s="24" t="n">
        <v>0</v>
      </c>
      <c r="AJM19" s="24" t="n">
        <v>0</v>
      </c>
      <c r="AJN19" s="24" t="n">
        <v>0</v>
      </c>
      <c r="AJO19" s="24" t="n">
        <v>0</v>
      </c>
      <c r="AJP19" s="24" t="n">
        <v>0</v>
      </c>
      <c r="AJQ19" s="24" t="n">
        <v>0</v>
      </c>
      <c r="AJR19" s="24" t="n">
        <v>30.64</v>
      </c>
      <c r="AJS19" s="24" t="n">
        <v>37.97</v>
      </c>
      <c r="AJT19" s="24" t="n">
        <v>4.59</v>
      </c>
      <c r="AJU19" s="24" t="n">
        <v>0</v>
      </c>
      <c r="AJV19" s="24" t="n">
        <v>0</v>
      </c>
      <c r="AJW19" s="24" t="n">
        <v>0</v>
      </c>
      <c r="AKJ19" s="24" t="n">
        <v>4.8</v>
      </c>
      <c r="AKK19" s="24" t="n">
        <v>0</v>
      </c>
      <c r="AKV19" s="28"/>
      <c r="ALN19" s="24" t="n">
        <v>1</v>
      </c>
      <c r="ALO19" s="24" t="n">
        <v>50</v>
      </c>
      <c r="ALP19" s="24" t="n">
        <v>3</v>
      </c>
      <c r="ALQ19" s="24" t="n">
        <f aca="false">0.73*3</f>
        <v>2.19</v>
      </c>
      <c r="ALR19" s="24" t="n">
        <v>6</v>
      </c>
    </row>
    <row r="20" customFormat="false" ht="13.8" hidden="false" customHeight="false" outlineLevel="0" collapsed="false">
      <c r="A20" s="1" t="s">
        <v>317</v>
      </c>
      <c r="B20" s="12" t="n">
        <v>42893</v>
      </c>
      <c r="C20" s="0" t="n">
        <v>2</v>
      </c>
      <c r="D20" s="13" t="n">
        <v>35465</v>
      </c>
      <c r="E20" s="12" t="n">
        <v>27471</v>
      </c>
      <c r="F20" s="14" t="n">
        <f aca="false">(B20-E20)/365.25</f>
        <v>42.2231348391513</v>
      </c>
      <c r="G20" s="14" t="n">
        <f aca="false">(B20-D20)/365.25</f>
        <v>20.3367556468172</v>
      </c>
      <c r="H20" s="15" t="s">
        <v>217</v>
      </c>
      <c r="I20" s="15" t="s">
        <v>218</v>
      </c>
      <c r="J20" s="21" t="s">
        <v>183</v>
      </c>
      <c r="K20" s="21" t="n">
        <v>8</v>
      </c>
      <c r="L20" s="19" t="n">
        <v>95</v>
      </c>
      <c r="M20" s="0" t="n">
        <v>1.77</v>
      </c>
      <c r="N20" s="16" t="n">
        <f aca="false">L20/(M20*M20)</f>
        <v>30.3233425899326</v>
      </c>
      <c r="O20" s="19" t="n">
        <v>1</v>
      </c>
      <c r="P20" s="19" t="n">
        <v>1</v>
      </c>
      <c r="Q20" s="19" t="s">
        <v>318</v>
      </c>
      <c r="R20" s="19" t="n">
        <v>0</v>
      </c>
      <c r="S20" s="19" t="n">
        <v>0</v>
      </c>
      <c r="T20" s="19" t="n">
        <v>0</v>
      </c>
      <c r="U20" s="19" t="n">
        <v>0</v>
      </c>
      <c r="V20" s="19" t="n">
        <v>0</v>
      </c>
      <c r="W20" s="19" t="n">
        <v>0</v>
      </c>
      <c r="X20" s="19" t="n">
        <v>0</v>
      </c>
      <c r="Y20" s="19" t="n">
        <v>1</v>
      </c>
      <c r="Z20" s="19" t="n">
        <v>1</v>
      </c>
      <c r="AA20" s="19" t="n">
        <v>60</v>
      </c>
      <c r="AB20" s="19" t="s">
        <v>215</v>
      </c>
      <c r="AC20" s="19" t="n">
        <v>0</v>
      </c>
      <c r="AD20" s="19" t="n">
        <v>0</v>
      </c>
      <c r="AE20" s="19" t="n">
        <v>0</v>
      </c>
      <c r="AF20" s="19" t="n">
        <v>0</v>
      </c>
      <c r="AG20" s="19" t="n">
        <v>0</v>
      </c>
      <c r="AH20" s="19" t="n">
        <v>0</v>
      </c>
      <c r="AI20" s="19" t="n">
        <v>0</v>
      </c>
      <c r="AJ20" s="19" t="n">
        <v>0</v>
      </c>
      <c r="AK20" s="19" t="n">
        <v>0</v>
      </c>
      <c r="AL20" s="19" t="n">
        <v>0</v>
      </c>
      <c r="AM20" s="19" t="n">
        <v>0</v>
      </c>
      <c r="AN20" s="19" t="n">
        <v>2</v>
      </c>
      <c r="AO20" s="19" t="n">
        <v>2</v>
      </c>
      <c r="AP20" s="19" t="n">
        <v>0</v>
      </c>
      <c r="AQ20" s="19" t="n">
        <v>0</v>
      </c>
      <c r="AR20" s="19" t="n">
        <v>0</v>
      </c>
      <c r="AS20" s="19" t="n">
        <v>0</v>
      </c>
      <c r="AT20" s="19" t="n">
        <v>0</v>
      </c>
      <c r="AU20" s="19" t="n">
        <v>0</v>
      </c>
      <c r="AV20" s="19" t="n">
        <v>0</v>
      </c>
      <c r="AW20" s="19" t="n">
        <v>0</v>
      </c>
      <c r="AX20" s="19" t="n">
        <v>0</v>
      </c>
      <c r="AY20" s="19" t="n">
        <v>0</v>
      </c>
      <c r="AZ20" s="19" t="n">
        <v>0</v>
      </c>
      <c r="BA20" s="19" t="n">
        <v>0</v>
      </c>
      <c r="BB20" s="19" t="n">
        <v>0</v>
      </c>
      <c r="BC20" s="19" t="n">
        <v>0</v>
      </c>
      <c r="BD20" s="19" t="n">
        <v>0</v>
      </c>
      <c r="BE20" s="19" t="n">
        <v>0</v>
      </c>
      <c r="BF20" s="19" t="n">
        <v>0</v>
      </c>
      <c r="BG20" s="19" t="n">
        <v>0</v>
      </c>
      <c r="BH20" s="19" t="n">
        <v>0</v>
      </c>
      <c r="BI20" s="19" t="n">
        <v>0</v>
      </c>
      <c r="BJ20" s="19" t="n">
        <v>0</v>
      </c>
      <c r="BK20" s="19" t="n">
        <v>0</v>
      </c>
      <c r="BL20" s="19" t="n">
        <v>0</v>
      </c>
      <c r="BM20" s="19" t="n">
        <v>0</v>
      </c>
      <c r="BN20" s="19" t="n">
        <v>0</v>
      </c>
      <c r="BO20" s="19" t="n">
        <v>0</v>
      </c>
      <c r="BP20" s="19" t="n">
        <v>0</v>
      </c>
      <c r="BQ20" s="19" t="n">
        <v>0</v>
      </c>
      <c r="BR20" s="19" t="n">
        <v>3</v>
      </c>
      <c r="BS20" s="19" t="n">
        <v>3</v>
      </c>
      <c r="BT20" s="19" t="n">
        <v>4</v>
      </c>
      <c r="BU20" s="19" t="n">
        <v>5</v>
      </c>
      <c r="BV20" s="19" t="n">
        <v>3</v>
      </c>
      <c r="BW20" s="19" t="n">
        <v>3</v>
      </c>
      <c r="BX20" s="19" t="n">
        <v>5</v>
      </c>
      <c r="BY20" s="19" t="n">
        <v>3</v>
      </c>
      <c r="BZ20" s="19" t="n">
        <v>3</v>
      </c>
      <c r="CA20" s="19" t="n">
        <v>2</v>
      </c>
      <c r="CB20" s="19" t="n">
        <v>3</v>
      </c>
      <c r="CC20" s="19" t="n">
        <v>4</v>
      </c>
      <c r="CD20" s="19" t="n">
        <v>3</v>
      </c>
      <c r="CE20" s="19" t="n">
        <v>3</v>
      </c>
      <c r="CF20" s="19" t="n">
        <v>2</v>
      </c>
      <c r="CG20" s="19" t="n">
        <v>4</v>
      </c>
      <c r="CH20" s="19" t="n">
        <v>3</v>
      </c>
      <c r="CI20" s="19" t="n">
        <v>3</v>
      </c>
      <c r="CJ20" s="19" t="n">
        <v>3</v>
      </c>
      <c r="CK20" s="19" t="n">
        <v>7</v>
      </c>
      <c r="CL20" s="0" t="s">
        <v>219</v>
      </c>
      <c r="CM20" s="0" t="n">
        <v>33.5</v>
      </c>
      <c r="CN20" s="16" t="n">
        <v>91.5</v>
      </c>
      <c r="CO20" s="16" t="n">
        <v>80.4</v>
      </c>
      <c r="CP20" s="16" t="n">
        <v>20</v>
      </c>
      <c r="CQ20" s="0" t="n">
        <v>84.58</v>
      </c>
      <c r="CR20" s="17" t="n">
        <v>0</v>
      </c>
      <c r="CS20" s="0" t="n">
        <v>15.42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13.79</v>
      </c>
      <c r="DD20" s="0" t="n">
        <v>2.67</v>
      </c>
      <c r="DE20" s="0" t="n">
        <v>11.54</v>
      </c>
      <c r="DF20" s="0" t="n">
        <v>0</v>
      </c>
      <c r="DG20" s="0" t="n">
        <v>12.3</v>
      </c>
      <c r="DH20" s="0" t="n">
        <v>2</v>
      </c>
      <c r="DI20" s="0" t="n">
        <v>5</v>
      </c>
      <c r="DJ20" s="0" t="n">
        <v>2</v>
      </c>
      <c r="DO20" s="0" t="n">
        <v>5</v>
      </c>
      <c r="DP20" s="0" t="n">
        <v>2</v>
      </c>
      <c r="DU20" s="0" t="n">
        <v>0</v>
      </c>
      <c r="DV20" s="0" t="n">
        <v>1</v>
      </c>
      <c r="DW20" s="0" t="n">
        <v>34</v>
      </c>
      <c r="DX20" s="0" t="n">
        <v>2</v>
      </c>
      <c r="DY20" s="0" t="n">
        <v>0.1</v>
      </c>
      <c r="DZ20" s="0" t="n">
        <v>1</v>
      </c>
      <c r="EA20" s="0" t="n">
        <v>10</v>
      </c>
      <c r="EB20" s="0" t="n">
        <f aca="false">8*4</f>
        <v>32</v>
      </c>
      <c r="EC20" s="0" t="n">
        <f aca="false">0.06+0.01+0.4+1.7+0.24+0.14+0.96</f>
        <v>3.51</v>
      </c>
      <c r="ED20" s="0" t="n">
        <v>3</v>
      </c>
      <c r="EG20" s="18"/>
      <c r="EY20" s="0" t="n">
        <v>0</v>
      </c>
      <c r="GJ20" s="16" t="n">
        <v>0.25</v>
      </c>
      <c r="GK20" s="16" t="n">
        <v>1</v>
      </c>
      <c r="GL20" s="16" t="n">
        <v>2</v>
      </c>
      <c r="GM20" s="16"/>
      <c r="GN20" s="16" t="n">
        <v>0.55</v>
      </c>
      <c r="GO20" s="16"/>
      <c r="GP20" s="16"/>
      <c r="GQ20" s="16"/>
      <c r="GR20" s="16"/>
      <c r="GS20" s="16"/>
      <c r="GT20" s="16"/>
      <c r="GU20" s="16" t="n">
        <v>0.55</v>
      </c>
      <c r="GV20" s="16" t="n">
        <v>0.55</v>
      </c>
      <c r="GW20" s="16"/>
      <c r="GX20" s="16"/>
      <c r="GY20" s="16" t="n">
        <v>0</v>
      </c>
      <c r="GZ20" s="16" t="n">
        <v>0</v>
      </c>
      <c r="HA20" s="16" t="n">
        <v>0</v>
      </c>
      <c r="HB20" s="0" t="n">
        <v>0</v>
      </c>
      <c r="HC20" s="0" t="s">
        <v>220</v>
      </c>
      <c r="HD20" s="0" t="n">
        <v>27</v>
      </c>
      <c r="HE20" s="16" t="n">
        <v>54.4</v>
      </c>
      <c r="HF20" s="16" t="n">
        <v>80.4</v>
      </c>
      <c r="HG20" s="16" t="n">
        <v>18.1</v>
      </c>
      <c r="HH20" s="0" t="n">
        <v>81.88</v>
      </c>
      <c r="HI20" s="17" t="n">
        <v>0</v>
      </c>
      <c r="HJ20" s="0" t="n">
        <v>9.83</v>
      </c>
      <c r="HK20" s="0" t="n">
        <v>0</v>
      </c>
      <c r="HL20" s="0" t="n">
        <v>2.14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2.32</v>
      </c>
      <c r="HU20" s="0" t="n">
        <v>19.66</v>
      </c>
      <c r="HV20" s="0" t="n">
        <v>3.64</v>
      </c>
      <c r="HW20" s="0" t="n">
        <v>0</v>
      </c>
      <c r="HX20" s="0" t="n">
        <v>0</v>
      </c>
      <c r="HY20" s="0" t="n">
        <v>0</v>
      </c>
      <c r="IL20" s="0" t="n">
        <v>0</v>
      </c>
      <c r="IM20" s="0" t="n">
        <v>1</v>
      </c>
      <c r="IN20" s="0" t="n">
        <v>26</v>
      </c>
      <c r="IO20" s="0" t="n">
        <v>2</v>
      </c>
      <c r="IP20" s="0" t="n">
        <v>0.05</v>
      </c>
      <c r="IQ20" s="0" t="n">
        <v>2</v>
      </c>
      <c r="IX20" s="18"/>
      <c r="JP20" s="0" t="n">
        <v>0</v>
      </c>
      <c r="LA20" s="16" t="n">
        <v>2.1</v>
      </c>
      <c r="LB20" s="16" t="n">
        <v>1</v>
      </c>
      <c r="LC20" s="16" t="n">
        <v>1</v>
      </c>
      <c r="LD20" s="16"/>
      <c r="LE20" s="16" t="n">
        <f aca="false">0.1+0.76*2+2.02+1.35*2+0.67</f>
        <v>7.01</v>
      </c>
      <c r="LF20" s="16"/>
      <c r="LG20" s="16"/>
      <c r="LH20" s="16"/>
      <c r="LI20" s="16"/>
      <c r="LJ20" s="16"/>
      <c r="LK20" s="16"/>
      <c r="LL20" s="16" t="n">
        <v>6.35</v>
      </c>
      <c r="LM20" s="16" t="n">
        <v>14.8</v>
      </c>
      <c r="LN20" s="16"/>
      <c r="LO20" s="16"/>
      <c r="LP20" s="16" t="n">
        <v>0</v>
      </c>
      <c r="LQ20" s="16" t="n">
        <v>0</v>
      </c>
      <c r="LR20" s="16" t="n">
        <v>0</v>
      </c>
      <c r="LS20" s="0" t="n">
        <v>0</v>
      </c>
      <c r="LT20" s="0" t="s">
        <v>221</v>
      </c>
      <c r="LU20" s="0" t="n">
        <v>20.5</v>
      </c>
      <c r="LV20" s="16" t="n">
        <v>76.9</v>
      </c>
      <c r="LW20" s="16" t="n">
        <v>80.4</v>
      </c>
      <c r="LX20" s="16" t="n">
        <v>9.1</v>
      </c>
      <c r="LY20" s="0" t="n">
        <v>88.58</v>
      </c>
      <c r="LZ20" s="0" t="n">
        <v>10.3</v>
      </c>
      <c r="MA20" s="0" t="n">
        <v>1.12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6.33</v>
      </c>
      <c r="ML20" s="0" t="n">
        <v>16.97</v>
      </c>
      <c r="MM20" s="0" t="n">
        <v>0</v>
      </c>
      <c r="MN20" s="0" t="n">
        <v>0</v>
      </c>
      <c r="MO20" s="0" t="n">
        <v>4.1</v>
      </c>
      <c r="MP20" s="0" t="n">
        <v>2</v>
      </c>
      <c r="MQ20" s="0" t="n">
        <v>5</v>
      </c>
      <c r="MR20" s="0" t="n">
        <v>1</v>
      </c>
      <c r="MW20" s="0" t="n">
        <v>5</v>
      </c>
      <c r="MX20" s="0" t="n">
        <v>1</v>
      </c>
      <c r="NC20" s="0" t="n">
        <v>0</v>
      </c>
      <c r="ND20" s="0" t="n">
        <v>0</v>
      </c>
      <c r="NO20" s="18"/>
      <c r="OG20" s="0" t="n">
        <v>0</v>
      </c>
      <c r="PR20" s="16" t="n">
        <v>2.24</v>
      </c>
      <c r="PS20" s="16" t="n">
        <v>1</v>
      </c>
      <c r="PT20" s="16" t="n">
        <v>2</v>
      </c>
      <c r="PU20" s="16"/>
      <c r="PV20" s="16" t="n">
        <v>4.97</v>
      </c>
      <c r="PW20" s="16"/>
      <c r="PX20" s="16"/>
      <c r="PY20" s="16"/>
      <c r="PZ20" s="16"/>
      <c r="QA20" s="16"/>
      <c r="QB20" s="16"/>
      <c r="QC20" s="16" t="n">
        <v>5.1</v>
      </c>
      <c r="QD20" s="16" t="n">
        <v>5.97</v>
      </c>
      <c r="QE20" s="16"/>
      <c r="QF20" s="16"/>
      <c r="QG20" s="16" t="n">
        <v>0</v>
      </c>
      <c r="QH20" s="16" t="n">
        <v>0</v>
      </c>
      <c r="QI20" s="16" t="n">
        <v>0</v>
      </c>
      <c r="QJ20" s="0" t="n">
        <v>0</v>
      </c>
      <c r="QK20" s="0" t="s">
        <v>222</v>
      </c>
      <c r="QL20" s="0" t="n">
        <v>32.5</v>
      </c>
      <c r="QM20" s="16" t="n">
        <v>96.7</v>
      </c>
      <c r="QN20" s="16" t="n">
        <v>80.4</v>
      </c>
      <c r="QO20" s="16" t="n">
        <v>15.1</v>
      </c>
      <c r="QP20" s="0" t="n">
        <v>52.24</v>
      </c>
      <c r="QQ20" s="0" t="n">
        <v>45.43</v>
      </c>
      <c r="QR20" s="0" t="n">
        <v>1.12</v>
      </c>
      <c r="QS20" s="0" t="n">
        <v>0</v>
      </c>
      <c r="QT20" s="0" t="n">
        <v>1.2</v>
      </c>
      <c r="QU20" s="0" t="n">
        <v>0</v>
      </c>
      <c r="QV20" s="0" t="n">
        <v>0</v>
      </c>
      <c r="QW20" s="0" t="n">
        <v>0</v>
      </c>
      <c r="QX20" s="0" t="n">
        <v>0</v>
      </c>
      <c r="QY20" s="0" t="n">
        <v>0</v>
      </c>
      <c r="QZ20" s="0" t="n">
        <v>0</v>
      </c>
      <c r="RA20" s="0" t="n">
        <v>1.2</v>
      </c>
      <c r="RB20" s="0" t="n">
        <v>15.88</v>
      </c>
      <c r="RC20" s="0" t="n">
        <v>48.59</v>
      </c>
      <c r="RD20" s="0" t="n">
        <v>0</v>
      </c>
      <c r="RE20" s="0" t="n">
        <v>0</v>
      </c>
      <c r="RF20" s="0" t="n">
        <v>0</v>
      </c>
      <c r="RG20" s="0" t="n">
        <v>0</v>
      </c>
      <c r="RT20" s="0" t="n">
        <v>0</v>
      </c>
      <c r="RU20" s="0" t="n">
        <v>0</v>
      </c>
      <c r="SF20" s="18"/>
      <c r="SX20" s="0" t="n">
        <v>1</v>
      </c>
      <c r="SY20" s="0" t="n">
        <v>50</v>
      </c>
      <c r="SZ20" s="0" t="n">
        <v>2</v>
      </c>
      <c r="TA20" s="0" t="n">
        <f aca="false">3.18+12.73</f>
        <v>15.91</v>
      </c>
      <c r="TB20" s="0" t="n">
        <v>1</v>
      </c>
      <c r="UI20" s="16" t="n">
        <v>5.9</v>
      </c>
      <c r="UJ20" s="16" t="n">
        <v>1</v>
      </c>
      <c r="UK20" s="16" t="n">
        <v>2</v>
      </c>
      <c r="UL20" s="16"/>
      <c r="UM20" s="16" t="n">
        <f aca="false">0.09+0.18*3+0.13+0.53+1.07*2+1.34*2+0.17*2+3.18+12.73</f>
        <v>22.36</v>
      </c>
      <c r="UN20" s="16"/>
      <c r="UO20" s="16"/>
      <c r="UP20" s="16"/>
      <c r="UQ20" s="16"/>
      <c r="UR20" s="16"/>
      <c r="US20" s="16"/>
      <c r="UT20" s="16" t="n">
        <v>11.45</v>
      </c>
      <c r="UU20" s="16" t="n">
        <v>41.19</v>
      </c>
      <c r="UV20" s="16"/>
      <c r="UW20" s="16"/>
      <c r="UX20" s="16" t="n">
        <v>0</v>
      </c>
      <c r="UY20" s="16" t="n">
        <v>0</v>
      </c>
      <c r="UZ20" s="16" t="n">
        <v>0</v>
      </c>
      <c r="VA20" s="0" t="n">
        <v>0</v>
      </c>
      <c r="VB20" s="0" t="s">
        <v>223</v>
      </c>
      <c r="VC20" s="0" t="n">
        <v>30.5</v>
      </c>
      <c r="VD20" s="16" t="n">
        <v>68.8</v>
      </c>
      <c r="VE20" s="16" t="n">
        <v>80.4</v>
      </c>
      <c r="VF20" s="16" t="n">
        <v>16.3</v>
      </c>
      <c r="VG20" s="0" t="n">
        <v>66.28</v>
      </c>
      <c r="VH20" s="0" t="n">
        <v>20.09</v>
      </c>
      <c r="VI20" s="0" t="n">
        <v>1.81</v>
      </c>
      <c r="VJ20" s="0" t="n">
        <v>0</v>
      </c>
      <c r="VK20" s="0" t="n">
        <v>11.82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0</v>
      </c>
      <c r="VQ20" s="0" t="n">
        <v>0</v>
      </c>
      <c r="VR20" s="0" t="n">
        <v>0</v>
      </c>
      <c r="VS20" s="0" t="n">
        <v>13.17</v>
      </c>
      <c r="VT20" s="0" t="n">
        <v>35.75</v>
      </c>
      <c r="VU20" s="0" t="n">
        <v>0</v>
      </c>
      <c r="VV20" s="0" t="n">
        <v>0</v>
      </c>
      <c r="VW20" s="0" t="n">
        <v>0</v>
      </c>
      <c r="VX20" s="0" t="n">
        <v>0</v>
      </c>
      <c r="WK20" s="0" t="n">
        <v>0</v>
      </c>
      <c r="WL20" s="0" t="n">
        <v>1</v>
      </c>
      <c r="WM20" s="0" t="n">
        <v>52</v>
      </c>
      <c r="WN20" s="0" t="n">
        <v>1</v>
      </c>
      <c r="WO20" s="0" t="n">
        <v>0.01</v>
      </c>
      <c r="WP20" s="0" t="n">
        <v>2</v>
      </c>
      <c r="WW20" s="18"/>
      <c r="XO20" s="0" t="n">
        <v>0</v>
      </c>
      <c r="YZ20" s="16" t="n">
        <v>5.43</v>
      </c>
      <c r="ZA20" s="16" t="n">
        <v>1</v>
      </c>
      <c r="ZB20" s="16" t="n">
        <v>1</v>
      </c>
      <c r="ZC20" s="16"/>
      <c r="ZD20" s="16" t="n">
        <f aca="false">0.09*2+0.07+1.36</f>
        <v>1.61</v>
      </c>
      <c r="ZE20" s="16" t="n">
        <v>2</v>
      </c>
      <c r="ZF20" s="16"/>
      <c r="ZG20" s="16" t="n">
        <f aca="false">4.2+0.09+0.66+0.01+3.18+3.18</f>
        <v>11.32</v>
      </c>
      <c r="ZH20" s="16"/>
      <c r="ZI20" s="16"/>
      <c r="ZJ20" s="16"/>
      <c r="ZK20" s="16" t="n">
        <v>8.61</v>
      </c>
      <c r="ZL20" s="16" t="n">
        <v>26.91</v>
      </c>
      <c r="ZM20" s="16"/>
      <c r="ZN20" s="16"/>
      <c r="ZO20" s="16" t="n">
        <v>0</v>
      </c>
      <c r="ZP20" s="16" t="n">
        <v>0</v>
      </c>
      <c r="ZQ20" s="16" t="n">
        <v>0</v>
      </c>
      <c r="ZR20" s="0" t="n">
        <v>0</v>
      </c>
      <c r="ZS20" s="0" t="s">
        <v>224</v>
      </c>
      <c r="ZT20" s="0" t="n">
        <v>39.5</v>
      </c>
      <c r="ZU20" s="16" t="n">
        <v>60.8</v>
      </c>
      <c r="ZV20" s="16" t="n">
        <v>80.4</v>
      </c>
      <c r="ZW20" s="16" t="n">
        <v>22.9</v>
      </c>
      <c r="ZX20" s="0" t="n">
        <v>67.01</v>
      </c>
      <c r="ZY20" s="0" t="n">
        <v>11.71</v>
      </c>
      <c r="ZZ20" s="0" t="n">
        <v>16.61</v>
      </c>
      <c r="AAA20" s="0" t="n">
        <v>0</v>
      </c>
      <c r="AAB20" s="0" t="n">
        <v>4.67</v>
      </c>
      <c r="AAC20" s="0" t="n">
        <v>0</v>
      </c>
      <c r="AAD20" s="0" t="n">
        <v>0</v>
      </c>
      <c r="AAE20" s="0" t="n">
        <v>0</v>
      </c>
      <c r="AAF20" s="0" t="n">
        <v>0</v>
      </c>
      <c r="AAG20" s="0" t="n">
        <v>0</v>
      </c>
      <c r="AAH20" s="0" t="n">
        <v>0</v>
      </c>
      <c r="AAI20" s="0" t="n">
        <v>0</v>
      </c>
      <c r="AAJ20" s="0" t="n">
        <v>20.9</v>
      </c>
      <c r="AAK20" s="0" t="n">
        <v>25.23</v>
      </c>
      <c r="AAL20" s="0" t="n">
        <v>0.58</v>
      </c>
      <c r="AAM20" s="0" t="n">
        <v>0</v>
      </c>
      <c r="AAN20" s="0" t="n">
        <v>0</v>
      </c>
      <c r="AAO20" s="0" t="n">
        <v>0</v>
      </c>
      <c r="ABB20" s="0" t="n">
        <v>2</v>
      </c>
      <c r="ABC20" s="0" t="n">
        <v>1</v>
      </c>
      <c r="ABD20" s="0" t="n">
        <v>103</v>
      </c>
      <c r="ABE20" s="0" t="n">
        <v>2</v>
      </c>
      <c r="ABF20" s="0" t="n">
        <f aca="false">0.18+0.14</f>
        <v>0.32</v>
      </c>
      <c r="ABG20" s="0" t="n">
        <v>1</v>
      </c>
      <c r="ABH20" s="0" t="n">
        <v>68</v>
      </c>
      <c r="ABI20" s="0" t="n">
        <v>1</v>
      </c>
      <c r="ABJ20" s="0" t="n">
        <v>0.01</v>
      </c>
      <c r="ABK20" s="0" t="n">
        <v>1</v>
      </c>
      <c r="ABL20" s="0" t="n">
        <v>52</v>
      </c>
      <c r="ABM20" s="0" t="n">
        <v>3</v>
      </c>
      <c r="ABN20" s="18" t="n">
        <v>0.05</v>
      </c>
      <c r="ABO20" s="0" t="n">
        <v>2</v>
      </c>
      <c r="ACF20" s="0" t="n">
        <v>0</v>
      </c>
      <c r="ADQ20" s="16" t="n">
        <v>3.66</v>
      </c>
      <c r="ADR20" s="16" t="n">
        <v>1</v>
      </c>
      <c r="ADS20" s="16" t="n">
        <v>1</v>
      </c>
      <c r="ADT20" s="16"/>
      <c r="ADU20" s="16" t="n">
        <f aca="false">2.69*3+1.35*3+0.14*2+0.1</f>
        <v>12.5</v>
      </c>
      <c r="ADV20" s="16" t="n">
        <v>2</v>
      </c>
      <c r="ADW20" s="16"/>
      <c r="ADX20" s="16" t="n">
        <f aca="false">0.66+0.35+0.18+0.14+1.25+1.23</f>
        <v>3.81</v>
      </c>
      <c r="ADY20" s="16"/>
      <c r="ADZ20" s="16"/>
      <c r="AEA20" s="16"/>
      <c r="AEB20" s="16" t="n">
        <v>10.05</v>
      </c>
      <c r="AEC20" s="16" t="n">
        <v>27.11</v>
      </c>
      <c r="AED20" s="16"/>
      <c r="AEE20" s="16"/>
      <c r="AEF20" s="16" t="n">
        <v>0</v>
      </c>
      <c r="AEG20" s="16" t="n">
        <v>0</v>
      </c>
      <c r="AEH20" s="16" t="n">
        <v>0</v>
      </c>
      <c r="AEI20" s="0" t="n">
        <v>0</v>
      </c>
      <c r="AEJ20" s="0" t="s">
        <v>225</v>
      </c>
      <c r="AEK20" s="0" t="n">
        <v>47</v>
      </c>
      <c r="AEL20" s="16" t="n">
        <v>72.3</v>
      </c>
      <c r="AEM20" s="16" t="n">
        <v>80.4</v>
      </c>
      <c r="AEN20" s="16" t="n">
        <v>18</v>
      </c>
      <c r="AEO20" s="0" t="n">
        <v>70.55</v>
      </c>
      <c r="AEP20" s="0" t="n">
        <v>6.81</v>
      </c>
      <c r="AEQ20" s="0" t="n">
        <v>3.09</v>
      </c>
      <c r="AER20" s="0" t="n">
        <v>0</v>
      </c>
      <c r="AES20" s="0" t="n">
        <v>19.55</v>
      </c>
      <c r="AET20" s="0" t="n">
        <v>0</v>
      </c>
      <c r="AEU20" s="0" t="n">
        <v>0</v>
      </c>
      <c r="AEV20" s="0" t="n">
        <v>0</v>
      </c>
      <c r="AEW20" s="0" t="n">
        <v>0</v>
      </c>
      <c r="AEX20" s="0" t="n">
        <v>0</v>
      </c>
      <c r="AEY20" s="0" t="n">
        <v>0</v>
      </c>
      <c r="AEZ20" s="0" t="n">
        <v>0</v>
      </c>
      <c r="AFA20" s="0" t="n">
        <v>18.07</v>
      </c>
      <c r="AFB20" s="0" t="n">
        <v>30.57</v>
      </c>
      <c r="AFC20" s="0" t="n">
        <v>7.61</v>
      </c>
      <c r="AFD20" s="0" t="n">
        <v>0</v>
      </c>
      <c r="AFE20" s="0" t="n">
        <v>14</v>
      </c>
      <c r="AFF20" s="0" t="n">
        <v>2</v>
      </c>
      <c r="AFG20" s="0" t="n">
        <v>5</v>
      </c>
      <c r="AFH20" s="0" t="n">
        <v>4.47</v>
      </c>
      <c r="AFJ20" s="0" t="n">
        <v>7</v>
      </c>
      <c r="AFK20" s="0" t="n">
        <v>5.15</v>
      </c>
      <c r="AFM20" s="0" t="n">
        <v>5</v>
      </c>
      <c r="AFN20" s="0" t="n">
        <v>4.47</v>
      </c>
      <c r="AFP20" s="0" t="n">
        <v>7</v>
      </c>
      <c r="AFQ20" s="0" t="n">
        <v>5.15</v>
      </c>
      <c r="AFS20" s="0" t="n">
        <v>0</v>
      </c>
      <c r="AFT20" s="0" t="n">
        <v>0</v>
      </c>
      <c r="AGE20" s="18"/>
      <c r="AGW20" s="0" t="n">
        <v>0</v>
      </c>
      <c r="AIH20" s="16" t="n">
        <v>4.21</v>
      </c>
      <c r="AII20" s="16" t="n">
        <v>1</v>
      </c>
      <c r="AIJ20" s="16" t="n">
        <v>2</v>
      </c>
      <c r="AIK20" s="16"/>
      <c r="AIL20" s="16" t="n">
        <f aca="false">7.46+1.59+0.6</f>
        <v>9.65</v>
      </c>
      <c r="AIM20" s="16"/>
      <c r="AIN20" s="16"/>
      <c r="AIO20" s="16"/>
      <c r="AIP20" s="16"/>
      <c r="AIQ20" s="16"/>
      <c r="AIR20" s="16"/>
      <c r="AIS20" s="16" t="n">
        <v>10.63</v>
      </c>
      <c r="AIT20" s="16" t="n">
        <v>36.38</v>
      </c>
      <c r="AIU20" s="16"/>
      <c r="AIV20" s="16"/>
      <c r="AIW20" s="16" t="n">
        <v>0</v>
      </c>
      <c r="AIX20" s="16" t="n">
        <v>0</v>
      </c>
      <c r="AIY20" s="16" t="n">
        <v>0</v>
      </c>
      <c r="AIZ20" s="0" t="n">
        <v>0</v>
      </c>
      <c r="AJA20" s="0" t="s">
        <v>226</v>
      </c>
      <c r="AJB20" s="0" t="n">
        <v>19</v>
      </c>
      <c r="AJC20" s="16" t="n">
        <v>82.6</v>
      </c>
      <c r="AJD20" s="16" t="n">
        <v>80.4</v>
      </c>
      <c r="AJE20" s="16" t="n">
        <v>7.7</v>
      </c>
      <c r="AJF20" s="0" t="n">
        <v>86.83</v>
      </c>
      <c r="AJG20" s="0" t="n">
        <v>12.69</v>
      </c>
      <c r="AJH20" s="0" t="n">
        <v>0</v>
      </c>
      <c r="AJI20" s="0" t="n">
        <v>0</v>
      </c>
      <c r="AJJ20" s="0" t="n">
        <v>0.48</v>
      </c>
      <c r="AJK20" s="0" t="n">
        <v>0</v>
      </c>
      <c r="AJL20" s="0" t="n">
        <v>0</v>
      </c>
      <c r="AJM20" s="0" t="n">
        <v>0</v>
      </c>
      <c r="AJN20" s="0" t="n">
        <v>0</v>
      </c>
      <c r="AJO20" s="0" t="n">
        <v>0</v>
      </c>
      <c r="AJP20" s="0" t="n">
        <v>0</v>
      </c>
      <c r="AJQ20" s="0" t="n">
        <v>0</v>
      </c>
      <c r="AJR20" s="0" t="n">
        <v>7.16</v>
      </c>
      <c r="AJS20" s="0" t="n">
        <v>10.76</v>
      </c>
      <c r="AJT20" s="0" t="n">
        <v>0</v>
      </c>
      <c r="AJU20" s="0" t="n">
        <v>0</v>
      </c>
      <c r="AJV20" s="0" t="n">
        <v>3.4</v>
      </c>
      <c r="AJW20" s="0" t="n">
        <v>2</v>
      </c>
      <c r="AJX20" s="0" t="n">
        <v>11.9</v>
      </c>
      <c r="AJY20" s="0" t="n">
        <v>0.48</v>
      </c>
      <c r="AKD20" s="0" t="n">
        <v>11.9</v>
      </c>
      <c r="AKE20" s="0" t="n">
        <v>0.48</v>
      </c>
      <c r="AKJ20" s="0" t="n">
        <v>0</v>
      </c>
      <c r="AKK20" s="0" t="n">
        <v>1</v>
      </c>
      <c r="AKL20" s="0" t="n">
        <v>34</v>
      </c>
      <c r="AKM20" s="0" t="n">
        <v>2</v>
      </c>
      <c r="AKN20" s="0" t="n">
        <f aca="false">0.84*2</f>
        <v>1.68</v>
      </c>
      <c r="AKO20" s="0" t="n">
        <v>1</v>
      </c>
      <c r="AKV20" s="18"/>
      <c r="ALN20" s="0" t="n">
        <v>0</v>
      </c>
    </row>
    <row r="21" customFormat="false" ht="13.8" hidden="false" customHeight="false" outlineLevel="0" collapsed="false">
      <c r="A21" s="1" t="s">
        <v>319</v>
      </c>
      <c r="B21" s="12" t="n">
        <v>42893</v>
      </c>
      <c r="C21" s="0" t="n">
        <v>2</v>
      </c>
      <c r="D21" s="13" t="n">
        <v>35184</v>
      </c>
      <c r="E21" s="12" t="n">
        <v>27663</v>
      </c>
      <c r="F21" s="14" t="n">
        <f aca="false">(B21-E21)/365.25</f>
        <v>41.6974674880219</v>
      </c>
      <c r="G21" s="14" t="n">
        <f aca="false">(B21-D21)/365.25</f>
        <v>21.1060917180014</v>
      </c>
      <c r="H21" s="15" t="s">
        <v>205</v>
      </c>
      <c r="I21" s="15" t="s">
        <v>320</v>
      </c>
      <c r="J21" s="21" t="s">
        <v>183</v>
      </c>
      <c r="K21" s="21" t="n">
        <v>8</v>
      </c>
      <c r="L21" s="19" t="n">
        <v>75</v>
      </c>
      <c r="M21" s="0" t="n">
        <v>1.72</v>
      </c>
      <c r="N21" s="16" t="n">
        <f aca="false">L21/(M21*M21)</f>
        <v>25.3515413737155</v>
      </c>
      <c r="O21" s="19" t="n">
        <v>0</v>
      </c>
      <c r="P21" s="19" t="n">
        <v>0</v>
      </c>
      <c r="Q21" s="19" t="n">
        <v>0</v>
      </c>
      <c r="R21" s="19" t="n">
        <v>0</v>
      </c>
      <c r="S21" s="19" t="n">
        <v>0</v>
      </c>
      <c r="T21" s="19" t="n">
        <v>0</v>
      </c>
      <c r="U21" s="19" t="n">
        <v>0</v>
      </c>
      <c r="V21" s="19" t="n">
        <v>0</v>
      </c>
      <c r="W21" s="19" t="n">
        <v>1</v>
      </c>
      <c r="X21" s="19" t="n">
        <v>0</v>
      </c>
      <c r="Y21" s="19" t="n">
        <v>0</v>
      </c>
      <c r="Z21" s="19" t="n">
        <v>0</v>
      </c>
      <c r="AA21" s="19" t="n">
        <v>0</v>
      </c>
      <c r="AB21" s="19" t="n">
        <v>0</v>
      </c>
      <c r="AC21" s="19" t="n">
        <v>0</v>
      </c>
      <c r="AD21" s="19" t="n">
        <v>0</v>
      </c>
      <c r="AE21" s="19" t="n">
        <v>1</v>
      </c>
      <c r="AF21" s="19" t="n">
        <v>0</v>
      </c>
      <c r="AG21" s="19" t="n">
        <v>1</v>
      </c>
      <c r="AH21" s="19" t="n">
        <v>4</v>
      </c>
      <c r="AI21" s="19" t="n">
        <v>0</v>
      </c>
      <c r="AJ21" s="19" t="n">
        <v>0</v>
      </c>
      <c r="AK21" s="19" t="n">
        <v>0</v>
      </c>
      <c r="AL21" s="19" t="n">
        <v>0</v>
      </c>
      <c r="AM21" s="19" t="n">
        <v>0</v>
      </c>
      <c r="AN21" s="19" t="n">
        <v>0</v>
      </c>
      <c r="AO21" s="19" t="n">
        <v>0</v>
      </c>
      <c r="AP21" s="19" t="n">
        <v>0</v>
      </c>
      <c r="AQ21" s="19" t="n">
        <v>0</v>
      </c>
      <c r="AR21" s="19" t="n">
        <v>0</v>
      </c>
      <c r="AS21" s="19" t="n">
        <v>3</v>
      </c>
      <c r="AT21" s="19" t="n">
        <v>0</v>
      </c>
      <c r="AU21" s="19" t="n">
        <v>0</v>
      </c>
      <c r="AV21" s="19" t="n">
        <v>0</v>
      </c>
      <c r="AW21" s="19" t="n">
        <v>0</v>
      </c>
      <c r="AX21" s="19" t="n">
        <v>0</v>
      </c>
      <c r="AY21" s="19" t="n">
        <v>0</v>
      </c>
      <c r="AZ21" s="19" t="n">
        <v>0</v>
      </c>
      <c r="BA21" s="19" t="n">
        <v>0</v>
      </c>
      <c r="BB21" s="19" t="n">
        <v>0</v>
      </c>
      <c r="BC21" s="19" t="n">
        <v>0</v>
      </c>
      <c r="BD21" s="19" t="n">
        <v>0</v>
      </c>
      <c r="BE21" s="19" t="n">
        <v>0</v>
      </c>
      <c r="BF21" s="19" t="n">
        <v>0</v>
      </c>
      <c r="BG21" s="19" t="n">
        <v>0</v>
      </c>
      <c r="BH21" s="19" t="n">
        <v>0</v>
      </c>
      <c r="BI21" s="19" t="n">
        <v>0</v>
      </c>
      <c r="BJ21" s="19" t="n">
        <v>1</v>
      </c>
      <c r="BK21" s="19" t="n">
        <v>0</v>
      </c>
      <c r="BL21" s="19" t="n">
        <v>1</v>
      </c>
      <c r="BM21" s="19" t="n">
        <v>7</v>
      </c>
      <c r="BN21" s="19" t="n">
        <v>0</v>
      </c>
      <c r="BO21" s="19" t="n">
        <v>0</v>
      </c>
      <c r="BP21" s="19" t="n">
        <v>0</v>
      </c>
      <c r="BQ21" s="19" t="n">
        <v>0</v>
      </c>
      <c r="BR21" s="19" t="n">
        <v>3</v>
      </c>
      <c r="BS21" s="19" t="n">
        <v>3</v>
      </c>
      <c r="BT21" s="19" t="n">
        <v>3</v>
      </c>
      <c r="BU21" s="19" t="n">
        <v>5</v>
      </c>
      <c r="BV21" s="19" t="n">
        <v>5</v>
      </c>
      <c r="BW21" s="19" t="n">
        <v>5</v>
      </c>
      <c r="BX21" s="19" t="n">
        <v>3</v>
      </c>
      <c r="BY21" s="19" t="n">
        <v>5</v>
      </c>
      <c r="BZ21" s="19" t="n">
        <v>4</v>
      </c>
      <c r="CA21" s="19" t="n">
        <v>2</v>
      </c>
      <c r="CB21" s="19" t="n">
        <v>2</v>
      </c>
      <c r="CC21" s="19" t="n">
        <v>5</v>
      </c>
      <c r="CD21" s="19" t="n">
        <v>3</v>
      </c>
      <c r="CE21" s="19" t="n">
        <v>4</v>
      </c>
      <c r="CF21" s="19" t="n">
        <v>5</v>
      </c>
      <c r="CG21" s="19" t="n">
        <v>4</v>
      </c>
      <c r="CH21" s="19" t="n">
        <v>4</v>
      </c>
      <c r="CI21" s="19" t="n">
        <v>4</v>
      </c>
      <c r="CJ21" s="19" t="n">
        <v>4</v>
      </c>
      <c r="CK21" s="19" t="n">
        <v>8</v>
      </c>
      <c r="CL21" s="0" t="s">
        <v>321</v>
      </c>
      <c r="CM21" s="0" t="n">
        <v>22</v>
      </c>
      <c r="CN21" s="16" t="n">
        <v>98.4</v>
      </c>
      <c r="CO21" s="16" t="n">
        <v>99.31</v>
      </c>
      <c r="CP21" s="16" t="n">
        <v>9.8</v>
      </c>
      <c r="CQ21" s="0" t="n">
        <v>94.34</v>
      </c>
      <c r="CR21" s="0" t="n">
        <v>0</v>
      </c>
      <c r="CS21" s="0" t="n">
        <v>0</v>
      </c>
      <c r="CT21" s="0" t="n">
        <v>2.31</v>
      </c>
      <c r="CU21" s="0" t="n">
        <v>3.35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1.68</v>
      </c>
      <c r="DC21" s="0" t="n">
        <v>10.07</v>
      </c>
      <c r="DD21" s="0" t="n">
        <v>6.51</v>
      </c>
      <c r="DE21" s="0" t="n">
        <v>0</v>
      </c>
      <c r="DF21" s="0" t="n">
        <v>0</v>
      </c>
      <c r="DG21" s="0" t="n">
        <v>0</v>
      </c>
      <c r="DH21" s="0" t="n">
        <v>0</v>
      </c>
      <c r="DU21" s="0" t="n">
        <v>5.4</v>
      </c>
      <c r="DV21" s="0" t="n">
        <v>1</v>
      </c>
      <c r="DW21" s="0" t="n">
        <v>23</v>
      </c>
      <c r="DX21" s="0" t="n">
        <v>1</v>
      </c>
      <c r="DY21" s="0" t="n">
        <v>0.54</v>
      </c>
      <c r="DZ21" s="0" t="n">
        <v>3</v>
      </c>
      <c r="EA21" s="0" t="n">
        <v>34</v>
      </c>
      <c r="EB21" s="0" t="n">
        <v>2</v>
      </c>
      <c r="EC21" s="0" t="n">
        <v>1.27</v>
      </c>
      <c r="ED21" s="0" t="n">
        <v>1</v>
      </c>
      <c r="EG21" s="18"/>
      <c r="EY21" s="0" t="n">
        <v>1</v>
      </c>
      <c r="EZ21" s="0" t="n">
        <v>100</v>
      </c>
      <c r="FA21" s="0" t="n">
        <v>1</v>
      </c>
      <c r="FB21" s="0" t="n">
        <v>0.18</v>
      </c>
      <c r="FC21" s="0" t="n">
        <v>1</v>
      </c>
      <c r="FD21" s="0" t="n">
        <v>80</v>
      </c>
      <c r="FE21" s="0" t="n">
        <v>1</v>
      </c>
      <c r="FF21" s="0" t="n">
        <v>1.5</v>
      </c>
      <c r="FG21" s="0" t="n">
        <v>1</v>
      </c>
      <c r="GJ21" s="16" t="n">
        <v>0.77</v>
      </c>
      <c r="GK21" s="16" t="n">
        <v>1</v>
      </c>
      <c r="GL21" s="16" t="n">
        <v>1</v>
      </c>
      <c r="GM21" s="16"/>
      <c r="GN21" s="16" t="n">
        <f aca="false">0.76+3.02*2</f>
        <v>6.8</v>
      </c>
      <c r="GO21" s="16"/>
      <c r="GP21" s="16"/>
      <c r="GQ21" s="16"/>
      <c r="GR21" s="16"/>
      <c r="GS21" s="16"/>
      <c r="GT21" s="16"/>
      <c r="GU21" s="16" t="n">
        <v>5.78</v>
      </c>
      <c r="GV21" s="16" t="n">
        <v>2.26</v>
      </c>
      <c r="GW21" s="16"/>
      <c r="GX21" s="16"/>
      <c r="GY21" s="16" t="n">
        <v>0</v>
      </c>
      <c r="GZ21" s="16" t="n">
        <v>0</v>
      </c>
      <c r="HA21" s="16" t="n">
        <v>0</v>
      </c>
      <c r="HB21" s="0" t="n">
        <v>0</v>
      </c>
      <c r="HC21" s="0" t="n">
        <v>138</v>
      </c>
      <c r="HD21" s="0" t="n">
        <v>46.5</v>
      </c>
      <c r="HE21" s="16" t="n">
        <v>95</v>
      </c>
      <c r="HF21" s="16" t="n">
        <v>99.31</v>
      </c>
      <c r="HG21" s="16" t="n">
        <v>14.8</v>
      </c>
      <c r="HH21" s="0" t="n">
        <v>86.79</v>
      </c>
      <c r="HI21" s="0" t="n">
        <v>0</v>
      </c>
      <c r="HJ21" s="0" t="n">
        <v>4.79</v>
      </c>
      <c r="HK21" s="0" t="n">
        <v>5.44</v>
      </c>
      <c r="HL21" s="0" t="n">
        <v>2.98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0.5</v>
      </c>
      <c r="HT21" s="0" t="n">
        <v>29.66</v>
      </c>
      <c r="HU21" s="0" t="n">
        <v>4.24</v>
      </c>
      <c r="HV21" s="0" t="n">
        <v>0.27</v>
      </c>
      <c r="HW21" s="0" t="n">
        <v>0</v>
      </c>
      <c r="HX21" s="0" t="n">
        <v>0</v>
      </c>
      <c r="HY21" s="0" t="n">
        <v>0</v>
      </c>
      <c r="IL21" s="0" t="n">
        <v>28.2</v>
      </c>
      <c r="IM21" s="0" t="n">
        <v>1</v>
      </c>
      <c r="IN21" s="0" t="n">
        <v>34</v>
      </c>
      <c r="IO21" s="0" t="n">
        <v>12</v>
      </c>
      <c r="IP21" s="0" t="n">
        <f aca="false">0.18*5</f>
        <v>0.9</v>
      </c>
      <c r="IQ21" s="0" t="n">
        <v>1</v>
      </c>
      <c r="IX21" s="18"/>
      <c r="JP21" s="0" t="n">
        <v>1</v>
      </c>
      <c r="JQ21" s="0" t="n">
        <v>40</v>
      </c>
      <c r="JR21" s="0" t="n">
        <v>18</v>
      </c>
      <c r="JS21" s="0" t="n">
        <f aca="false">0.54*3</f>
        <v>1.62</v>
      </c>
      <c r="JT21" s="0" t="n">
        <v>1</v>
      </c>
      <c r="JU21" s="0" t="n">
        <v>160</v>
      </c>
      <c r="JV21" s="0" t="n">
        <v>6</v>
      </c>
      <c r="JW21" s="0" t="n">
        <v>0.54</v>
      </c>
      <c r="JX21" s="0" t="n">
        <v>1</v>
      </c>
      <c r="JY21" s="0" t="n">
        <v>180</v>
      </c>
      <c r="JZ21" s="0" t="n">
        <v>16</v>
      </c>
      <c r="KA21" s="0" t="n">
        <f aca="false">0.18*8</f>
        <v>1.44</v>
      </c>
      <c r="KB21" s="0" t="n">
        <v>3</v>
      </c>
      <c r="LA21" s="16" t="n">
        <v>0.61</v>
      </c>
      <c r="LB21" s="16" t="n">
        <v>1</v>
      </c>
      <c r="LC21" s="16" t="n">
        <v>1</v>
      </c>
      <c r="LD21" s="16"/>
      <c r="LE21" s="16" t="n">
        <f aca="false">0.18+0.27+0.54+0.27+0.54+0.27+0.18*2+0.25*2</f>
        <v>2.93</v>
      </c>
      <c r="LF21" s="16"/>
      <c r="LG21" s="16"/>
      <c r="LH21" s="16"/>
      <c r="LI21" s="16"/>
      <c r="LJ21" s="16"/>
      <c r="LK21" s="16"/>
      <c r="LL21" s="16" t="n">
        <v>2.57</v>
      </c>
      <c r="LM21" s="16" t="n">
        <v>0.72</v>
      </c>
      <c r="LN21" s="16"/>
      <c r="LO21" s="16"/>
      <c r="LP21" s="16" t="n">
        <v>0</v>
      </c>
      <c r="LQ21" s="16" t="n">
        <v>0</v>
      </c>
      <c r="LR21" s="16" t="n">
        <v>0</v>
      </c>
      <c r="LS21" s="0" t="n">
        <v>0</v>
      </c>
      <c r="LT21" s="0" t="s">
        <v>322</v>
      </c>
      <c r="LU21" s="0" t="n">
        <v>53.5</v>
      </c>
      <c r="LV21" s="16" t="n">
        <v>128.7</v>
      </c>
      <c r="LW21" s="16" t="n">
        <v>99.31</v>
      </c>
      <c r="LX21" s="16" t="n">
        <v>28.1</v>
      </c>
      <c r="LY21" s="0" t="n">
        <v>92.17</v>
      </c>
      <c r="LZ21" s="0" t="n">
        <v>0</v>
      </c>
      <c r="MA21" s="0" t="n">
        <v>10.06</v>
      </c>
      <c r="MB21" s="0" t="n">
        <v>7.54</v>
      </c>
      <c r="MC21" s="0" t="n">
        <v>15.53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106.88</v>
      </c>
      <c r="ML21" s="0" t="n">
        <v>4.3</v>
      </c>
      <c r="MM21" s="0" t="n">
        <v>0.45</v>
      </c>
      <c r="MN21" s="0" t="n">
        <v>0</v>
      </c>
      <c r="MO21" s="0" t="n">
        <v>0</v>
      </c>
      <c r="MP21" s="0" t="n">
        <v>0</v>
      </c>
      <c r="NC21" s="0" t="n">
        <v>20.1</v>
      </c>
      <c r="ND21" s="0" t="n">
        <v>1</v>
      </c>
      <c r="NE21" s="0" t="n">
        <v>23</v>
      </c>
      <c r="NF21" s="0" t="n">
        <v>6</v>
      </c>
      <c r="NG21" s="0" t="n">
        <f aca="false">0.72*2+0.04+0.09</f>
        <v>1.57</v>
      </c>
      <c r="NH21" s="0" t="n">
        <v>3</v>
      </c>
      <c r="NI21" s="0" t="n">
        <v>52</v>
      </c>
      <c r="NJ21" s="0" t="n">
        <v>1</v>
      </c>
      <c r="NK21" s="0" t="n">
        <v>21.15</v>
      </c>
      <c r="NL21" s="0" t="n">
        <v>2</v>
      </c>
      <c r="NM21" s="0" t="n">
        <v>28</v>
      </c>
      <c r="NN21" s="0" t="n">
        <v>4</v>
      </c>
      <c r="NO21" s="18" t="n">
        <f aca="false">0.48*2</f>
        <v>0.96</v>
      </c>
      <c r="NP21" s="0" t="n">
        <v>5</v>
      </c>
      <c r="NQ21" s="0" t="n">
        <v>35</v>
      </c>
      <c r="NR21" s="0" t="n">
        <v>2</v>
      </c>
      <c r="NS21" s="0" t="n">
        <v>0.48</v>
      </c>
      <c r="NT21" s="0" t="n">
        <v>3</v>
      </c>
      <c r="OG21" s="0" t="n">
        <v>1</v>
      </c>
      <c r="OH21" s="0" t="n">
        <v>40</v>
      </c>
      <c r="OI21" s="0" t="n">
        <v>1</v>
      </c>
      <c r="OJ21" s="0" t="n">
        <v>7.05</v>
      </c>
      <c r="OK21" s="0" t="n">
        <v>2</v>
      </c>
      <c r="OL21" s="0" t="n">
        <v>50</v>
      </c>
      <c r="OM21" s="0" t="n">
        <v>2</v>
      </c>
      <c r="ON21" s="0" t="n">
        <v>0.08</v>
      </c>
      <c r="OO21" s="0" t="n">
        <v>3</v>
      </c>
      <c r="OP21" s="0" t="n">
        <v>50</v>
      </c>
      <c r="OQ21" s="0" t="n">
        <v>10</v>
      </c>
      <c r="OR21" s="0" t="n">
        <f aca="false">0.04*6+0.09+0.09</f>
        <v>0.42</v>
      </c>
      <c r="OS21" s="0" t="n">
        <v>3</v>
      </c>
      <c r="PR21" s="16" t="n">
        <v>0.24</v>
      </c>
      <c r="PS21" s="16" t="n">
        <v>1</v>
      </c>
      <c r="PT21" s="16" t="n">
        <v>1</v>
      </c>
      <c r="PU21" s="16"/>
      <c r="PV21" s="16" t="n">
        <f aca="false">0.18+0.27+0.54+0.27+0.54+0.27+0.18*2+0.25*2</f>
        <v>2.93</v>
      </c>
      <c r="PW21" s="16"/>
      <c r="PX21" s="16"/>
      <c r="PY21" s="16"/>
      <c r="PZ21" s="16"/>
      <c r="QA21" s="16"/>
      <c r="QB21" s="16"/>
      <c r="QC21" s="16" t="n">
        <v>4.98</v>
      </c>
      <c r="QD21" s="16" t="n">
        <v>2.13</v>
      </c>
      <c r="QE21" s="16"/>
      <c r="QF21" s="16"/>
      <c r="QG21" s="16" t="n">
        <v>0</v>
      </c>
      <c r="QH21" s="16" t="n">
        <v>0</v>
      </c>
      <c r="QI21" s="16" t="n">
        <v>0</v>
      </c>
      <c r="QJ21" s="0" t="n">
        <v>0</v>
      </c>
      <c r="QO21" s="15"/>
      <c r="QP21" s="15"/>
      <c r="QW21" s="15"/>
      <c r="QX21" s="15"/>
      <c r="RE21" s="15"/>
      <c r="RF21" s="15"/>
      <c r="RM21" s="15"/>
      <c r="RN21" s="15"/>
      <c r="RU21" s="15"/>
      <c r="RV21" s="15"/>
      <c r="SC21" s="15"/>
      <c r="SD21" s="15"/>
      <c r="SK21" s="15"/>
      <c r="SL21" s="15"/>
      <c r="SS21" s="15"/>
      <c r="ST21" s="15"/>
      <c r="TA21" s="15"/>
      <c r="TB21" s="15"/>
      <c r="TI21" s="15"/>
      <c r="TJ21" s="15"/>
      <c r="TQ21" s="15"/>
      <c r="TR21" s="15"/>
      <c r="TY21" s="15"/>
      <c r="TZ21" s="15"/>
      <c r="UG21" s="15"/>
      <c r="UH21" s="15"/>
      <c r="UO21" s="15"/>
      <c r="UP21" s="15"/>
      <c r="UW21" s="15"/>
      <c r="UX21" s="15"/>
      <c r="VE21" s="15"/>
      <c r="VF21" s="15"/>
      <c r="VM21" s="15"/>
      <c r="VN21" s="15"/>
      <c r="VU21" s="15"/>
      <c r="VV21" s="15"/>
      <c r="WC21" s="15"/>
      <c r="WD21" s="15"/>
      <c r="WK21" s="15"/>
      <c r="WL21" s="15"/>
      <c r="WS21" s="15"/>
      <c r="WT21" s="15"/>
      <c r="XA21" s="15"/>
      <c r="XB21" s="15"/>
      <c r="XI21" s="15"/>
      <c r="XJ21" s="15"/>
      <c r="XQ21" s="15"/>
      <c r="XR21" s="15"/>
      <c r="XY21" s="15"/>
      <c r="XZ21" s="15"/>
      <c r="YG21" s="15"/>
      <c r="YH21" s="15"/>
      <c r="YO21" s="15"/>
      <c r="YP21" s="15"/>
      <c r="YW21" s="15"/>
      <c r="YX21" s="15"/>
      <c r="ZE21" s="15"/>
      <c r="ZF21" s="15"/>
      <c r="ZM21" s="15"/>
      <c r="ZN21" s="15"/>
      <c r="ZU21" s="15"/>
      <c r="ZV21" s="15"/>
      <c r="AAC21" s="15"/>
      <c r="AAD21" s="15"/>
      <c r="AAK21" s="15"/>
      <c r="AAL21" s="15"/>
      <c r="AAS21" s="15"/>
      <c r="AAT21" s="15"/>
      <c r="ABA21" s="15"/>
      <c r="ABB21" s="15"/>
      <c r="ABI21" s="15"/>
      <c r="ABJ21" s="15"/>
      <c r="ABQ21" s="15"/>
      <c r="ABR21" s="15"/>
      <c r="ABY21" s="15"/>
      <c r="ABZ21" s="15"/>
      <c r="ACG21" s="15"/>
      <c r="ACH21" s="15"/>
      <c r="ACO21" s="15"/>
      <c r="ACP21" s="15"/>
      <c r="ACW21" s="15"/>
      <c r="ACX21" s="15"/>
      <c r="ADE21" s="15"/>
      <c r="ADF21" s="15"/>
      <c r="ADM21" s="15"/>
      <c r="ADN21" s="15"/>
      <c r="ADU21" s="15"/>
      <c r="ADV21" s="15"/>
      <c r="AEC21" s="15"/>
      <c r="AED21" s="15"/>
      <c r="AEK21" s="15"/>
      <c r="AEL21" s="15"/>
      <c r="AES21" s="15"/>
      <c r="AET21" s="15"/>
      <c r="AFA21" s="15"/>
      <c r="AFB21" s="15"/>
      <c r="AFI21" s="15"/>
      <c r="AFJ21" s="15"/>
      <c r="AFQ21" s="15"/>
      <c r="AFR21" s="15"/>
      <c r="AFY21" s="15"/>
      <c r="AFZ21" s="15"/>
      <c r="AGG21" s="15"/>
      <c r="AGH21" s="15"/>
      <c r="AGO21" s="15"/>
      <c r="AGP21" s="15"/>
      <c r="AGW21" s="15"/>
      <c r="AGX21" s="15"/>
      <c r="AHE21" s="15"/>
      <c r="AHF21" s="15"/>
      <c r="AHM21" s="15"/>
      <c r="AHN21" s="15"/>
      <c r="AHU21" s="15"/>
      <c r="AHV21" s="15"/>
      <c r="AIC21" s="15"/>
      <c r="AID21" s="15"/>
      <c r="AIK21" s="15"/>
      <c r="AIL21" s="15"/>
      <c r="AIS21" s="15"/>
      <c r="AIT21" s="15"/>
      <c r="AJA21" s="15"/>
      <c r="AJB21" s="15"/>
      <c r="AJI21" s="15"/>
      <c r="AJJ21" s="15"/>
      <c r="AJQ21" s="15"/>
      <c r="AJR21" s="15"/>
      <c r="AJY21" s="15"/>
      <c r="AJZ21" s="15"/>
      <c r="AKG21" s="15"/>
      <c r="AKH21" s="15"/>
      <c r="AKO21" s="15"/>
      <c r="AKP21" s="15"/>
      <c r="AKW21" s="15"/>
      <c r="AKX21" s="15"/>
      <c r="ALE21" s="15"/>
      <c r="ALF21" s="15"/>
      <c r="ALM21" s="15"/>
      <c r="ALN21" s="15"/>
      <c r="ALU21" s="15"/>
      <c r="ALV21" s="15"/>
      <c r="AMC21" s="15"/>
      <c r="AMD21" s="15"/>
    </row>
    <row r="22" customFormat="false" ht="13.8" hidden="false" customHeight="false" outlineLevel="0" collapsed="false">
      <c r="A22" s="1" t="s">
        <v>323</v>
      </c>
      <c r="B22" s="12" t="n">
        <v>42893</v>
      </c>
      <c r="C22" s="0" t="n">
        <v>2</v>
      </c>
      <c r="D22" s="13" t="n">
        <v>34785</v>
      </c>
      <c r="E22" s="12" t="n">
        <v>25569</v>
      </c>
      <c r="F22" s="14" t="n">
        <f aca="false">(B22-E22)/365.25</f>
        <v>47.4305270362765</v>
      </c>
      <c r="G22" s="14" t="n">
        <f aca="false">(B22-D22)/365.25</f>
        <v>22.1984941820671</v>
      </c>
      <c r="H22" s="15" t="s">
        <v>205</v>
      </c>
      <c r="I22" s="15" t="s">
        <v>324</v>
      </c>
      <c r="J22" s="21" t="s">
        <v>181</v>
      </c>
      <c r="K22" s="21" t="n">
        <v>8</v>
      </c>
      <c r="L22" s="19" t="n">
        <v>89</v>
      </c>
      <c r="M22" s="0" t="n">
        <v>1.7</v>
      </c>
      <c r="N22" s="16" t="n">
        <f aca="false">L22/(M22*M22)</f>
        <v>30.795847750865</v>
      </c>
      <c r="O22" s="19" t="n">
        <v>1</v>
      </c>
      <c r="P22" s="19" t="n">
        <v>1</v>
      </c>
      <c r="Q22" s="19"/>
      <c r="R22" s="19" t="n">
        <v>0</v>
      </c>
      <c r="S22" s="19" t="n">
        <v>0</v>
      </c>
      <c r="T22" s="19" t="n">
        <v>0</v>
      </c>
      <c r="U22" s="19" t="n">
        <v>0</v>
      </c>
      <c r="V22" s="19" t="n">
        <v>0</v>
      </c>
      <c r="W22" s="19" t="n">
        <v>1</v>
      </c>
      <c r="X22" s="19" t="n">
        <v>0</v>
      </c>
      <c r="Y22" s="19" t="n">
        <v>1</v>
      </c>
      <c r="Z22" s="19" t="n">
        <v>1</v>
      </c>
      <c r="AA22" s="19" t="n">
        <v>60</v>
      </c>
      <c r="AB22" s="19" t="s">
        <v>215</v>
      </c>
      <c r="AC22" s="19" t="n">
        <v>0</v>
      </c>
      <c r="AD22" s="19" t="n">
        <v>0</v>
      </c>
      <c r="AE22" s="19" t="n">
        <v>0</v>
      </c>
      <c r="AF22" s="19" t="n">
        <v>0</v>
      </c>
      <c r="AG22" s="19" t="n">
        <v>0</v>
      </c>
      <c r="AH22" s="19" t="n">
        <v>0</v>
      </c>
      <c r="AI22" s="19" t="n">
        <v>3</v>
      </c>
      <c r="AJ22" s="19" t="n">
        <v>3</v>
      </c>
      <c r="AK22" s="19" t="n">
        <v>3</v>
      </c>
      <c r="AL22" s="19" t="n">
        <v>5</v>
      </c>
      <c r="AM22" s="19" t="n">
        <v>5</v>
      </c>
      <c r="AN22" s="19" t="n">
        <v>1</v>
      </c>
      <c r="AO22" s="19" t="n">
        <v>1</v>
      </c>
      <c r="AP22" s="19" t="n">
        <v>1</v>
      </c>
      <c r="AQ22" s="19" t="n">
        <v>9</v>
      </c>
      <c r="AR22" s="19" t="n">
        <v>0</v>
      </c>
      <c r="AS22" s="19" t="n">
        <v>3</v>
      </c>
      <c r="AT22" s="19" t="n">
        <v>0</v>
      </c>
      <c r="AU22" s="19" t="n">
        <v>3</v>
      </c>
      <c r="AV22" s="19" t="n">
        <v>3</v>
      </c>
      <c r="AW22" s="19" t="n">
        <v>3</v>
      </c>
      <c r="AX22" s="19" t="n">
        <v>1</v>
      </c>
      <c r="AY22" s="19" t="n">
        <v>0</v>
      </c>
      <c r="AZ22" s="19" t="n">
        <v>0</v>
      </c>
      <c r="BA22" s="19" t="n">
        <v>0</v>
      </c>
      <c r="BB22" s="19" t="n">
        <v>1</v>
      </c>
      <c r="BC22" s="19" t="n">
        <v>0</v>
      </c>
      <c r="BD22" s="19" t="n">
        <v>0</v>
      </c>
      <c r="BE22" s="19" t="n">
        <v>0</v>
      </c>
      <c r="BF22" s="19" t="n">
        <v>1</v>
      </c>
      <c r="BG22" s="19" t="n">
        <v>0</v>
      </c>
      <c r="BH22" s="19" t="n">
        <v>0</v>
      </c>
      <c r="BI22" s="19" t="n">
        <v>0</v>
      </c>
      <c r="BJ22" s="19" t="n">
        <v>1</v>
      </c>
      <c r="BK22" s="19" t="n">
        <v>0</v>
      </c>
      <c r="BL22" s="19" t="n">
        <v>1</v>
      </c>
      <c r="BM22" s="19" t="n">
        <v>3</v>
      </c>
      <c r="BN22" s="19" t="n">
        <v>1</v>
      </c>
      <c r="BO22" s="19" t="n">
        <v>0</v>
      </c>
      <c r="BP22" s="19" t="n">
        <v>0</v>
      </c>
      <c r="BQ22" s="19" t="n">
        <v>0</v>
      </c>
      <c r="BR22" s="19" t="n">
        <v>3</v>
      </c>
      <c r="BS22" s="19" t="n">
        <v>2</v>
      </c>
      <c r="BT22" s="19" t="n">
        <v>2</v>
      </c>
      <c r="BU22" s="19" t="n">
        <v>4</v>
      </c>
      <c r="BV22" s="19" t="n">
        <v>4</v>
      </c>
      <c r="BW22" s="19" t="n">
        <v>4</v>
      </c>
      <c r="BX22" s="19" t="n">
        <v>4</v>
      </c>
      <c r="BY22" s="19" t="n">
        <v>4</v>
      </c>
      <c r="BZ22" s="19" t="n">
        <v>4</v>
      </c>
      <c r="CA22" s="19" t="n">
        <v>2</v>
      </c>
      <c r="CB22" s="19" t="n">
        <v>2</v>
      </c>
      <c r="CC22" s="19" t="n">
        <v>4</v>
      </c>
      <c r="CD22" s="19" t="n">
        <v>3</v>
      </c>
      <c r="CE22" s="19" t="n">
        <v>3</v>
      </c>
      <c r="CF22" s="19" t="n">
        <v>3</v>
      </c>
      <c r="CG22" s="19" t="n">
        <v>3</v>
      </c>
      <c r="CH22" s="19" t="n">
        <v>3</v>
      </c>
      <c r="CI22" s="19" t="n">
        <v>3</v>
      </c>
      <c r="CJ22" s="19" t="n">
        <v>3</v>
      </c>
      <c r="CK22" s="19" t="n">
        <v>9</v>
      </c>
      <c r="CL22" s="0" t="s">
        <v>325</v>
      </c>
      <c r="CM22" s="0" t="n">
        <v>41</v>
      </c>
      <c r="CN22" s="16" t="n">
        <v>74.8</v>
      </c>
      <c r="CO22" s="16" t="n">
        <v>98.89</v>
      </c>
      <c r="CP22" s="16" t="n">
        <v>31.2</v>
      </c>
      <c r="CQ22" s="0" t="n">
        <v>69.73</v>
      </c>
      <c r="CR22" s="0" t="n">
        <v>0</v>
      </c>
      <c r="CS22" s="0" t="n">
        <v>28.78</v>
      </c>
      <c r="CT22" s="0" t="n">
        <v>1.46</v>
      </c>
      <c r="CU22" s="0" t="n">
        <v>0</v>
      </c>
      <c r="CV22" s="0" t="n">
        <v>0</v>
      </c>
      <c r="CW22" s="0" t="n">
        <v>0.03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0.03</v>
      </c>
      <c r="DC22" s="0" t="n">
        <v>20.42</v>
      </c>
      <c r="DD22" s="0" t="n">
        <v>29.68</v>
      </c>
      <c r="DE22" s="0" t="n">
        <v>0.17</v>
      </c>
      <c r="DF22" s="0" t="n">
        <v>0</v>
      </c>
      <c r="DG22" s="0" t="n">
        <v>0</v>
      </c>
      <c r="DH22" s="0" t="n">
        <v>0</v>
      </c>
      <c r="DU22" s="0" t="n">
        <v>9.8</v>
      </c>
      <c r="DV22" s="0" t="n">
        <v>0</v>
      </c>
      <c r="EG22" s="18"/>
      <c r="EY22" s="0" t="n">
        <v>1</v>
      </c>
      <c r="EZ22" s="0" t="n">
        <v>40</v>
      </c>
      <c r="FA22" s="0" t="n">
        <v>7</v>
      </c>
      <c r="FB22" s="0" t="n">
        <v>7.33</v>
      </c>
      <c r="FC22" s="0" t="n">
        <v>3</v>
      </c>
      <c r="FD22" s="0" t="n">
        <v>60</v>
      </c>
      <c r="FE22" s="0" t="n">
        <v>2</v>
      </c>
      <c r="FF22" s="0" t="n">
        <f aca="false">0.7*2</f>
        <v>1.4</v>
      </c>
      <c r="FG22" s="0" t="n">
        <v>1</v>
      </c>
      <c r="FH22" s="0" t="n">
        <v>40</v>
      </c>
      <c r="FI22" s="0" t="n">
        <v>7</v>
      </c>
      <c r="FJ22" s="0" t="n">
        <f aca="false">7.68+2.09*2+2.79</f>
        <v>14.65</v>
      </c>
      <c r="FK22" s="0" t="n">
        <v>1</v>
      </c>
      <c r="GJ22" s="16" t="n">
        <v>0</v>
      </c>
      <c r="GK22" s="16" t="n">
        <v>0</v>
      </c>
      <c r="GL22" s="16"/>
      <c r="GM22" s="16"/>
      <c r="GN22" s="16"/>
      <c r="GO22" s="16"/>
      <c r="GP22" s="16"/>
      <c r="GQ22" s="16"/>
      <c r="GR22" s="16"/>
      <c r="GS22" s="16"/>
      <c r="GT22" s="16"/>
      <c r="GU22" s="16" t="n">
        <v>0</v>
      </c>
      <c r="GV22" s="16" t="n">
        <v>0</v>
      </c>
      <c r="GW22" s="16"/>
      <c r="GX22" s="16"/>
      <c r="GY22" s="16" t="n">
        <v>0</v>
      </c>
      <c r="GZ22" s="16" t="n">
        <v>0</v>
      </c>
      <c r="HA22" s="16" t="n">
        <v>0</v>
      </c>
      <c r="HB22" s="0" t="n">
        <v>0</v>
      </c>
      <c r="HC22" s="0" t="s">
        <v>326</v>
      </c>
      <c r="HD22" s="0" t="n">
        <v>42</v>
      </c>
      <c r="HE22" s="16" t="n">
        <v>84.6</v>
      </c>
      <c r="HF22" s="16" t="n">
        <v>98.89</v>
      </c>
      <c r="HG22" s="16" t="n">
        <v>30.3</v>
      </c>
      <c r="HH22" s="0" t="n">
        <v>65.21</v>
      </c>
      <c r="HI22" s="0" t="n">
        <v>0</v>
      </c>
      <c r="HJ22" s="0" t="n">
        <f aca="false">29.69-0.91</f>
        <v>28.78</v>
      </c>
      <c r="HK22" s="0" t="n">
        <v>0</v>
      </c>
      <c r="HL22" s="0" t="n">
        <v>0</v>
      </c>
      <c r="HM22" s="0" t="n">
        <v>0</v>
      </c>
      <c r="HN22" s="0" t="n">
        <v>6</v>
      </c>
      <c r="HO22" s="0" t="n">
        <v>0.91</v>
      </c>
      <c r="HP22" s="0" t="n">
        <v>0</v>
      </c>
      <c r="HQ22" s="0" t="n">
        <v>0</v>
      </c>
      <c r="HR22" s="0" t="n">
        <v>0</v>
      </c>
      <c r="HS22" s="0" t="n">
        <v>2.35</v>
      </c>
      <c r="HT22" s="0" t="n">
        <v>28.96</v>
      </c>
      <c r="HU22" s="0" t="n">
        <v>26.7</v>
      </c>
      <c r="HV22" s="0" t="n">
        <v>0.17</v>
      </c>
      <c r="HW22" s="0" t="n">
        <v>0</v>
      </c>
      <c r="HX22" s="0" t="n">
        <v>0</v>
      </c>
      <c r="HY22" s="0" t="n">
        <v>0</v>
      </c>
      <c r="IL22" s="0" t="n">
        <v>8.5</v>
      </c>
      <c r="IM22" s="0" t="n">
        <v>0</v>
      </c>
      <c r="IX22" s="18"/>
      <c r="JP22" s="0" t="n">
        <v>1</v>
      </c>
      <c r="JQ22" s="0" t="n">
        <v>40</v>
      </c>
      <c r="JR22" s="0" t="n">
        <v>5</v>
      </c>
      <c r="JS22" s="0" t="n">
        <v>5.23</v>
      </c>
      <c r="JT22" s="0" t="n">
        <v>3</v>
      </c>
      <c r="JU22" s="0" t="n">
        <v>60</v>
      </c>
      <c r="JV22" s="0" t="n">
        <v>2</v>
      </c>
      <c r="JW22" s="0" t="n">
        <v>0.17</v>
      </c>
      <c r="JX22" s="0" t="n">
        <v>1</v>
      </c>
      <c r="JY22" s="0" t="n">
        <v>40</v>
      </c>
      <c r="JZ22" s="0" t="n">
        <v>7</v>
      </c>
      <c r="KA22" s="0" t="n">
        <f aca="false">7.68+2.09*2+2.79</f>
        <v>14.65</v>
      </c>
      <c r="KB22" s="0" t="n">
        <v>1</v>
      </c>
      <c r="LA22" s="16" t="n">
        <v>0.97</v>
      </c>
      <c r="LB22" s="16" t="n">
        <v>1</v>
      </c>
      <c r="LC22" s="16" t="n">
        <v>2</v>
      </c>
      <c r="LD22" s="16"/>
      <c r="LE22" s="16" t="n">
        <f aca="false">0.63*2</f>
        <v>1.26</v>
      </c>
      <c r="LF22" s="16"/>
      <c r="LG22" s="16"/>
      <c r="LH22" s="16"/>
      <c r="LI22" s="16"/>
      <c r="LJ22" s="16"/>
      <c r="LK22" s="16"/>
      <c r="LL22" s="16" t="n">
        <v>0</v>
      </c>
      <c r="LM22" s="16" t="n">
        <v>0</v>
      </c>
      <c r="LN22" s="16"/>
      <c r="LO22" s="16"/>
      <c r="LP22" s="16" t="n">
        <v>0</v>
      </c>
      <c r="LQ22" s="16" t="n">
        <v>0</v>
      </c>
      <c r="LR22" s="16" t="n">
        <v>1.98</v>
      </c>
      <c r="LS22" s="0" t="n">
        <v>0</v>
      </c>
      <c r="LT22" s="0" t="s">
        <v>327</v>
      </c>
      <c r="LU22" s="0" t="n">
        <v>51.5</v>
      </c>
      <c r="LV22" s="16" t="n">
        <v>89.9</v>
      </c>
      <c r="LW22" s="16" t="n">
        <v>98.89</v>
      </c>
      <c r="LX22" s="16" t="n">
        <v>39.4</v>
      </c>
      <c r="LY22" s="0" t="n">
        <v>64.19</v>
      </c>
      <c r="LZ22" s="0" t="n">
        <v>0</v>
      </c>
      <c r="MA22" s="0" t="n">
        <v>35.81</v>
      </c>
      <c r="MB22" s="0" t="n">
        <v>0</v>
      </c>
      <c r="MC22" s="0" t="n">
        <v>0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4.19</v>
      </c>
      <c r="MK22" s="0" t="n">
        <v>14.6</v>
      </c>
      <c r="ML22" s="0" t="n">
        <v>40.18</v>
      </c>
      <c r="MM22" s="0" t="n">
        <v>8.37</v>
      </c>
      <c r="MN22" s="0" t="n">
        <v>0</v>
      </c>
      <c r="MO22" s="0" t="n">
        <v>0</v>
      </c>
      <c r="MP22" s="0" t="n">
        <v>0</v>
      </c>
      <c r="NC22" s="0" t="n">
        <v>10.1</v>
      </c>
      <c r="ND22" s="0" t="n">
        <v>0</v>
      </c>
      <c r="NO22" s="18"/>
      <c r="OG22" s="0" t="n">
        <v>1</v>
      </c>
      <c r="OH22" s="0" t="n">
        <v>40</v>
      </c>
      <c r="OI22" s="0" t="n">
        <v>3</v>
      </c>
      <c r="OJ22" s="0" t="n">
        <f aca="false">2.73*2+5.23</f>
        <v>10.69</v>
      </c>
      <c r="OK22" s="0" t="n">
        <v>3</v>
      </c>
      <c r="OL22" s="0" t="n">
        <v>60</v>
      </c>
      <c r="OM22" s="0" t="n">
        <v>2</v>
      </c>
      <c r="ON22" s="0" t="n">
        <v>0.14</v>
      </c>
      <c r="OO22" s="0" t="n">
        <v>1</v>
      </c>
      <c r="OP22" s="0" t="n">
        <v>40</v>
      </c>
      <c r="OQ22" s="0" t="n">
        <v>5</v>
      </c>
      <c r="OR22" s="0" t="n">
        <f aca="false">7.68+2.09+2.79</f>
        <v>12.56</v>
      </c>
      <c r="OS22" s="0" t="n">
        <v>1</v>
      </c>
      <c r="OT22" s="0" t="n">
        <v>40</v>
      </c>
      <c r="OU22" s="0" t="n">
        <v>3</v>
      </c>
      <c r="OV22" s="0" t="n">
        <v>2.18</v>
      </c>
      <c r="OW22" s="0" t="n">
        <v>6</v>
      </c>
      <c r="PR22" s="16" t="n">
        <v>0</v>
      </c>
      <c r="PS22" s="16" t="n">
        <v>0</v>
      </c>
      <c r="PT22" s="16"/>
      <c r="PU22" s="16"/>
      <c r="PV22" s="16"/>
      <c r="PW22" s="16"/>
      <c r="PX22" s="16"/>
      <c r="PY22" s="16"/>
      <c r="PZ22" s="16"/>
      <c r="QA22" s="16"/>
      <c r="QB22" s="16"/>
      <c r="QC22" s="16" t="n">
        <v>0</v>
      </c>
      <c r="QD22" s="16" t="n">
        <v>0</v>
      </c>
      <c r="QE22" s="16"/>
      <c r="QF22" s="16"/>
      <c r="QG22" s="16" t="n">
        <v>0</v>
      </c>
      <c r="QH22" s="16" t="n">
        <v>0</v>
      </c>
      <c r="QI22" s="16" t="n">
        <v>1.98</v>
      </c>
      <c r="QJ22" s="0" t="n">
        <v>0</v>
      </c>
      <c r="QK22" s="0" t="s">
        <v>328</v>
      </c>
      <c r="QL22" s="0" t="n">
        <v>51.5</v>
      </c>
      <c r="QM22" s="16" t="n">
        <v>89.9</v>
      </c>
      <c r="QN22" s="16" t="n">
        <v>98.89</v>
      </c>
      <c r="QO22" s="16" t="n">
        <v>39.4</v>
      </c>
      <c r="QP22" s="0" t="n">
        <v>64.19</v>
      </c>
      <c r="QQ22" s="0" t="n">
        <v>0</v>
      </c>
      <c r="QR22" s="0" t="n">
        <v>35.81</v>
      </c>
      <c r="QS22" s="0" t="n">
        <v>0</v>
      </c>
      <c r="QT22" s="0" t="n">
        <v>0</v>
      </c>
      <c r="QU22" s="0" t="n">
        <v>0</v>
      </c>
      <c r="QV22" s="0" t="n">
        <v>0</v>
      </c>
      <c r="QW22" s="0" t="n">
        <v>0</v>
      </c>
      <c r="QX22" s="0" t="n">
        <v>0</v>
      </c>
      <c r="QY22" s="0" t="n">
        <v>0</v>
      </c>
      <c r="QZ22" s="0" t="n">
        <v>0</v>
      </c>
      <c r="RA22" s="0" t="n">
        <v>4.19</v>
      </c>
      <c r="RB22" s="0" t="n">
        <v>14.6</v>
      </c>
      <c r="RC22" s="0" t="n">
        <v>40.18</v>
      </c>
      <c r="RD22" s="0" t="n">
        <v>8.37</v>
      </c>
      <c r="RE22" s="0" t="n">
        <v>0</v>
      </c>
      <c r="RF22" s="0" t="n">
        <v>0</v>
      </c>
      <c r="RG22" s="0" t="n">
        <v>0</v>
      </c>
      <c r="RT22" s="0" t="n">
        <v>10.1</v>
      </c>
      <c r="RU22" s="0" t="n">
        <v>0</v>
      </c>
      <c r="SF22" s="18"/>
      <c r="SX22" s="0" t="n">
        <v>1</v>
      </c>
      <c r="SY22" s="0" t="n">
        <v>40</v>
      </c>
      <c r="SZ22" s="0" t="n">
        <v>3</v>
      </c>
      <c r="TA22" s="0" t="n">
        <f aca="false">2.73*2+5.23</f>
        <v>10.69</v>
      </c>
      <c r="TB22" s="0" t="n">
        <v>3</v>
      </c>
      <c r="TC22" s="0" t="n">
        <v>60</v>
      </c>
      <c r="TD22" s="0" t="n">
        <v>2</v>
      </c>
      <c r="TE22" s="0" t="n">
        <v>0.14</v>
      </c>
      <c r="TF22" s="0" t="n">
        <v>1</v>
      </c>
      <c r="TG22" s="0" t="n">
        <v>40</v>
      </c>
      <c r="TH22" s="0" t="n">
        <v>5</v>
      </c>
      <c r="TI22" s="0" t="n">
        <f aca="false">7.68+2.09+2.79</f>
        <v>12.56</v>
      </c>
      <c r="TJ22" s="0" t="n">
        <v>1</v>
      </c>
      <c r="TK22" s="0" t="n">
        <v>40</v>
      </c>
      <c r="TL22" s="0" t="n">
        <v>3</v>
      </c>
      <c r="TM22" s="0" t="n">
        <v>2.18</v>
      </c>
      <c r="TN22" s="0" t="n">
        <v>6</v>
      </c>
      <c r="UI22" s="16" t="n">
        <v>0</v>
      </c>
      <c r="UJ22" s="16" t="n">
        <v>0</v>
      </c>
      <c r="UK22" s="16"/>
      <c r="UL22" s="16"/>
      <c r="UM22" s="16"/>
      <c r="UN22" s="16"/>
      <c r="UO22" s="16"/>
      <c r="UP22" s="16"/>
      <c r="UQ22" s="16"/>
      <c r="UR22" s="16"/>
      <c r="US22" s="16"/>
      <c r="UT22" s="16" t="n">
        <v>0</v>
      </c>
      <c r="UU22" s="16" t="n">
        <v>0</v>
      </c>
      <c r="UV22" s="16"/>
      <c r="UW22" s="16"/>
      <c r="UX22" s="16" t="n">
        <v>0</v>
      </c>
      <c r="UY22" s="16" t="n">
        <v>0</v>
      </c>
      <c r="UZ22" s="16" t="n">
        <v>1.98</v>
      </c>
      <c r="VA22" s="0" t="n">
        <v>0</v>
      </c>
      <c r="VB22" s="0" t="s">
        <v>329</v>
      </c>
      <c r="VC22" s="0" t="n">
        <v>47.5</v>
      </c>
      <c r="VD22" s="16" t="n">
        <v>96.7</v>
      </c>
      <c r="VE22" s="16" t="n">
        <v>98.89</v>
      </c>
      <c r="VF22" s="16" t="n">
        <v>18.2</v>
      </c>
      <c r="VG22" s="0" t="n">
        <v>16.87</v>
      </c>
      <c r="VH22" s="0" t="n">
        <v>0</v>
      </c>
      <c r="VI22" s="0" t="n">
        <v>0.64</v>
      </c>
      <c r="VJ22" s="0" t="n">
        <v>0</v>
      </c>
      <c r="VK22" s="0" t="n">
        <v>0.71</v>
      </c>
      <c r="VL22" s="0" t="n">
        <v>0</v>
      </c>
      <c r="VM22" s="0" t="n">
        <v>81.79</v>
      </c>
      <c r="VN22" s="0" t="n">
        <v>0</v>
      </c>
      <c r="VO22" s="0" t="n">
        <v>0</v>
      </c>
      <c r="VP22" s="0" t="n">
        <v>34.95</v>
      </c>
      <c r="VQ22" s="0" t="n">
        <v>0</v>
      </c>
      <c r="VR22" s="0" t="n">
        <v>14.93</v>
      </c>
      <c r="VS22" s="0" t="n">
        <v>18.57</v>
      </c>
      <c r="VT22" s="0" t="n">
        <v>33.75</v>
      </c>
      <c r="VU22" s="0" t="n">
        <v>4.19</v>
      </c>
      <c r="VV22" s="0" t="n">
        <v>0</v>
      </c>
      <c r="VW22" s="0" t="n">
        <v>25.1</v>
      </c>
      <c r="VX22" s="0" t="n">
        <v>1</v>
      </c>
      <c r="VY22" s="0" t="n">
        <v>4.5</v>
      </c>
      <c r="WA22" s="0" t="n">
        <v>1</v>
      </c>
      <c r="WK22" s="0" t="n">
        <v>0</v>
      </c>
      <c r="WL22" s="0" t="n">
        <v>1</v>
      </c>
      <c r="WM22" s="0" t="n">
        <v>12</v>
      </c>
      <c r="WN22" s="0" t="n">
        <v>1</v>
      </c>
      <c r="WO22" s="0" t="n">
        <v>0.73</v>
      </c>
      <c r="WP22" s="0" t="n">
        <v>3</v>
      </c>
      <c r="WQ22" s="0" t="n">
        <v>23</v>
      </c>
      <c r="WR22" s="0" t="n">
        <v>5</v>
      </c>
      <c r="WS22" s="0" t="n">
        <v>1.82</v>
      </c>
      <c r="WT22" s="0" t="n">
        <v>3</v>
      </c>
      <c r="WU22" s="0" t="n">
        <v>18</v>
      </c>
      <c r="WV22" s="0" t="n">
        <v>1</v>
      </c>
      <c r="WW22" s="18" t="n">
        <v>4.37</v>
      </c>
      <c r="WX22" s="0" t="n">
        <v>5</v>
      </c>
      <c r="WY22" s="0" t="n">
        <v>28</v>
      </c>
      <c r="WZ22" s="0" t="n">
        <v>6</v>
      </c>
      <c r="XA22" s="0" t="n">
        <f aca="false">2.18*2</f>
        <v>4.36</v>
      </c>
      <c r="XB22" s="0" t="n">
        <v>5</v>
      </c>
      <c r="XO22" s="0" t="n">
        <v>1</v>
      </c>
      <c r="XP22" s="0" t="n">
        <v>30</v>
      </c>
      <c r="XQ22" s="0" t="n">
        <v>2</v>
      </c>
      <c r="XR22" s="0" t="n">
        <v>1.46</v>
      </c>
      <c r="XS22" s="0" t="n">
        <v>3</v>
      </c>
      <c r="YZ22" s="16" t="n">
        <v>3.87</v>
      </c>
      <c r="ZA22" s="16" t="n">
        <v>1</v>
      </c>
      <c r="ZB22" s="16" t="n">
        <v>2</v>
      </c>
      <c r="ZC22" s="16"/>
      <c r="ZD22" s="16" t="n">
        <v>0.18</v>
      </c>
      <c r="ZE22" s="16"/>
      <c r="ZF22" s="16"/>
      <c r="ZG22" s="16"/>
      <c r="ZH22" s="16"/>
      <c r="ZI22" s="16"/>
      <c r="ZJ22" s="16"/>
      <c r="ZK22" s="16" t="n">
        <v>0</v>
      </c>
      <c r="ZL22" s="16" t="n">
        <v>0</v>
      </c>
      <c r="ZM22" s="16"/>
      <c r="ZN22" s="16"/>
      <c r="ZO22" s="16" t="n">
        <v>0</v>
      </c>
      <c r="ZP22" s="16" t="n">
        <v>0</v>
      </c>
      <c r="ZQ22" s="16" t="n">
        <v>0</v>
      </c>
      <c r="ZR22" s="0" t="n">
        <v>0</v>
      </c>
      <c r="ZS22" s="0" t="s">
        <v>330</v>
      </c>
      <c r="ZT22" s="0" t="n">
        <v>45.5</v>
      </c>
      <c r="ZU22" s="16" t="n">
        <v>81</v>
      </c>
      <c r="ZV22" s="16" t="n">
        <v>98.89</v>
      </c>
      <c r="ZW22" s="16" t="n">
        <v>37.3</v>
      </c>
      <c r="ZX22" s="0" t="n">
        <v>19.31</v>
      </c>
      <c r="ZY22" s="0" t="n">
        <v>0</v>
      </c>
      <c r="ZZ22" s="0" t="n">
        <v>0</v>
      </c>
      <c r="AAA22" s="0" t="n">
        <v>0</v>
      </c>
      <c r="AAB22" s="0" t="n">
        <v>0</v>
      </c>
      <c r="AAC22" s="0" t="n">
        <v>0</v>
      </c>
      <c r="AAD22" s="0" t="n">
        <v>80.69</v>
      </c>
      <c r="AAE22" s="0" t="n">
        <v>36.25</v>
      </c>
      <c r="AAF22" s="0" t="n">
        <v>0</v>
      </c>
      <c r="AAG22" s="0" t="n">
        <v>7.1</v>
      </c>
      <c r="AAH22" s="0" t="n">
        <v>0</v>
      </c>
      <c r="AAI22" s="0" t="n">
        <v>38.3</v>
      </c>
      <c r="AAJ22" s="0" t="n">
        <v>20.8</v>
      </c>
      <c r="AAK22" s="0" t="n">
        <v>41.34</v>
      </c>
      <c r="AAL22" s="0" t="n">
        <v>2.78</v>
      </c>
      <c r="AAM22" s="0" t="n">
        <v>0</v>
      </c>
      <c r="AAN22" s="0" t="n">
        <v>0</v>
      </c>
      <c r="AAO22" s="0" t="n">
        <v>0</v>
      </c>
      <c r="ABB22" s="0" t="n">
        <v>7.8</v>
      </c>
      <c r="ABC22" s="0" t="n">
        <v>1</v>
      </c>
      <c r="ABD22" s="0" t="n">
        <v>28</v>
      </c>
      <c r="ABE22" s="0" t="n">
        <v>5</v>
      </c>
      <c r="ABF22" s="0" t="n">
        <f aca="false">0.13+1.45+1.03</f>
        <v>2.61</v>
      </c>
      <c r="ABG22" s="0" t="n">
        <v>5</v>
      </c>
      <c r="ABH22" s="0" t="n">
        <v>23</v>
      </c>
      <c r="ABI22" s="0" t="n">
        <v>8</v>
      </c>
      <c r="ABJ22" s="0" t="n">
        <f aca="false">0.13+0.72+0.01+0.51+0.27</f>
        <v>1.64</v>
      </c>
      <c r="ABK22" s="0" t="n">
        <v>3</v>
      </c>
      <c r="ABL22" s="0" t="n">
        <v>35</v>
      </c>
      <c r="ABM22" s="0" t="n">
        <v>4</v>
      </c>
      <c r="ABN22" s="18" t="n">
        <f aca="false">0.73+21</f>
        <v>21.73</v>
      </c>
      <c r="ABO22" s="0" t="n">
        <v>3</v>
      </c>
      <c r="ABP22" s="0" t="n">
        <v>40</v>
      </c>
      <c r="ABQ22" s="0" t="n">
        <v>1</v>
      </c>
      <c r="ABR22" s="0" t="n">
        <v>0.73</v>
      </c>
      <c r="ABS22" s="0" t="n">
        <v>5</v>
      </c>
      <c r="ABT22" s="0" t="n">
        <v>18</v>
      </c>
      <c r="ABU22" s="0" t="n">
        <v>2</v>
      </c>
      <c r="ABV22" s="0" t="n">
        <v>1.19</v>
      </c>
      <c r="ABW22" s="0" t="n">
        <v>5</v>
      </c>
      <c r="ACF22" s="0" t="n">
        <v>1</v>
      </c>
      <c r="ACG22" s="0" t="n">
        <v>30</v>
      </c>
      <c r="ACH22" s="0" t="n">
        <v>1</v>
      </c>
      <c r="ACI22" s="0" t="n">
        <v>0.52</v>
      </c>
      <c r="ACJ22" s="0" t="n">
        <v>2</v>
      </c>
      <c r="ACK22" s="0" t="n">
        <v>40</v>
      </c>
      <c r="ACL22" s="0" t="n">
        <v>2</v>
      </c>
      <c r="ACM22" s="0" t="n">
        <f aca="false">0.16+0.93</f>
        <v>1.09</v>
      </c>
      <c r="ACN22" s="0" t="n">
        <v>3</v>
      </c>
      <c r="ADQ22" s="16" t="n">
        <v>0</v>
      </c>
      <c r="ADR22" s="16" t="n">
        <v>0</v>
      </c>
      <c r="ADS22" s="16"/>
      <c r="ADT22" s="16"/>
      <c r="ADU22" s="16"/>
      <c r="ADV22" s="16"/>
      <c r="ADW22" s="16"/>
      <c r="ADX22" s="16"/>
      <c r="ADY22" s="16"/>
      <c r="ADZ22" s="16"/>
      <c r="AEA22" s="16"/>
      <c r="AEB22" s="16" t="n">
        <v>0</v>
      </c>
      <c r="AEC22" s="16" t="n">
        <v>0</v>
      </c>
      <c r="AED22" s="16"/>
      <c r="AEE22" s="16"/>
      <c r="AEF22" s="16" t="n">
        <v>0</v>
      </c>
      <c r="AEG22" s="16" t="n">
        <v>0</v>
      </c>
      <c r="AEH22" s="16" t="n">
        <v>0</v>
      </c>
      <c r="AEI22" s="0" t="n">
        <v>0</v>
      </c>
      <c r="AEJ22" s="0" t="s">
        <v>331</v>
      </c>
      <c r="AEK22" s="0" t="n">
        <v>31</v>
      </c>
      <c r="AEL22" s="16" t="n">
        <v>86</v>
      </c>
      <c r="AEM22" s="16" t="n">
        <v>98.89</v>
      </c>
      <c r="AEN22" s="16" t="n">
        <v>20.5</v>
      </c>
      <c r="AEO22" s="0" t="n">
        <v>68.53</v>
      </c>
      <c r="AEP22" s="0" t="n">
        <v>0</v>
      </c>
      <c r="AEQ22" s="0" t="n">
        <v>2.91</v>
      </c>
      <c r="AER22" s="0" t="n">
        <v>0</v>
      </c>
      <c r="AES22" s="0" t="n">
        <v>25.84</v>
      </c>
      <c r="AET22" s="0" t="n">
        <v>0</v>
      </c>
      <c r="AEU22" s="0" t="n">
        <v>2.73</v>
      </c>
      <c r="AEV22" s="0" t="n">
        <v>0</v>
      </c>
      <c r="AEW22" s="0" t="n">
        <v>0</v>
      </c>
      <c r="AEX22" s="0" t="n">
        <v>2.72</v>
      </c>
      <c r="AEY22" s="0" t="n">
        <v>0</v>
      </c>
      <c r="AEZ22" s="0" t="n">
        <v>2.55</v>
      </c>
      <c r="AFA22" s="0" t="n">
        <v>18.97</v>
      </c>
      <c r="AFB22" s="0" t="n">
        <v>8.86</v>
      </c>
      <c r="AFC22" s="0" t="n">
        <v>5.82</v>
      </c>
      <c r="AFD22" s="0" t="n">
        <v>0</v>
      </c>
      <c r="AFE22" s="0" t="n">
        <v>0</v>
      </c>
      <c r="AFF22" s="0" t="n">
        <v>0</v>
      </c>
      <c r="AFS22" s="0" t="n">
        <v>0</v>
      </c>
      <c r="AFT22" s="0" t="n">
        <v>1</v>
      </c>
      <c r="AFU22" s="0" t="n">
        <v>34</v>
      </c>
      <c r="AFV22" s="0" t="n">
        <v>1</v>
      </c>
      <c r="AFW22" s="0" t="n">
        <v>2.91</v>
      </c>
      <c r="AFX22" s="0" t="n">
        <v>1</v>
      </c>
      <c r="AGE22" s="18"/>
      <c r="AGW22" s="0" t="n">
        <v>0</v>
      </c>
      <c r="AIH22" s="16" t="n">
        <v>2.06</v>
      </c>
      <c r="AII22" s="16" t="n">
        <v>1</v>
      </c>
      <c r="AIJ22" s="16" t="n">
        <v>1</v>
      </c>
      <c r="AIK22" s="16"/>
      <c r="AIL22" s="16" t="n">
        <f aca="false">4.05+3.03</f>
        <v>7.08</v>
      </c>
      <c r="AIM22" s="16"/>
      <c r="AIN22" s="16"/>
      <c r="AIO22" s="16"/>
      <c r="AIP22" s="16"/>
      <c r="AIQ22" s="16"/>
      <c r="AIR22" s="16"/>
      <c r="AIS22" s="16" t="n">
        <v>5.19</v>
      </c>
      <c r="AIT22" s="16" t="n">
        <v>6.85</v>
      </c>
      <c r="AIU22" s="16"/>
      <c r="AIV22" s="16"/>
      <c r="AIW22" s="16" t="n">
        <v>3.03</v>
      </c>
      <c r="AIX22" s="16" t="n">
        <v>2.55</v>
      </c>
      <c r="AIY22" s="16" t="n">
        <v>0</v>
      </c>
      <c r="AIZ22" s="0" t="n">
        <v>0</v>
      </c>
      <c r="AJA22" s="0" t="s">
        <v>332</v>
      </c>
      <c r="AJB22" s="0" t="n">
        <v>30</v>
      </c>
      <c r="AJC22" s="16" t="n">
        <v>67.2</v>
      </c>
      <c r="AJD22" s="16" t="n">
        <v>98.89</v>
      </c>
      <c r="AJE22" s="16" t="n">
        <v>7.7</v>
      </c>
      <c r="AJF22" s="0" t="n">
        <v>60.59</v>
      </c>
      <c r="AJG22" s="0" t="n">
        <v>6.96</v>
      </c>
      <c r="AJH22" s="0" t="n">
        <v>0</v>
      </c>
      <c r="AJI22" s="0" t="n">
        <v>0</v>
      </c>
      <c r="AJJ22" s="0" t="n">
        <v>0</v>
      </c>
      <c r="AJK22" s="0" t="n">
        <v>0</v>
      </c>
      <c r="AJL22" s="0" t="n">
        <v>32.45</v>
      </c>
      <c r="AJM22" s="0" t="n">
        <v>0</v>
      </c>
      <c r="AJN22" s="0" t="n">
        <v>0</v>
      </c>
      <c r="AJO22" s="0" t="n">
        <v>4</v>
      </c>
      <c r="AJP22" s="0" t="n">
        <v>0</v>
      </c>
      <c r="AJQ22" s="0" t="n">
        <v>18.75</v>
      </c>
      <c r="AJR22" s="0" t="n">
        <v>47.97</v>
      </c>
      <c r="AJS22" s="0" t="n">
        <v>0</v>
      </c>
      <c r="AJT22" s="0" t="n">
        <v>0</v>
      </c>
      <c r="AJU22" s="0" t="n">
        <v>0</v>
      </c>
      <c r="AJV22" s="0" t="n">
        <v>0</v>
      </c>
      <c r="AJW22" s="0" t="n">
        <v>0</v>
      </c>
      <c r="AKJ22" s="0" t="n">
        <v>8.8</v>
      </c>
      <c r="AKK22" s="0" t="n">
        <v>1</v>
      </c>
      <c r="AKL22" s="0" t="n">
        <v>35</v>
      </c>
      <c r="AKM22" s="0" t="n">
        <v>2</v>
      </c>
      <c r="AKN22" s="0" t="n">
        <v>0.64</v>
      </c>
      <c r="AKO22" s="0" t="n">
        <v>3</v>
      </c>
      <c r="AKV22" s="18"/>
      <c r="ALN22" s="0" t="n">
        <v>1</v>
      </c>
      <c r="ALO22" s="0" t="n">
        <v>60</v>
      </c>
      <c r="ALP22" s="0" t="n">
        <v>1</v>
      </c>
      <c r="ALQ22" s="0" t="n">
        <v>3.64</v>
      </c>
      <c r="ALR22" s="0" t="n">
        <v>3</v>
      </c>
    </row>
    <row r="23" s="24" customFormat="true" ht="13.8" hidden="false" customHeight="false" outlineLevel="0" collapsed="false">
      <c r="A23" s="1" t="s">
        <v>333</v>
      </c>
      <c r="B23" s="12" t="n">
        <v>42899</v>
      </c>
      <c r="C23" s="0" t="n">
        <v>2</v>
      </c>
      <c r="D23" s="13" t="n">
        <v>42793</v>
      </c>
      <c r="E23" s="12" t="n">
        <v>31945</v>
      </c>
      <c r="F23" s="14" t="n">
        <f aca="false">(B23-E23)/365.25</f>
        <v>29.990417522245</v>
      </c>
      <c r="G23" s="14" t="n">
        <f aca="false">(B23-D23)/365.25</f>
        <v>0.290212183436003</v>
      </c>
      <c r="H23" s="15" t="s">
        <v>306</v>
      </c>
      <c r="I23" s="15" t="s">
        <v>307</v>
      </c>
      <c r="J23" s="21" t="s">
        <v>181</v>
      </c>
      <c r="K23" s="21" t="n">
        <v>4</v>
      </c>
      <c r="L23" s="19" t="n">
        <v>90</v>
      </c>
      <c r="M23" s="0" t="n">
        <v>1.73</v>
      </c>
      <c r="N23" s="16" t="n">
        <f aca="false">L23/(M23*M23)</f>
        <v>30.0711684319556</v>
      </c>
      <c r="O23" s="19" t="n">
        <v>0</v>
      </c>
      <c r="P23" s="19" t="n">
        <v>0</v>
      </c>
      <c r="Q23" s="19" t="n">
        <v>0</v>
      </c>
      <c r="R23" s="19" t="n">
        <v>0</v>
      </c>
      <c r="S23" s="19"/>
      <c r="T23" s="19"/>
      <c r="U23" s="19" t="n">
        <v>1</v>
      </c>
      <c r="V23" s="19" t="n">
        <v>6</v>
      </c>
      <c r="W23" s="19" t="n">
        <v>0</v>
      </c>
      <c r="X23" s="19" t="n">
        <v>0</v>
      </c>
      <c r="Y23" s="19" t="n">
        <v>0</v>
      </c>
      <c r="Z23" s="19" t="n">
        <v>0</v>
      </c>
      <c r="AA23" s="19" t="n">
        <v>0</v>
      </c>
      <c r="AB23" s="19" t="n">
        <v>0</v>
      </c>
      <c r="AC23" s="19" t="n">
        <v>0</v>
      </c>
      <c r="AD23" s="19" t="n">
        <v>0</v>
      </c>
      <c r="AE23" s="19" t="n">
        <v>0</v>
      </c>
      <c r="AF23" s="19" t="n">
        <v>0</v>
      </c>
      <c r="AG23" s="19" t="n">
        <v>0</v>
      </c>
      <c r="AH23" s="19" t="n">
        <v>0</v>
      </c>
      <c r="AI23" s="19" t="n">
        <v>0</v>
      </c>
      <c r="AJ23" s="19" t="n">
        <v>0</v>
      </c>
      <c r="AK23" s="19" t="n">
        <v>0</v>
      </c>
      <c r="AL23" s="19" t="n">
        <v>0</v>
      </c>
      <c r="AM23" s="19" t="n">
        <v>0</v>
      </c>
      <c r="AN23" s="19" t="n">
        <v>1</v>
      </c>
      <c r="AO23" s="19" t="n">
        <v>0</v>
      </c>
      <c r="AP23" s="19" t="n">
        <v>0</v>
      </c>
      <c r="AQ23" s="19" t="n">
        <v>0</v>
      </c>
      <c r="AR23" s="19" t="n">
        <v>0</v>
      </c>
      <c r="AS23" s="19" t="n">
        <v>3</v>
      </c>
      <c r="AT23" s="19" t="n">
        <v>0</v>
      </c>
      <c r="AU23" s="19" t="n">
        <v>3</v>
      </c>
      <c r="AV23" s="19" t="n">
        <v>5</v>
      </c>
      <c r="AW23" s="19" t="n">
        <v>5</v>
      </c>
      <c r="AX23" s="19" t="n">
        <v>0</v>
      </c>
      <c r="AY23" s="19" t="n">
        <v>0</v>
      </c>
      <c r="AZ23" s="19" t="n">
        <v>0</v>
      </c>
      <c r="BA23" s="19" t="n">
        <v>0</v>
      </c>
      <c r="BB23" s="19" t="n">
        <v>0</v>
      </c>
      <c r="BC23" s="19" t="n">
        <v>0</v>
      </c>
      <c r="BD23" s="19" t="n">
        <v>0</v>
      </c>
      <c r="BE23" s="19" t="n">
        <v>0</v>
      </c>
      <c r="BF23" s="19" t="n">
        <v>0</v>
      </c>
      <c r="BG23" s="19" t="n">
        <v>0</v>
      </c>
      <c r="BH23" s="19" t="n">
        <v>0</v>
      </c>
      <c r="BI23" s="19" t="n">
        <v>0</v>
      </c>
      <c r="BJ23" s="19" t="n">
        <v>1</v>
      </c>
      <c r="BK23" s="19"/>
      <c r="BL23" s="19"/>
      <c r="BM23" s="19"/>
      <c r="BN23" s="19" t="n">
        <v>0</v>
      </c>
      <c r="BO23" s="19" t="n">
        <v>0</v>
      </c>
      <c r="BP23" s="19" t="n">
        <v>0</v>
      </c>
      <c r="BQ23" s="19" t="n">
        <v>0</v>
      </c>
      <c r="BR23" s="19" t="n">
        <v>1</v>
      </c>
      <c r="BS23" s="19" t="n">
        <v>2</v>
      </c>
      <c r="BT23" s="19" t="n">
        <v>1</v>
      </c>
      <c r="BU23" s="19" t="n">
        <v>2</v>
      </c>
      <c r="BV23" s="19" t="n">
        <v>2</v>
      </c>
      <c r="BW23" s="19" t="n">
        <v>1</v>
      </c>
      <c r="BX23" s="19" t="n">
        <v>1</v>
      </c>
      <c r="BY23" s="19" t="n">
        <v>2</v>
      </c>
      <c r="BZ23" s="19" t="n">
        <v>3</v>
      </c>
      <c r="CA23" s="19" t="n">
        <v>5</v>
      </c>
      <c r="CB23" s="19" t="n">
        <v>5</v>
      </c>
      <c r="CC23" s="19" t="n">
        <v>5</v>
      </c>
      <c r="CD23" s="19" t="n">
        <v>5</v>
      </c>
      <c r="CE23" s="19" t="n">
        <v>5</v>
      </c>
      <c r="CF23" s="19" t="n">
        <v>2</v>
      </c>
      <c r="CG23" s="19" t="n">
        <v>4</v>
      </c>
      <c r="CH23" s="19" t="n">
        <v>2</v>
      </c>
      <c r="CI23" s="19" t="n">
        <v>5</v>
      </c>
      <c r="CJ23" s="19" t="n">
        <v>4</v>
      </c>
      <c r="CK23" s="19" t="n">
        <v>10</v>
      </c>
      <c r="CL23" s="24" t="s">
        <v>309</v>
      </c>
      <c r="CM23" s="24" t="n">
        <v>31</v>
      </c>
      <c r="CN23" s="27" t="n">
        <v>39.2</v>
      </c>
      <c r="CO23" s="27" t="n">
        <v>83.4</v>
      </c>
      <c r="CP23" s="27" t="n">
        <v>17.2</v>
      </c>
      <c r="CQ23" s="24" t="n">
        <v>85.69</v>
      </c>
      <c r="CR23" s="24" t="n">
        <v>0</v>
      </c>
      <c r="CS23" s="24" t="n">
        <v>0.39</v>
      </c>
      <c r="CT23" s="24" t="n">
        <v>0</v>
      </c>
      <c r="CU23" s="24" t="n">
        <v>13.37</v>
      </c>
      <c r="CV23" s="24" t="n">
        <v>0</v>
      </c>
      <c r="CW23" s="24" t="n">
        <v>0</v>
      </c>
      <c r="CX23" s="24" t="n">
        <v>0</v>
      </c>
      <c r="CY23" s="24" t="n">
        <v>0</v>
      </c>
      <c r="CZ23" s="24" t="n">
        <v>0</v>
      </c>
      <c r="DA23" s="24" t="n">
        <v>0</v>
      </c>
      <c r="DB23" s="24" t="n">
        <v>12.36</v>
      </c>
      <c r="DC23" s="24" t="n">
        <v>18.21</v>
      </c>
      <c r="DD23" s="24" t="n">
        <v>12.25</v>
      </c>
      <c r="DE23" s="24" t="n">
        <v>3.27</v>
      </c>
      <c r="DF23" s="24" t="n">
        <v>5.02</v>
      </c>
      <c r="DG23" s="24" t="n">
        <v>4.8</v>
      </c>
      <c r="DH23" s="24" t="n">
        <v>1</v>
      </c>
      <c r="DI23" s="24" t="n">
        <v>5</v>
      </c>
      <c r="DK23" s="24" t="n">
        <v>2</v>
      </c>
      <c r="DL23" s="24" t="n">
        <v>3</v>
      </c>
      <c r="DN23" s="24" t="n">
        <v>1</v>
      </c>
      <c r="DU23" s="24" t="n">
        <v>2.4</v>
      </c>
      <c r="DV23" s="24" t="n">
        <v>1</v>
      </c>
      <c r="DW23" s="24" t="n">
        <v>35</v>
      </c>
      <c r="DX23" s="24" t="n">
        <v>8</v>
      </c>
      <c r="DY23" s="24" t="n">
        <f aca="false">0.13*4</f>
        <v>0.52</v>
      </c>
      <c r="DZ23" s="24" t="n">
        <v>3</v>
      </c>
      <c r="EA23" s="24" t="n">
        <v>23</v>
      </c>
      <c r="EB23" s="24" t="n">
        <v>2</v>
      </c>
      <c r="EC23" s="24" t="n">
        <v>0.12</v>
      </c>
      <c r="ED23" s="24" t="n">
        <v>3</v>
      </c>
      <c r="EG23" s="28"/>
      <c r="EY23" s="24" t="n">
        <v>1</v>
      </c>
      <c r="EZ23" s="24" t="n">
        <v>50</v>
      </c>
      <c r="FA23" s="24" t="n">
        <v>5</v>
      </c>
      <c r="FB23" s="24" t="n">
        <v>0.32</v>
      </c>
      <c r="FC23" s="24" t="n">
        <v>3</v>
      </c>
      <c r="GJ23" s="27" t="n">
        <v>0.43</v>
      </c>
      <c r="GK23" s="27" t="n">
        <v>1</v>
      </c>
      <c r="GL23" s="27" t="n">
        <v>1</v>
      </c>
      <c r="GM23" s="27"/>
      <c r="GN23" s="27" t="n">
        <f aca="false">0.11+0.06+0.26*2</f>
        <v>0.69</v>
      </c>
      <c r="GO23" s="27" t="n">
        <v>2</v>
      </c>
      <c r="GP23" s="27"/>
      <c r="GQ23" s="27" t="n">
        <f aca="false">3.35*2+0.35*2</f>
        <v>7.4</v>
      </c>
      <c r="GR23" s="27"/>
      <c r="GS23" s="27"/>
      <c r="GT23" s="27"/>
      <c r="GU23" s="27" t="n">
        <v>1.74</v>
      </c>
      <c r="GV23" s="27" t="n">
        <v>1.32</v>
      </c>
      <c r="GW23" s="27"/>
      <c r="GX23" s="27"/>
      <c r="GY23" s="27" t="n">
        <v>4.32</v>
      </c>
      <c r="GZ23" s="27" t="n">
        <v>1.2</v>
      </c>
      <c r="HA23" s="27" t="n">
        <v>0.11</v>
      </c>
      <c r="HB23" s="24" t="n">
        <v>2</v>
      </c>
      <c r="HC23" s="24" t="s">
        <v>310</v>
      </c>
      <c r="HD23" s="24" t="n">
        <v>22.5</v>
      </c>
      <c r="HE23" s="27" t="n">
        <v>20.9</v>
      </c>
      <c r="HF23" s="27" t="n">
        <v>83.4</v>
      </c>
      <c r="HG23" s="27" t="n">
        <v>11</v>
      </c>
      <c r="HH23" s="24" t="n">
        <v>91.28</v>
      </c>
      <c r="HI23" s="24" t="n">
        <v>0</v>
      </c>
      <c r="HJ23" s="24" t="n">
        <v>0</v>
      </c>
      <c r="HK23" s="24" t="n">
        <v>0</v>
      </c>
      <c r="HL23" s="24" t="n">
        <v>4.15</v>
      </c>
      <c r="HM23" s="24" t="n">
        <v>0</v>
      </c>
      <c r="HN23" s="24" t="n">
        <v>0</v>
      </c>
      <c r="HO23" s="24" t="n">
        <v>0</v>
      </c>
      <c r="HP23" s="24" t="n">
        <v>0</v>
      </c>
      <c r="HQ23" s="24" t="n">
        <v>0</v>
      </c>
      <c r="HR23" s="24" t="n">
        <v>0</v>
      </c>
      <c r="HS23" s="24" t="n">
        <v>0.71</v>
      </c>
      <c r="HT23" s="24" t="n">
        <v>7.61</v>
      </c>
      <c r="HU23" s="24" t="n">
        <v>5.28</v>
      </c>
      <c r="HV23" s="24" t="n">
        <v>2.47</v>
      </c>
      <c r="HW23" s="24" t="n">
        <v>4.05</v>
      </c>
      <c r="HX23" s="24" t="n">
        <v>6.1</v>
      </c>
      <c r="HY23" s="24" t="n">
        <v>1</v>
      </c>
      <c r="HZ23" s="24" t="n">
        <v>5</v>
      </c>
      <c r="IB23" s="24" t="n">
        <v>1</v>
      </c>
      <c r="IC23" s="24" t="n">
        <v>3</v>
      </c>
      <c r="IE23" s="24" t="n">
        <v>2</v>
      </c>
      <c r="IL23" s="24" t="n">
        <v>4.7</v>
      </c>
      <c r="IM23" s="24" t="n">
        <v>1</v>
      </c>
      <c r="IN23" s="24" t="n">
        <v>35</v>
      </c>
      <c r="IO23" s="24" t="n">
        <v>8</v>
      </c>
      <c r="IP23" s="24" t="n">
        <f aca="false">0.19+0.32</f>
        <v>0.51</v>
      </c>
      <c r="IQ23" s="24" t="n">
        <v>3</v>
      </c>
      <c r="IX23" s="28"/>
      <c r="JP23" s="24" t="n">
        <v>1</v>
      </c>
      <c r="JQ23" s="24" t="n">
        <v>80</v>
      </c>
      <c r="JR23" s="24" t="n">
        <v>4</v>
      </c>
      <c r="JS23" s="24" t="n">
        <v>1.28</v>
      </c>
      <c r="JT23" s="24" t="n">
        <v>3</v>
      </c>
      <c r="JU23" s="24" t="n">
        <v>60</v>
      </c>
      <c r="JV23" s="24" t="n">
        <v>3</v>
      </c>
      <c r="JW23" s="24" t="n">
        <v>0.29</v>
      </c>
      <c r="JX23" s="24" t="n">
        <v>3</v>
      </c>
      <c r="JY23" s="24" t="n">
        <v>70</v>
      </c>
      <c r="JZ23" s="24" t="n">
        <v>4</v>
      </c>
      <c r="KA23" s="24" t="n">
        <v>0.58</v>
      </c>
      <c r="KB23" s="24" t="n">
        <v>3</v>
      </c>
      <c r="LA23" s="27" t="n">
        <v>0.49</v>
      </c>
      <c r="LB23" s="27" t="n">
        <v>1</v>
      </c>
      <c r="LC23" s="27" t="n">
        <v>2</v>
      </c>
      <c r="LD23" s="27"/>
      <c r="LE23" s="27" t="n">
        <f aca="false">0.27*3</f>
        <v>0.81</v>
      </c>
      <c r="LF23" s="27"/>
      <c r="LG23" s="27"/>
      <c r="LH23" s="27"/>
      <c r="LI23" s="27"/>
      <c r="LJ23" s="27"/>
      <c r="LK23" s="27"/>
      <c r="LL23" s="27" t="n">
        <v>0</v>
      </c>
      <c r="LM23" s="27"/>
      <c r="LN23" s="27"/>
      <c r="LO23" s="27"/>
      <c r="LP23" s="27" t="n">
        <v>0</v>
      </c>
      <c r="LQ23" s="27" t="n">
        <v>0</v>
      </c>
      <c r="LR23" s="27" t="n">
        <v>0</v>
      </c>
      <c r="LS23" s="24" t="n">
        <v>0</v>
      </c>
      <c r="LT23" s="24" t="s">
        <v>311</v>
      </c>
      <c r="LU23" s="24" t="n">
        <v>52</v>
      </c>
      <c r="LV23" s="27" t="n">
        <v>87.1</v>
      </c>
      <c r="LW23" s="27" t="n">
        <v>83.4</v>
      </c>
      <c r="LX23" s="27" t="n">
        <v>31.9</v>
      </c>
      <c r="LY23" s="24" t="n">
        <v>55.25</v>
      </c>
      <c r="LZ23" s="24" t="n">
        <v>0</v>
      </c>
      <c r="MA23" s="24" t="n">
        <v>0</v>
      </c>
      <c r="MB23" s="24" t="n">
        <v>0</v>
      </c>
      <c r="MC23" s="24" t="n">
        <v>36.01</v>
      </c>
      <c r="MD23" s="24" t="n">
        <v>0</v>
      </c>
      <c r="ME23" s="24" t="n">
        <v>0</v>
      </c>
      <c r="MF23" s="24" t="n">
        <v>0</v>
      </c>
      <c r="MG23" s="24" t="n">
        <v>0</v>
      </c>
      <c r="MH23" s="24" t="n">
        <v>0</v>
      </c>
      <c r="MI23" s="24" t="n">
        <v>0</v>
      </c>
      <c r="MJ23" s="24" t="n">
        <v>1.03</v>
      </c>
      <c r="MK23" s="24" t="n">
        <v>22.5</v>
      </c>
      <c r="ML23" s="24" t="n">
        <v>29.21</v>
      </c>
      <c r="MM23" s="24" t="n">
        <v>12.38</v>
      </c>
      <c r="MN23" s="24" t="n">
        <v>8.73</v>
      </c>
      <c r="MO23" s="24" t="n">
        <v>5.3</v>
      </c>
      <c r="MP23" s="24" t="n">
        <v>1</v>
      </c>
      <c r="MQ23" s="24" t="n">
        <v>5</v>
      </c>
      <c r="MS23" s="24" t="n">
        <v>1</v>
      </c>
      <c r="NC23" s="24" t="n">
        <v>7.1</v>
      </c>
      <c r="ND23" s="24" t="n">
        <v>1</v>
      </c>
      <c r="NE23" s="24" t="n">
        <v>35</v>
      </c>
      <c r="NF23" s="24" t="n">
        <v>8</v>
      </c>
      <c r="NG23" s="24" t="n">
        <f aca="false">0.19+0.32</f>
        <v>0.51</v>
      </c>
      <c r="NH23" s="24" t="n">
        <v>3</v>
      </c>
      <c r="NO23" s="28"/>
      <c r="OG23" s="24" t="n">
        <v>1</v>
      </c>
      <c r="OH23" s="24" t="n">
        <v>50</v>
      </c>
      <c r="OI23" s="24" t="n">
        <v>7</v>
      </c>
      <c r="OJ23" s="24" t="n">
        <f aca="false">0.92+0.73+0.32</f>
        <v>1.97</v>
      </c>
      <c r="OK23" s="24" t="n">
        <v>3</v>
      </c>
      <c r="OL23" s="24" t="n">
        <v>70</v>
      </c>
      <c r="OM23" s="24" t="n">
        <v>11</v>
      </c>
      <c r="ON23" s="24" t="n">
        <f aca="false">0.73+0.65</f>
        <v>1.38</v>
      </c>
      <c r="OO23" s="24" t="n">
        <v>3</v>
      </c>
      <c r="OP23" s="24" t="n">
        <v>50</v>
      </c>
      <c r="OQ23" s="24" t="n">
        <v>1</v>
      </c>
      <c r="OR23" s="24" t="n">
        <v>0.37</v>
      </c>
      <c r="OS23" s="24" t="n">
        <v>4</v>
      </c>
      <c r="OT23" s="24" t="n">
        <v>50</v>
      </c>
      <c r="OU23" s="24" t="n">
        <v>1</v>
      </c>
      <c r="OV23" s="24" t="n">
        <v>0.37</v>
      </c>
      <c r="OW23" s="24" t="n">
        <v>6</v>
      </c>
      <c r="OX23" s="24" t="n">
        <v>60</v>
      </c>
      <c r="OY23" s="24" t="n">
        <v>12</v>
      </c>
      <c r="OZ23" s="24" t="n">
        <f aca="false">0.65+0.13</f>
        <v>0.78</v>
      </c>
      <c r="PA23" s="24" t="n">
        <v>3</v>
      </c>
      <c r="PB23" s="24" t="n">
        <v>60</v>
      </c>
      <c r="PC23" s="24" t="n">
        <v>4</v>
      </c>
      <c r="PD23" s="24" t="n">
        <v>0.26</v>
      </c>
      <c r="PE23" s="24" t="n">
        <v>1</v>
      </c>
      <c r="PF23" s="24" t="n">
        <v>70</v>
      </c>
      <c r="PG23" s="24" t="n">
        <v>4</v>
      </c>
      <c r="PH23" s="24" t="n">
        <v>0.39</v>
      </c>
      <c r="PI23" s="24" t="n">
        <v>1</v>
      </c>
      <c r="PJ23" s="24" t="n">
        <v>60</v>
      </c>
      <c r="PK23" s="24" t="n">
        <v>2</v>
      </c>
      <c r="PL23" s="24" t="n">
        <v>0.13</v>
      </c>
      <c r="PM23" s="24" t="n">
        <v>6</v>
      </c>
      <c r="PN23" s="24" t="n">
        <v>50</v>
      </c>
      <c r="PO23" s="24" t="n">
        <v>1</v>
      </c>
      <c r="PP23" s="24" t="n">
        <v>0.83</v>
      </c>
      <c r="PQ23" s="24" t="n">
        <v>6</v>
      </c>
      <c r="PR23" s="27" t="n">
        <v>5.11</v>
      </c>
      <c r="PS23" s="27" t="n">
        <v>1</v>
      </c>
      <c r="PT23" s="27" t="n">
        <v>1</v>
      </c>
      <c r="PU23" s="27"/>
      <c r="PV23" s="27" t="n">
        <f aca="false">0.18*2</f>
        <v>0.36</v>
      </c>
      <c r="PW23" s="27" t="n">
        <v>2</v>
      </c>
      <c r="PX23" s="27"/>
      <c r="PY23" s="27" t="n">
        <f aca="false">0.75+1.53+2.04+1</f>
        <v>5.32</v>
      </c>
      <c r="PZ23" s="27"/>
      <c r="QA23" s="27"/>
      <c r="QB23" s="27"/>
      <c r="QC23" s="27" t="n">
        <v>2.17</v>
      </c>
      <c r="QD23" s="27" t="n">
        <v>2.18</v>
      </c>
      <c r="QE23" s="27"/>
      <c r="QF23" s="27"/>
      <c r="QG23" s="27" t="n">
        <v>0</v>
      </c>
      <c r="QH23" s="27" t="n">
        <v>0</v>
      </c>
      <c r="QI23" s="27" t="n">
        <v>0</v>
      </c>
      <c r="QJ23" s="24" t="n">
        <v>0</v>
      </c>
      <c r="QK23" s="24" t="s">
        <v>312</v>
      </c>
      <c r="QL23" s="24" t="n">
        <v>40</v>
      </c>
      <c r="QM23" s="27" t="n">
        <v>90.5</v>
      </c>
      <c r="QN23" s="27" t="n">
        <v>83.4</v>
      </c>
      <c r="QO23" s="27" t="n">
        <v>24.1</v>
      </c>
      <c r="QP23" s="24" t="n">
        <v>65.22</v>
      </c>
      <c r="QQ23" s="24" t="n">
        <v>0</v>
      </c>
      <c r="QR23" s="24" t="n">
        <v>0</v>
      </c>
      <c r="QS23" s="24" t="n">
        <v>0</v>
      </c>
      <c r="QT23" s="24" t="n">
        <v>27.95</v>
      </c>
      <c r="QU23" s="24" t="n">
        <v>0</v>
      </c>
      <c r="QV23" s="24" t="n">
        <v>0</v>
      </c>
      <c r="QW23" s="24" t="n">
        <v>0</v>
      </c>
      <c r="QX23" s="24" t="n">
        <v>0</v>
      </c>
      <c r="QY23" s="24" t="n">
        <v>0</v>
      </c>
      <c r="QZ23" s="24" t="n">
        <v>0</v>
      </c>
      <c r="RA23" s="24" t="n">
        <v>0.5</v>
      </c>
      <c r="RB23" s="24" t="n">
        <v>25.43</v>
      </c>
      <c r="RC23" s="24" t="n">
        <v>28.69</v>
      </c>
      <c r="RD23" s="24" t="n">
        <v>8.32</v>
      </c>
      <c r="RE23" s="24" t="n">
        <v>6.81</v>
      </c>
      <c r="RF23" s="24" t="n">
        <v>5.3</v>
      </c>
      <c r="RG23" s="24" t="n">
        <v>1</v>
      </c>
      <c r="RH23" s="24" t="n">
        <v>5</v>
      </c>
      <c r="RJ23" s="24" t="n">
        <v>1</v>
      </c>
      <c r="RT23" s="24" t="n">
        <v>3.5</v>
      </c>
      <c r="RU23" s="24" t="n">
        <v>0</v>
      </c>
      <c r="SF23" s="28"/>
      <c r="SX23" s="24" t="n">
        <v>1</v>
      </c>
      <c r="SY23" s="24" t="n">
        <v>50</v>
      </c>
      <c r="SZ23" s="24" t="n">
        <v>9</v>
      </c>
      <c r="TA23" s="24" t="n">
        <f aca="false">0.9+0.72+0.92+0.73+0.32</f>
        <v>3.59</v>
      </c>
      <c r="TB23" s="24" t="n">
        <v>3</v>
      </c>
      <c r="TC23" s="24" t="n">
        <v>70</v>
      </c>
      <c r="TD23" s="24" t="n">
        <v>12</v>
      </c>
      <c r="TE23" s="24" t="n">
        <f aca="false">0.72+0.73+0.65</f>
        <v>2.1</v>
      </c>
      <c r="TF23" s="24" t="n">
        <v>3</v>
      </c>
      <c r="TG23" s="24" t="n">
        <v>60</v>
      </c>
      <c r="TH23" s="24" t="n">
        <v>2</v>
      </c>
      <c r="TI23" s="24" t="n">
        <v>0.13</v>
      </c>
      <c r="TJ23" s="24" t="n">
        <v>3</v>
      </c>
      <c r="TK23" s="24" t="n">
        <v>50</v>
      </c>
      <c r="TL23" s="24" t="n">
        <v>1</v>
      </c>
      <c r="TM23" s="24" t="n">
        <v>0.83</v>
      </c>
      <c r="TN23" s="24" t="n">
        <v>6</v>
      </c>
      <c r="TO23" s="24" t="n">
        <v>60</v>
      </c>
      <c r="TP23" s="24" t="n">
        <v>1</v>
      </c>
      <c r="TQ23" s="24" t="n">
        <v>0.13</v>
      </c>
      <c r="TR23" s="24" t="n">
        <v>6</v>
      </c>
      <c r="TS23" s="24" t="n">
        <v>70</v>
      </c>
      <c r="TT23" s="24" t="n">
        <v>1</v>
      </c>
      <c r="TU23" s="24" t="n">
        <v>0.39</v>
      </c>
      <c r="TV23" s="24" t="n">
        <v>1</v>
      </c>
      <c r="TW23" s="24" t="n">
        <v>50</v>
      </c>
      <c r="TX23" s="24" t="n">
        <v>2</v>
      </c>
      <c r="TY23" s="24" t="n">
        <f aca="false">0.36+0.37</f>
        <v>0.73</v>
      </c>
      <c r="TZ23" s="24" t="n">
        <v>4</v>
      </c>
      <c r="UI23" s="27" t="n">
        <v>3.9</v>
      </c>
      <c r="UJ23" s="27" t="n">
        <v>1</v>
      </c>
      <c r="UK23" s="27" t="n">
        <v>1</v>
      </c>
      <c r="UL23" s="27"/>
      <c r="UM23" s="27" t="n">
        <f aca="false">1.53+0.75+0.18*2</f>
        <v>2.64</v>
      </c>
      <c r="UN23" s="27" t="n">
        <v>2</v>
      </c>
      <c r="UO23" s="27"/>
      <c r="UP23" s="27" t="n">
        <f aca="false">3.06+1.5</f>
        <v>4.56</v>
      </c>
      <c r="UQ23" s="27"/>
      <c r="UR23" s="27"/>
      <c r="US23" s="27"/>
      <c r="UT23" s="27" t="n">
        <v>3</v>
      </c>
      <c r="UU23" s="27" t="n">
        <v>2.19</v>
      </c>
      <c r="UV23" s="27"/>
      <c r="UW23" s="27"/>
      <c r="UX23" s="27" t="n">
        <v>0</v>
      </c>
      <c r="UY23" s="27" t="n">
        <v>0</v>
      </c>
      <c r="UZ23" s="27" t="n">
        <v>0</v>
      </c>
      <c r="VA23" s="24" t="n">
        <v>0</v>
      </c>
      <c r="VB23" s="24" t="s">
        <v>313</v>
      </c>
      <c r="VC23" s="24" t="n">
        <v>39</v>
      </c>
      <c r="VD23" s="27" t="n">
        <v>80.9</v>
      </c>
      <c r="VE23" s="27" t="n">
        <v>83.4</v>
      </c>
      <c r="VF23" s="27" t="n">
        <v>19.3</v>
      </c>
      <c r="VG23" s="24" t="n">
        <v>75.96</v>
      </c>
      <c r="VH23" s="24" t="n">
        <v>0</v>
      </c>
      <c r="VI23" s="24" t="n">
        <v>3.12</v>
      </c>
      <c r="VJ23" s="24" t="n">
        <v>0</v>
      </c>
      <c r="VK23" s="24" t="n">
        <v>20.93</v>
      </c>
      <c r="VL23" s="24" t="n">
        <v>0</v>
      </c>
      <c r="VM23" s="24" t="n">
        <v>0</v>
      </c>
      <c r="VN23" s="24" t="n">
        <v>0</v>
      </c>
      <c r="VO23" s="24" t="n">
        <v>0</v>
      </c>
      <c r="VP23" s="24" t="n">
        <v>0</v>
      </c>
      <c r="VQ23" s="24" t="n">
        <v>0</v>
      </c>
      <c r="VR23" s="24" t="n">
        <v>5.32</v>
      </c>
      <c r="VS23" s="24" t="n">
        <v>30.75</v>
      </c>
      <c r="VT23" s="24" t="n">
        <v>28.21</v>
      </c>
      <c r="VU23" s="24" t="n">
        <v>4.22</v>
      </c>
      <c r="VV23" s="24" t="n">
        <v>0</v>
      </c>
      <c r="VW23" s="24" t="n">
        <v>0</v>
      </c>
      <c r="VX23" s="24" t="n">
        <v>0</v>
      </c>
      <c r="WK23" s="24" t="n">
        <v>15.8</v>
      </c>
      <c r="WL23" s="24" t="n">
        <v>1</v>
      </c>
      <c r="WM23" s="24" t="n">
        <v>35</v>
      </c>
      <c r="WN23" s="24" t="n">
        <v>4</v>
      </c>
      <c r="WO23" s="24" t="n">
        <f aca="false">0.73*4</f>
        <v>2.92</v>
      </c>
      <c r="WP23" s="24" t="n">
        <v>3</v>
      </c>
      <c r="WQ23" s="24" t="n">
        <v>23</v>
      </c>
      <c r="WR23" s="24" t="n">
        <v>1</v>
      </c>
      <c r="WS23" s="24" t="n">
        <v>0.06</v>
      </c>
      <c r="WT23" s="24" t="n">
        <v>3</v>
      </c>
      <c r="WW23" s="28"/>
      <c r="XO23" s="24" t="n">
        <v>1</v>
      </c>
      <c r="XP23" s="24" t="n">
        <v>60</v>
      </c>
      <c r="XQ23" s="24" t="n">
        <v>1</v>
      </c>
      <c r="XR23" s="24" t="n">
        <v>0.73</v>
      </c>
      <c r="XS23" s="24" t="n">
        <v>3</v>
      </c>
      <c r="XT23" s="24" t="n">
        <v>50</v>
      </c>
      <c r="XU23" s="24" t="n">
        <v>1</v>
      </c>
      <c r="XV23" s="24" t="n">
        <v>0.73</v>
      </c>
      <c r="XW23" s="24" t="n">
        <v>1</v>
      </c>
      <c r="XX23" s="24" t="n">
        <v>40</v>
      </c>
      <c r="XY23" s="24" t="n">
        <v>1</v>
      </c>
      <c r="XZ23" s="24" t="n">
        <v>0.73</v>
      </c>
      <c r="YA23" s="24" t="n">
        <v>6</v>
      </c>
      <c r="YB23" s="24" t="n">
        <v>50</v>
      </c>
      <c r="YC23" s="24" t="n">
        <v>1</v>
      </c>
      <c r="YD23" s="24" t="n">
        <v>0.19</v>
      </c>
      <c r="YE23" s="24" t="n">
        <v>3</v>
      </c>
      <c r="YF23" s="24" t="n">
        <v>70</v>
      </c>
      <c r="YG23" s="24" t="n">
        <v>3</v>
      </c>
      <c r="YH23" s="24" t="n">
        <v>0.58</v>
      </c>
      <c r="YI23" s="24" t="n">
        <v>3</v>
      </c>
      <c r="YJ23" s="24" t="n">
        <v>50</v>
      </c>
      <c r="YK23" s="24" t="n">
        <v>1</v>
      </c>
      <c r="YL23" s="24" t="n">
        <v>0.29</v>
      </c>
      <c r="YM23" s="24" t="n">
        <v>6</v>
      </c>
      <c r="YZ23" s="27" t="n">
        <v>0</v>
      </c>
      <c r="ZA23" s="27" t="n">
        <v>0</v>
      </c>
      <c r="ZB23" s="27"/>
      <c r="ZC23" s="27"/>
      <c r="ZD23" s="27"/>
      <c r="ZE23" s="27"/>
      <c r="ZF23" s="27"/>
      <c r="ZG23" s="27"/>
      <c r="ZH23" s="27"/>
      <c r="ZI23" s="27"/>
      <c r="ZJ23" s="27"/>
      <c r="ZK23" s="27" t="n">
        <v>0.26</v>
      </c>
      <c r="ZL23" s="27" t="n">
        <v>0.26</v>
      </c>
      <c r="ZM23" s="27"/>
      <c r="ZN23" s="27"/>
      <c r="ZO23" s="27" t="n">
        <v>3.6</v>
      </c>
      <c r="ZP23" s="27" t="n">
        <v>0.88</v>
      </c>
      <c r="ZQ23" s="27" t="n">
        <v>0</v>
      </c>
      <c r="ZR23" s="24" t="n">
        <v>0</v>
      </c>
      <c r="ZS23" s="24" t="s">
        <v>314</v>
      </c>
      <c r="ZT23" s="24" t="n">
        <v>36</v>
      </c>
      <c r="ZU23" s="27" t="n">
        <v>71.4</v>
      </c>
      <c r="ZV23" s="27" t="n">
        <v>83.4</v>
      </c>
      <c r="ZW23" s="27" t="n">
        <v>17.2</v>
      </c>
      <c r="ZX23" s="24" t="n">
        <v>79.88</v>
      </c>
      <c r="ZY23" s="24" t="n">
        <v>0</v>
      </c>
      <c r="ZZ23" s="24" t="n">
        <v>3.12</v>
      </c>
      <c r="AAA23" s="24" t="n">
        <v>0</v>
      </c>
      <c r="AAB23" s="24" t="n">
        <v>17</v>
      </c>
      <c r="AAC23" s="24" t="n">
        <v>0</v>
      </c>
      <c r="AAD23" s="24" t="n">
        <v>0</v>
      </c>
      <c r="AAE23" s="24" t="n">
        <v>0</v>
      </c>
      <c r="AAF23" s="24" t="n">
        <v>0</v>
      </c>
      <c r="AAG23" s="24" t="n">
        <v>0</v>
      </c>
      <c r="AAH23" s="24" t="n">
        <v>0</v>
      </c>
      <c r="AAI23" s="24" t="n">
        <v>5.32</v>
      </c>
      <c r="AAJ23" s="24" t="n">
        <v>31.86</v>
      </c>
      <c r="AAK23" s="24" t="n">
        <v>24.1</v>
      </c>
      <c r="AAL23" s="24" t="n">
        <v>2.02</v>
      </c>
      <c r="AAM23" s="24" t="n">
        <v>0</v>
      </c>
      <c r="AAN23" s="24" t="n">
        <v>0</v>
      </c>
      <c r="AAO23" s="24" t="n">
        <v>0</v>
      </c>
      <c r="ABB23" s="24" t="n">
        <v>15.1</v>
      </c>
      <c r="ABC23" s="24" t="n">
        <v>1</v>
      </c>
      <c r="ABD23" s="24" t="n">
        <v>35</v>
      </c>
      <c r="ABE23" s="24" t="n">
        <v>4</v>
      </c>
      <c r="ABF23" s="24" t="n">
        <f aca="false">0.73*4</f>
        <v>2.92</v>
      </c>
      <c r="ABG23" s="24" t="n">
        <v>3</v>
      </c>
      <c r="ABN23" s="28"/>
      <c r="ACF23" s="24" t="n">
        <v>1</v>
      </c>
      <c r="ACG23" s="24" t="n">
        <v>50</v>
      </c>
      <c r="ACH23" s="24" t="n">
        <v>2</v>
      </c>
      <c r="ACI23" s="24" t="n">
        <f aca="false">0.73+0.19</f>
        <v>0.92</v>
      </c>
      <c r="ACJ23" s="24" t="n">
        <v>3</v>
      </c>
      <c r="ACK23" s="24" t="n">
        <v>50</v>
      </c>
      <c r="ACL23" s="24" t="n">
        <v>1</v>
      </c>
      <c r="ACM23" s="24" t="n">
        <v>0.73</v>
      </c>
      <c r="ACN23" s="24" t="n">
        <v>1</v>
      </c>
      <c r="ACO23" s="24" t="n">
        <v>70</v>
      </c>
      <c r="ACP23" s="24" t="n">
        <v>3</v>
      </c>
      <c r="ACQ23" s="24" t="n">
        <v>0.58</v>
      </c>
      <c r="ACR23" s="24" t="n">
        <v>3</v>
      </c>
      <c r="ACS23" s="24" t="n">
        <v>40</v>
      </c>
      <c r="ACT23" s="24" t="n">
        <v>1</v>
      </c>
      <c r="ACU23" s="24" t="n">
        <v>1.65</v>
      </c>
      <c r="ACV23" s="24" t="n">
        <v>6</v>
      </c>
      <c r="ADQ23" s="27" t="n">
        <v>0</v>
      </c>
      <c r="ADR23" s="27" t="n">
        <v>0</v>
      </c>
      <c r="ADS23" s="27"/>
      <c r="ADT23" s="27"/>
      <c r="ADU23" s="27"/>
      <c r="ADV23" s="27"/>
      <c r="ADW23" s="27"/>
      <c r="ADX23" s="27"/>
      <c r="ADY23" s="27"/>
      <c r="ADZ23" s="27"/>
      <c r="AEA23" s="27"/>
      <c r="AEB23" s="27" t="n">
        <v>0</v>
      </c>
      <c r="AEC23" s="27" t="n">
        <v>0</v>
      </c>
      <c r="AED23" s="27"/>
      <c r="AEE23" s="27"/>
      <c r="AEF23" s="27" t="n">
        <v>3.6</v>
      </c>
      <c r="AEG23" s="27" t="n">
        <v>0.88</v>
      </c>
      <c r="AEH23" s="27" t="n">
        <v>0</v>
      </c>
      <c r="AEI23" s="24" t="n">
        <v>0</v>
      </c>
      <c r="AEJ23" s="24" t="s">
        <v>315</v>
      </c>
      <c r="AEK23" s="24" t="n">
        <v>38.5</v>
      </c>
      <c r="AEL23" s="27" t="n">
        <v>90.6</v>
      </c>
      <c r="AEM23" s="27" t="n">
        <v>83.4</v>
      </c>
      <c r="AEN23" s="27" t="n">
        <v>29.4</v>
      </c>
      <c r="AEO23" s="24" t="n">
        <v>59.08</v>
      </c>
      <c r="AEP23" s="24" t="n">
        <v>0</v>
      </c>
      <c r="AEQ23" s="24" t="n">
        <v>0</v>
      </c>
      <c r="AER23" s="24" t="n">
        <v>0</v>
      </c>
      <c r="AES23" s="24" t="n">
        <v>40.92</v>
      </c>
      <c r="AET23" s="24" t="n">
        <v>0</v>
      </c>
      <c r="AEU23" s="24" t="n">
        <v>0</v>
      </c>
      <c r="AEV23" s="24" t="n">
        <v>0</v>
      </c>
      <c r="AEW23" s="24" t="n">
        <v>0</v>
      </c>
      <c r="AEX23" s="24" t="n">
        <v>0</v>
      </c>
      <c r="AEY23" s="24" t="n">
        <v>0</v>
      </c>
      <c r="AEZ23" s="24" t="n">
        <v>3.67</v>
      </c>
      <c r="AFA23" s="24" t="n">
        <v>24.93</v>
      </c>
      <c r="AFB23" s="24" t="n">
        <v>39.44</v>
      </c>
      <c r="AFC23" s="24" t="n">
        <v>8.51</v>
      </c>
      <c r="AFD23" s="24" t="n">
        <v>0</v>
      </c>
      <c r="AFE23" s="24" t="n">
        <v>0</v>
      </c>
      <c r="AFF23" s="24" t="n">
        <v>0</v>
      </c>
      <c r="AFS23" s="24" t="n">
        <v>3.7</v>
      </c>
      <c r="AFT23" s="24" t="n">
        <v>1</v>
      </c>
      <c r="AFU23" s="24" t="n">
        <v>34</v>
      </c>
      <c r="AFV23" s="24" t="n">
        <v>2</v>
      </c>
      <c r="AFW23" s="24" t="n">
        <f aca="false">4.05</f>
        <v>4.05</v>
      </c>
      <c r="AFX23" s="24" t="n">
        <v>1</v>
      </c>
      <c r="AGE23" s="28"/>
      <c r="AGW23" s="24" t="n">
        <v>1</v>
      </c>
      <c r="AGX23" s="24" t="n">
        <v>50</v>
      </c>
      <c r="AGY23" s="24" t="n">
        <v>2</v>
      </c>
      <c r="AGZ23" s="24" t="n">
        <f aca="false">0.73*2</f>
        <v>1.46</v>
      </c>
      <c r="AHA23" s="24" t="n">
        <v>6</v>
      </c>
      <c r="AIH23" s="27" t="n">
        <v>4.96</v>
      </c>
      <c r="AII23" s="27" t="n">
        <v>1</v>
      </c>
      <c r="AIJ23" s="27" t="n">
        <v>2</v>
      </c>
      <c r="AIK23" s="27"/>
      <c r="AIL23" s="27" t="n">
        <f aca="false">7.34*2+0.65*4</f>
        <v>17.28</v>
      </c>
      <c r="AIM23" s="27"/>
      <c r="AIN23" s="27"/>
      <c r="AIO23" s="27"/>
      <c r="AIP23" s="27"/>
      <c r="AIQ23" s="27"/>
      <c r="AIR23" s="27"/>
      <c r="AIS23" s="27" t="n">
        <v>0.19</v>
      </c>
      <c r="AIT23" s="27" t="n">
        <v>0.19</v>
      </c>
      <c r="AIU23" s="27"/>
      <c r="AIV23" s="27"/>
      <c r="AIW23" s="27" t="n">
        <v>0</v>
      </c>
      <c r="AIX23" s="27" t="n">
        <v>0</v>
      </c>
      <c r="AIY23" s="27" t="n">
        <v>0</v>
      </c>
      <c r="AIZ23" s="24" t="n">
        <v>0</v>
      </c>
      <c r="AJA23" s="24" t="s">
        <v>316</v>
      </c>
      <c r="AJB23" s="24" t="n">
        <v>36</v>
      </c>
      <c r="AJC23" s="27" t="n">
        <v>94.1</v>
      </c>
      <c r="AJD23" s="27" t="n">
        <v>83.4</v>
      </c>
      <c r="AJE23" s="27" t="n">
        <v>25.8</v>
      </c>
      <c r="AJF23" s="24" t="n">
        <v>60.57</v>
      </c>
      <c r="AJG23" s="24" t="n">
        <v>0</v>
      </c>
      <c r="AJH23" s="24" t="n">
        <v>0</v>
      </c>
      <c r="AJI23" s="24" t="n">
        <v>0</v>
      </c>
      <c r="AJJ23" s="24" t="n">
        <v>39.43</v>
      </c>
      <c r="AJK23" s="24" t="n">
        <v>0</v>
      </c>
      <c r="AJL23" s="24" t="n">
        <v>0</v>
      </c>
      <c r="AJM23" s="24" t="n">
        <v>0</v>
      </c>
      <c r="AJN23" s="24" t="n">
        <v>0</v>
      </c>
      <c r="AJO23" s="24" t="n">
        <v>0</v>
      </c>
      <c r="AJP23" s="24" t="n">
        <v>0</v>
      </c>
      <c r="AJQ23" s="24" t="n">
        <v>0</v>
      </c>
      <c r="AJR23" s="24" t="n">
        <v>30.64</v>
      </c>
      <c r="AJS23" s="24" t="n">
        <v>37.97</v>
      </c>
      <c r="AJT23" s="24" t="n">
        <v>4.59</v>
      </c>
      <c r="AJU23" s="24" t="n">
        <v>0</v>
      </c>
      <c r="AJV23" s="24" t="n">
        <v>0</v>
      </c>
      <c r="AJW23" s="24" t="n">
        <v>0</v>
      </c>
      <c r="AKJ23" s="24" t="n">
        <v>4.8</v>
      </c>
      <c r="AKK23" s="24" t="n">
        <v>0</v>
      </c>
      <c r="AKV23" s="28"/>
      <c r="ALN23" s="24" t="n">
        <v>1</v>
      </c>
      <c r="ALO23" s="24" t="n">
        <v>50</v>
      </c>
      <c r="ALP23" s="24" t="n">
        <v>3</v>
      </c>
      <c r="ALQ23" s="24" t="n">
        <f aca="false">0.73*3</f>
        <v>2.19</v>
      </c>
      <c r="ALR23" s="24" t="n">
        <v>6</v>
      </c>
    </row>
    <row r="24" customFormat="false" ht="13.8" hidden="false" customHeight="false" outlineLevel="0" collapsed="false">
      <c r="A24" s="22" t="s">
        <v>334</v>
      </c>
      <c r="B24" s="23" t="n">
        <v>42899</v>
      </c>
      <c r="C24" s="24" t="n">
        <v>2</v>
      </c>
      <c r="D24" s="25" t="n">
        <v>42853</v>
      </c>
      <c r="E24" s="23" t="n">
        <v>30776</v>
      </c>
      <c r="F24" s="14" t="n">
        <f aca="false">(B24-E24)/365.25</f>
        <v>33.1909650924025</v>
      </c>
      <c r="G24" s="14" t="n">
        <f aca="false">(B24-D24)/365.25</f>
        <v>0.125941136208077</v>
      </c>
      <c r="H24" s="21" t="s">
        <v>306</v>
      </c>
      <c r="I24" s="21" t="s">
        <v>307</v>
      </c>
      <c r="J24" s="21" t="s">
        <v>181</v>
      </c>
      <c r="K24" s="21" t="n">
        <v>4</v>
      </c>
      <c r="L24" s="26" t="n">
        <v>75</v>
      </c>
      <c r="M24" s="24" t="n">
        <v>1.75</v>
      </c>
      <c r="N24" s="27" t="n">
        <f aca="false">L24/(M24*M24)</f>
        <v>24.4897959183673</v>
      </c>
      <c r="O24" s="26" t="n">
        <v>0</v>
      </c>
      <c r="P24" s="26" t="n">
        <v>0</v>
      </c>
      <c r="Q24" s="26" t="n">
        <v>0</v>
      </c>
      <c r="R24" s="26" t="n">
        <v>0</v>
      </c>
      <c r="S24" s="26" t="n">
        <v>0</v>
      </c>
      <c r="T24" s="26" t="n">
        <v>0</v>
      </c>
      <c r="U24" s="26" t="n">
        <v>0</v>
      </c>
      <c r="V24" s="26" t="n">
        <v>0</v>
      </c>
      <c r="W24" s="26" t="n">
        <v>1</v>
      </c>
      <c r="X24" s="26" t="n">
        <v>0</v>
      </c>
      <c r="Y24" s="26" t="n">
        <v>1</v>
      </c>
      <c r="Z24" s="26" t="n">
        <v>1</v>
      </c>
      <c r="AA24" s="26" t="n">
        <v>60</v>
      </c>
      <c r="AB24" s="26" t="s">
        <v>335</v>
      </c>
      <c r="AC24" s="26" t="n">
        <v>0</v>
      </c>
      <c r="AD24" s="26" t="n">
        <v>0</v>
      </c>
      <c r="AE24" s="26" t="n">
        <v>0</v>
      </c>
      <c r="AF24" s="26" t="n">
        <v>0</v>
      </c>
      <c r="AG24" s="26" t="n">
        <v>0</v>
      </c>
      <c r="AH24" s="26" t="n">
        <v>0</v>
      </c>
      <c r="AI24" s="26" t="n">
        <v>0</v>
      </c>
      <c r="AJ24" s="26" t="n">
        <v>0</v>
      </c>
      <c r="AK24" s="26" t="n">
        <v>0</v>
      </c>
      <c r="AL24" s="26" t="n">
        <v>0</v>
      </c>
      <c r="AM24" s="26" t="n">
        <v>0</v>
      </c>
      <c r="AN24" s="26" t="n">
        <v>0</v>
      </c>
      <c r="AO24" s="26" t="n">
        <v>0</v>
      </c>
      <c r="AP24" s="26" t="n">
        <v>0</v>
      </c>
      <c r="AQ24" s="26" t="n">
        <v>0</v>
      </c>
      <c r="AR24" s="26" t="n">
        <v>0</v>
      </c>
      <c r="AS24" s="26" t="n">
        <v>1</v>
      </c>
      <c r="AT24" s="26" t="n">
        <v>0</v>
      </c>
      <c r="AU24" s="26" t="n">
        <v>0</v>
      </c>
      <c r="AV24" s="26" t="n">
        <v>0</v>
      </c>
      <c r="AW24" s="26" t="n">
        <v>0</v>
      </c>
      <c r="AX24" s="26" t="n">
        <v>0</v>
      </c>
      <c r="AY24" s="26" t="n">
        <v>0</v>
      </c>
      <c r="AZ24" s="26" t="n">
        <v>0</v>
      </c>
      <c r="BA24" s="26" t="n">
        <v>0</v>
      </c>
      <c r="BB24" s="26" t="n">
        <v>0</v>
      </c>
      <c r="BC24" s="26" t="n">
        <v>0</v>
      </c>
      <c r="BD24" s="26" t="n">
        <v>0</v>
      </c>
      <c r="BE24" s="26" t="n">
        <v>0</v>
      </c>
      <c r="BF24" s="26" t="n">
        <v>0</v>
      </c>
      <c r="BG24" s="26" t="n">
        <v>0</v>
      </c>
      <c r="BH24" s="26" t="n">
        <v>0</v>
      </c>
      <c r="BI24" s="26" t="n">
        <v>0</v>
      </c>
      <c r="BJ24" s="26" t="n">
        <v>0</v>
      </c>
      <c r="BK24" s="26" t="n">
        <v>0</v>
      </c>
      <c r="BL24" s="26" t="n">
        <v>0</v>
      </c>
      <c r="BM24" s="26" t="n">
        <v>0</v>
      </c>
      <c r="BN24" s="26" t="n">
        <v>0</v>
      </c>
      <c r="BO24" s="26" t="n">
        <v>0</v>
      </c>
      <c r="BP24" s="26" t="n">
        <v>0</v>
      </c>
      <c r="BQ24" s="26" t="n">
        <v>0</v>
      </c>
      <c r="BR24" s="26" t="n">
        <v>2</v>
      </c>
      <c r="BS24" s="26" t="n">
        <v>2</v>
      </c>
      <c r="BT24" s="26" t="n">
        <v>3</v>
      </c>
      <c r="BU24" s="26"/>
      <c r="BV24" s="26" t="n">
        <v>3</v>
      </c>
      <c r="BW24" s="26" t="n">
        <v>3</v>
      </c>
      <c r="BX24" s="26" t="n">
        <v>3</v>
      </c>
      <c r="BY24" s="26" t="n">
        <v>4</v>
      </c>
      <c r="BZ24" s="26" t="n">
        <v>4</v>
      </c>
      <c r="CA24" s="26" t="n">
        <v>5</v>
      </c>
      <c r="CB24" s="26" t="n">
        <v>5</v>
      </c>
      <c r="CC24" s="26" t="n">
        <v>5</v>
      </c>
      <c r="CD24" s="26" t="n">
        <v>4</v>
      </c>
      <c r="CE24" s="26" t="n">
        <v>5</v>
      </c>
      <c r="CF24" s="26" t="n">
        <v>5</v>
      </c>
      <c r="CG24" s="26" t="n">
        <v>5</v>
      </c>
      <c r="CH24" s="26" t="n">
        <v>4</v>
      </c>
      <c r="CI24" s="26" t="n">
        <v>5</v>
      </c>
      <c r="CJ24" s="26" t="n">
        <v>5</v>
      </c>
      <c r="CK24" s="26" t="n">
        <v>8</v>
      </c>
      <c r="CL24" s="24" t="s">
        <v>309</v>
      </c>
      <c r="CM24" s="24" t="n">
        <v>31</v>
      </c>
      <c r="CN24" s="27" t="n">
        <v>39.2</v>
      </c>
      <c r="CO24" s="27" t="n">
        <v>83.4</v>
      </c>
      <c r="CP24" s="27" t="n">
        <v>17.2</v>
      </c>
      <c r="CQ24" s="24" t="n">
        <v>85.69</v>
      </c>
      <c r="CR24" s="24" t="n">
        <v>0</v>
      </c>
      <c r="CS24" s="24" t="n">
        <v>0.39</v>
      </c>
      <c r="CT24" s="24" t="n">
        <v>0</v>
      </c>
      <c r="CU24" s="24" t="n">
        <v>13.37</v>
      </c>
      <c r="CV24" s="24" t="n">
        <v>0</v>
      </c>
      <c r="CW24" s="24" t="n">
        <v>0</v>
      </c>
      <c r="CX24" s="24" t="n">
        <v>0</v>
      </c>
      <c r="CY24" s="24" t="n">
        <v>0</v>
      </c>
      <c r="CZ24" s="24" t="n">
        <v>0</v>
      </c>
      <c r="DA24" s="24" t="n">
        <v>0</v>
      </c>
      <c r="DB24" s="24" t="n">
        <v>12.36</v>
      </c>
      <c r="DC24" s="24" t="n">
        <v>18.21</v>
      </c>
      <c r="DD24" s="24" t="n">
        <v>12.25</v>
      </c>
      <c r="DE24" s="24" t="n">
        <v>3.27</v>
      </c>
      <c r="DF24" s="24" t="n">
        <v>5.02</v>
      </c>
      <c r="DG24" s="24" t="n">
        <v>4.8</v>
      </c>
      <c r="DH24" s="24" t="n">
        <v>1</v>
      </c>
      <c r="DI24" s="24" t="n">
        <v>5</v>
      </c>
      <c r="DK24" s="24" t="n">
        <v>2</v>
      </c>
      <c r="DL24" s="24" t="n">
        <v>3</v>
      </c>
      <c r="DN24" s="24" t="n">
        <v>1</v>
      </c>
      <c r="DU24" s="24" t="n">
        <v>2.4</v>
      </c>
      <c r="DV24" s="24" t="n">
        <v>1</v>
      </c>
      <c r="DW24" s="24" t="n">
        <v>35</v>
      </c>
      <c r="DX24" s="24" t="n">
        <v>8</v>
      </c>
      <c r="DY24" s="24" t="n">
        <f aca="false">0.13*4</f>
        <v>0.52</v>
      </c>
      <c r="DZ24" s="24" t="n">
        <v>3</v>
      </c>
      <c r="EA24" s="24" t="n">
        <v>23</v>
      </c>
      <c r="EB24" s="24" t="n">
        <v>2</v>
      </c>
      <c r="EC24" s="24" t="n">
        <v>0.12</v>
      </c>
      <c r="ED24" s="24" t="n">
        <v>3</v>
      </c>
      <c r="EG24" s="28"/>
      <c r="EY24" s="24" t="n">
        <v>1</v>
      </c>
      <c r="EZ24" s="24" t="n">
        <v>50</v>
      </c>
      <c r="FA24" s="24" t="n">
        <v>5</v>
      </c>
      <c r="FB24" s="24" t="n">
        <v>0.32</v>
      </c>
      <c r="FC24" s="24" t="n">
        <v>3</v>
      </c>
      <c r="GJ24" s="27" t="n">
        <v>0.43</v>
      </c>
      <c r="GK24" s="27" t="n">
        <v>1</v>
      </c>
      <c r="GL24" s="27" t="n">
        <v>1</v>
      </c>
      <c r="GM24" s="27"/>
      <c r="GN24" s="27" t="n">
        <f aca="false">0.11+0.06+0.26*2</f>
        <v>0.69</v>
      </c>
      <c r="GO24" s="27" t="n">
        <v>2</v>
      </c>
      <c r="GP24" s="27"/>
      <c r="GQ24" s="27" t="n">
        <f aca="false">3.35*2+0.35*2</f>
        <v>7.4</v>
      </c>
      <c r="GR24" s="27"/>
      <c r="GS24" s="27"/>
      <c r="GT24" s="27"/>
      <c r="GU24" s="27" t="n">
        <v>1.74</v>
      </c>
      <c r="GV24" s="27" t="n">
        <v>1.32</v>
      </c>
      <c r="GW24" s="27"/>
      <c r="GX24" s="27"/>
      <c r="GY24" s="27" t="n">
        <v>4.32</v>
      </c>
      <c r="GZ24" s="27" t="n">
        <v>1.2</v>
      </c>
      <c r="HA24" s="27" t="n">
        <v>0.11</v>
      </c>
      <c r="HB24" s="24" t="n">
        <v>2</v>
      </c>
      <c r="HC24" s="24" t="s">
        <v>310</v>
      </c>
      <c r="HD24" s="24" t="n">
        <v>22.5</v>
      </c>
      <c r="HE24" s="27" t="n">
        <v>20.9</v>
      </c>
      <c r="HF24" s="27" t="n">
        <v>83.4</v>
      </c>
      <c r="HG24" s="27" t="n">
        <v>11</v>
      </c>
      <c r="HH24" s="24" t="n">
        <v>91.28</v>
      </c>
      <c r="HI24" s="24" t="n">
        <v>0</v>
      </c>
      <c r="HJ24" s="24" t="n">
        <v>0</v>
      </c>
      <c r="HK24" s="24" t="n">
        <v>0</v>
      </c>
      <c r="HL24" s="24" t="n">
        <v>4.15</v>
      </c>
      <c r="HM24" s="24" t="n">
        <v>0</v>
      </c>
      <c r="HN24" s="24" t="n">
        <v>0</v>
      </c>
      <c r="HO24" s="24" t="n">
        <v>0</v>
      </c>
      <c r="HP24" s="24" t="n">
        <v>0</v>
      </c>
      <c r="HQ24" s="24" t="n">
        <v>0</v>
      </c>
      <c r="HR24" s="24" t="n">
        <v>0</v>
      </c>
      <c r="HS24" s="24" t="n">
        <v>0.71</v>
      </c>
      <c r="HT24" s="24" t="n">
        <v>7.61</v>
      </c>
      <c r="HU24" s="24" t="n">
        <v>5.28</v>
      </c>
      <c r="HV24" s="24" t="n">
        <v>2.47</v>
      </c>
      <c r="HW24" s="24" t="n">
        <v>4.05</v>
      </c>
      <c r="HX24" s="24" t="n">
        <v>6.1</v>
      </c>
      <c r="HY24" s="24" t="n">
        <v>1</v>
      </c>
      <c r="HZ24" s="24" t="n">
        <v>5</v>
      </c>
      <c r="IB24" s="24" t="n">
        <v>1</v>
      </c>
      <c r="IC24" s="24" t="n">
        <v>3</v>
      </c>
      <c r="IE24" s="24" t="n">
        <v>2</v>
      </c>
      <c r="IL24" s="24" t="n">
        <v>4.7</v>
      </c>
      <c r="IM24" s="24" t="n">
        <v>1</v>
      </c>
      <c r="IN24" s="24" t="n">
        <v>35</v>
      </c>
      <c r="IO24" s="24" t="n">
        <v>8</v>
      </c>
      <c r="IP24" s="24" t="n">
        <f aca="false">0.19+0.32</f>
        <v>0.51</v>
      </c>
      <c r="IQ24" s="24" t="n">
        <v>3</v>
      </c>
      <c r="IX24" s="28"/>
      <c r="JP24" s="24" t="n">
        <v>1</v>
      </c>
      <c r="JQ24" s="24" t="n">
        <v>80</v>
      </c>
      <c r="JR24" s="24" t="n">
        <v>4</v>
      </c>
      <c r="JS24" s="24" t="n">
        <v>1.28</v>
      </c>
      <c r="JT24" s="24" t="n">
        <v>3</v>
      </c>
      <c r="JU24" s="24" t="n">
        <v>60</v>
      </c>
      <c r="JV24" s="24" t="n">
        <v>3</v>
      </c>
      <c r="JW24" s="24" t="n">
        <v>0.29</v>
      </c>
      <c r="JX24" s="24" t="n">
        <v>3</v>
      </c>
      <c r="JY24" s="24" t="n">
        <v>70</v>
      </c>
      <c r="JZ24" s="24" t="n">
        <v>4</v>
      </c>
      <c r="KA24" s="24" t="n">
        <v>0.58</v>
      </c>
      <c r="KB24" s="24" t="n">
        <v>3</v>
      </c>
      <c r="LA24" s="27" t="n">
        <v>0.49</v>
      </c>
      <c r="LB24" s="27" t="n">
        <v>1</v>
      </c>
      <c r="LC24" s="27" t="n">
        <v>2</v>
      </c>
      <c r="LD24" s="27"/>
      <c r="LE24" s="27" t="n">
        <f aca="false">0.27*3</f>
        <v>0.81</v>
      </c>
      <c r="LF24" s="27"/>
      <c r="LG24" s="27"/>
      <c r="LH24" s="27"/>
      <c r="LI24" s="27"/>
      <c r="LJ24" s="27"/>
      <c r="LK24" s="27"/>
      <c r="LL24" s="27" t="n">
        <v>0</v>
      </c>
      <c r="LM24" s="27"/>
      <c r="LN24" s="27"/>
      <c r="LO24" s="27"/>
      <c r="LP24" s="27" t="n">
        <v>0</v>
      </c>
      <c r="LQ24" s="27" t="n">
        <v>0</v>
      </c>
      <c r="LR24" s="27" t="n">
        <v>0</v>
      </c>
      <c r="LS24" s="24" t="n">
        <v>0</v>
      </c>
      <c r="LT24" s="24" t="s">
        <v>311</v>
      </c>
      <c r="LU24" s="24" t="n">
        <v>52</v>
      </c>
      <c r="LV24" s="27" t="n">
        <v>87.1</v>
      </c>
      <c r="LW24" s="27" t="n">
        <v>83.4</v>
      </c>
      <c r="LX24" s="27" t="n">
        <v>31.9</v>
      </c>
      <c r="LY24" s="24" t="n">
        <v>55.25</v>
      </c>
      <c r="LZ24" s="24" t="n">
        <v>0</v>
      </c>
      <c r="MA24" s="24" t="n">
        <v>0</v>
      </c>
      <c r="MB24" s="24" t="n">
        <v>0</v>
      </c>
      <c r="MC24" s="24" t="n">
        <v>36.01</v>
      </c>
      <c r="MD24" s="24" t="n">
        <v>0</v>
      </c>
      <c r="ME24" s="24" t="n">
        <v>0</v>
      </c>
      <c r="MF24" s="24" t="n">
        <v>0</v>
      </c>
      <c r="MG24" s="24" t="n">
        <v>0</v>
      </c>
      <c r="MH24" s="24" t="n">
        <v>0</v>
      </c>
      <c r="MI24" s="24" t="n">
        <v>0</v>
      </c>
      <c r="MJ24" s="24" t="n">
        <v>1.03</v>
      </c>
      <c r="MK24" s="24" t="n">
        <v>22.5</v>
      </c>
      <c r="ML24" s="24" t="n">
        <v>29.21</v>
      </c>
      <c r="MM24" s="24" t="n">
        <v>12.38</v>
      </c>
      <c r="MN24" s="24" t="n">
        <v>8.73</v>
      </c>
      <c r="MO24" s="24" t="n">
        <v>5.3</v>
      </c>
      <c r="MP24" s="24" t="n">
        <v>1</v>
      </c>
      <c r="MQ24" s="24" t="n">
        <v>5</v>
      </c>
      <c r="MS24" s="24" t="n">
        <v>1</v>
      </c>
      <c r="NC24" s="24" t="n">
        <v>7.1</v>
      </c>
      <c r="ND24" s="24" t="n">
        <v>1</v>
      </c>
      <c r="NE24" s="24" t="n">
        <v>35</v>
      </c>
      <c r="NF24" s="24" t="n">
        <v>8</v>
      </c>
      <c r="NG24" s="24" t="n">
        <f aca="false">0.19+0.32</f>
        <v>0.51</v>
      </c>
      <c r="NH24" s="24" t="n">
        <v>3</v>
      </c>
      <c r="NO24" s="28"/>
      <c r="OG24" s="24" t="n">
        <v>1</v>
      </c>
      <c r="OH24" s="24" t="n">
        <v>50</v>
      </c>
      <c r="OI24" s="24" t="n">
        <v>7</v>
      </c>
      <c r="OJ24" s="24" t="n">
        <f aca="false">0.92+0.73+0.32</f>
        <v>1.97</v>
      </c>
      <c r="OK24" s="24" t="n">
        <v>3</v>
      </c>
      <c r="OL24" s="24" t="n">
        <v>70</v>
      </c>
      <c r="OM24" s="24" t="n">
        <v>11</v>
      </c>
      <c r="ON24" s="24" t="n">
        <f aca="false">0.73+0.65</f>
        <v>1.38</v>
      </c>
      <c r="OO24" s="24" t="n">
        <v>3</v>
      </c>
      <c r="OP24" s="24" t="n">
        <v>50</v>
      </c>
      <c r="OQ24" s="24" t="n">
        <v>1</v>
      </c>
      <c r="OR24" s="24" t="n">
        <v>0.37</v>
      </c>
      <c r="OS24" s="24" t="n">
        <v>4</v>
      </c>
      <c r="OT24" s="24" t="n">
        <v>50</v>
      </c>
      <c r="OU24" s="24" t="n">
        <v>1</v>
      </c>
      <c r="OV24" s="24" t="n">
        <v>0.37</v>
      </c>
      <c r="OW24" s="24" t="n">
        <v>6</v>
      </c>
      <c r="OX24" s="24" t="n">
        <v>60</v>
      </c>
      <c r="OY24" s="24" t="n">
        <v>12</v>
      </c>
      <c r="OZ24" s="24" t="n">
        <f aca="false">0.65+0.13</f>
        <v>0.78</v>
      </c>
      <c r="PA24" s="24" t="n">
        <v>3</v>
      </c>
      <c r="PB24" s="24" t="n">
        <v>60</v>
      </c>
      <c r="PC24" s="24" t="n">
        <v>4</v>
      </c>
      <c r="PD24" s="24" t="n">
        <v>0.26</v>
      </c>
      <c r="PE24" s="24" t="n">
        <v>1</v>
      </c>
      <c r="PF24" s="24" t="n">
        <v>70</v>
      </c>
      <c r="PG24" s="24" t="n">
        <v>4</v>
      </c>
      <c r="PH24" s="24" t="n">
        <v>0.39</v>
      </c>
      <c r="PI24" s="24" t="n">
        <v>1</v>
      </c>
      <c r="PJ24" s="24" t="n">
        <v>60</v>
      </c>
      <c r="PK24" s="24" t="n">
        <v>2</v>
      </c>
      <c r="PL24" s="24" t="n">
        <v>0.13</v>
      </c>
      <c r="PM24" s="24" t="n">
        <v>6</v>
      </c>
      <c r="PN24" s="24" t="n">
        <v>50</v>
      </c>
      <c r="PO24" s="24" t="n">
        <v>1</v>
      </c>
      <c r="PP24" s="24" t="n">
        <v>0.83</v>
      </c>
      <c r="PQ24" s="24" t="n">
        <v>6</v>
      </c>
      <c r="PR24" s="27" t="n">
        <v>5.11</v>
      </c>
      <c r="PS24" s="27" t="n">
        <v>1</v>
      </c>
      <c r="PT24" s="27" t="n">
        <v>1</v>
      </c>
      <c r="PU24" s="27"/>
      <c r="PV24" s="27" t="n">
        <f aca="false">0.18*2</f>
        <v>0.36</v>
      </c>
      <c r="PW24" s="27" t="n">
        <v>2</v>
      </c>
      <c r="PX24" s="27"/>
      <c r="PY24" s="27" t="n">
        <f aca="false">0.75+1.53+2.04+1</f>
        <v>5.32</v>
      </c>
      <c r="PZ24" s="27"/>
      <c r="QA24" s="27"/>
      <c r="QB24" s="27"/>
      <c r="QC24" s="27" t="n">
        <v>2.17</v>
      </c>
      <c r="QD24" s="27" t="n">
        <v>2.18</v>
      </c>
      <c r="QE24" s="27"/>
      <c r="QF24" s="27"/>
      <c r="QG24" s="27" t="n">
        <v>0</v>
      </c>
      <c r="QH24" s="27" t="n">
        <v>0</v>
      </c>
      <c r="QI24" s="27" t="n">
        <v>0</v>
      </c>
      <c r="QJ24" s="24" t="n">
        <v>0</v>
      </c>
      <c r="QK24" s="24" t="s">
        <v>312</v>
      </c>
      <c r="QL24" s="24" t="n">
        <v>40</v>
      </c>
      <c r="QM24" s="27" t="n">
        <v>90.5</v>
      </c>
      <c r="QN24" s="27" t="n">
        <v>83.4</v>
      </c>
      <c r="QO24" s="27" t="n">
        <v>24.1</v>
      </c>
      <c r="QP24" s="24" t="n">
        <v>65.22</v>
      </c>
      <c r="QQ24" s="24" t="n">
        <v>0</v>
      </c>
      <c r="QR24" s="24" t="n">
        <v>0</v>
      </c>
      <c r="QS24" s="24" t="n">
        <v>0</v>
      </c>
      <c r="QT24" s="24" t="n">
        <v>27.95</v>
      </c>
      <c r="QU24" s="24" t="n">
        <v>0</v>
      </c>
      <c r="QV24" s="24" t="n">
        <v>0</v>
      </c>
      <c r="QW24" s="24" t="n">
        <v>0</v>
      </c>
      <c r="QX24" s="24" t="n">
        <v>0</v>
      </c>
      <c r="QY24" s="24" t="n">
        <v>0</v>
      </c>
      <c r="QZ24" s="24" t="n">
        <v>0</v>
      </c>
      <c r="RA24" s="24" t="n">
        <v>0.5</v>
      </c>
      <c r="RB24" s="24" t="n">
        <v>25.43</v>
      </c>
      <c r="RC24" s="24" t="n">
        <v>28.69</v>
      </c>
      <c r="RD24" s="24" t="n">
        <v>8.32</v>
      </c>
      <c r="RE24" s="24" t="n">
        <v>6.81</v>
      </c>
      <c r="RF24" s="24" t="n">
        <v>5.3</v>
      </c>
      <c r="RG24" s="24" t="n">
        <v>1</v>
      </c>
      <c r="RH24" s="24" t="n">
        <v>5</v>
      </c>
      <c r="RJ24" s="24" t="n">
        <v>1</v>
      </c>
      <c r="RT24" s="24" t="n">
        <v>3.5</v>
      </c>
      <c r="RU24" s="24" t="n">
        <v>0</v>
      </c>
      <c r="SF24" s="28"/>
      <c r="SX24" s="24" t="n">
        <v>1</v>
      </c>
      <c r="SY24" s="24" t="n">
        <v>50</v>
      </c>
      <c r="SZ24" s="24" t="n">
        <v>9</v>
      </c>
      <c r="TA24" s="24" t="n">
        <f aca="false">0.9+0.72+0.92+0.73+0.32</f>
        <v>3.59</v>
      </c>
      <c r="TB24" s="24" t="n">
        <v>3</v>
      </c>
      <c r="TC24" s="24" t="n">
        <v>70</v>
      </c>
      <c r="TD24" s="24" t="n">
        <v>12</v>
      </c>
      <c r="TE24" s="24" t="n">
        <f aca="false">0.72+0.73+0.65</f>
        <v>2.1</v>
      </c>
      <c r="TF24" s="24" t="n">
        <v>3</v>
      </c>
      <c r="TG24" s="24" t="n">
        <v>60</v>
      </c>
      <c r="TH24" s="24" t="n">
        <v>2</v>
      </c>
      <c r="TI24" s="24" t="n">
        <v>0.13</v>
      </c>
      <c r="TJ24" s="24" t="n">
        <v>3</v>
      </c>
      <c r="TK24" s="24" t="n">
        <v>50</v>
      </c>
      <c r="TL24" s="24" t="n">
        <v>1</v>
      </c>
      <c r="TM24" s="24" t="n">
        <v>0.83</v>
      </c>
      <c r="TN24" s="24" t="n">
        <v>6</v>
      </c>
      <c r="TO24" s="24" t="n">
        <v>60</v>
      </c>
      <c r="TP24" s="24" t="n">
        <v>1</v>
      </c>
      <c r="TQ24" s="24" t="n">
        <v>0.13</v>
      </c>
      <c r="TR24" s="24" t="n">
        <v>6</v>
      </c>
      <c r="TS24" s="24" t="n">
        <v>70</v>
      </c>
      <c r="TT24" s="24" t="n">
        <v>1</v>
      </c>
      <c r="TU24" s="24" t="n">
        <v>0.39</v>
      </c>
      <c r="TV24" s="24" t="n">
        <v>1</v>
      </c>
      <c r="TW24" s="24" t="n">
        <v>50</v>
      </c>
      <c r="TX24" s="24" t="n">
        <v>2</v>
      </c>
      <c r="TY24" s="24" t="n">
        <f aca="false">0.36+0.37</f>
        <v>0.73</v>
      </c>
      <c r="TZ24" s="24" t="n">
        <v>4</v>
      </c>
      <c r="UI24" s="27" t="n">
        <v>3.9</v>
      </c>
      <c r="UJ24" s="27" t="n">
        <v>1</v>
      </c>
      <c r="UK24" s="27" t="n">
        <v>1</v>
      </c>
      <c r="UL24" s="27"/>
      <c r="UM24" s="27" t="n">
        <f aca="false">1.53+0.75+0.18*2</f>
        <v>2.64</v>
      </c>
      <c r="UN24" s="27" t="n">
        <v>2</v>
      </c>
      <c r="UO24" s="27"/>
      <c r="UP24" s="27" t="n">
        <f aca="false">3.06+1.5</f>
        <v>4.56</v>
      </c>
      <c r="UQ24" s="27"/>
      <c r="UR24" s="27"/>
      <c r="US24" s="27"/>
      <c r="UT24" s="27" t="n">
        <v>3</v>
      </c>
      <c r="UU24" s="27" t="n">
        <v>2.19</v>
      </c>
      <c r="UV24" s="27"/>
      <c r="UW24" s="27"/>
      <c r="UX24" s="27" t="n">
        <v>0</v>
      </c>
      <c r="UY24" s="27" t="n">
        <v>0</v>
      </c>
      <c r="UZ24" s="27" t="n">
        <v>0</v>
      </c>
      <c r="VA24" s="24" t="n">
        <v>0</v>
      </c>
      <c r="VB24" s="24" t="s">
        <v>313</v>
      </c>
      <c r="VC24" s="24" t="n">
        <v>39</v>
      </c>
      <c r="VD24" s="27" t="n">
        <v>80.9</v>
      </c>
      <c r="VE24" s="27" t="n">
        <v>83.4</v>
      </c>
      <c r="VF24" s="27" t="n">
        <v>19.3</v>
      </c>
      <c r="VG24" s="24" t="n">
        <v>75.96</v>
      </c>
      <c r="VH24" s="24" t="n">
        <v>0</v>
      </c>
      <c r="VI24" s="24" t="n">
        <v>3.12</v>
      </c>
      <c r="VJ24" s="24" t="n">
        <v>0</v>
      </c>
      <c r="VK24" s="24" t="n">
        <v>20.93</v>
      </c>
      <c r="VL24" s="24" t="n">
        <v>0</v>
      </c>
      <c r="VM24" s="24" t="n">
        <v>0</v>
      </c>
      <c r="VN24" s="24" t="n">
        <v>0</v>
      </c>
      <c r="VO24" s="24" t="n">
        <v>0</v>
      </c>
      <c r="VP24" s="24" t="n">
        <v>0</v>
      </c>
      <c r="VQ24" s="24" t="n">
        <v>0</v>
      </c>
      <c r="VR24" s="24" t="n">
        <v>5.32</v>
      </c>
      <c r="VS24" s="24" t="n">
        <v>30.75</v>
      </c>
      <c r="VT24" s="24" t="n">
        <v>28.21</v>
      </c>
      <c r="VU24" s="24" t="n">
        <v>4.22</v>
      </c>
      <c r="VV24" s="24" t="n">
        <v>0</v>
      </c>
      <c r="VW24" s="24" t="n">
        <v>0</v>
      </c>
      <c r="VX24" s="24" t="n">
        <v>0</v>
      </c>
      <c r="WK24" s="24" t="n">
        <v>15.8</v>
      </c>
      <c r="WL24" s="24" t="n">
        <v>1</v>
      </c>
      <c r="WM24" s="24" t="n">
        <v>35</v>
      </c>
      <c r="WN24" s="24" t="n">
        <v>4</v>
      </c>
      <c r="WO24" s="24" t="n">
        <f aca="false">0.73*4</f>
        <v>2.92</v>
      </c>
      <c r="WP24" s="24" t="n">
        <v>3</v>
      </c>
      <c r="WQ24" s="24" t="n">
        <v>23</v>
      </c>
      <c r="WR24" s="24" t="n">
        <v>1</v>
      </c>
      <c r="WS24" s="24" t="n">
        <v>0.06</v>
      </c>
      <c r="WT24" s="24" t="n">
        <v>3</v>
      </c>
      <c r="WW24" s="28"/>
      <c r="XO24" s="24" t="n">
        <v>1</v>
      </c>
      <c r="XP24" s="24" t="n">
        <v>60</v>
      </c>
      <c r="XQ24" s="24" t="n">
        <v>1</v>
      </c>
      <c r="XR24" s="24" t="n">
        <v>0.73</v>
      </c>
      <c r="XS24" s="24" t="n">
        <v>3</v>
      </c>
      <c r="XT24" s="24" t="n">
        <v>50</v>
      </c>
      <c r="XU24" s="24" t="n">
        <v>1</v>
      </c>
      <c r="XV24" s="24" t="n">
        <v>0.73</v>
      </c>
      <c r="XW24" s="24" t="n">
        <v>1</v>
      </c>
      <c r="XX24" s="24" t="n">
        <v>40</v>
      </c>
      <c r="XY24" s="24" t="n">
        <v>1</v>
      </c>
      <c r="XZ24" s="24" t="n">
        <v>0.73</v>
      </c>
      <c r="YA24" s="24" t="n">
        <v>6</v>
      </c>
      <c r="YB24" s="24" t="n">
        <v>50</v>
      </c>
      <c r="YC24" s="24" t="n">
        <v>1</v>
      </c>
      <c r="YD24" s="24" t="n">
        <v>0.19</v>
      </c>
      <c r="YE24" s="24" t="n">
        <v>3</v>
      </c>
      <c r="YF24" s="24" t="n">
        <v>70</v>
      </c>
      <c r="YG24" s="24" t="n">
        <v>3</v>
      </c>
      <c r="YH24" s="24" t="n">
        <v>0.58</v>
      </c>
      <c r="YI24" s="24" t="n">
        <v>3</v>
      </c>
      <c r="YJ24" s="24" t="n">
        <v>50</v>
      </c>
      <c r="YK24" s="24" t="n">
        <v>1</v>
      </c>
      <c r="YL24" s="24" t="n">
        <v>0.29</v>
      </c>
      <c r="YM24" s="24" t="n">
        <v>6</v>
      </c>
      <c r="YZ24" s="27" t="n">
        <v>0</v>
      </c>
      <c r="ZA24" s="27" t="n">
        <v>0</v>
      </c>
      <c r="ZB24" s="27"/>
      <c r="ZC24" s="27"/>
      <c r="ZD24" s="27"/>
      <c r="ZE24" s="27"/>
      <c r="ZF24" s="27"/>
      <c r="ZG24" s="27"/>
      <c r="ZH24" s="27"/>
      <c r="ZI24" s="27"/>
      <c r="ZJ24" s="27"/>
      <c r="ZK24" s="27" t="n">
        <v>0.26</v>
      </c>
      <c r="ZL24" s="27" t="n">
        <v>0.26</v>
      </c>
      <c r="ZM24" s="27"/>
      <c r="ZN24" s="27"/>
      <c r="ZO24" s="27" t="n">
        <v>3.6</v>
      </c>
      <c r="ZP24" s="27" t="n">
        <v>0.88</v>
      </c>
      <c r="ZQ24" s="27" t="n">
        <v>0</v>
      </c>
      <c r="ZR24" s="24" t="n">
        <v>0</v>
      </c>
      <c r="ZS24" s="24" t="s">
        <v>314</v>
      </c>
      <c r="ZT24" s="24" t="n">
        <v>36</v>
      </c>
      <c r="ZU24" s="27" t="n">
        <v>71.4</v>
      </c>
      <c r="ZV24" s="27" t="n">
        <v>83.4</v>
      </c>
      <c r="ZW24" s="27" t="n">
        <v>17.2</v>
      </c>
      <c r="ZX24" s="24" t="n">
        <v>79.88</v>
      </c>
      <c r="ZY24" s="24" t="n">
        <v>0</v>
      </c>
      <c r="ZZ24" s="24" t="n">
        <v>3.12</v>
      </c>
      <c r="AAA24" s="24" t="n">
        <v>0</v>
      </c>
      <c r="AAB24" s="24" t="n">
        <v>17</v>
      </c>
      <c r="AAC24" s="24" t="n">
        <v>0</v>
      </c>
      <c r="AAD24" s="24" t="n">
        <v>0</v>
      </c>
      <c r="AAE24" s="24" t="n">
        <v>0</v>
      </c>
      <c r="AAF24" s="24" t="n">
        <v>0</v>
      </c>
      <c r="AAG24" s="24" t="n">
        <v>0</v>
      </c>
      <c r="AAH24" s="24" t="n">
        <v>0</v>
      </c>
      <c r="AAI24" s="24" t="n">
        <v>5.32</v>
      </c>
      <c r="AAJ24" s="24" t="n">
        <v>31.86</v>
      </c>
      <c r="AAK24" s="24" t="n">
        <v>24.1</v>
      </c>
      <c r="AAL24" s="24" t="n">
        <v>2.02</v>
      </c>
      <c r="AAM24" s="24" t="n">
        <v>0</v>
      </c>
      <c r="AAN24" s="24" t="n">
        <v>0</v>
      </c>
      <c r="AAO24" s="24" t="n">
        <v>0</v>
      </c>
      <c r="ABB24" s="24" t="n">
        <v>15.1</v>
      </c>
      <c r="ABC24" s="24" t="n">
        <v>1</v>
      </c>
      <c r="ABD24" s="24" t="n">
        <v>35</v>
      </c>
      <c r="ABE24" s="24" t="n">
        <v>4</v>
      </c>
      <c r="ABF24" s="24" t="n">
        <f aca="false">0.73*4</f>
        <v>2.92</v>
      </c>
      <c r="ABG24" s="24" t="n">
        <v>3</v>
      </c>
      <c r="ABN24" s="28"/>
      <c r="ACF24" s="24" t="n">
        <v>1</v>
      </c>
      <c r="ACG24" s="24" t="n">
        <v>50</v>
      </c>
      <c r="ACH24" s="24" t="n">
        <v>2</v>
      </c>
      <c r="ACI24" s="24" t="n">
        <f aca="false">0.73+0.19</f>
        <v>0.92</v>
      </c>
      <c r="ACJ24" s="24" t="n">
        <v>3</v>
      </c>
      <c r="ACK24" s="24" t="n">
        <v>50</v>
      </c>
      <c r="ACL24" s="24" t="n">
        <v>1</v>
      </c>
      <c r="ACM24" s="24" t="n">
        <v>0.73</v>
      </c>
      <c r="ACN24" s="24" t="n">
        <v>1</v>
      </c>
      <c r="ACO24" s="24" t="n">
        <v>70</v>
      </c>
      <c r="ACP24" s="24" t="n">
        <v>3</v>
      </c>
      <c r="ACQ24" s="24" t="n">
        <v>0.58</v>
      </c>
      <c r="ACR24" s="24" t="n">
        <v>3</v>
      </c>
      <c r="ACS24" s="24" t="n">
        <v>40</v>
      </c>
      <c r="ACT24" s="24" t="n">
        <v>1</v>
      </c>
      <c r="ACU24" s="24" t="n">
        <v>1.65</v>
      </c>
      <c r="ACV24" s="24" t="n">
        <v>6</v>
      </c>
      <c r="ADQ24" s="27" t="n">
        <v>0</v>
      </c>
      <c r="ADR24" s="27" t="n">
        <v>0</v>
      </c>
      <c r="ADS24" s="27"/>
      <c r="ADT24" s="27"/>
      <c r="ADU24" s="27"/>
      <c r="ADV24" s="27"/>
      <c r="ADW24" s="27"/>
      <c r="ADX24" s="27"/>
      <c r="ADY24" s="27"/>
      <c r="ADZ24" s="27"/>
      <c r="AEA24" s="27"/>
      <c r="AEB24" s="27" t="n">
        <v>0</v>
      </c>
      <c r="AEC24" s="27" t="n">
        <v>0</v>
      </c>
      <c r="AED24" s="27"/>
      <c r="AEE24" s="27"/>
      <c r="AEF24" s="27" t="n">
        <v>3.6</v>
      </c>
      <c r="AEG24" s="27" t="n">
        <v>0.88</v>
      </c>
      <c r="AEH24" s="27" t="n">
        <v>0</v>
      </c>
      <c r="AEI24" s="24" t="n">
        <v>0</v>
      </c>
      <c r="AEJ24" s="24" t="s">
        <v>315</v>
      </c>
      <c r="AEK24" s="24" t="n">
        <v>38.5</v>
      </c>
      <c r="AEL24" s="27" t="n">
        <v>90.6</v>
      </c>
      <c r="AEM24" s="27" t="n">
        <v>83.4</v>
      </c>
      <c r="AEN24" s="27" t="n">
        <v>29.4</v>
      </c>
      <c r="AEO24" s="24" t="n">
        <v>59.08</v>
      </c>
      <c r="AEP24" s="24" t="n">
        <v>0</v>
      </c>
      <c r="AEQ24" s="24" t="n">
        <v>0</v>
      </c>
      <c r="AER24" s="24" t="n">
        <v>0</v>
      </c>
      <c r="AES24" s="24" t="n">
        <v>40.92</v>
      </c>
      <c r="AET24" s="24" t="n">
        <v>0</v>
      </c>
      <c r="AEU24" s="24" t="n">
        <v>0</v>
      </c>
      <c r="AEV24" s="24" t="n">
        <v>0</v>
      </c>
      <c r="AEW24" s="24" t="n">
        <v>0</v>
      </c>
      <c r="AEX24" s="24" t="n">
        <v>0</v>
      </c>
      <c r="AEY24" s="24" t="n">
        <v>0</v>
      </c>
      <c r="AEZ24" s="24" t="n">
        <v>3.67</v>
      </c>
      <c r="AFA24" s="24" t="n">
        <v>24.93</v>
      </c>
      <c r="AFB24" s="24" t="n">
        <v>39.44</v>
      </c>
      <c r="AFC24" s="24" t="n">
        <v>8.51</v>
      </c>
      <c r="AFD24" s="24" t="n">
        <v>0</v>
      </c>
      <c r="AFE24" s="24" t="n">
        <v>0</v>
      </c>
      <c r="AFF24" s="24" t="n">
        <v>0</v>
      </c>
      <c r="AFS24" s="24" t="n">
        <v>3.7</v>
      </c>
      <c r="AFT24" s="24" t="n">
        <v>1</v>
      </c>
      <c r="AFU24" s="24" t="n">
        <v>34</v>
      </c>
      <c r="AFV24" s="24" t="n">
        <v>2</v>
      </c>
      <c r="AFW24" s="24" t="n">
        <f aca="false">4.05</f>
        <v>4.05</v>
      </c>
      <c r="AFX24" s="24" t="n">
        <v>1</v>
      </c>
      <c r="AGE24" s="28"/>
      <c r="AGW24" s="24" t="n">
        <v>1</v>
      </c>
      <c r="AGX24" s="24" t="n">
        <v>50</v>
      </c>
      <c r="AGY24" s="24" t="n">
        <v>2</v>
      </c>
      <c r="AGZ24" s="24" t="n">
        <f aca="false">0.73*2</f>
        <v>1.46</v>
      </c>
      <c r="AHA24" s="24" t="n">
        <v>6</v>
      </c>
      <c r="AIH24" s="27" t="n">
        <v>4.96</v>
      </c>
      <c r="AII24" s="27" t="n">
        <v>1</v>
      </c>
      <c r="AIJ24" s="27" t="n">
        <v>2</v>
      </c>
      <c r="AIK24" s="27"/>
      <c r="AIL24" s="27" t="n">
        <f aca="false">7.34*2+0.65*4</f>
        <v>17.28</v>
      </c>
      <c r="AIM24" s="27"/>
      <c r="AIN24" s="27"/>
      <c r="AIO24" s="27"/>
      <c r="AIP24" s="27"/>
      <c r="AIQ24" s="27"/>
      <c r="AIR24" s="27"/>
      <c r="AIS24" s="27" t="n">
        <v>0.19</v>
      </c>
      <c r="AIT24" s="27" t="n">
        <v>0.19</v>
      </c>
      <c r="AIU24" s="27"/>
      <c r="AIV24" s="27"/>
      <c r="AIW24" s="27" t="n">
        <v>0</v>
      </c>
      <c r="AIX24" s="27" t="n">
        <v>0</v>
      </c>
      <c r="AIY24" s="27" t="n">
        <v>0</v>
      </c>
      <c r="AIZ24" s="24" t="n">
        <v>0</v>
      </c>
      <c r="AJA24" s="24" t="s">
        <v>316</v>
      </c>
      <c r="AJB24" s="24" t="n">
        <v>36</v>
      </c>
      <c r="AJC24" s="27" t="n">
        <v>94.1</v>
      </c>
      <c r="AJD24" s="27" t="n">
        <v>83.4</v>
      </c>
      <c r="AJE24" s="27" t="n">
        <v>25.8</v>
      </c>
      <c r="AJF24" s="24" t="n">
        <v>60.57</v>
      </c>
      <c r="AJG24" s="24" t="n">
        <v>0</v>
      </c>
      <c r="AJH24" s="24" t="n">
        <v>0</v>
      </c>
      <c r="AJI24" s="24" t="n">
        <v>0</v>
      </c>
      <c r="AJJ24" s="24" t="n">
        <v>39.43</v>
      </c>
      <c r="AJK24" s="24" t="n">
        <v>0</v>
      </c>
      <c r="AJL24" s="24" t="n">
        <v>0</v>
      </c>
      <c r="AJM24" s="24" t="n">
        <v>0</v>
      </c>
      <c r="AJN24" s="24" t="n">
        <v>0</v>
      </c>
      <c r="AJO24" s="24" t="n">
        <v>0</v>
      </c>
      <c r="AJP24" s="24" t="n">
        <v>0</v>
      </c>
      <c r="AJQ24" s="24" t="n">
        <v>0</v>
      </c>
      <c r="AJR24" s="24" t="n">
        <v>30.64</v>
      </c>
      <c r="AJS24" s="24" t="n">
        <v>37.97</v>
      </c>
      <c r="AJT24" s="24" t="n">
        <v>4.59</v>
      </c>
      <c r="AJU24" s="24" t="n">
        <v>0</v>
      </c>
      <c r="AJV24" s="24" t="n">
        <v>0</v>
      </c>
      <c r="AJW24" s="24" t="n">
        <v>0</v>
      </c>
      <c r="AKJ24" s="24" t="n">
        <v>4.8</v>
      </c>
      <c r="AKK24" s="24" t="n">
        <v>0</v>
      </c>
      <c r="AKV24" s="28"/>
      <c r="ALN24" s="24" t="n">
        <v>1</v>
      </c>
      <c r="ALO24" s="24" t="n">
        <v>50</v>
      </c>
      <c r="ALP24" s="24" t="n">
        <v>3</v>
      </c>
      <c r="ALQ24" s="24" t="n">
        <f aca="false">0.73*3</f>
        <v>2.19</v>
      </c>
      <c r="ALR24" s="24" t="n">
        <v>6</v>
      </c>
    </row>
    <row r="25" customFormat="false" ht="13.8" hidden="false" customHeight="false" outlineLevel="0" collapsed="false">
      <c r="A25" s="22" t="s">
        <v>336</v>
      </c>
      <c r="B25" s="23" t="n">
        <v>42899</v>
      </c>
      <c r="C25" s="24" t="n">
        <v>2</v>
      </c>
      <c r="D25" s="13" t="n">
        <v>42814</v>
      </c>
      <c r="E25" s="12" t="n">
        <v>35072</v>
      </c>
      <c r="F25" s="14" t="n">
        <f aca="false">(B25-E25)/365.25</f>
        <v>21.429158110883</v>
      </c>
      <c r="G25" s="14" t="n">
        <f aca="false">(B25-D25)/365.25</f>
        <v>0.232717316906229</v>
      </c>
      <c r="H25" s="21" t="s">
        <v>306</v>
      </c>
      <c r="I25" s="21" t="s">
        <v>307</v>
      </c>
      <c r="J25" s="21" t="s">
        <v>181</v>
      </c>
      <c r="K25" s="21" t="n">
        <v>4</v>
      </c>
      <c r="L25" s="19" t="n">
        <v>72</v>
      </c>
      <c r="M25" s="0" t="n">
        <v>1.78</v>
      </c>
      <c r="N25" s="16" t="n">
        <f aca="false">L25/(M25*M25)</f>
        <v>22.7244034844085</v>
      </c>
      <c r="O25" s="19" t="n">
        <v>0</v>
      </c>
      <c r="P25" s="19" t="n">
        <v>0</v>
      </c>
      <c r="Q25" s="19" t="n">
        <v>0</v>
      </c>
      <c r="R25" s="19" t="n">
        <v>0</v>
      </c>
      <c r="S25" s="19" t="n">
        <v>0</v>
      </c>
      <c r="T25" s="19" t="n">
        <v>0</v>
      </c>
      <c r="U25" s="19" t="n">
        <v>0</v>
      </c>
      <c r="V25" s="19" t="n">
        <v>0</v>
      </c>
      <c r="W25" s="19" t="n">
        <v>1</v>
      </c>
      <c r="X25" s="19" t="n">
        <v>0</v>
      </c>
      <c r="Y25" s="19" t="n">
        <v>1</v>
      </c>
      <c r="Z25" s="19" t="n">
        <v>1</v>
      </c>
      <c r="AA25" s="19" t="n">
        <v>60</v>
      </c>
      <c r="AB25" s="19" t="s">
        <v>337</v>
      </c>
      <c r="AC25" s="19" t="n">
        <v>1</v>
      </c>
      <c r="AD25" s="19" t="n">
        <v>3</v>
      </c>
      <c r="AE25" s="19" t="n">
        <v>0</v>
      </c>
      <c r="AF25" s="19" t="n">
        <v>0</v>
      </c>
      <c r="AG25" s="19" t="n">
        <v>0</v>
      </c>
      <c r="AH25" s="19" t="n">
        <v>0</v>
      </c>
      <c r="AI25" s="19" t="n">
        <v>0</v>
      </c>
      <c r="AJ25" s="19" t="n">
        <v>0</v>
      </c>
      <c r="AK25" s="19" t="n">
        <v>0</v>
      </c>
      <c r="AL25" s="19" t="n">
        <v>0</v>
      </c>
      <c r="AM25" s="19" t="n">
        <v>0</v>
      </c>
      <c r="AN25" s="19" t="n">
        <v>0</v>
      </c>
      <c r="AO25" s="19" t="n">
        <v>0</v>
      </c>
      <c r="AP25" s="19" t="n">
        <v>0</v>
      </c>
      <c r="AQ25" s="19" t="n">
        <v>0</v>
      </c>
      <c r="AR25" s="19" t="n">
        <v>0</v>
      </c>
      <c r="AS25" s="19" t="n">
        <v>1</v>
      </c>
      <c r="AT25" s="19" t="n">
        <v>0</v>
      </c>
      <c r="AU25" s="19" t="n">
        <v>1</v>
      </c>
      <c r="AV25" s="19" t="n">
        <v>3</v>
      </c>
      <c r="AW25" s="19" t="n">
        <v>0</v>
      </c>
      <c r="AX25" s="19" t="n">
        <v>0</v>
      </c>
      <c r="AY25" s="19" t="n">
        <v>0</v>
      </c>
      <c r="AZ25" s="19" t="n">
        <v>0</v>
      </c>
      <c r="BA25" s="19" t="n">
        <v>0</v>
      </c>
      <c r="BB25" s="19" t="n">
        <v>0</v>
      </c>
      <c r="BC25" s="19" t="n">
        <v>0</v>
      </c>
      <c r="BD25" s="19" t="n">
        <v>0</v>
      </c>
      <c r="BE25" s="19" t="n">
        <v>0</v>
      </c>
      <c r="BF25" s="19" t="n">
        <v>0</v>
      </c>
      <c r="BG25" s="19" t="n">
        <v>0</v>
      </c>
      <c r="BH25" s="19" t="n">
        <v>0</v>
      </c>
      <c r="BI25" s="19" t="n">
        <v>0</v>
      </c>
      <c r="BJ25" s="19" t="n">
        <v>0</v>
      </c>
      <c r="BK25" s="19" t="n">
        <v>0</v>
      </c>
      <c r="BL25" s="19" t="n">
        <v>0</v>
      </c>
      <c r="BM25" s="19" t="n">
        <v>0</v>
      </c>
      <c r="BN25" s="19" t="n">
        <v>0</v>
      </c>
      <c r="BO25" s="19" t="n">
        <v>0</v>
      </c>
      <c r="BP25" s="19" t="n">
        <v>0</v>
      </c>
      <c r="BQ25" s="19" t="n">
        <v>0</v>
      </c>
      <c r="BR25" s="19" t="n">
        <v>1</v>
      </c>
      <c r="BS25" s="19" t="n">
        <v>2</v>
      </c>
      <c r="BT25" s="19" t="n">
        <v>3</v>
      </c>
      <c r="BU25" s="19" t="n">
        <v>5</v>
      </c>
      <c r="BV25" s="19" t="n">
        <v>3</v>
      </c>
      <c r="BW25" s="19" t="n">
        <v>3</v>
      </c>
      <c r="BX25" s="19" t="n">
        <v>3</v>
      </c>
      <c r="BY25" s="19" t="n">
        <v>4</v>
      </c>
      <c r="BZ25" s="19" t="n">
        <v>3</v>
      </c>
      <c r="CA25" s="19" t="n">
        <v>5</v>
      </c>
      <c r="CB25" s="19" t="n">
        <v>5</v>
      </c>
      <c r="CC25" s="19" t="n">
        <v>5</v>
      </c>
      <c r="CD25" s="19" t="n">
        <v>3</v>
      </c>
      <c r="CE25" s="19" t="n">
        <v>5</v>
      </c>
      <c r="CF25" s="19" t="n">
        <v>5</v>
      </c>
      <c r="CG25" s="19" t="n">
        <v>4</v>
      </c>
      <c r="CH25" s="19" t="n">
        <v>5</v>
      </c>
      <c r="CI25" s="19" t="n">
        <v>5</v>
      </c>
      <c r="CJ25" s="19" t="n">
        <v>4</v>
      </c>
      <c r="CK25" s="19" t="n">
        <v>9</v>
      </c>
      <c r="CL25" s="24" t="s">
        <v>309</v>
      </c>
      <c r="CM25" s="24" t="n">
        <v>31</v>
      </c>
      <c r="CN25" s="27" t="n">
        <v>39.2</v>
      </c>
      <c r="CO25" s="27" t="n">
        <v>83.4</v>
      </c>
      <c r="CP25" s="27" t="n">
        <v>17.2</v>
      </c>
      <c r="CQ25" s="24" t="n">
        <v>85.69</v>
      </c>
      <c r="CR25" s="24" t="n">
        <v>0</v>
      </c>
      <c r="CS25" s="24" t="n">
        <v>0.39</v>
      </c>
      <c r="CT25" s="24" t="n">
        <v>0</v>
      </c>
      <c r="CU25" s="24" t="n">
        <v>13.37</v>
      </c>
      <c r="CV25" s="24" t="n">
        <v>0</v>
      </c>
      <c r="CW25" s="24" t="n">
        <v>0</v>
      </c>
      <c r="CX25" s="24" t="n">
        <v>0</v>
      </c>
      <c r="CY25" s="24" t="n">
        <v>0</v>
      </c>
      <c r="CZ25" s="24" t="n">
        <v>0</v>
      </c>
      <c r="DA25" s="24" t="n">
        <v>0</v>
      </c>
      <c r="DB25" s="24" t="n">
        <v>12.36</v>
      </c>
      <c r="DC25" s="24" t="n">
        <v>18.21</v>
      </c>
      <c r="DD25" s="24" t="n">
        <v>12.25</v>
      </c>
      <c r="DE25" s="24" t="n">
        <v>3.27</v>
      </c>
      <c r="DF25" s="24" t="n">
        <v>5.02</v>
      </c>
      <c r="DG25" s="24" t="n">
        <v>4.8</v>
      </c>
      <c r="DH25" s="24" t="n">
        <v>1</v>
      </c>
      <c r="DI25" s="24" t="n">
        <v>5</v>
      </c>
      <c r="DK25" s="24" t="n">
        <v>2</v>
      </c>
      <c r="DL25" s="24" t="n">
        <v>3</v>
      </c>
      <c r="DN25" s="24" t="n">
        <v>1</v>
      </c>
      <c r="DU25" s="24" t="n">
        <v>2.4</v>
      </c>
      <c r="DV25" s="24" t="n">
        <v>1</v>
      </c>
      <c r="DW25" s="24" t="n">
        <v>35</v>
      </c>
      <c r="DX25" s="24" t="n">
        <v>8</v>
      </c>
      <c r="DY25" s="24" t="n">
        <f aca="false">0.13*4</f>
        <v>0.52</v>
      </c>
      <c r="DZ25" s="24" t="n">
        <v>3</v>
      </c>
      <c r="EA25" s="24" t="n">
        <v>23</v>
      </c>
      <c r="EB25" s="24" t="n">
        <v>2</v>
      </c>
      <c r="EC25" s="24" t="n">
        <v>0.12</v>
      </c>
      <c r="ED25" s="24" t="n">
        <v>3</v>
      </c>
      <c r="EG25" s="28"/>
      <c r="EY25" s="24" t="n">
        <v>1</v>
      </c>
      <c r="EZ25" s="24" t="n">
        <v>50</v>
      </c>
      <c r="FA25" s="24" t="n">
        <v>5</v>
      </c>
      <c r="FB25" s="24" t="n">
        <v>0.32</v>
      </c>
      <c r="FC25" s="24" t="n">
        <v>3</v>
      </c>
      <c r="GJ25" s="27" t="n">
        <v>0.43</v>
      </c>
      <c r="GK25" s="27" t="n">
        <v>1</v>
      </c>
      <c r="GL25" s="27" t="n">
        <v>1</v>
      </c>
      <c r="GM25" s="27"/>
      <c r="GN25" s="27" t="n">
        <f aca="false">0.11+0.06+0.26*2</f>
        <v>0.69</v>
      </c>
      <c r="GO25" s="27" t="n">
        <v>2</v>
      </c>
      <c r="GP25" s="27"/>
      <c r="GQ25" s="27" t="n">
        <f aca="false">3.35*2+0.35*2</f>
        <v>7.4</v>
      </c>
      <c r="GR25" s="27"/>
      <c r="GS25" s="27"/>
      <c r="GT25" s="27"/>
      <c r="GU25" s="27" t="n">
        <v>1.74</v>
      </c>
      <c r="GV25" s="27" t="n">
        <v>1.32</v>
      </c>
      <c r="GW25" s="27"/>
      <c r="GX25" s="27"/>
      <c r="GY25" s="27" t="n">
        <v>4.32</v>
      </c>
      <c r="GZ25" s="27" t="n">
        <v>1.2</v>
      </c>
      <c r="HA25" s="27" t="n">
        <v>0.11</v>
      </c>
      <c r="HB25" s="24" t="n">
        <v>2</v>
      </c>
      <c r="HC25" s="24" t="s">
        <v>310</v>
      </c>
      <c r="HD25" s="24" t="n">
        <v>22.5</v>
      </c>
      <c r="HE25" s="27" t="n">
        <v>20.9</v>
      </c>
      <c r="HF25" s="27" t="n">
        <v>83.4</v>
      </c>
      <c r="HG25" s="27" t="n">
        <v>11</v>
      </c>
      <c r="HH25" s="24" t="n">
        <v>91.28</v>
      </c>
      <c r="HI25" s="24" t="n">
        <v>0</v>
      </c>
      <c r="HJ25" s="24" t="n">
        <v>0</v>
      </c>
      <c r="HK25" s="24" t="n">
        <v>0</v>
      </c>
      <c r="HL25" s="24" t="n">
        <v>4.15</v>
      </c>
      <c r="HM25" s="24" t="n">
        <v>0</v>
      </c>
      <c r="HN25" s="24" t="n">
        <v>0</v>
      </c>
      <c r="HO25" s="24" t="n">
        <v>0</v>
      </c>
      <c r="HP25" s="24" t="n">
        <v>0</v>
      </c>
      <c r="HQ25" s="24" t="n">
        <v>0</v>
      </c>
      <c r="HR25" s="24" t="n">
        <v>0</v>
      </c>
      <c r="HS25" s="24" t="n">
        <v>0.71</v>
      </c>
      <c r="HT25" s="24" t="n">
        <v>7.61</v>
      </c>
      <c r="HU25" s="24" t="n">
        <v>5.28</v>
      </c>
      <c r="HV25" s="24" t="n">
        <v>2.47</v>
      </c>
      <c r="HW25" s="24" t="n">
        <v>4.05</v>
      </c>
      <c r="HX25" s="24" t="n">
        <v>6.1</v>
      </c>
      <c r="HY25" s="24" t="n">
        <v>1</v>
      </c>
      <c r="HZ25" s="24" t="n">
        <v>5</v>
      </c>
      <c r="IB25" s="24" t="n">
        <v>1</v>
      </c>
      <c r="IC25" s="24" t="n">
        <v>3</v>
      </c>
      <c r="IE25" s="24" t="n">
        <v>2</v>
      </c>
      <c r="IL25" s="24" t="n">
        <v>4.7</v>
      </c>
      <c r="IM25" s="24" t="n">
        <v>1</v>
      </c>
      <c r="IN25" s="24" t="n">
        <v>35</v>
      </c>
      <c r="IO25" s="24" t="n">
        <v>8</v>
      </c>
      <c r="IP25" s="24" t="n">
        <f aca="false">0.19+0.32</f>
        <v>0.51</v>
      </c>
      <c r="IQ25" s="24" t="n">
        <v>3</v>
      </c>
      <c r="IX25" s="28"/>
      <c r="JP25" s="24" t="n">
        <v>1</v>
      </c>
      <c r="JQ25" s="24" t="n">
        <v>80</v>
      </c>
      <c r="JR25" s="24" t="n">
        <v>4</v>
      </c>
      <c r="JS25" s="24" t="n">
        <v>1.28</v>
      </c>
      <c r="JT25" s="24" t="n">
        <v>3</v>
      </c>
      <c r="JU25" s="24" t="n">
        <v>60</v>
      </c>
      <c r="JV25" s="24" t="n">
        <v>3</v>
      </c>
      <c r="JW25" s="24" t="n">
        <v>0.29</v>
      </c>
      <c r="JX25" s="24" t="n">
        <v>3</v>
      </c>
      <c r="JY25" s="24" t="n">
        <v>70</v>
      </c>
      <c r="JZ25" s="24" t="n">
        <v>4</v>
      </c>
      <c r="KA25" s="24" t="n">
        <v>0.58</v>
      </c>
      <c r="KB25" s="24" t="n">
        <v>3</v>
      </c>
      <c r="LA25" s="27" t="n">
        <v>0.49</v>
      </c>
      <c r="LB25" s="27" t="n">
        <v>1</v>
      </c>
      <c r="LC25" s="27" t="n">
        <v>2</v>
      </c>
      <c r="LD25" s="27"/>
      <c r="LE25" s="27" t="n">
        <f aca="false">0.27*3</f>
        <v>0.81</v>
      </c>
      <c r="LF25" s="27"/>
      <c r="LG25" s="27"/>
      <c r="LH25" s="27"/>
      <c r="LI25" s="27"/>
      <c r="LJ25" s="27"/>
      <c r="LK25" s="27"/>
      <c r="LL25" s="27" t="n">
        <v>0</v>
      </c>
      <c r="LM25" s="27"/>
      <c r="LN25" s="27"/>
      <c r="LO25" s="27"/>
      <c r="LP25" s="27" t="n">
        <v>0</v>
      </c>
      <c r="LQ25" s="27" t="n">
        <v>0</v>
      </c>
      <c r="LR25" s="27" t="n">
        <v>0</v>
      </c>
      <c r="LS25" s="24" t="n">
        <v>0</v>
      </c>
      <c r="LT25" s="24" t="s">
        <v>311</v>
      </c>
      <c r="LU25" s="24" t="n">
        <v>52</v>
      </c>
      <c r="LV25" s="27" t="n">
        <v>87.1</v>
      </c>
      <c r="LW25" s="27" t="n">
        <v>83.4</v>
      </c>
      <c r="LX25" s="27" t="n">
        <v>31.9</v>
      </c>
      <c r="LY25" s="24" t="n">
        <v>55.25</v>
      </c>
      <c r="LZ25" s="24" t="n">
        <v>0</v>
      </c>
      <c r="MA25" s="24" t="n">
        <v>0</v>
      </c>
      <c r="MB25" s="24" t="n">
        <v>0</v>
      </c>
      <c r="MC25" s="24" t="n">
        <v>36.01</v>
      </c>
      <c r="MD25" s="24" t="n">
        <v>0</v>
      </c>
      <c r="ME25" s="24" t="n">
        <v>0</v>
      </c>
      <c r="MF25" s="24" t="n">
        <v>0</v>
      </c>
      <c r="MG25" s="24" t="n">
        <v>0</v>
      </c>
      <c r="MH25" s="24" t="n">
        <v>0</v>
      </c>
      <c r="MI25" s="24" t="n">
        <v>0</v>
      </c>
      <c r="MJ25" s="24" t="n">
        <v>1.03</v>
      </c>
      <c r="MK25" s="24" t="n">
        <v>22.5</v>
      </c>
      <c r="ML25" s="24" t="n">
        <v>29.21</v>
      </c>
      <c r="MM25" s="24" t="n">
        <v>12.38</v>
      </c>
      <c r="MN25" s="24" t="n">
        <v>8.73</v>
      </c>
      <c r="MO25" s="24" t="n">
        <v>5.3</v>
      </c>
      <c r="MP25" s="24" t="n">
        <v>1</v>
      </c>
      <c r="MQ25" s="24" t="n">
        <v>5</v>
      </c>
      <c r="MS25" s="24" t="n">
        <v>1</v>
      </c>
      <c r="NC25" s="24" t="n">
        <v>7.1</v>
      </c>
      <c r="ND25" s="24" t="n">
        <v>1</v>
      </c>
      <c r="NE25" s="24" t="n">
        <v>35</v>
      </c>
      <c r="NF25" s="24" t="n">
        <v>8</v>
      </c>
      <c r="NG25" s="24" t="n">
        <f aca="false">0.19+0.32</f>
        <v>0.51</v>
      </c>
      <c r="NH25" s="24" t="n">
        <v>3</v>
      </c>
      <c r="NO25" s="28"/>
      <c r="OG25" s="24" t="n">
        <v>1</v>
      </c>
      <c r="OH25" s="24" t="n">
        <v>50</v>
      </c>
      <c r="OI25" s="24" t="n">
        <v>7</v>
      </c>
      <c r="OJ25" s="24" t="n">
        <f aca="false">0.92+0.73+0.32</f>
        <v>1.97</v>
      </c>
      <c r="OK25" s="24" t="n">
        <v>3</v>
      </c>
      <c r="OL25" s="24" t="n">
        <v>70</v>
      </c>
      <c r="OM25" s="24" t="n">
        <v>11</v>
      </c>
      <c r="ON25" s="24" t="n">
        <f aca="false">0.73+0.65</f>
        <v>1.38</v>
      </c>
      <c r="OO25" s="24" t="n">
        <v>3</v>
      </c>
      <c r="OP25" s="24" t="n">
        <v>50</v>
      </c>
      <c r="OQ25" s="24" t="n">
        <v>1</v>
      </c>
      <c r="OR25" s="24" t="n">
        <v>0.37</v>
      </c>
      <c r="OS25" s="24" t="n">
        <v>4</v>
      </c>
      <c r="OT25" s="24" t="n">
        <v>50</v>
      </c>
      <c r="OU25" s="24" t="n">
        <v>1</v>
      </c>
      <c r="OV25" s="24" t="n">
        <v>0.37</v>
      </c>
      <c r="OW25" s="24" t="n">
        <v>6</v>
      </c>
      <c r="OX25" s="24" t="n">
        <v>60</v>
      </c>
      <c r="OY25" s="24" t="n">
        <v>12</v>
      </c>
      <c r="OZ25" s="24" t="n">
        <f aca="false">0.65+0.13</f>
        <v>0.78</v>
      </c>
      <c r="PA25" s="24" t="n">
        <v>3</v>
      </c>
      <c r="PB25" s="24" t="n">
        <v>60</v>
      </c>
      <c r="PC25" s="24" t="n">
        <v>4</v>
      </c>
      <c r="PD25" s="24" t="n">
        <v>0.26</v>
      </c>
      <c r="PE25" s="24" t="n">
        <v>1</v>
      </c>
      <c r="PF25" s="24" t="n">
        <v>70</v>
      </c>
      <c r="PG25" s="24" t="n">
        <v>4</v>
      </c>
      <c r="PH25" s="24" t="n">
        <v>0.39</v>
      </c>
      <c r="PI25" s="24" t="n">
        <v>1</v>
      </c>
      <c r="PJ25" s="24" t="n">
        <v>60</v>
      </c>
      <c r="PK25" s="24" t="n">
        <v>2</v>
      </c>
      <c r="PL25" s="24" t="n">
        <v>0.13</v>
      </c>
      <c r="PM25" s="24" t="n">
        <v>6</v>
      </c>
      <c r="PN25" s="24" t="n">
        <v>50</v>
      </c>
      <c r="PO25" s="24" t="n">
        <v>1</v>
      </c>
      <c r="PP25" s="24" t="n">
        <v>0.83</v>
      </c>
      <c r="PQ25" s="24" t="n">
        <v>6</v>
      </c>
      <c r="PR25" s="27" t="n">
        <v>5.11</v>
      </c>
      <c r="PS25" s="27" t="n">
        <v>1</v>
      </c>
      <c r="PT25" s="27" t="n">
        <v>1</v>
      </c>
      <c r="PU25" s="27"/>
      <c r="PV25" s="27" t="n">
        <f aca="false">0.18*2</f>
        <v>0.36</v>
      </c>
      <c r="PW25" s="27" t="n">
        <v>2</v>
      </c>
      <c r="PX25" s="27"/>
      <c r="PY25" s="27" t="n">
        <f aca="false">0.75+1.53+2.04+1</f>
        <v>5.32</v>
      </c>
      <c r="PZ25" s="27"/>
      <c r="QA25" s="27"/>
      <c r="QB25" s="27"/>
      <c r="QC25" s="27" t="n">
        <v>2.17</v>
      </c>
      <c r="QD25" s="27" t="n">
        <v>2.18</v>
      </c>
      <c r="QE25" s="27"/>
      <c r="QF25" s="27"/>
      <c r="QG25" s="27" t="n">
        <v>0</v>
      </c>
      <c r="QH25" s="27" t="n">
        <v>0</v>
      </c>
      <c r="QI25" s="27" t="n">
        <v>0</v>
      </c>
      <c r="QJ25" s="24" t="n">
        <v>0</v>
      </c>
      <c r="QK25" s="24" t="s">
        <v>312</v>
      </c>
      <c r="QL25" s="24" t="n">
        <v>40</v>
      </c>
      <c r="QM25" s="27" t="n">
        <v>90.5</v>
      </c>
      <c r="QN25" s="27" t="n">
        <v>83.4</v>
      </c>
      <c r="QO25" s="27" t="n">
        <v>24.1</v>
      </c>
      <c r="QP25" s="24" t="n">
        <v>65.22</v>
      </c>
      <c r="QQ25" s="24" t="n">
        <v>0</v>
      </c>
      <c r="QR25" s="24" t="n">
        <v>0</v>
      </c>
      <c r="QS25" s="24" t="n">
        <v>0</v>
      </c>
      <c r="QT25" s="24" t="n">
        <v>27.95</v>
      </c>
      <c r="QU25" s="24" t="n">
        <v>0</v>
      </c>
      <c r="QV25" s="24" t="n">
        <v>0</v>
      </c>
      <c r="QW25" s="24" t="n">
        <v>0</v>
      </c>
      <c r="QX25" s="24" t="n">
        <v>0</v>
      </c>
      <c r="QY25" s="24" t="n">
        <v>0</v>
      </c>
      <c r="QZ25" s="24" t="n">
        <v>0</v>
      </c>
      <c r="RA25" s="24" t="n">
        <v>0.5</v>
      </c>
      <c r="RB25" s="24" t="n">
        <v>25.43</v>
      </c>
      <c r="RC25" s="24" t="n">
        <v>28.69</v>
      </c>
      <c r="RD25" s="24" t="n">
        <v>8.32</v>
      </c>
      <c r="RE25" s="24" t="n">
        <v>6.81</v>
      </c>
      <c r="RF25" s="24" t="n">
        <v>5.3</v>
      </c>
      <c r="RG25" s="24" t="n">
        <v>1</v>
      </c>
      <c r="RH25" s="24" t="n">
        <v>5</v>
      </c>
      <c r="RJ25" s="24" t="n">
        <v>1</v>
      </c>
      <c r="RT25" s="24" t="n">
        <v>3.5</v>
      </c>
      <c r="RU25" s="24" t="n">
        <v>0</v>
      </c>
      <c r="SF25" s="28"/>
      <c r="SX25" s="24" t="n">
        <v>1</v>
      </c>
      <c r="SY25" s="24" t="n">
        <v>50</v>
      </c>
      <c r="SZ25" s="24" t="n">
        <v>9</v>
      </c>
      <c r="TA25" s="24" t="n">
        <f aca="false">0.9+0.72+0.92+0.73+0.32</f>
        <v>3.59</v>
      </c>
      <c r="TB25" s="24" t="n">
        <v>3</v>
      </c>
      <c r="TC25" s="24" t="n">
        <v>70</v>
      </c>
      <c r="TD25" s="24" t="n">
        <v>12</v>
      </c>
      <c r="TE25" s="24" t="n">
        <f aca="false">0.72+0.73+0.65</f>
        <v>2.1</v>
      </c>
      <c r="TF25" s="24" t="n">
        <v>3</v>
      </c>
      <c r="TG25" s="24" t="n">
        <v>60</v>
      </c>
      <c r="TH25" s="24" t="n">
        <v>2</v>
      </c>
      <c r="TI25" s="24" t="n">
        <v>0.13</v>
      </c>
      <c r="TJ25" s="24" t="n">
        <v>3</v>
      </c>
      <c r="TK25" s="24" t="n">
        <v>50</v>
      </c>
      <c r="TL25" s="24" t="n">
        <v>1</v>
      </c>
      <c r="TM25" s="24" t="n">
        <v>0.83</v>
      </c>
      <c r="TN25" s="24" t="n">
        <v>6</v>
      </c>
      <c r="TO25" s="24" t="n">
        <v>60</v>
      </c>
      <c r="TP25" s="24" t="n">
        <v>1</v>
      </c>
      <c r="TQ25" s="24" t="n">
        <v>0.13</v>
      </c>
      <c r="TR25" s="24" t="n">
        <v>6</v>
      </c>
      <c r="TS25" s="24" t="n">
        <v>70</v>
      </c>
      <c r="TT25" s="24" t="n">
        <v>1</v>
      </c>
      <c r="TU25" s="24" t="n">
        <v>0.39</v>
      </c>
      <c r="TV25" s="24" t="n">
        <v>1</v>
      </c>
      <c r="TW25" s="24" t="n">
        <v>50</v>
      </c>
      <c r="TX25" s="24" t="n">
        <v>2</v>
      </c>
      <c r="TY25" s="24" t="n">
        <f aca="false">0.36+0.37</f>
        <v>0.73</v>
      </c>
      <c r="TZ25" s="24" t="n">
        <v>4</v>
      </c>
      <c r="UI25" s="27" t="n">
        <v>3.9</v>
      </c>
      <c r="UJ25" s="27" t="n">
        <v>1</v>
      </c>
      <c r="UK25" s="27" t="n">
        <v>1</v>
      </c>
      <c r="UL25" s="27"/>
      <c r="UM25" s="27" t="n">
        <f aca="false">1.53+0.75+0.18*2</f>
        <v>2.64</v>
      </c>
      <c r="UN25" s="27" t="n">
        <v>2</v>
      </c>
      <c r="UO25" s="27"/>
      <c r="UP25" s="27" t="n">
        <f aca="false">3.06+1.5</f>
        <v>4.56</v>
      </c>
      <c r="UQ25" s="27"/>
      <c r="UR25" s="27"/>
      <c r="US25" s="27"/>
      <c r="UT25" s="27" t="n">
        <v>3</v>
      </c>
      <c r="UU25" s="27" t="n">
        <v>2.19</v>
      </c>
      <c r="UV25" s="27"/>
      <c r="UW25" s="27"/>
      <c r="UX25" s="27" t="n">
        <v>0</v>
      </c>
      <c r="UY25" s="27" t="n">
        <v>0</v>
      </c>
      <c r="UZ25" s="27" t="n">
        <v>0</v>
      </c>
      <c r="VA25" s="24" t="n">
        <v>0</v>
      </c>
      <c r="VB25" s="24" t="s">
        <v>313</v>
      </c>
      <c r="VC25" s="24" t="n">
        <v>39</v>
      </c>
      <c r="VD25" s="27" t="n">
        <v>80.9</v>
      </c>
      <c r="VE25" s="27" t="n">
        <v>83.4</v>
      </c>
      <c r="VF25" s="27" t="n">
        <v>19.3</v>
      </c>
      <c r="VG25" s="24" t="n">
        <v>75.96</v>
      </c>
      <c r="VH25" s="24" t="n">
        <v>0</v>
      </c>
      <c r="VI25" s="24" t="n">
        <v>3.12</v>
      </c>
      <c r="VJ25" s="24" t="n">
        <v>0</v>
      </c>
      <c r="VK25" s="24" t="n">
        <v>20.93</v>
      </c>
      <c r="VL25" s="24" t="n">
        <v>0</v>
      </c>
      <c r="VM25" s="24" t="n">
        <v>0</v>
      </c>
      <c r="VN25" s="24" t="n">
        <v>0</v>
      </c>
      <c r="VO25" s="24" t="n">
        <v>0</v>
      </c>
      <c r="VP25" s="24" t="n">
        <v>0</v>
      </c>
      <c r="VQ25" s="24" t="n">
        <v>0</v>
      </c>
      <c r="VR25" s="24" t="n">
        <v>5.32</v>
      </c>
      <c r="VS25" s="24" t="n">
        <v>30.75</v>
      </c>
      <c r="VT25" s="24" t="n">
        <v>28.21</v>
      </c>
      <c r="VU25" s="24" t="n">
        <v>4.22</v>
      </c>
      <c r="VV25" s="24" t="n">
        <v>0</v>
      </c>
      <c r="VW25" s="24" t="n">
        <v>0</v>
      </c>
      <c r="VX25" s="24" t="n">
        <v>0</v>
      </c>
      <c r="WK25" s="24" t="n">
        <v>15.8</v>
      </c>
      <c r="WL25" s="24" t="n">
        <v>1</v>
      </c>
      <c r="WM25" s="24" t="n">
        <v>35</v>
      </c>
      <c r="WN25" s="24" t="n">
        <v>4</v>
      </c>
      <c r="WO25" s="24" t="n">
        <f aca="false">0.73*4</f>
        <v>2.92</v>
      </c>
      <c r="WP25" s="24" t="n">
        <v>3</v>
      </c>
      <c r="WQ25" s="24" t="n">
        <v>23</v>
      </c>
      <c r="WR25" s="24" t="n">
        <v>1</v>
      </c>
      <c r="WS25" s="24" t="n">
        <v>0.06</v>
      </c>
      <c r="WT25" s="24" t="n">
        <v>3</v>
      </c>
      <c r="WW25" s="28"/>
      <c r="XO25" s="24" t="n">
        <v>1</v>
      </c>
      <c r="XP25" s="24" t="n">
        <v>60</v>
      </c>
      <c r="XQ25" s="24" t="n">
        <v>1</v>
      </c>
      <c r="XR25" s="24" t="n">
        <v>0.73</v>
      </c>
      <c r="XS25" s="24" t="n">
        <v>3</v>
      </c>
      <c r="XT25" s="24" t="n">
        <v>50</v>
      </c>
      <c r="XU25" s="24" t="n">
        <v>1</v>
      </c>
      <c r="XV25" s="24" t="n">
        <v>0.73</v>
      </c>
      <c r="XW25" s="24" t="n">
        <v>1</v>
      </c>
      <c r="XX25" s="24" t="n">
        <v>40</v>
      </c>
      <c r="XY25" s="24" t="n">
        <v>1</v>
      </c>
      <c r="XZ25" s="24" t="n">
        <v>0.73</v>
      </c>
      <c r="YA25" s="24" t="n">
        <v>6</v>
      </c>
      <c r="YB25" s="24" t="n">
        <v>50</v>
      </c>
      <c r="YC25" s="24" t="n">
        <v>1</v>
      </c>
      <c r="YD25" s="24" t="n">
        <v>0.19</v>
      </c>
      <c r="YE25" s="24" t="n">
        <v>3</v>
      </c>
      <c r="YF25" s="24" t="n">
        <v>70</v>
      </c>
      <c r="YG25" s="24" t="n">
        <v>3</v>
      </c>
      <c r="YH25" s="24" t="n">
        <v>0.58</v>
      </c>
      <c r="YI25" s="24" t="n">
        <v>3</v>
      </c>
      <c r="YJ25" s="24" t="n">
        <v>50</v>
      </c>
      <c r="YK25" s="24" t="n">
        <v>1</v>
      </c>
      <c r="YL25" s="24" t="n">
        <v>0.29</v>
      </c>
      <c r="YM25" s="24" t="n">
        <v>6</v>
      </c>
      <c r="YZ25" s="27" t="n">
        <v>0</v>
      </c>
      <c r="ZA25" s="27" t="n">
        <v>0</v>
      </c>
      <c r="ZB25" s="27"/>
      <c r="ZC25" s="27"/>
      <c r="ZD25" s="27"/>
      <c r="ZE25" s="27"/>
      <c r="ZF25" s="27"/>
      <c r="ZG25" s="27"/>
      <c r="ZH25" s="27"/>
      <c r="ZI25" s="27"/>
      <c r="ZJ25" s="27"/>
      <c r="ZK25" s="27" t="n">
        <v>0.26</v>
      </c>
      <c r="ZL25" s="27" t="n">
        <v>0.26</v>
      </c>
      <c r="ZM25" s="27"/>
      <c r="ZN25" s="27"/>
      <c r="ZO25" s="27" t="n">
        <v>3.6</v>
      </c>
      <c r="ZP25" s="27" t="n">
        <v>0.88</v>
      </c>
      <c r="ZQ25" s="27" t="n">
        <v>0</v>
      </c>
      <c r="ZR25" s="24" t="n">
        <v>0</v>
      </c>
      <c r="ZS25" s="24" t="s">
        <v>314</v>
      </c>
      <c r="ZT25" s="24" t="n">
        <v>36</v>
      </c>
      <c r="ZU25" s="27" t="n">
        <v>71.4</v>
      </c>
      <c r="ZV25" s="27" t="n">
        <v>83.4</v>
      </c>
      <c r="ZW25" s="27" t="n">
        <v>17.2</v>
      </c>
      <c r="ZX25" s="24" t="n">
        <v>79.88</v>
      </c>
      <c r="ZY25" s="24" t="n">
        <v>0</v>
      </c>
      <c r="ZZ25" s="24" t="n">
        <v>3.12</v>
      </c>
      <c r="AAA25" s="24" t="n">
        <v>0</v>
      </c>
      <c r="AAB25" s="24" t="n">
        <v>17</v>
      </c>
      <c r="AAC25" s="24" t="n">
        <v>0</v>
      </c>
      <c r="AAD25" s="24" t="n">
        <v>0</v>
      </c>
      <c r="AAE25" s="24" t="n">
        <v>0</v>
      </c>
      <c r="AAF25" s="24" t="n">
        <v>0</v>
      </c>
      <c r="AAG25" s="24" t="n">
        <v>0</v>
      </c>
      <c r="AAH25" s="24" t="n">
        <v>0</v>
      </c>
      <c r="AAI25" s="24" t="n">
        <v>5.32</v>
      </c>
      <c r="AAJ25" s="24" t="n">
        <v>31.86</v>
      </c>
      <c r="AAK25" s="24" t="n">
        <v>24.1</v>
      </c>
      <c r="AAL25" s="24" t="n">
        <v>2.02</v>
      </c>
      <c r="AAM25" s="24" t="n">
        <v>0</v>
      </c>
      <c r="AAN25" s="24" t="n">
        <v>0</v>
      </c>
      <c r="AAO25" s="24" t="n">
        <v>0</v>
      </c>
      <c r="ABB25" s="24" t="n">
        <v>15.1</v>
      </c>
      <c r="ABC25" s="24" t="n">
        <v>1</v>
      </c>
      <c r="ABD25" s="24" t="n">
        <v>35</v>
      </c>
      <c r="ABE25" s="24" t="n">
        <v>4</v>
      </c>
      <c r="ABF25" s="24" t="n">
        <f aca="false">0.73*4</f>
        <v>2.92</v>
      </c>
      <c r="ABG25" s="24" t="n">
        <v>3</v>
      </c>
      <c r="ABN25" s="28"/>
      <c r="ACF25" s="24" t="n">
        <v>1</v>
      </c>
      <c r="ACG25" s="24" t="n">
        <v>50</v>
      </c>
      <c r="ACH25" s="24" t="n">
        <v>2</v>
      </c>
      <c r="ACI25" s="24" t="n">
        <f aca="false">0.73+0.19</f>
        <v>0.92</v>
      </c>
      <c r="ACJ25" s="24" t="n">
        <v>3</v>
      </c>
      <c r="ACK25" s="24" t="n">
        <v>50</v>
      </c>
      <c r="ACL25" s="24" t="n">
        <v>1</v>
      </c>
      <c r="ACM25" s="24" t="n">
        <v>0.73</v>
      </c>
      <c r="ACN25" s="24" t="n">
        <v>1</v>
      </c>
      <c r="ACO25" s="24" t="n">
        <v>70</v>
      </c>
      <c r="ACP25" s="24" t="n">
        <v>3</v>
      </c>
      <c r="ACQ25" s="24" t="n">
        <v>0.58</v>
      </c>
      <c r="ACR25" s="24" t="n">
        <v>3</v>
      </c>
      <c r="ACS25" s="24" t="n">
        <v>40</v>
      </c>
      <c r="ACT25" s="24" t="n">
        <v>1</v>
      </c>
      <c r="ACU25" s="24" t="n">
        <v>1.65</v>
      </c>
      <c r="ACV25" s="24" t="n">
        <v>6</v>
      </c>
      <c r="ADQ25" s="27" t="n">
        <v>0</v>
      </c>
      <c r="ADR25" s="27" t="n">
        <v>0</v>
      </c>
      <c r="ADS25" s="27"/>
      <c r="ADT25" s="27"/>
      <c r="ADU25" s="27"/>
      <c r="ADV25" s="27"/>
      <c r="ADW25" s="27"/>
      <c r="ADX25" s="27"/>
      <c r="ADY25" s="27"/>
      <c r="ADZ25" s="27"/>
      <c r="AEA25" s="27"/>
      <c r="AEB25" s="27" t="n">
        <v>0</v>
      </c>
      <c r="AEC25" s="27" t="n">
        <v>0</v>
      </c>
      <c r="AED25" s="27"/>
      <c r="AEE25" s="27"/>
      <c r="AEF25" s="27" t="n">
        <v>3.6</v>
      </c>
      <c r="AEG25" s="27" t="n">
        <v>0.88</v>
      </c>
      <c r="AEH25" s="27" t="n">
        <v>0</v>
      </c>
      <c r="AEI25" s="24" t="n">
        <v>0</v>
      </c>
      <c r="AEJ25" s="24" t="s">
        <v>315</v>
      </c>
      <c r="AEK25" s="24" t="n">
        <v>38.5</v>
      </c>
      <c r="AEL25" s="27" t="n">
        <v>90.6</v>
      </c>
      <c r="AEM25" s="27" t="n">
        <v>83.4</v>
      </c>
      <c r="AEN25" s="27" t="n">
        <v>29.4</v>
      </c>
      <c r="AEO25" s="24" t="n">
        <v>59.08</v>
      </c>
      <c r="AEP25" s="24" t="n">
        <v>0</v>
      </c>
      <c r="AEQ25" s="24" t="n">
        <v>0</v>
      </c>
      <c r="AER25" s="24" t="n">
        <v>0</v>
      </c>
      <c r="AES25" s="24" t="n">
        <v>40.92</v>
      </c>
      <c r="AET25" s="24" t="n">
        <v>0</v>
      </c>
      <c r="AEU25" s="24" t="n">
        <v>0</v>
      </c>
      <c r="AEV25" s="24" t="n">
        <v>0</v>
      </c>
      <c r="AEW25" s="24" t="n">
        <v>0</v>
      </c>
      <c r="AEX25" s="24" t="n">
        <v>0</v>
      </c>
      <c r="AEY25" s="24" t="n">
        <v>0</v>
      </c>
      <c r="AEZ25" s="24" t="n">
        <v>3.67</v>
      </c>
      <c r="AFA25" s="24" t="n">
        <v>24.93</v>
      </c>
      <c r="AFB25" s="24" t="n">
        <v>39.44</v>
      </c>
      <c r="AFC25" s="24" t="n">
        <v>8.51</v>
      </c>
      <c r="AFD25" s="24" t="n">
        <v>0</v>
      </c>
      <c r="AFE25" s="24" t="n">
        <v>0</v>
      </c>
      <c r="AFF25" s="24" t="n">
        <v>0</v>
      </c>
      <c r="AFS25" s="24" t="n">
        <v>3.7</v>
      </c>
      <c r="AFT25" s="24" t="n">
        <v>1</v>
      </c>
      <c r="AFU25" s="24" t="n">
        <v>34</v>
      </c>
      <c r="AFV25" s="24" t="n">
        <v>2</v>
      </c>
      <c r="AFW25" s="24" t="n">
        <f aca="false">4.05</f>
        <v>4.05</v>
      </c>
      <c r="AFX25" s="24" t="n">
        <v>1</v>
      </c>
      <c r="AGE25" s="28"/>
      <c r="AGW25" s="24" t="n">
        <v>1</v>
      </c>
      <c r="AGX25" s="24" t="n">
        <v>50</v>
      </c>
      <c r="AGY25" s="24" t="n">
        <v>2</v>
      </c>
      <c r="AGZ25" s="24" t="n">
        <f aca="false">0.73*2</f>
        <v>1.46</v>
      </c>
      <c r="AHA25" s="24" t="n">
        <v>6</v>
      </c>
      <c r="AIH25" s="27" t="n">
        <v>4.96</v>
      </c>
      <c r="AII25" s="27" t="n">
        <v>1</v>
      </c>
      <c r="AIJ25" s="27" t="n">
        <v>2</v>
      </c>
      <c r="AIK25" s="27"/>
      <c r="AIL25" s="27" t="n">
        <f aca="false">7.34*2+0.65*4</f>
        <v>17.28</v>
      </c>
      <c r="AIM25" s="27"/>
      <c r="AIN25" s="27"/>
      <c r="AIO25" s="27"/>
      <c r="AIP25" s="27"/>
      <c r="AIQ25" s="27"/>
      <c r="AIR25" s="27"/>
      <c r="AIS25" s="27" t="n">
        <v>0.19</v>
      </c>
      <c r="AIT25" s="27" t="n">
        <v>0.19</v>
      </c>
      <c r="AIU25" s="27"/>
      <c r="AIV25" s="27"/>
      <c r="AIW25" s="27" t="n">
        <v>0</v>
      </c>
      <c r="AIX25" s="27" t="n">
        <v>0</v>
      </c>
      <c r="AIY25" s="27" t="n">
        <v>0</v>
      </c>
      <c r="AIZ25" s="24" t="n">
        <v>0</v>
      </c>
      <c r="AJA25" s="24" t="s">
        <v>316</v>
      </c>
      <c r="AJB25" s="24" t="n">
        <v>36</v>
      </c>
      <c r="AJC25" s="27" t="n">
        <v>94.1</v>
      </c>
      <c r="AJD25" s="27" t="n">
        <v>83.4</v>
      </c>
      <c r="AJE25" s="27" t="n">
        <v>25.8</v>
      </c>
      <c r="AJF25" s="24" t="n">
        <v>60.57</v>
      </c>
      <c r="AJG25" s="24" t="n">
        <v>0</v>
      </c>
      <c r="AJH25" s="24" t="n">
        <v>0</v>
      </c>
      <c r="AJI25" s="24" t="n">
        <v>0</v>
      </c>
      <c r="AJJ25" s="24" t="n">
        <v>39.43</v>
      </c>
      <c r="AJK25" s="24" t="n">
        <v>0</v>
      </c>
      <c r="AJL25" s="24" t="n">
        <v>0</v>
      </c>
      <c r="AJM25" s="24" t="n">
        <v>0</v>
      </c>
      <c r="AJN25" s="24" t="n">
        <v>0</v>
      </c>
      <c r="AJO25" s="24" t="n">
        <v>0</v>
      </c>
      <c r="AJP25" s="24" t="n">
        <v>0</v>
      </c>
      <c r="AJQ25" s="24" t="n">
        <v>0</v>
      </c>
      <c r="AJR25" s="24" t="n">
        <v>30.64</v>
      </c>
      <c r="AJS25" s="24" t="n">
        <v>37.97</v>
      </c>
      <c r="AJT25" s="24" t="n">
        <v>4.59</v>
      </c>
      <c r="AJU25" s="24" t="n">
        <v>0</v>
      </c>
      <c r="AJV25" s="24" t="n">
        <v>0</v>
      </c>
      <c r="AJW25" s="24" t="n">
        <v>0</v>
      </c>
      <c r="AKJ25" s="24" t="n">
        <v>4.8</v>
      </c>
      <c r="AKK25" s="24" t="n">
        <v>0</v>
      </c>
      <c r="AKV25" s="28"/>
      <c r="ALN25" s="24" t="n">
        <v>1</v>
      </c>
      <c r="ALO25" s="24" t="n">
        <v>50</v>
      </c>
      <c r="ALP25" s="24" t="n">
        <v>3</v>
      </c>
      <c r="ALQ25" s="24" t="n">
        <f aca="false">0.73*3</f>
        <v>2.19</v>
      </c>
      <c r="ALR25" s="24" t="n">
        <v>6</v>
      </c>
    </row>
    <row r="26" customFormat="false" ht="13.8" hidden="false" customHeight="false" outlineLevel="0" collapsed="false">
      <c r="A26" s="1" t="s">
        <v>338</v>
      </c>
      <c r="B26" s="12" t="n">
        <v>42899</v>
      </c>
      <c r="C26" s="0" t="n">
        <v>2</v>
      </c>
      <c r="D26" s="13" t="n">
        <v>42821</v>
      </c>
      <c r="E26" s="12" t="n">
        <v>32426</v>
      </c>
      <c r="F26" s="14" t="n">
        <f aca="false">(B26-E26)/365.25</f>
        <v>28.6735112936345</v>
      </c>
      <c r="G26" s="14" t="n">
        <f aca="false">(B26-D26)/365.25</f>
        <v>0.213552361396304</v>
      </c>
      <c r="H26" s="15" t="s">
        <v>306</v>
      </c>
      <c r="I26" s="15" t="s">
        <v>307</v>
      </c>
      <c r="J26" s="21" t="s">
        <v>181</v>
      </c>
      <c r="K26" s="21" t="n">
        <v>4</v>
      </c>
      <c r="L26" s="19" t="n">
        <v>68</v>
      </c>
      <c r="M26" s="0" t="n">
        <v>1.71</v>
      </c>
      <c r="N26" s="16" t="n">
        <f aca="false">L26/(M26*M26)</f>
        <v>23.2550186382135</v>
      </c>
      <c r="O26" s="19" t="n">
        <v>0</v>
      </c>
      <c r="P26" s="19" t="n">
        <v>0</v>
      </c>
      <c r="Q26" s="19" t="n">
        <v>0</v>
      </c>
      <c r="R26" s="19" t="n">
        <v>0</v>
      </c>
      <c r="S26" s="19" t="n">
        <v>0</v>
      </c>
      <c r="T26" s="19" t="n">
        <v>0</v>
      </c>
      <c r="U26" s="19" t="n">
        <v>0</v>
      </c>
      <c r="V26" s="19" t="n">
        <v>0</v>
      </c>
      <c r="W26" s="19" t="n">
        <v>0</v>
      </c>
      <c r="X26" s="19" t="n">
        <v>0</v>
      </c>
      <c r="Y26" s="19" t="n">
        <v>1</v>
      </c>
      <c r="Z26" s="19" t="n">
        <v>1</v>
      </c>
      <c r="AA26" s="19" t="n">
        <v>60</v>
      </c>
      <c r="AB26" s="19" t="s">
        <v>339</v>
      </c>
      <c r="AC26" s="19" t="n">
        <v>0</v>
      </c>
      <c r="AD26" s="19" t="n">
        <v>0</v>
      </c>
      <c r="AE26" s="19" t="n">
        <v>0</v>
      </c>
      <c r="AF26" s="19" t="n">
        <v>0</v>
      </c>
      <c r="AG26" s="19" t="n">
        <v>0</v>
      </c>
      <c r="AH26" s="19" t="n">
        <v>0</v>
      </c>
      <c r="AI26" s="19" t="n">
        <v>0</v>
      </c>
      <c r="AJ26" s="19" t="n">
        <v>0</v>
      </c>
      <c r="AK26" s="19" t="n">
        <v>0</v>
      </c>
      <c r="AL26" s="19" t="n">
        <v>0</v>
      </c>
      <c r="AM26" s="19" t="n">
        <v>0</v>
      </c>
      <c r="AN26" s="19" t="n">
        <v>0</v>
      </c>
      <c r="AO26" s="19" t="n">
        <v>0</v>
      </c>
      <c r="AP26" s="19" t="n">
        <v>0</v>
      </c>
      <c r="AQ26" s="19" t="n">
        <v>0</v>
      </c>
      <c r="AR26" s="19" t="n">
        <v>0</v>
      </c>
      <c r="AS26" s="19" t="n">
        <v>0</v>
      </c>
      <c r="AT26" s="19" t="n">
        <v>0</v>
      </c>
      <c r="AU26" s="19" t="n">
        <v>0</v>
      </c>
      <c r="AV26" s="19" t="n">
        <v>0</v>
      </c>
      <c r="AW26" s="19" t="n">
        <v>0</v>
      </c>
      <c r="AX26" s="19" t="n">
        <v>0</v>
      </c>
      <c r="AY26" s="19" t="n">
        <v>0</v>
      </c>
      <c r="AZ26" s="19" t="n">
        <v>0</v>
      </c>
      <c r="BA26" s="19" t="n">
        <v>0</v>
      </c>
      <c r="BB26" s="19" t="n">
        <v>0</v>
      </c>
      <c r="BC26" s="19" t="n">
        <v>0</v>
      </c>
      <c r="BD26" s="19" t="n">
        <v>0</v>
      </c>
      <c r="BE26" s="19" t="n">
        <v>0</v>
      </c>
      <c r="BF26" s="19" t="n">
        <v>0</v>
      </c>
      <c r="BG26" s="19" t="n">
        <v>0</v>
      </c>
      <c r="BH26" s="19" t="n">
        <v>0</v>
      </c>
      <c r="BI26" s="19" t="n">
        <v>0</v>
      </c>
      <c r="BJ26" s="19" t="n">
        <v>0</v>
      </c>
      <c r="BK26" s="19" t="n">
        <v>0</v>
      </c>
      <c r="BL26" s="19" t="n">
        <v>0</v>
      </c>
      <c r="BM26" s="19" t="n">
        <v>0</v>
      </c>
      <c r="BN26" s="19" t="n">
        <v>0</v>
      </c>
      <c r="BO26" s="19" t="n">
        <v>0</v>
      </c>
      <c r="BP26" s="19" t="n">
        <v>0</v>
      </c>
      <c r="BQ26" s="19" t="n">
        <v>0</v>
      </c>
      <c r="BR26" s="19" t="n">
        <v>1</v>
      </c>
      <c r="BS26" s="19" t="n">
        <v>2</v>
      </c>
      <c r="BT26" s="19" t="n">
        <v>2</v>
      </c>
      <c r="BU26" s="19" t="n">
        <v>5</v>
      </c>
      <c r="BV26" s="19" t="n">
        <v>3</v>
      </c>
      <c r="BW26" s="19" t="n">
        <v>1</v>
      </c>
      <c r="BX26" s="19"/>
      <c r="BY26" s="19" t="n">
        <v>4</v>
      </c>
      <c r="BZ26" s="19" t="n">
        <v>4</v>
      </c>
      <c r="CA26" s="19" t="n">
        <v>5</v>
      </c>
      <c r="CB26" s="19" t="n">
        <v>5</v>
      </c>
      <c r="CC26" s="19" t="n">
        <v>5</v>
      </c>
      <c r="CD26" s="19" t="n">
        <v>5</v>
      </c>
      <c r="CE26" s="19" t="n">
        <v>5</v>
      </c>
      <c r="CF26" s="19" t="n">
        <v>5</v>
      </c>
      <c r="CG26" s="19" t="n">
        <v>5</v>
      </c>
      <c r="CH26" s="19" t="n">
        <v>5</v>
      </c>
      <c r="CI26" s="19" t="n">
        <v>5</v>
      </c>
      <c r="CJ26" s="19" t="n">
        <v>5</v>
      </c>
      <c r="CK26" s="19" t="n">
        <v>10</v>
      </c>
      <c r="CL26" s="24" t="s">
        <v>309</v>
      </c>
      <c r="CM26" s="24" t="n">
        <v>31</v>
      </c>
      <c r="CN26" s="27" t="n">
        <v>39.2</v>
      </c>
      <c r="CO26" s="27" t="n">
        <v>83.4</v>
      </c>
      <c r="CP26" s="27" t="n">
        <v>17.2</v>
      </c>
      <c r="CQ26" s="24" t="n">
        <v>85.69</v>
      </c>
      <c r="CR26" s="24" t="n">
        <v>0</v>
      </c>
      <c r="CS26" s="24" t="n">
        <v>0.39</v>
      </c>
      <c r="CT26" s="24" t="n">
        <v>0</v>
      </c>
      <c r="CU26" s="24" t="n">
        <v>13.37</v>
      </c>
      <c r="CV26" s="24" t="n">
        <v>0</v>
      </c>
      <c r="CW26" s="24" t="n">
        <v>0</v>
      </c>
      <c r="CX26" s="24" t="n">
        <v>0</v>
      </c>
      <c r="CY26" s="24" t="n">
        <v>0</v>
      </c>
      <c r="CZ26" s="24" t="n">
        <v>0</v>
      </c>
      <c r="DA26" s="24" t="n">
        <v>0</v>
      </c>
      <c r="DB26" s="24" t="n">
        <v>12.36</v>
      </c>
      <c r="DC26" s="24" t="n">
        <v>18.21</v>
      </c>
      <c r="DD26" s="24" t="n">
        <v>12.25</v>
      </c>
      <c r="DE26" s="24" t="n">
        <v>3.27</v>
      </c>
      <c r="DF26" s="24" t="n">
        <v>5.02</v>
      </c>
      <c r="DG26" s="24" t="n">
        <v>4.8</v>
      </c>
      <c r="DH26" s="24" t="n">
        <v>1</v>
      </c>
      <c r="DI26" s="24" t="n">
        <v>5</v>
      </c>
      <c r="DK26" s="24" t="n">
        <v>2</v>
      </c>
      <c r="DL26" s="24" t="n">
        <v>3</v>
      </c>
      <c r="DN26" s="24" t="n">
        <v>1</v>
      </c>
      <c r="DU26" s="24" t="n">
        <v>2.4</v>
      </c>
      <c r="DV26" s="24" t="n">
        <v>1</v>
      </c>
      <c r="DW26" s="24" t="n">
        <v>35</v>
      </c>
      <c r="DX26" s="24" t="n">
        <v>8</v>
      </c>
      <c r="DY26" s="24" t="n">
        <f aca="false">0.13*4</f>
        <v>0.52</v>
      </c>
      <c r="DZ26" s="24" t="n">
        <v>3</v>
      </c>
      <c r="EA26" s="24" t="n">
        <v>23</v>
      </c>
      <c r="EB26" s="24" t="n">
        <v>2</v>
      </c>
      <c r="EC26" s="24" t="n">
        <v>0.12</v>
      </c>
      <c r="ED26" s="24" t="n">
        <v>3</v>
      </c>
      <c r="EG26" s="28"/>
      <c r="EY26" s="24" t="n">
        <v>1</v>
      </c>
      <c r="EZ26" s="24" t="n">
        <v>50</v>
      </c>
      <c r="FA26" s="24" t="n">
        <v>5</v>
      </c>
      <c r="FB26" s="24" t="n">
        <v>0.32</v>
      </c>
      <c r="FC26" s="24" t="n">
        <v>3</v>
      </c>
      <c r="GJ26" s="27" t="n">
        <v>0.43</v>
      </c>
      <c r="GK26" s="27" t="n">
        <v>1</v>
      </c>
      <c r="GL26" s="27" t="n">
        <v>1</v>
      </c>
      <c r="GM26" s="27"/>
      <c r="GN26" s="27" t="n">
        <f aca="false">0.11+0.06+0.26*2</f>
        <v>0.69</v>
      </c>
      <c r="GO26" s="27" t="n">
        <v>2</v>
      </c>
      <c r="GP26" s="27"/>
      <c r="GQ26" s="27" t="n">
        <f aca="false">3.35*2+0.35*2</f>
        <v>7.4</v>
      </c>
      <c r="GR26" s="27"/>
      <c r="GS26" s="27"/>
      <c r="GT26" s="27"/>
      <c r="GU26" s="27" t="n">
        <v>1.74</v>
      </c>
      <c r="GV26" s="27" t="n">
        <v>1.32</v>
      </c>
      <c r="GW26" s="27"/>
      <c r="GX26" s="27"/>
      <c r="GY26" s="27" t="n">
        <v>4.32</v>
      </c>
      <c r="GZ26" s="27" t="n">
        <v>1.2</v>
      </c>
      <c r="HA26" s="27" t="n">
        <v>0.11</v>
      </c>
      <c r="HB26" s="24" t="n">
        <v>2</v>
      </c>
      <c r="HC26" s="24" t="s">
        <v>310</v>
      </c>
      <c r="HD26" s="24" t="n">
        <v>22.5</v>
      </c>
      <c r="HE26" s="27" t="n">
        <v>20.9</v>
      </c>
      <c r="HF26" s="27" t="n">
        <v>83.4</v>
      </c>
      <c r="HG26" s="27" t="n">
        <v>11</v>
      </c>
      <c r="HH26" s="24" t="n">
        <v>91.28</v>
      </c>
      <c r="HI26" s="24" t="n">
        <v>0</v>
      </c>
      <c r="HJ26" s="24" t="n">
        <v>0</v>
      </c>
      <c r="HK26" s="24" t="n">
        <v>0</v>
      </c>
      <c r="HL26" s="24" t="n">
        <v>4.15</v>
      </c>
      <c r="HM26" s="24" t="n">
        <v>0</v>
      </c>
      <c r="HN26" s="24" t="n">
        <v>0</v>
      </c>
      <c r="HO26" s="24" t="n">
        <v>0</v>
      </c>
      <c r="HP26" s="24" t="n">
        <v>0</v>
      </c>
      <c r="HQ26" s="24" t="n">
        <v>0</v>
      </c>
      <c r="HR26" s="24" t="n">
        <v>0</v>
      </c>
      <c r="HS26" s="24" t="n">
        <v>0.71</v>
      </c>
      <c r="HT26" s="24" t="n">
        <v>7.61</v>
      </c>
      <c r="HU26" s="24" t="n">
        <v>5.28</v>
      </c>
      <c r="HV26" s="24" t="n">
        <v>2.47</v>
      </c>
      <c r="HW26" s="24" t="n">
        <v>4.05</v>
      </c>
      <c r="HX26" s="24" t="n">
        <v>6.1</v>
      </c>
      <c r="HY26" s="24" t="n">
        <v>1</v>
      </c>
      <c r="HZ26" s="24" t="n">
        <v>5</v>
      </c>
      <c r="IB26" s="24" t="n">
        <v>1</v>
      </c>
      <c r="IC26" s="24" t="n">
        <v>3</v>
      </c>
      <c r="IE26" s="24" t="n">
        <v>2</v>
      </c>
      <c r="IL26" s="24" t="n">
        <v>4.7</v>
      </c>
      <c r="IM26" s="24" t="n">
        <v>1</v>
      </c>
      <c r="IN26" s="24" t="n">
        <v>35</v>
      </c>
      <c r="IO26" s="24" t="n">
        <v>8</v>
      </c>
      <c r="IP26" s="24" t="n">
        <f aca="false">0.19+0.32</f>
        <v>0.51</v>
      </c>
      <c r="IQ26" s="24" t="n">
        <v>3</v>
      </c>
      <c r="IX26" s="28"/>
      <c r="JP26" s="24" t="n">
        <v>1</v>
      </c>
      <c r="JQ26" s="24" t="n">
        <v>80</v>
      </c>
      <c r="JR26" s="24" t="n">
        <v>4</v>
      </c>
      <c r="JS26" s="24" t="n">
        <v>1.28</v>
      </c>
      <c r="JT26" s="24" t="n">
        <v>3</v>
      </c>
      <c r="JU26" s="24" t="n">
        <v>60</v>
      </c>
      <c r="JV26" s="24" t="n">
        <v>3</v>
      </c>
      <c r="JW26" s="24" t="n">
        <v>0.29</v>
      </c>
      <c r="JX26" s="24" t="n">
        <v>3</v>
      </c>
      <c r="JY26" s="24" t="n">
        <v>70</v>
      </c>
      <c r="JZ26" s="24" t="n">
        <v>4</v>
      </c>
      <c r="KA26" s="24" t="n">
        <v>0.58</v>
      </c>
      <c r="KB26" s="24" t="n">
        <v>3</v>
      </c>
      <c r="LA26" s="27" t="n">
        <v>0.49</v>
      </c>
      <c r="LB26" s="27" t="n">
        <v>1</v>
      </c>
      <c r="LC26" s="27" t="n">
        <v>2</v>
      </c>
      <c r="LD26" s="27"/>
      <c r="LE26" s="27" t="n">
        <f aca="false">0.27*3</f>
        <v>0.81</v>
      </c>
      <c r="LF26" s="27"/>
      <c r="LG26" s="27"/>
      <c r="LH26" s="27"/>
      <c r="LI26" s="27"/>
      <c r="LJ26" s="27"/>
      <c r="LK26" s="27"/>
      <c r="LL26" s="27" t="n">
        <v>0</v>
      </c>
      <c r="LM26" s="27"/>
      <c r="LN26" s="27"/>
      <c r="LO26" s="27"/>
      <c r="LP26" s="27" t="n">
        <v>0</v>
      </c>
      <c r="LQ26" s="27" t="n">
        <v>0</v>
      </c>
      <c r="LR26" s="27" t="n">
        <v>0</v>
      </c>
      <c r="LS26" s="24" t="n">
        <v>0</v>
      </c>
      <c r="LT26" s="24" t="s">
        <v>311</v>
      </c>
      <c r="LU26" s="24" t="n">
        <v>52</v>
      </c>
      <c r="LV26" s="27" t="n">
        <v>87.1</v>
      </c>
      <c r="LW26" s="27" t="n">
        <v>83.4</v>
      </c>
      <c r="LX26" s="27" t="n">
        <v>31.9</v>
      </c>
      <c r="LY26" s="24" t="n">
        <v>55.25</v>
      </c>
      <c r="LZ26" s="24" t="n">
        <v>0</v>
      </c>
      <c r="MA26" s="24" t="n">
        <v>0</v>
      </c>
      <c r="MB26" s="24" t="n">
        <v>0</v>
      </c>
      <c r="MC26" s="24" t="n">
        <v>36.01</v>
      </c>
      <c r="MD26" s="24" t="n">
        <v>0</v>
      </c>
      <c r="ME26" s="24" t="n">
        <v>0</v>
      </c>
      <c r="MF26" s="24" t="n">
        <v>0</v>
      </c>
      <c r="MG26" s="24" t="n">
        <v>0</v>
      </c>
      <c r="MH26" s="24" t="n">
        <v>0</v>
      </c>
      <c r="MI26" s="24" t="n">
        <v>0</v>
      </c>
      <c r="MJ26" s="24" t="n">
        <v>1.03</v>
      </c>
      <c r="MK26" s="24" t="n">
        <v>22.5</v>
      </c>
      <c r="ML26" s="24" t="n">
        <v>29.21</v>
      </c>
      <c r="MM26" s="24" t="n">
        <v>12.38</v>
      </c>
      <c r="MN26" s="24" t="n">
        <v>8.73</v>
      </c>
      <c r="MO26" s="24" t="n">
        <v>5.3</v>
      </c>
      <c r="MP26" s="24" t="n">
        <v>1</v>
      </c>
      <c r="MQ26" s="24" t="n">
        <v>5</v>
      </c>
      <c r="MS26" s="24" t="n">
        <v>1</v>
      </c>
      <c r="NC26" s="24" t="n">
        <v>7.1</v>
      </c>
      <c r="ND26" s="24" t="n">
        <v>1</v>
      </c>
      <c r="NE26" s="24" t="n">
        <v>35</v>
      </c>
      <c r="NF26" s="24" t="n">
        <v>8</v>
      </c>
      <c r="NG26" s="24" t="n">
        <f aca="false">0.19+0.32</f>
        <v>0.51</v>
      </c>
      <c r="NH26" s="24" t="n">
        <v>3</v>
      </c>
      <c r="NO26" s="28"/>
      <c r="OG26" s="24" t="n">
        <v>1</v>
      </c>
      <c r="OH26" s="24" t="n">
        <v>50</v>
      </c>
      <c r="OI26" s="24" t="n">
        <v>7</v>
      </c>
      <c r="OJ26" s="24" t="n">
        <f aca="false">0.92+0.73+0.32</f>
        <v>1.97</v>
      </c>
      <c r="OK26" s="24" t="n">
        <v>3</v>
      </c>
      <c r="OL26" s="24" t="n">
        <v>70</v>
      </c>
      <c r="OM26" s="24" t="n">
        <v>11</v>
      </c>
      <c r="ON26" s="24" t="n">
        <f aca="false">0.73+0.65</f>
        <v>1.38</v>
      </c>
      <c r="OO26" s="24" t="n">
        <v>3</v>
      </c>
      <c r="OP26" s="24" t="n">
        <v>50</v>
      </c>
      <c r="OQ26" s="24" t="n">
        <v>1</v>
      </c>
      <c r="OR26" s="24" t="n">
        <v>0.37</v>
      </c>
      <c r="OS26" s="24" t="n">
        <v>4</v>
      </c>
      <c r="OT26" s="24" t="n">
        <v>50</v>
      </c>
      <c r="OU26" s="24" t="n">
        <v>1</v>
      </c>
      <c r="OV26" s="24" t="n">
        <v>0.37</v>
      </c>
      <c r="OW26" s="24" t="n">
        <v>6</v>
      </c>
      <c r="OX26" s="24" t="n">
        <v>60</v>
      </c>
      <c r="OY26" s="24" t="n">
        <v>12</v>
      </c>
      <c r="OZ26" s="24" t="n">
        <f aca="false">0.65+0.13</f>
        <v>0.78</v>
      </c>
      <c r="PA26" s="24" t="n">
        <v>3</v>
      </c>
      <c r="PB26" s="24" t="n">
        <v>60</v>
      </c>
      <c r="PC26" s="24" t="n">
        <v>4</v>
      </c>
      <c r="PD26" s="24" t="n">
        <v>0.26</v>
      </c>
      <c r="PE26" s="24" t="n">
        <v>1</v>
      </c>
      <c r="PF26" s="24" t="n">
        <v>70</v>
      </c>
      <c r="PG26" s="24" t="n">
        <v>4</v>
      </c>
      <c r="PH26" s="24" t="n">
        <v>0.39</v>
      </c>
      <c r="PI26" s="24" t="n">
        <v>1</v>
      </c>
      <c r="PJ26" s="24" t="n">
        <v>60</v>
      </c>
      <c r="PK26" s="24" t="n">
        <v>2</v>
      </c>
      <c r="PL26" s="24" t="n">
        <v>0.13</v>
      </c>
      <c r="PM26" s="24" t="n">
        <v>6</v>
      </c>
      <c r="PN26" s="24" t="n">
        <v>50</v>
      </c>
      <c r="PO26" s="24" t="n">
        <v>1</v>
      </c>
      <c r="PP26" s="24" t="n">
        <v>0.83</v>
      </c>
      <c r="PQ26" s="24" t="n">
        <v>6</v>
      </c>
      <c r="PR26" s="27" t="n">
        <v>5.11</v>
      </c>
      <c r="PS26" s="27" t="n">
        <v>1</v>
      </c>
      <c r="PT26" s="27" t="n">
        <v>1</v>
      </c>
      <c r="PU26" s="27"/>
      <c r="PV26" s="27" t="n">
        <f aca="false">0.18*2</f>
        <v>0.36</v>
      </c>
      <c r="PW26" s="27" t="n">
        <v>2</v>
      </c>
      <c r="PX26" s="27"/>
      <c r="PY26" s="27" t="n">
        <f aca="false">0.75+1.53+2.04+1</f>
        <v>5.32</v>
      </c>
      <c r="PZ26" s="27"/>
      <c r="QA26" s="27"/>
      <c r="QB26" s="27"/>
      <c r="QC26" s="27" t="n">
        <v>2.17</v>
      </c>
      <c r="QD26" s="27" t="n">
        <v>2.18</v>
      </c>
      <c r="QE26" s="27"/>
      <c r="QF26" s="27"/>
      <c r="QG26" s="27" t="n">
        <v>0</v>
      </c>
      <c r="QH26" s="27" t="n">
        <v>0</v>
      </c>
      <c r="QI26" s="27" t="n">
        <v>0</v>
      </c>
      <c r="QJ26" s="24" t="n">
        <v>0</v>
      </c>
      <c r="QK26" s="24" t="s">
        <v>312</v>
      </c>
      <c r="QL26" s="24" t="n">
        <v>40</v>
      </c>
      <c r="QM26" s="27" t="n">
        <v>90.5</v>
      </c>
      <c r="QN26" s="27" t="n">
        <v>83.4</v>
      </c>
      <c r="QO26" s="27" t="n">
        <v>24.1</v>
      </c>
      <c r="QP26" s="24" t="n">
        <v>65.22</v>
      </c>
      <c r="QQ26" s="24" t="n">
        <v>0</v>
      </c>
      <c r="QR26" s="24" t="n">
        <v>0</v>
      </c>
      <c r="QS26" s="24" t="n">
        <v>0</v>
      </c>
      <c r="QT26" s="24" t="n">
        <v>27.95</v>
      </c>
      <c r="QU26" s="24" t="n">
        <v>0</v>
      </c>
      <c r="QV26" s="24" t="n">
        <v>0</v>
      </c>
      <c r="QW26" s="24" t="n">
        <v>0</v>
      </c>
      <c r="QX26" s="24" t="n">
        <v>0</v>
      </c>
      <c r="QY26" s="24" t="n">
        <v>0</v>
      </c>
      <c r="QZ26" s="24" t="n">
        <v>0</v>
      </c>
      <c r="RA26" s="24" t="n">
        <v>0.5</v>
      </c>
      <c r="RB26" s="24" t="n">
        <v>25.43</v>
      </c>
      <c r="RC26" s="24" t="n">
        <v>28.69</v>
      </c>
      <c r="RD26" s="24" t="n">
        <v>8.32</v>
      </c>
      <c r="RE26" s="24" t="n">
        <v>6.81</v>
      </c>
      <c r="RF26" s="24" t="n">
        <v>5.3</v>
      </c>
      <c r="RG26" s="24" t="n">
        <v>1</v>
      </c>
      <c r="RH26" s="24" t="n">
        <v>5</v>
      </c>
      <c r="RJ26" s="24" t="n">
        <v>1</v>
      </c>
      <c r="RT26" s="24" t="n">
        <v>3.5</v>
      </c>
      <c r="RU26" s="24" t="n">
        <v>0</v>
      </c>
      <c r="SF26" s="28"/>
      <c r="SX26" s="24" t="n">
        <v>1</v>
      </c>
      <c r="SY26" s="24" t="n">
        <v>50</v>
      </c>
      <c r="SZ26" s="24" t="n">
        <v>9</v>
      </c>
      <c r="TA26" s="24" t="n">
        <f aca="false">0.9+0.72+0.92+0.73+0.32</f>
        <v>3.59</v>
      </c>
      <c r="TB26" s="24" t="n">
        <v>3</v>
      </c>
      <c r="TC26" s="24" t="n">
        <v>70</v>
      </c>
      <c r="TD26" s="24" t="n">
        <v>12</v>
      </c>
      <c r="TE26" s="24" t="n">
        <f aca="false">0.72+0.73+0.65</f>
        <v>2.1</v>
      </c>
      <c r="TF26" s="24" t="n">
        <v>3</v>
      </c>
      <c r="TG26" s="24" t="n">
        <v>60</v>
      </c>
      <c r="TH26" s="24" t="n">
        <v>2</v>
      </c>
      <c r="TI26" s="24" t="n">
        <v>0.13</v>
      </c>
      <c r="TJ26" s="24" t="n">
        <v>3</v>
      </c>
      <c r="TK26" s="24" t="n">
        <v>50</v>
      </c>
      <c r="TL26" s="24" t="n">
        <v>1</v>
      </c>
      <c r="TM26" s="24" t="n">
        <v>0.83</v>
      </c>
      <c r="TN26" s="24" t="n">
        <v>6</v>
      </c>
      <c r="TO26" s="24" t="n">
        <v>60</v>
      </c>
      <c r="TP26" s="24" t="n">
        <v>1</v>
      </c>
      <c r="TQ26" s="24" t="n">
        <v>0.13</v>
      </c>
      <c r="TR26" s="24" t="n">
        <v>6</v>
      </c>
      <c r="TS26" s="24" t="n">
        <v>70</v>
      </c>
      <c r="TT26" s="24" t="n">
        <v>1</v>
      </c>
      <c r="TU26" s="24" t="n">
        <v>0.39</v>
      </c>
      <c r="TV26" s="24" t="n">
        <v>1</v>
      </c>
      <c r="TW26" s="24" t="n">
        <v>50</v>
      </c>
      <c r="TX26" s="24" t="n">
        <v>2</v>
      </c>
      <c r="TY26" s="24" t="n">
        <f aca="false">0.36+0.37</f>
        <v>0.73</v>
      </c>
      <c r="TZ26" s="24" t="n">
        <v>4</v>
      </c>
      <c r="UI26" s="27" t="n">
        <v>3.9</v>
      </c>
      <c r="UJ26" s="27" t="n">
        <v>1</v>
      </c>
      <c r="UK26" s="27" t="n">
        <v>1</v>
      </c>
      <c r="UL26" s="27"/>
      <c r="UM26" s="27" t="n">
        <f aca="false">1.53+0.75+0.18*2</f>
        <v>2.64</v>
      </c>
      <c r="UN26" s="27" t="n">
        <v>2</v>
      </c>
      <c r="UO26" s="27"/>
      <c r="UP26" s="27" t="n">
        <f aca="false">3.06+1.5</f>
        <v>4.56</v>
      </c>
      <c r="UQ26" s="27"/>
      <c r="UR26" s="27"/>
      <c r="US26" s="27"/>
      <c r="UT26" s="27" t="n">
        <v>3</v>
      </c>
      <c r="UU26" s="27" t="n">
        <v>2.19</v>
      </c>
      <c r="UV26" s="27"/>
      <c r="UW26" s="27"/>
      <c r="UX26" s="27" t="n">
        <v>0</v>
      </c>
      <c r="UY26" s="27" t="n">
        <v>0</v>
      </c>
      <c r="UZ26" s="27" t="n">
        <v>0</v>
      </c>
      <c r="VA26" s="24" t="n">
        <v>0</v>
      </c>
      <c r="VB26" s="24" t="s">
        <v>313</v>
      </c>
      <c r="VC26" s="24" t="n">
        <v>39</v>
      </c>
      <c r="VD26" s="27" t="n">
        <v>80.9</v>
      </c>
      <c r="VE26" s="27" t="n">
        <v>83.4</v>
      </c>
      <c r="VF26" s="27" t="n">
        <v>19.3</v>
      </c>
      <c r="VG26" s="24" t="n">
        <v>75.96</v>
      </c>
      <c r="VH26" s="24" t="n">
        <v>0</v>
      </c>
      <c r="VI26" s="24" t="n">
        <v>3.12</v>
      </c>
      <c r="VJ26" s="24" t="n">
        <v>0</v>
      </c>
      <c r="VK26" s="24" t="n">
        <v>20.93</v>
      </c>
      <c r="VL26" s="24" t="n">
        <v>0</v>
      </c>
      <c r="VM26" s="24" t="n">
        <v>0</v>
      </c>
      <c r="VN26" s="24" t="n">
        <v>0</v>
      </c>
      <c r="VO26" s="24" t="n">
        <v>0</v>
      </c>
      <c r="VP26" s="24" t="n">
        <v>0</v>
      </c>
      <c r="VQ26" s="24" t="n">
        <v>0</v>
      </c>
      <c r="VR26" s="24" t="n">
        <v>5.32</v>
      </c>
      <c r="VS26" s="24" t="n">
        <v>30.75</v>
      </c>
      <c r="VT26" s="24" t="n">
        <v>28.21</v>
      </c>
      <c r="VU26" s="24" t="n">
        <v>4.22</v>
      </c>
      <c r="VV26" s="24" t="n">
        <v>0</v>
      </c>
      <c r="VW26" s="24" t="n">
        <v>0</v>
      </c>
      <c r="VX26" s="24" t="n">
        <v>0</v>
      </c>
      <c r="WK26" s="24" t="n">
        <v>15.8</v>
      </c>
      <c r="WL26" s="24" t="n">
        <v>1</v>
      </c>
      <c r="WM26" s="24" t="n">
        <v>35</v>
      </c>
      <c r="WN26" s="24" t="n">
        <v>4</v>
      </c>
      <c r="WO26" s="24" t="n">
        <f aca="false">0.73*4</f>
        <v>2.92</v>
      </c>
      <c r="WP26" s="24" t="n">
        <v>3</v>
      </c>
      <c r="WQ26" s="24" t="n">
        <v>23</v>
      </c>
      <c r="WR26" s="24" t="n">
        <v>1</v>
      </c>
      <c r="WS26" s="24" t="n">
        <v>0.06</v>
      </c>
      <c r="WT26" s="24" t="n">
        <v>3</v>
      </c>
      <c r="WW26" s="28"/>
      <c r="XO26" s="24" t="n">
        <v>1</v>
      </c>
      <c r="XP26" s="24" t="n">
        <v>60</v>
      </c>
      <c r="XQ26" s="24" t="n">
        <v>1</v>
      </c>
      <c r="XR26" s="24" t="n">
        <v>0.73</v>
      </c>
      <c r="XS26" s="24" t="n">
        <v>3</v>
      </c>
      <c r="XT26" s="24" t="n">
        <v>50</v>
      </c>
      <c r="XU26" s="24" t="n">
        <v>1</v>
      </c>
      <c r="XV26" s="24" t="n">
        <v>0.73</v>
      </c>
      <c r="XW26" s="24" t="n">
        <v>1</v>
      </c>
      <c r="XX26" s="24" t="n">
        <v>40</v>
      </c>
      <c r="XY26" s="24" t="n">
        <v>1</v>
      </c>
      <c r="XZ26" s="24" t="n">
        <v>0.73</v>
      </c>
      <c r="YA26" s="24" t="n">
        <v>6</v>
      </c>
      <c r="YB26" s="24" t="n">
        <v>50</v>
      </c>
      <c r="YC26" s="24" t="n">
        <v>1</v>
      </c>
      <c r="YD26" s="24" t="n">
        <v>0.19</v>
      </c>
      <c r="YE26" s="24" t="n">
        <v>3</v>
      </c>
      <c r="YF26" s="24" t="n">
        <v>70</v>
      </c>
      <c r="YG26" s="24" t="n">
        <v>3</v>
      </c>
      <c r="YH26" s="24" t="n">
        <v>0.58</v>
      </c>
      <c r="YI26" s="24" t="n">
        <v>3</v>
      </c>
      <c r="YJ26" s="24" t="n">
        <v>50</v>
      </c>
      <c r="YK26" s="24" t="n">
        <v>1</v>
      </c>
      <c r="YL26" s="24" t="n">
        <v>0.29</v>
      </c>
      <c r="YM26" s="24" t="n">
        <v>6</v>
      </c>
      <c r="YZ26" s="27" t="n">
        <v>0</v>
      </c>
      <c r="ZA26" s="27" t="n">
        <v>0</v>
      </c>
      <c r="ZB26" s="27"/>
      <c r="ZC26" s="27"/>
      <c r="ZD26" s="27"/>
      <c r="ZE26" s="27"/>
      <c r="ZF26" s="27"/>
      <c r="ZG26" s="27"/>
      <c r="ZH26" s="27"/>
      <c r="ZI26" s="27"/>
      <c r="ZJ26" s="27"/>
      <c r="ZK26" s="27" t="n">
        <v>0.26</v>
      </c>
      <c r="ZL26" s="27" t="n">
        <v>0.26</v>
      </c>
      <c r="ZM26" s="27"/>
      <c r="ZN26" s="27"/>
      <c r="ZO26" s="27" t="n">
        <v>3.6</v>
      </c>
      <c r="ZP26" s="27" t="n">
        <v>0.88</v>
      </c>
      <c r="ZQ26" s="27" t="n">
        <v>0</v>
      </c>
      <c r="ZR26" s="24" t="n">
        <v>0</v>
      </c>
      <c r="ZS26" s="24" t="s">
        <v>314</v>
      </c>
      <c r="ZT26" s="24" t="n">
        <v>36</v>
      </c>
      <c r="ZU26" s="27" t="n">
        <v>71.4</v>
      </c>
      <c r="ZV26" s="27" t="n">
        <v>83.4</v>
      </c>
      <c r="ZW26" s="27" t="n">
        <v>17.2</v>
      </c>
      <c r="ZX26" s="24" t="n">
        <v>79.88</v>
      </c>
      <c r="ZY26" s="24" t="n">
        <v>0</v>
      </c>
      <c r="ZZ26" s="24" t="n">
        <v>3.12</v>
      </c>
      <c r="AAA26" s="24" t="n">
        <v>0</v>
      </c>
      <c r="AAB26" s="24" t="n">
        <v>17</v>
      </c>
      <c r="AAC26" s="24" t="n">
        <v>0</v>
      </c>
      <c r="AAD26" s="24" t="n">
        <v>0</v>
      </c>
      <c r="AAE26" s="24" t="n">
        <v>0</v>
      </c>
      <c r="AAF26" s="24" t="n">
        <v>0</v>
      </c>
      <c r="AAG26" s="24" t="n">
        <v>0</v>
      </c>
      <c r="AAH26" s="24" t="n">
        <v>0</v>
      </c>
      <c r="AAI26" s="24" t="n">
        <v>5.32</v>
      </c>
      <c r="AAJ26" s="24" t="n">
        <v>31.86</v>
      </c>
      <c r="AAK26" s="24" t="n">
        <v>24.1</v>
      </c>
      <c r="AAL26" s="24" t="n">
        <v>2.02</v>
      </c>
      <c r="AAM26" s="24" t="n">
        <v>0</v>
      </c>
      <c r="AAN26" s="24" t="n">
        <v>0</v>
      </c>
      <c r="AAO26" s="24" t="n">
        <v>0</v>
      </c>
      <c r="ABB26" s="24" t="n">
        <v>15.1</v>
      </c>
      <c r="ABC26" s="24" t="n">
        <v>1</v>
      </c>
      <c r="ABD26" s="24" t="n">
        <v>35</v>
      </c>
      <c r="ABE26" s="24" t="n">
        <v>4</v>
      </c>
      <c r="ABF26" s="24" t="n">
        <f aca="false">0.73*4</f>
        <v>2.92</v>
      </c>
      <c r="ABG26" s="24" t="n">
        <v>3</v>
      </c>
      <c r="ABN26" s="28"/>
      <c r="ACF26" s="24" t="n">
        <v>1</v>
      </c>
      <c r="ACG26" s="24" t="n">
        <v>50</v>
      </c>
      <c r="ACH26" s="24" t="n">
        <v>2</v>
      </c>
      <c r="ACI26" s="24" t="n">
        <f aca="false">0.73+0.19</f>
        <v>0.92</v>
      </c>
      <c r="ACJ26" s="24" t="n">
        <v>3</v>
      </c>
      <c r="ACK26" s="24" t="n">
        <v>50</v>
      </c>
      <c r="ACL26" s="24" t="n">
        <v>1</v>
      </c>
      <c r="ACM26" s="24" t="n">
        <v>0.73</v>
      </c>
      <c r="ACN26" s="24" t="n">
        <v>1</v>
      </c>
      <c r="ACO26" s="24" t="n">
        <v>70</v>
      </c>
      <c r="ACP26" s="24" t="n">
        <v>3</v>
      </c>
      <c r="ACQ26" s="24" t="n">
        <v>0.58</v>
      </c>
      <c r="ACR26" s="24" t="n">
        <v>3</v>
      </c>
      <c r="ACS26" s="24" t="n">
        <v>40</v>
      </c>
      <c r="ACT26" s="24" t="n">
        <v>1</v>
      </c>
      <c r="ACU26" s="24" t="n">
        <v>1.65</v>
      </c>
      <c r="ACV26" s="24" t="n">
        <v>6</v>
      </c>
      <c r="ADQ26" s="27" t="n">
        <v>0</v>
      </c>
      <c r="ADR26" s="27" t="n">
        <v>0</v>
      </c>
      <c r="ADS26" s="27"/>
      <c r="ADT26" s="27"/>
      <c r="ADU26" s="27"/>
      <c r="ADV26" s="27"/>
      <c r="ADW26" s="27"/>
      <c r="ADX26" s="27"/>
      <c r="ADY26" s="27"/>
      <c r="ADZ26" s="27"/>
      <c r="AEA26" s="27"/>
      <c r="AEB26" s="27" t="n">
        <v>0</v>
      </c>
      <c r="AEC26" s="27" t="n">
        <v>0</v>
      </c>
      <c r="AED26" s="27"/>
      <c r="AEE26" s="27"/>
      <c r="AEF26" s="27" t="n">
        <v>3.6</v>
      </c>
      <c r="AEG26" s="27" t="n">
        <v>0.88</v>
      </c>
      <c r="AEH26" s="27" t="n">
        <v>0</v>
      </c>
      <c r="AEI26" s="24" t="n">
        <v>0</v>
      </c>
      <c r="AEJ26" s="24" t="s">
        <v>315</v>
      </c>
      <c r="AEK26" s="24" t="n">
        <v>38.5</v>
      </c>
      <c r="AEL26" s="27" t="n">
        <v>90.6</v>
      </c>
      <c r="AEM26" s="27" t="n">
        <v>83.4</v>
      </c>
      <c r="AEN26" s="27" t="n">
        <v>29.4</v>
      </c>
      <c r="AEO26" s="24" t="n">
        <v>59.08</v>
      </c>
      <c r="AEP26" s="24" t="n">
        <v>0</v>
      </c>
      <c r="AEQ26" s="24" t="n">
        <v>0</v>
      </c>
      <c r="AER26" s="24" t="n">
        <v>0</v>
      </c>
      <c r="AES26" s="24" t="n">
        <v>40.92</v>
      </c>
      <c r="AET26" s="24" t="n">
        <v>0</v>
      </c>
      <c r="AEU26" s="24" t="n">
        <v>0</v>
      </c>
      <c r="AEV26" s="24" t="n">
        <v>0</v>
      </c>
      <c r="AEW26" s="24" t="n">
        <v>0</v>
      </c>
      <c r="AEX26" s="24" t="n">
        <v>0</v>
      </c>
      <c r="AEY26" s="24" t="n">
        <v>0</v>
      </c>
      <c r="AEZ26" s="24" t="n">
        <v>3.67</v>
      </c>
      <c r="AFA26" s="24" t="n">
        <v>24.93</v>
      </c>
      <c r="AFB26" s="24" t="n">
        <v>39.44</v>
      </c>
      <c r="AFC26" s="24" t="n">
        <v>8.51</v>
      </c>
      <c r="AFD26" s="24" t="n">
        <v>0</v>
      </c>
      <c r="AFE26" s="24" t="n">
        <v>0</v>
      </c>
      <c r="AFF26" s="24" t="n">
        <v>0</v>
      </c>
      <c r="AFS26" s="24" t="n">
        <v>3.7</v>
      </c>
      <c r="AFT26" s="24" t="n">
        <v>1</v>
      </c>
      <c r="AFU26" s="24" t="n">
        <v>34</v>
      </c>
      <c r="AFV26" s="24" t="n">
        <v>2</v>
      </c>
      <c r="AFW26" s="24" t="n">
        <f aca="false">4.05</f>
        <v>4.05</v>
      </c>
      <c r="AFX26" s="24" t="n">
        <v>1</v>
      </c>
      <c r="AGE26" s="28"/>
      <c r="AGW26" s="24" t="n">
        <v>1</v>
      </c>
      <c r="AGX26" s="24" t="n">
        <v>50</v>
      </c>
      <c r="AGY26" s="24" t="n">
        <v>2</v>
      </c>
      <c r="AGZ26" s="24" t="n">
        <f aca="false">0.73*2</f>
        <v>1.46</v>
      </c>
      <c r="AHA26" s="24" t="n">
        <v>6</v>
      </c>
      <c r="AIH26" s="27" t="n">
        <v>4.96</v>
      </c>
      <c r="AII26" s="27" t="n">
        <v>1</v>
      </c>
      <c r="AIJ26" s="27" t="n">
        <v>2</v>
      </c>
      <c r="AIK26" s="27"/>
      <c r="AIL26" s="27" t="n">
        <f aca="false">7.34*2+0.65*4</f>
        <v>17.28</v>
      </c>
      <c r="AIM26" s="27"/>
      <c r="AIN26" s="27"/>
      <c r="AIO26" s="27"/>
      <c r="AIP26" s="27"/>
      <c r="AIQ26" s="27"/>
      <c r="AIR26" s="27"/>
      <c r="AIS26" s="27" t="n">
        <v>0.19</v>
      </c>
      <c r="AIT26" s="27" t="n">
        <v>0.19</v>
      </c>
      <c r="AIU26" s="27"/>
      <c r="AIV26" s="27"/>
      <c r="AIW26" s="27" t="n">
        <v>0</v>
      </c>
      <c r="AIX26" s="27" t="n">
        <v>0</v>
      </c>
      <c r="AIY26" s="27" t="n">
        <v>0</v>
      </c>
      <c r="AIZ26" s="24" t="n">
        <v>0</v>
      </c>
      <c r="AJA26" s="24" t="s">
        <v>316</v>
      </c>
      <c r="AJB26" s="24" t="n">
        <v>36</v>
      </c>
      <c r="AJC26" s="27" t="n">
        <v>94.1</v>
      </c>
      <c r="AJD26" s="27" t="n">
        <v>83.4</v>
      </c>
      <c r="AJE26" s="27" t="n">
        <v>25.8</v>
      </c>
      <c r="AJF26" s="24" t="n">
        <v>60.57</v>
      </c>
      <c r="AJG26" s="24" t="n">
        <v>0</v>
      </c>
      <c r="AJH26" s="24" t="n">
        <v>0</v>
      </c>
      <c r="AJI26" s="24" t="n">
        <v>0</v>
      </c>
      <c r="AJJ26" s="24" t="n">
        <v>39.43</v>
      </c>
      <c r="AJK26" s="24" t="n">
        <v>0</v>
      </c>
      <c r="AJL26" s="24" t="n">
        <v>0</v>
      </c>
      <c r="AJM26" s="24" t="n">
        <v>0</v>
      </c>
      <c r="AJN26" s="24" t="n">
        <v>0</v>
      </c>
      <c r="AJO26" s="24" t="n">
        <v>0</v>
      </c>
      <c r="AJP26" s="24" t="n">
        <v>0</v>
      </c>
      <c r="AJQ26" s="24" t="n">
        <v>0</v>
      </c>
      <c r="AJR26" s="24" t="n">
        <v>30.64</v>
      </c>
      <c r="AJS26" s="24" t="n">
        <v>37.97</v>
      </c>
      <c r="AJT26" s="24" t="n">
        <v>4.59</v>
      </c>
      <c r="AJU26" s="24" t="n">
        <v>0</v>
      </c>
      <c r="AJV26" s="24" t="n">
        <v>0</v>
      </c>
      <c r="AJW26" s="24" t="n">
        <v>0</v>
      </c>
      <c r="AKJ26" s="24" t="n">
        <v>4.8</v>
      </c>
      <c r="AKK26" s="24" t="n">
        <v>0</v>
      </c>
      <c r="AKV26" s="28"/>
      <c r="ALN26" s="24" t="n">
        <v>1</v>
      </c>
      <c r="ALO26" s="24" t="n">
        <v>50</v>
      </c>
      <c r="ALP26" s="24" t="n">
        <v>3</v>
      </c>
      <c r="ALQ26" s="24" t="n">
        <f aca="false">0.73*3</f>
        <v>2.19</v>
      </c>
      <c r="ALR26" s="24" t="n">
        <v>6</v>
      </c>
    </row>
    <row r="27" customFormat="false" ht="13.8" hidden="false" customHeight="false" outlineLevel="0" collapsed="false">
      <c r="A27" s="1" t="s">
        <v>340</v>
      </c>
      <c r="B27" s="12" t="n">
        <v>42900</v>
      </c>
      <c r="C27" s="0" t="n">
        <v>2</v>
      </c>
      <c r="D27" s="13" t="n">
        <v>42797</v>
      </c>
      <c r="E27" s="12" t="n">
        <v>33302</v>
      </c>
      <c r="F27" s="14" t="n">
        <f aca="false">(B27-E27)/365.25</f>
        <v>26.2778918548939</v>
      </c>
      <c r="G27" s="14" t="n">
        <f aca="false">(B27-D27)/365.25</f>
        <v>0.281998631074606</v>
      </c>
      <c r="H27" s="15" t="s">
        <v>306</v>
      </c>
      <c r="I27" s="15" t="s">
        <v>307</v>
      </c>
      <c r="J27" s="21" t="s">
        <v>181</v>
      </c>
      <c r="K27" s="21" t="n">
        <v>4</v>
      </c>
      <c r="L27" s="19" t="n">
        <v>73</v>
      </c>
      <c r="M27" s="0" t="n">
        <v>1.76</v>
      </c>
      <c r="N27" s="16" t="n">
        <f aca="false">L27/(M27*M27)</f>
        <v>23.566632231405</v>
      </c>
      <c r="O27" s="19" t="n">
        <v>0</v>
      </c>
      <c r="P27" s="19" t="n">
        <v>0</v>
      </c>
      <c r="Q27" s="19" t="n">
        <v>0</v>
      </c>
      <c r="R27" s="19" t="n">
        <v>0</v>
      </c>
      <c r="S27" s="19" t="n">
        <v>0</v>
      </c>
      <c r="T27" s="19" t="n">
        <v>0</v>
      </c>
      <c r="U27" s="19" t="n">
        <v>0</v>
      </c>
      <c r="V27" s="19" t="n">
        <v>0</v>
      </c>
      <c r="W27" s="19" t="n">
        <v>0</v>
      </c>
      <c r="X27" s="19" t="n">
        <v>0</v>
      </c>
      <c r="Y27" s="19" t="n">
        <v>1</v>
      </c>
      <c r="Z27" s="19" t="n">
        <v>3</v>
      </c>
      <c r="AA27" s="19" t="n">
        <v>60</v>
      </c>
      <c r="AB27" s="19"/>
      <c r="AC27" s="19" t="n">
        <v>0</v>
      </c>
      <c r="AD27" s="19" t="n">
        <v>0</v>
      </c>
      <c r="AE27" s="19" t="n">
        <v>0</v>
      </c>
      <c r="AF27" s="19" t="n">
        <v>0</v>
      </c>
      <c r="AG27" s="19" t="n">
        <v>0</v>
      </c>
      <c r="AH27" s="19" t="n">
        <v>0</v>
      </c>
      <c r="AI27" s="19" t="n">
        <v>0</v>
      </c>
      <c r="AJ27" s="19" t="n">
        <v>0</v>
      </c>
      <c r="AK27" s="19" t="n">
        <v>0</v>
      </c>
      <c r="AL27" s="19" t="n">
        <v>0</v>
      </c>
      <c r="AM27" s="19" t="n">
        <v>0</v>
      </c>
      <c r="AN27" s="19" t="n">
        <v>0</v>
      </c>
      <c r="AO27" s="19" t="n">
        <v>0</v>
      </c>
      <c r="AP27" s="19" t="n">
        <v>0</v>
      </c>
      <c r="AQ27" s="19" t="n">
        <v>0</v>
      </c>
      <c r="AR27" s="19" t="n">
        <v>0</v>
      </c>
      <c r="AS27" s="19" t="n">
        <v>0</v>
      </c>
      <c r="AT27" s="19" t="n">
        <v>0</v>
      </c>
      <c r="AU27" s="19" t="n">
        <v>0</v>
      </c>
      <c r="AV27" s="19" t="n">
        <v>0</v>
      </c>
      <c r="AW27" s="19" t="n">
        <v>0</v>
      </c>
      <c r="AX27" s="19" t="n">
        <v>0</v>
      </c>
      <c r="AY27" s="19" t="n">
        <v>0</v>
      </c>
      <c r="AZ27" s="19" t="n">
        <v>0</v>
      </c>
      <c r="BA27" s="19" t="n">
        <v>0</v>
      </c>
      <c r="BB27" s="19"/>
      <c r="BC27" s="19"/>
      <c r="BD27" s="19"/>
      <c r="BE27" s="19"/>
      <c r="BF27" s="19" t="n">
        <v>0</v>
      </c>
      <c r="BG27" s="19" t="n">
        <v>0</v>
      </c>
      <c r="BH27" s="19" t="n">
        <v>0</v>
      </c>
      <c r="BI27" s="19" t="n">
        <v>0</v>
      </c>
      <c r="BJ27" s="19" t="n">
        <v>0</v>
      </c>
      <c r="BK27" s="19" t="n">
        <v>0</v>
      </c>
      <c r="BL27" s="19" t="n">
        <v>0</v>
      </c>
      <c r="BM27" s="19" t="n">
        <v>0</v>
      </c>
      <c r="BN27" s="19" t="n">
        <v>0</v>
      </c>
      <c r="BO27" s="19" t="n">
        <v>0</v>
      </c>
      <c r="BP27" s="19" t="n">
        <v>0</v>
      </c>
      <c r="BQ27" s="19" t="n">
        <v>0</v>
      </c>
      <c r="BR27" s="19" t="n">
        <v>2</v>
      </c>
      <c r="BS27" s="19" t="n">
        <v>3</v>
      </c>
      <c r="BT27" s="19" t="n">
        <v>5</v>
      </c>
      <c r="BU27" s="19" t="n">
        <v>5</v>
      </c>
      <c r="BV27" s="19" t="n">
        <v>2</v>
      </c>
      <c r="BW27" s="19" t="n">
        <v>3</v>
      </c>
      <c r="BX27" s="19" t="n">
        <v>2</v>
      </c>
      <c r="BY27" s="19" t="n">
        <v>3</v>
      </c>
      <c r="BZ27" s="19" t="n">
        <v>3</v>
      </c>
      <c r="CA27" s="19" t="n">
        <v>5</v>
      </c>
      <c r="CB27" s="19" t="n">
        <v>5</v>
      </c>
      <c r="CC27" s="19" t="n">
        <v>5</v>
      </c>
      <c r="CD27" s="19" t="n">
        <v>4</v>
      </c>
      <c r="CE27" s="19" t="n">
        <v>5</v>
      </c>
      <c r="CF27" s="19" t="n">
        <v>5</v>
      </c>
      <c r="CG27" s="19" t="n">
        <v>5</v>
      </c>
      <c r="CH27" s="19" t="n">
        <v>5</v>
      </c>
      <c r="CI27" s="19" t="n">
        <v>5</v>
      </c>
      <c r="CJ27" s="19" t="n">
        <v>5</v>
      </c>
      <c r="CK27" s="19" t="n">
        <v>10</v>
      </c>
      <c r="CL27" s="24" t="s">
        <v>309</v>
      </c>
      <c r="CM27" s="24" t="n">
        <v>31</v>
      </c>
      <c r="CN27" s="27" t="n">
        <v>39.2</v>
      </c>
      <c r="CO27" s="27" t="n">
        <v>83.4</v>
      </c>
      <c r="CP27" s="27" t="n">
        <v>17.2</v>
      </c>
      <c r="CQ27" s="24" t="n">
        <v>85.69</v>
      </c>
      <c r="CR27" s="24" t="n">
        <v>0</v>
      </c>
      <c r="CS27" s="24" t="n">
        <v>0.39</v>
      </c>
      <c r="CT27" s="24" t="n">
        <v>0</v>
      </c>
      <c r="CU27" s="24" t="n">
        <v>13.37</v>
      </c>
      <c r="CV27" s="24" t="n">
        <v>0</v>
      </c>
      <c r="CW27" s="24" t="n">
        <v>0</v>
      </c>
      <c r="CX27" s="24" t="n">
        <v>0</v>
      </c>
      <c r="CY27" s="24" t="n">
        <v>0</v>
      </c>
      <c r="CZ27" s="24" t="n">
        <v>0</v>
      </c>
      <c r="DA27" s="24" t="n">
        <v>0</v>
      </c>
      <c r="DB27" s="24" t="n">
        <v>12.36</v>
      </c>
      <c r="DC27" s="24" t="n">
        <v>18.21</v>
      </c>
      <c r="DD27" s="24" t="n">
        <v>12.25</v>
      </c>
      <c r="DE27" s="24" t="n">
        <v>3.27</v>
      </c>
      <c r="DF27" s="24" t="n">
        <v>5.02</v>
      </c>
      <c r="DG27" s="24" t="n">
        <v>4.8</v>
      </c>
      <c r="DH27" s="24" t="n">
        <v>1</v>
      </c>
      <c r="DI27" s="24" t="n">
        <v>5</v>
      </c>
      <c r="DK27" s="24" t="n">
        <v>2</v>
      </c>
      <c r="DL27" s="24" t="n">
        <v>3</v>
      </c>
      <c r="DN27" s="24" t="n">
        <v>1</v>
      </c>
      <c r="DU27" s="24" t="n">
        <v>2.4</v>
      </c>
      <c r="DV27" s="24" t="n">
        <v>1</v>
      </c>
      <c r="DW27" s="24" t="n">
        <v>35</v>
      </c>
      <c r="DX27" s="24" t="n">
        <v>8</v>
      </c>
      <c r="DY27" s="24" t="n">
        <f aca="false">0.13*4</f>
        <v>0.52</v>
      </c>
      <c r="DZ27" s="24" t="n">
        <v>3</v>
      </c>
      <c r="EA27" s="24" t="n">
        <v>23</v>
      </c>
      <c r="EB27" s="24" t="n">
        <v>2</v>
      </c>
      <c r="EC27" s="24" t="n">
        <v>0.12</v>
      </c>
      <c r="ED27" s="24" t="n">
        <v>3</v>
      </c>
      <c r="EG27" s="28"/>
      <c r="EY27" s="24" t="n">
        <v>1</v>
      </c>
      <c r="EZ27" s="24" t="n">
        <v>50</v>
      </c>
      <c r="FA27" s="24" t="n">
        <v>5</v>
      </c>
      <c r="FB27" s="24" t="n">
        <v>0.32</v>
      </c>
      <c r="FC27" s="24" t="n">
        <v>3</v>
      </c>
      <c r="GJ27" s="27" t="n">
        <v>0.43</v>
      </c>
      <c r="GK27" s="27" t="n">
        <v>1</v>
      </c>
      <c r="GL27" s="27" t="n">
        <v>1</v>
      </c>
      <c r="GM27" s="27"/>
      <c r="GN27" s="27" t="n">
        <f aca="false">0.11+0.06+0.26*2</f>
        <v>0.69</v>
      </c>
      <c r="GO27" s="27" t="n">
        <v>2</v>
      </c>
      <c r="GP27" s="27"/>
      <c r="GQ27" s="27" t="n">
        <f aca="false">3.35*2+0.35*2</f>
        <v>7.4</v>
      </c>
      <c r="GR27" s="27"/>
      <c r="GS27" s="27"/>
      <c r="GT27" s="27"/>
      <c r="GU27" s="27" t="n">
        <v>1.74</v>
      </c>
      <c r="GV27" s="27" t="n">
        <v>1.32</v>
      </c>
      <c r="GW27" s="27"/>
      <c r="GX27" s="27"/>
      <c r="GY27" s="27" t="n">
        <v>4.32</v>
      </c>
      <c r="GZ27" s="27" t="n">
        <v>1.2</v>
      </c>
      <c r="HA27" s="27" t="n">
        <v>0.11</v>
      </c>
      <c r="HB27" s="24" t="n">
        <v>2</v>
      </c>
      <c r="HC27" s="24" t="s">
        <v>310</v>
      </c>
      <c r="HD27" s="24" t="n">
        <v>22.5</v>
      </c>
      <c r="HE27" s="27" t="n">
        <v>20.9</v>
      </c>
      <c r="HF27" s="27" t="n">
        <v>83.4</v>
      </c>
      <c r="HG27" s="27" t="n">
        <v>11</v>
      </c>
      <c r="HH27" s="24" t="n">
        <v>91.28</v>
      </c>
      <c r="HI27" s="24" t="n">
        <v>0</v>
      </c>
      <c r="HJ27" s="24" t="n">
        <v>0</v>
      </c>
      <c r="HK27" s="24" t="n">
        <v>0</v>
      </c>
      <c r="HL27" s="24" t="n">
        <v>4.15</v>
      </c>
      <c r="HM27" s="24" t="n">
        <v>0</v>
      </c>
      <c r="HN27" s="24" t="n">
        <v>0</v>
      </c>
      <c r="HO27" s="24" t="n">
        <v>0</v>
      </c>
      <c r="HP27" s="24" t="n">
        <v>0</v>
      </c>
      <c r="HQ27" s="24" t="n">
        <v>0</v>
      </c>
      <c r="HR27" s="24" t="n">
        <v>0</v>
      </c>
      <c r="HS27" s="24" t="n">
        <v>0.71</v>
      </c>
      <c r="HT27" s="24" t="n">
        <v>7.61</v>
      </c>
      <c r="HU27" s="24" t="n">
        <v>5.28</v>
      </c>
      <c r="HV27" s="24" t="n">
        <v>2.47</v>
      </c>
      <c r="HW27" s="24" t="n">
        <v>4.05</v>
      </c>
      <c r="HX27" s="24" t="n">
        <v>6.1</v>
      </c>
      <c r="HY27" s="24" t="n">
        <v>1</v>
      </c>
      <c r="HZ27" s="24" t="n">
        <v>5</v>
      </c>
      <c r="IB27" s="24" t="n">
        <v>1</v>
      </c>
      <c r="IC27" s="24" t="n">
        <v>3</v>
      </c>
      <c r="IE27" s="24" t="n">
        <v>2</v>
      </c>
      <c r="IL27" s="24" t="n">
        <v>4.7</v>
      </c>
      <c r="IM27" s="24" t="n">
        <v>1</v>
      </c>
      <c r="IN27" s="24" t="n">
        <v>35</v>
      </c>
      <c r="IO27" s="24" t="n">
        <v>8</v>
      </c>
      <c r="IP27" s="24" t="n">
        <f aca="false">0.19+0.32</f>
        <v>0.51</v>
      </c>
      <c r="IQ27" s="24" t="n">
        <v>3</v>
      </c>
      <c r="IX27" s="28"/>
      <c r="JP27" s="24" t="n">
        <v>1</v>
      </c>
      <c r="JQ27" s="24" t="n">
        <v>80</v>
      </c>
      <c r="JR27" s="24" t="n">
        <v>4</v>
      </c>
      <c r="JS27" s="24" t="n">
        <v>1.28</v>
      </c>
      <c r="JT27" s="24" t="n">
        <v>3</v>
      </c>
      <c r="JU27" s="24" t="n">
        <v>60</v>
      </c>
      <c r="JV27" s="24" t="n">
        <v>3</v>
      </c>
      <c r="JW27" s="24" t="n">
        <v>0.29</v>
      </c>
      <c r="JX27" s="24" t="n">
        <v>3</v>
      </c>
      <c r="JY27" s="24" t="n">
        <v>70</v>
      </c>
      <c r="JZ27" s="24" t="n">
        <v>4</v>
      </c>
      <c r="KA27" s="24" t="n">
        <v>0.58</v>
      </c>
      <c r="KB27" s="24" t="n">
        <v>3</v>
      </c>
      <c r="LA27" s="27" t="n">
        <v>0.49</v>
      </c>
      <c r="LB27" s="27" t="n">
        <v>1</v>
      </c>
      <c r="LC27" s="27" t="n">
        <v>2</v>
      </c>
      <c r="LD27" s="27"/>
      <c r="LE27" s="27" t="n">
        <f aca="false">0.27*3</f>
        <v>0.81</v>
      </c>
      <c r="LF27" s="27"/>
      <c r="LG27" s="27"/>
      <c r="LH27" s="27"/>
      <c r="LI27" s="27"/>
      <c r="LJ27" s="27"/>
      <c r="LK27" s="27"/>
      <c r="LL27" s="27" t="n">
        <v>0</v>
      </c>
      <c r="LM27" s="27"/>
      <c r="LN27" s="27"/>
      <c r="LO27" s="27"/>
      <c r="LP27" s="27" t="n">
        <v>0</v>
      </c>
      <c r="LQ27" s="27" t="n">
        <v>0</v>
      </c>
      <c r="LR27" s="27" t="n">
        <v>0</v>
      </c>
      <c r="LS27" s="24" t="n">
        <v>0</v>
      </c>
      <c r="LT27" s="24" t="s">
        <v>311</v>
      </c>
      <c r="LU27" s="24" t="n">
        <v>52</v>
      </c>
      <c r="LV27" s="27" t="n">
        <v>87.1</v>
      </c>
      <c r="LW27" s="27" t="n">
        <v>83.4</v>
      </c>
      <c r="LX27" s="27" t="n">
        <v>31.9</v>
      </c>
      <c r="LY27" s="24" t="n">
        <v>55.25</v>
      </c>
      <c r="LZ27" s="24" t="n">
        <v>0</v>
      </c>
      <c r="MA27" s="24" t="n">
        <v>0</v>
      </c>
      <c r="MB27" s="24" t="n">
        <v>0</v>
      </c>
      <c r="MC27" s="24" t="n">
        <v>36.01</v>
      </c>
      <c r="MD27" s="24" t="n">
        <v>0</v>
      </c>
      <c r="ME27" s="24" t="n">
        <v>0</v>
      </c>
      <c r="MF27" s="24" t="n">
        <v>0</v>
      </c>
      <c r="MG27" s="24" t="n">
        <v>0</v>
      </c>
      <c r="MH27" s="24" t="n">
        <v>0</v>
      </c>
      <c r="MI27" s="24" t="n">
        <v>0</v>
      </c>
      <c r="MJ27" s="24" t="n">
        <v>1.03</v>
      </c>
      <c r="MK27" s="24" t="n">
        <v>22.5</v>
      </c>
      <c r="ML27" s="24" t="n">
        <v>29.21</v>
      </c>
      <c r="MM27" s="24" t="n">
        <v>12.38</v>
      </c>
      <c r="MN27" s="24" t="n">
        <v>8.73</v>
      </c>
      <c r="MO27" s="24" t="n">
        <v>5.3</v>
      </c>
      <c r="MP27" s="24" t="n">
        <v>1</v>
      </c>
      <c r="MQ27" s="24" t="n">
        <v>5</v>
      </c>
      <c r="MS27" s="24" t="n">
        <v>1</v>
      </c>
      <c r="NC27" s="24" t="n">
        <v>7.1</v>
      </c>
      <c r="ND27" s="24" t="n">
        <v>1</v>
      </c>
      <c r="NE27" s="24" t="n">
        <v>35</v>
      </c>
      <c r="NF27" s="24" t="n">
        <v>8</v>
      </c>
      <c r="NG27" s="24" t="n">
        <f aca="false">0.19+0.32</f>
        <v>0.51</v>
      </c>
      <c r="NH27" s="24" t="n">
        <v>3</v>
      </c>
      <c r="NO27" s="28"/>
      <c r="OG27" s="24" t="n">
        <v>1</v>
      </c>
      <c r="OH27" s="24" t="n">
        <v>50</v>
      </c>
      <c r="OI27" s="24" t="n">
        <v>7</v>
      </c>
      <c r="OJ27" s="24" t="n">
        <f aca="false">0.92+0.73+0.32</f>
        <v>1.97</v>
      </c>
      <c r="OK27" s="24" t="n">
        <v>3</v>
      </c>
      <c r="OL27" s="24" t="n">
        <v>70</v>
      </c>
      <c r="OM27" s="24" t="n">
        <v>11</v>
      </c>
      <c r="ON27" s="24" t="n">
        <f aca="false">0.73+0.65</f>
        <v>1.38</v>
      </c>
      <c r="OO27" s="24" t="n">
        <v>3</v>
      </c>
      <c r="OP27" s="24" t="n">
        <v>50</v>
      </c>
      <c r="OQ27" s="24" t="n">
        <v>1</v>
      </c>
      <c r="OR27" s="24" t="n">
        <v>0.37</v>
      </c>
      <c r="OS27" s="24" t="n">
        <v>4</v>
      </c>
      <c r="OT27" s="24" t="n">
        <v>50</v>
      </c>
      <c r="OU27" s="24" t="n">
        <v>1</v>
      </c>
      <c r="OV27" s="24" t="n">
        <v>0.37</v>
      </c>
      <c r="OW27" s="24" t="n">
        <v>6</v>
      </c>
      <c r="OX27" s="24" t="n">
        <v>60</v>
      </c>
      <c r="OY27" s="24" t="n">
        <v>12</v>
      </c>
      <c r="OZ27" s="24" t="n">
        <f aca="false">0.65+0.13</f>
        <v>0.78</v>
      </c>
      <c r="PA27" s="24" t="n">
        <v>3</v>
      </c>
      <c r="PB27" s="24" t="n">
        <v>60</v>
      </c>
      <c r="PC27" s="24" t="n">
        <v>4</v>
      </c>
      <c r="PD27" s="24" t="n">
        <v>0.26</v>
      </c>
      <c r="PE27" s="24" t="n">
        <v>1</v>
      </c>
      <c r="PF27" s="24" t="n">
        <v>70</v>
      </c>
      <c r="PG27" s="24" t="n">
        <v>4</v>
      </c>
      <c r="PH27" s="24" t="n">
        <v>0.39</v>
      </c>
      <c r="PI27" s="24" t="n">
        <v>1</v>
      </c>
      <c r="PJ27" s="24" t="n">
        <v>60</v>
      </c>
      <c r="PK27" s="24" t="n">
        <v>2</v>
      </c>
      <c r="PL27" s="24" t="n">
        <v>0.13</v>
      </c>
      <c r="PM27" s="24" t="n">
        <v>6</v>
      </c>
      <c r="PN27" s="24" t="n">
        <v>50</v>
      </c>
      <c r="PO27" s="24" t="n">
        <v>1</v>
      </c>
      <c r="PP27" s="24" t="n">
        <v>0.83</v>
      </c>
      <c r="PQ27" s="24" t="n">
        <v>6</v>
      </c>
      <c r="PR27" s="27" t="n">
        <v>5.11</v>
      </c>
      <c r="PS27" s="27" t="n">
        <v>1</v>
      </c>
      <c r="PT27" s="27" t="n">
        <v>1</v>
      </c>
      <c r="PU27" s="27"/>
      <c r="PV27" s="27" t="n">
        <f aca="false">0.18*2</f>
        <v>0.36</v>
      </c>
      <c r="PW27" s="27" t="n">
        <v>2</v>
      </c>
      <c r="PX27" s="27"/>
      <c r="PY27" s="27" t="n">
        <f aca="false">0.75+1.53+2.04+1</f>
        <v>5.32</v>
      </c>
      <c r="PZ27" s="27"/>
      <c r="QA27" s="27"/>
      <c r="QB27" s="27"/>
      <c r="QC27" s="27" t="n">
        <v>2.17</v>
      </c>
      <c r="QD27" s="27" t="n">
        <v>2.18</v>
      </c>
      <c r="QE27" s="27"/>
      <c r="QF27" s="27"/>
      <c r="QG27" s="27" t="n">
        <v>0</v>
      </c>
      <c r="QH27" s="27" t="n">
        <v>0</v>
      </c>
      <c r="QI27" s="27" t="n">
        <v>0</v>
      </c>
      <c r="QJ27" s="24" t="n">
        <v>0</v>
      </c>
      <c r="QK27" s="24" t="s">
        <v>312</v>
      </c>
      <c r="QL27" s="24" t="n">
        <v>40</v>
      </c>
      <c r="QM27" s="27" t="n">
        <v>90.5</v>
      </c>
      <c r="QN27" s="27" t="n">
        <v>83.4</v>
      </c>
      <c r="QO27" s="27" t="n">
        <v>24.1</v>
      </c>
      <c r="QP27" s="24" t="n">
        <v>65.22</v>
      </c>
      <c r="QQ27" s="24" t="n">
        <v>0</v>
      </c>
      <c r="QR27" s="24" t="n">
        <v>0</v>
      </c>
      <c r="QS27" s="24" t="n">
        <v>0</v>
      </c>
      <c r="QT27" s="24" t="n">
        <v>27.95</v>
      </c>
      <c r="QU27" s="24" t="n">
        <v>0</v>
      </c>
      <c r="QV27" s="24" t="n">
        <v>0</v>
      </c>
      <c r="QW27" s="24" t="n">
        <v>0</v>
      </c>
      <c r="QX27" s="24" t="n">
        <v>0</v>
      </c>
      <c r="QY27" s="24" t="n">
        <v>0</v>
      </c>
      <c r="QZ27" s="24" t="n">
        <v>0</v>
      </c>
      <c r="RA27" s="24" t="n">
        <v>0.5</v>
      </c>
      <c r="RB27" s="24" t="n">
        <v>25.43</v>
      </c>
      <c r="RC27" s="24" t="n">
        <v>28.69</v>
      </c>
      <c r="RD27" s="24" t="n">
        <v>8.32</v>
      </c>
      <c r="RE27" s="24" t="n">
        <v>6.81</v>
      </c>
      <c r="RF27" s="24" t="n">
        <v>5.3</v>
      </c>
      <c r="RG27" s="24" t="n">
        <v>1</v>
      </c>
      <c r="RH27" s="24" t="n">
        <v>5</v>
      </c>
      <c r="RJ27" s="24" t="n">
        <v>1</v>
      </c>
      <c r="RT27" s="24" t="n">
        <v>3.5</v>
      </c>
      <c r="RU27" s="24" t="n">
        <v>0</v>
      </c>
      <c r="SF27" s="28"/>
      <c r="SX27" s="24" t="n">
        <v>1</v>
      </c>
      <c r="SY27" s="24" t="n">
        <v>50</v>
      </c>
      <c r="SZ27" s="24" t="n">
        <v>9</v>
      </c>
      <c r="TA27" s="24" t="n">
        <f aca="false">0.9+0.72+0.92+0.73+0.32</f>
        <v>3.59</v>
      </c>
      <c r="TB27" s="24" t="n">
        <v>3</v>
      </c>
      <c r="TC27" s="24" t="n">
        <v>70</v>
      </c>
      <c r="TD27" s="24" t="n">
        <v>12</v>
      </c>
      <c r="TE27" s="24" t="n">
        <f aca="false">0.72+0.73+0.65</f>
        <v>2.1</v>
      </c>
      <c r="TF27" s="24" t="n">
        <v>3</v>
      </c>
      <c r="TG27" s="24" t="n">
        <v>60</v>
      </c>
      <c r="TH27" s="24" t="n">
        <v>2</v>
      </c>
      <c r="TI27" s="24" t="n">
        <v>0.13</v>
      </c>
      <c r="TJ27" s="24" t="n">
        <v>3</v>
      </c>
      <c r="TK27" s="24" t="n">
        <v>50</v>
      </c>
      <c r="TL27" s="24" t="n">
        <v>1</v>
      </c>
      <c r="TM27" s="24" t="n">
        <v>0.83</v>
      </c>
      <c r="TN27" s="24" t="n">
        <v>6</v>
      </c>
      <c r="TO27" s="24" t="n">
        <v>60</v>
      </c>
      <c r="TP27" s="24" t="n">
        <v>1</v>
      </c>
      <c r="TQ27" s="24" t="n">
        <v>0.13</v>
      </c>
      <c r="TR27" s="24" t="n">
        <v>6</v>
      </c>
      <c r="TS27" s="24" t="n">
        <v>70</v>
      </c>
      <c r="TT27" s="24" t="n">
        <v>1</v>
      </c>
      <c r="TU27" s="24" t="n">
        <v>0.39</v>
      </c>
      <c r="TV27" s="24" t="n">
        <v>1</v>
      </c>
      <c r="TW27" s="24" t="n">
        <v>50</v>
      </c>
      <c r="TX27" s="24" t="n">
        <v>2</v>
      </c>
      <c r="TY27" s="24" t="n">
        <f aca="false">0.36+0.37</f>
        <v>0.73</v>
      </c>
      <c r="TZ27" s="24" t="n">
        <v>4</v>
      </c>
      <c r="UI27" s="27" t="n">
        <v>3.9</v>
      </c>
      <c r="UJ27" s="27" t="n">
        <v>1</v>
      </c>
      <c r="UK27" s="27" t="n">
        <v>1</v>
      </c>
      <c r="UL27" s="27"/>
      <c r="UM27" s="27" t="n">
        <f aca="false">1.53+0.75+0.18*2</f>
        <v>2.64</v>
      </c>
      <c r="UN27" s="27" t="n">
        <v>2</v>
      </c>
      <c r="UO27" s="27"/>
      <c r="UP27" s="27" t="n">
        <f aca="false">3.06+1.5</f>
        <v>4.56</v>
      </c>
      <c r="UQ27" s="27"/>
      <c r="UR27" s="27"/>
      <c r="US27" s="27"/>
      <c r="UT27" s="27" t="n">
        <v>3</v>
      </c>
      <c r="UU27" s="27" t="n">
        <v>2.19</v>
      </c>
      <c r="UV27" s="27"/>
      <c r="UW27" s="27"/>
      <c r="UX27" s="27" t="n">
        <v>0</v>
      </c>
      <c r="UY27" s="27" t="n">
        <v>0</v>
      </c>
      <c r="UZ27" s="27" t="n">
        <v>0</v>
      </c>
      <c r="VA27" s="24" t="n">
        <v>0</v>
      </c>
      <c r="VB27" s="24" t="s">
        <v>313</v>
      </c>
      <c r="VC27" s="24" t="n">
        <v>39</v>
      </c>
      <c r="VD27" s="27" t="n">
        <v>80.9</v>
      </c>
      <c r="VE27" s="27" t="n">
        <v>83.4</v>
      </c>
      <c r="VF27" s="27" t="n">
        <v>19.3</v>
      </c>
      <c r="VG27" s="24" t="n">
        <v>75.96</v>
      </c>
      <c r="VH27" s="24" t="n">
        <v>0</v>
      </c>
      <c r="VI27" s="24" t="n">
        <v>3.12</v>
      </c>
      <c r="VJ27" s="24" t="n">
        <v>0</v>
      </c>
      <c r="VK27" s="24" t="n">
        <v>20.93</v>
      </c>
      <c r="VL27" s="24" t="n">
        <v>0</v>
      </c>
      <c r="VM27" s="24" t="n">
        <v>0</v>
      </c>
      <c r="VN27" s="24" t="n">
        <v>0</v>
      </c>
      <c r="VO27" s="24" t="n">
        <v>0</v>
      </c>
      <c r="VP27" s="24" t="n">
        <v>0</v>
      </c>
      <c r="VQ27" s="24" t="n">
        <v>0</v>
      </c>
      <c r="VR27" s="24" t="n">
        <v>5.32</v>
      </c>
      <c r="VS27" s="24" t="n">
        <v>30.75</v>
      </c>
      <c r="VT27" s="24" t="n">
        <v>28.21</v>
      </c>
      <c r="VU27" s="24" t="n">
        <v>4.22</v>
      </c>
      <c r="VV27" s="24" t="n">
        <v>0</v>
      </c>
      <c r="VW27" s="24" t="n">
        <v>0</v>
      </c>
      <c r="VX27" s="24" t="n">
        <v>0</v>
      </c>
      <c r="WK27" s="24" t="n">
        <v>15.8</v>
      </c>
      <c r="WL27" s="24" t="n">
        <v>1</v>
      </c>
      <c r="WM27" s="24" t="n">
        <v>35</v>
      </c>
      <c r="WN27" s="24" t="n">
        <v>4</v>
      </c>
      <c r="WO27" s="24" t="n">
        <f aca="false">0.73*4</f>
        <v>2.92</v>
      </c>
      <c r="WP27" s="24" t="n">
        <v>3</v>
      </c>
      <c r="WQ27" s="24" t="n">
        <v>23</v>
      </c>
      <c r="WR27" s="24" t="n">
        <v>1</v>
      </c>
      <c r="WS27" s="24" t="n">
        <v>0.06</v>
      </c>
      <c r="WT27" s="24" t="n">
        <v>3</v>
      </c>
      <c r="WW27" s="28"/>
      <c r="XO27" s="24" t="n">
        <v>1</v>
      </c>
      <c r="XP27" s="24" t="n">
        <v>60</v>
      </c>
      <c r="XQ27" s="24" t="n">
        <v>1</v>
      </c>
      <c r="XR27" s="24" t="n">
        <v>0.73</v>
      </c>
      <c r="XS27" s="24" t="n">
        <v>3</v>
      </c>
      <c r="XT27" s="24" t="n">
        <v>50</v>
      </c>
      <c r="XU27" s="24" t="n">
        <v>1</v>
      </c>
      <c r="XV27" s="24" t="n">
        <v>0.73</v>
      </c>
      <c r="XW27" s="24" t="n">
        <v>1</v>
      </c>
      <c r="XX27" s="24" t="n">
        <v>40</v>
      </c>
      <c r="XY27" s="24" t="n">
        <v>1</v>
      </c>
      <c r="XZ27" s="24" t="n">
        <v>0.73</v>
      </c>
      <c r="YA27" s="24" t="n">
        <v>6</v>
      </c>
      <c r="YB27" s="24" t="n">
        <v>50</v>
      </c>
      <c r="YC27" s="24" t="n">
        <v>1</v>
      </c>
      <c r="YD27" s="24" t="n">
        <v>0.19</v>
      </c>
      <c r="YE27" s="24" t="n">
        <v>3</v>
      </c>
      <c r="YF27" s="24" t="n">
        <v>70</v>
      </c>
      <c r="YG27" s="24" t="n">
        <v>3</v>
      </c>
      <c r="YH27" s="24" t="n">
        <v>0.58</v>
      </c>
      <c r="YI27" s="24" t="n">
        <v>3</v>
      </c>
      <c r="YJ27" s="24" t="n">
        <v>50</v>
      </c>
      <c r="YK27" s="24" t="n">
        <v>1</v>
      </c>
      <c r="YL27" s="24" t="n">
        <v>0.29</v>
      </c>
      <c r="YM27" s="24" t="n">
        <v>6</v>
      </c>
      <c r="YZ27" s="27" t="n">
        <v>0</v>
      </c>
      <c r="ZA27" s="27" t="n">
        <v>0</v>
      </c>
      <c r="ZB27" s="27"/>
      <c r="ZC27" s="27"/>
      <c r="ZD27" s="27"/>
      <c r="ZE27" s="27"/>
      <c r="ZF27" s="27"/>
      <c r="ZG27" s="27"/>
      <c r="ZH27" s="27"/>
      <c r="ZI27" s="27"/>
      <c r="ZJ27" s="27"/>
      <c r="ZK27" s="27" t="n">
        <v>0.26</v>
      </c>
      <c r="ZL27" s="27" t="n">
        <v>0.26</v>
      </c>
      <c r="ZM27" s="27"/>
      <c r="ZN27" s="27"/>
      <c r="ZO27" s="27" t="n">
        <v>3.6</v>
      </c>
      <c r="ZP27" s="27" t="n">
        <v>0.88</v>
      </c>
      <c r="ZQ27" s="27" t="n">
        <v>0</v>
      </c>
      <c r="ZR27" s="24" t="n">
        <v>0</v>
      </c>
      <c r="ZS27" s="24" t="s">
        <v>314</v>
      </c>
      <c r="ZT27" s="24" t="n">
        <v>36</v>
      </c>
      <c r="ZU27" s="27" t="n">
        <v>71.4</v>
      </c>
      <c r="ZV27" s="27" t="n">
        <v>83.4</v>
      </c>
      <c r="ZW27" s="27" t="n">
        <v>17.2</v>
      </c>
      <c r="ZX27" s="24" t="n">
        <v>79.88</v>
      </c>
      <c r="ZY27" s="24" t="n">
        <v>0</v>
      </c>
      <c r="ZZ27" s="24" t="n">
        <v>3.12</v>
      </c>
      <c r="AAA27" s="24" t="n">
        <v>0</v>
      </c>
      <c r="AAB27" s="24" t="n">
        <v>17</v>
      </c>
      <c r="AAC27" s="24" t="n">
        <v>0</v>
      </c>
      <c r="AAD27" s="24" t="n">
        <v>0</v>
      </c>
      <c r="AAE27" s="24" t="n">
        <v>0</v>
      </c>
      <c r="AAF27" s="24" t="n">
        <v>0</v>
      </c>
      <c r="AAG27" s="24" t="n">
        <v>0</v>
      </c>
      <c r="AAH27" s="24" t="n">
        <v>0</v>
      </c>
      <c r="AAI27" s="24" t="n">
        <v>5.32</v>
      </c>
      <c r="AAJ27" s="24" t="n">
        <v>31.86</v>
      </c>
      <c r="AAK27" s="24" t="n">
        <v>24.1</v>
      </c>
      <c r="AAL27" s="24" t="n">
        <v>2.02</v>
      </c>
      <c r="AAM27" s="24" t="n">
        <v>0</v>
      </c>
      <c r="AAN27" s="24" t="n">
        <v>0</v>
      </c>
      <c r="AAO27" s="24" t="n">
        <v>0</v>
      </c>
      <c r="ABB27" s="24" t="n">
        <v>15.1</v>
      </c>
      <c r="ABC27" s="24" t="n">
        <v>1</v>
      </c>
      <c r="ABD27" s="24" t="n">
        <v>35</v>
      </c>
      <c r="ABE27" s="24" t="n">
        <v>4</v>
      </c>
      <c r="ABF27" s="24" t="n">
        <f aca="false">0.73*4</f>
        <v>2.92</v>
      </c>
      <c r="ABG27" s="24" t="n">
        <v>3</v>
      </c>
      <c r="ABN27" s="28"/>
      <c r="ACF27" s="24" t="n">
        <v>1</v>
      </c>
      <c r="ACG27" s="24" t="n">
        <v>50</v>
      </c>
      <c r="ACH27" s="24" t="n">
        <v>2</v>
      </c>
      <c r="ACI27" s="24" t="n">
        <f aca="false">0.73+0.19</f>
        <v>0.92</v>
      </c>
      <c r="ACJ27" s="24" t="n">
        <v>3</v>
      </c>
      <c r="ACK27" s="24" t="n">
        <v>50</v>
      </c>
      <c r="ACL27" s="24" t="n">
        <v>1</v>
      </c>
      <c r="ACM27" s="24" t="n">
        <v>0.73</v>
      </c>
      <c r="ACN27" s="24" t="n">
        <v>1</v>
      </c>
      <c r="ACO27" s="24" t="n">
        <v>70</v>
      </c>
      <c r="ACP27" s="24" t="n">
        <v>3</v>
      </c>
      <c r="ACQ27" s="24" t="n">
        <v>0.58</v>
      </c>
      <c r="ACR27" s="24" t="n">
        <v>3</v>
      </c>
      <c r="ACS27" s="24" t="n">
        <v>40</v>
      </c>
      <c r="ACT27" s="24" t="n">
        <v>1</v>
      </c>
      <c r="ACU27" s="24" t="n">
        <v>1.65</v>
      </c>
      <c r="ACV27" s="24" t="n">
        <v>6</v>
      </c>
      <c r="ADQ27" s="27" t="n">
        <v>0</v>
      </c>
      <c r="ADR27" s="27" t="n">
        <v>0</v>
      </c>
      <c r="ADS27" s="27"/>
      <c r="ADT27" s="27"/>
      <c r="ADU27" s="27"/>
      <c r="ADV27" s="27"/>
      <c r="ADW27" s="27"/>
      <c r="ADX27" s="27"/>
      <c r="ADY27" s="27"/>
      <c r="ADZ27" s="27"/>
      <c r="AEA27" s="27"/>
      <c r="AEB27" s="27" t="n">
        <v>0</v>
      </c>
      <c r="AEC27" s="27" t="n">
        <v>0</v>
      </c>
      <c r="AED27" s="27"/>
      <c r="AEE27" s="27"/>
      <c r="AEF27" s="27" t="n">
        <v>3.6</v>
      </c>
      <c r="AEG27" s="27" t="n">
        <v>0.88</v>
      </c>
      <c r="AEH27" s="27" t="n">
        <v>0</v>
      </c>
      <c r="AEI27" s="24" t="n">
        <v>0</v>
      </c>
      <c r="AEJ27" s="24" t="s">
        <v>315</v>
      </c>
      <c r="AEK27" s="24" t="n">
        <v>38.5</v>
      </c>
      <c r="AEL27" s="27" t="n">
        <v>90.6</v>
      </c>
      <c r="AEM27" s="27" t="n">
        <v>83.4</v>
      </c>
      <c r="AEN27" s="27" t="n">
        <v>29.4</v>
      </c>
      <c r="AEO27" s="24" t="n">
        <v>59.08</v>
      </c>
      <c r="AEP27" s="24" t="n">
        <v>0</v>
      </c>
      <c r="AEQ27" s="24" t="n">
        <v>0</v>
      </c>
      <c r="AER27" s="24" t="n">
        <v>0</v>
      </c>
      <c r="AES27" s="24" t="n">
        <v>40.92</v>
      </c>
      <c r="AET27" s="24" t="n">
        <v>0</v>
      </c>
      <c r="AEU27" s="24" t="n">
        <v>0</v>
      </c>
      <c r="AEV27" s="24" t="n">
        <v>0</v>
      </c>
      <c r="AEW27" s="24" t="n">
        <v>0</v>
      </c>
      <c r="AEX27" s="24" t="n">
        <v>0</v>
      </c>
      <c r="AEY27" s="24" t="n">
        <v>0</v>
      </c>
      <c r="AEZ27" s="24" t="n">
        <v>3.67</v>
      </c>
      <c r="AFA27" s="24" t="n">
        <v>24.93</v>
      </c>
      <c r="AFB27" s="24" t="n">
        <v>39.44</v>
      </c>
      <c r="AFC27" s="24" t="n">
        <v>8.51</v>
      </c>
      <c r="AFD27" s="24" t="n">
        <v>0</v>
      </c>
      <c r="AFE27" s="24" t="n">
        <v>0</v>
      </c>
      <c r="AFF27" s="24" t="n">
        <v>0</v>
      </c>
      <c r="AFS27" s="24" t="n">
        <v>3.7</v>
      </c>
      <c r="AFT27" s="24" t="n">
        <v>1</v>
      </c>
      <c r="AFU27" s="24" t="n">
        <v>34</v>
      </c>
      <c r="AFV27" s="24" t="n">
        <v>2</v>
      </c>
      <c r="AFW27" s="24" t="n">
        <f aca="false">4.05</f>
        <v>4.05</v>
      </c>
      <c r="AFX27" s="24" t="n">
        <v>1</v>
      </c>
      <c r="AGE27" s="28"/>
      <c r="AGW27" s="24" t="n">
        <v>1</v>
      </c>
      <c r="AGX27" s="24" t="n">
        <v>50</v>
      </c>
      <c r="AGY27" s="24" t="n">
        <v>2</v>
      </c>
      <c r="AGZ27" s="24" t="n">
        <f aca="false">0.73*2</f>
        <v>1.46</v>
      </c>
      <c r="AHA27" s="24" t="n">
        <v>6</v>
      </c>
      <c r="AIH27" s="27" t="n">
        <v>4.96</v>
      </c>
      <c r="AII27" s="27" t="n">
        <v>1</v>
      </c>
      <c r="AIJ27" s="27" t="n">
        <v>2</v>
      </c>
      <c r="AIK27" s="27"/>
      <c r="AIL27" s="27" t="n">
        <f aca="false">7.34*2+0.65*4</f>
        <v>17.28</v>
      </c>
      <c r="AIM27" s="27"/>
      <c r="AIN27" s="27"/>
      <c r="AIO27" s="27"/>
      <c r="AIP27" s="27"/>
      <c r="AIQ27" s="27"/>
      <c r="AIR27" s="27"/>
      <c r="AIS27" s="27" t="n">
        <v>0.19</v>
      </c>
      <c r="AIT27" s="27" t="n">
        <v>0.19</v>
      </c>
      <c r="AIU27" s="27"/>
      <c r="AIV27" s="27"/>
      <c r="AIW27" s="27" t="n">
        <v>0</v>
      </c>
      <c r="AIX27" s="27" t="n">
        <v>0</v>
      </c>
      <c r="AIY27" s="27" t="n">
        <v>0</v>
      </c>
      <c r="AIZ27" s="24" t="n">
        <v>0</v>
      </c>
      <c r="AJA27" s="24" t="s">
        <v>316</v>
      </c>
      <c r="AJB27" s="24" t="n">
        <v>36</v>
      </c>
      <c r="AJC27" s="27" t="n">
        <v>94.1</v>
      </c>
      <c r="AJD27" s="27" t="n">
        <v>83.4</v>
      </c>
      <c r="AJE27" s="27" t="n">
        <v>25.8</v>
      </c>
      <c r="AJF27" s="24" t="n">
        <v>60.57</v>
      </c>
      <c r="AJG27" s="24" t="n">
        <v>0</v>
      </c>
      <c r="AJH27" s="24" t="n">
        <v>0</v>
      </c>
      <c r="AJI27" s="24" t="n">
        <v>0</v>
      </c>
      <c r="AJJ27" s="24" t="n">
        <v>39.43</v>
      </c>
      <c r="AJK27" s="24" t="n">
        <v>0</v>
      </c>
      <c r="AJL27" s="24" t="n">
        <v>0</v>
      </c>
      <c r="AJM27" s="24" t="n">
        <v>0</v>
      </c>
      <c r="AJN27" s="24" t="n">
        <v>0</v>
      </c>
      <c r="AJO27" s="24" t="n">
        <v>0</v>
      </c>
      <c r="AJP27" s="24" t="n">
        <v>0</v>
      </c>
      <c r="AJQ27" s="24" t="n">
        <v>0</v>
      </c>
      <c r="AJR27" s="24" t="n">
        <v>30.64</v>
      </c>
      <c r="AJS27" s="24" t="n">
        <v>37.97</v>
      </c>
      <c r="AJT27" s="24" t="n">
        <v>4.59</v>
      </c>
      <c r="AJU27" s="24" t="n">
        <v>0</v>
      </c>
      <c r="AJV27" s="24" t="n">
        <v>0</v>
      </c>
      <c r="AJW27" s="24" t="n">
        <v>0</v>
      </c>
      <c r="AKJ27" s="24" t="n">
        <v>4.8</v>
      </c>
      <c r="AKK27" s="24" t="n">
        <v>0</v>
      </c>
      <c r="AKV27" s="28"/>
      <c r="ALN27" s="24" t="n">
        <v>1</v>
      </c>
      <c r="ALO27" s="24" t="n">
        <v>50</v>
      </c>
      <c r="ALP27" s="24" t="n">
        <v>3</v>
      </c>
      <c r="ALQ27" s="24" t="n">
        <f aca="false">0.73*3</f>
        <v>2.19</v>
      </c>
      <c r="ALR27" s="24" t="n">
        <v>6</v>
      </c>
    </row>
    <row r="28" customFormat="false" ht="13.8" hidden="false" customHeight="false" outlineLevel="0" collapsed="false">
      <c r="A28" s="1" t="s">
        <v>341</v>
      </c>
      <c r="B28" s="12" t="n">
        <v>42900</v>
      </c>
      <c r="C28" s="0" t="n">
        <v>2</v>
      </c>
      <c r="D28" s="13" t="n">
        <v>40513</v>
      </c>
      <c r="E28" s="12" t="n">
        <v>29267</v>
      </c>
      <c r="F28" s="14" t="n">
        <f aca="false">(B28-E28)/365.25</f>
        <v>37.3251197809719</v>
      </c>
      <c r="G28" s="14" t="n">
        <f aca="false">(B28-D28)/365.25</f>
        <v>6.53524982888433</v>
      </c>
      <c r="H28" s="15" t="s">
        <v>306</v>
      </c>
      <c r="I28" s="15" t="s">
        <v>307</v>
      </c>
      <c r="J28" s="21" t="s">
        <v>181</v>
      </c>
      <c r="K28" s="21" t="n">
        <v>4</v>
      </c>
      <c r="L28" s="19" t="n">
        <v>76</v>
      </c>
      <c r="M28" s="0" t="n">
        <v>1.82</v>
      </c>
      <c r="N28" s="16" t="n">
        <f aca="false">L28/(M28*M28)</f>
        <v>22.9440888781548</v>
      </c>
      <c r="O28" s="19" t="n">
        <v>0</v>
      </c>
      <c r="P28" s="19" t="n">
        <v>1</v>
      </c>
      <c r="Q28" s="19" t="s">
        <v>342</v>
      </c>
      <c r="R28" s="19" t="n">
        <v>0</v>
      </c>
      <c r="S28" s="19" t="n">
        <v>0</v>
      </c>
      <c r="T28" s="19" t="n">
        <v>0</v>
      </c>
      <c r="U28" s="19" t="n">
        <v>0</v>
      </c>
      <c r="V28" s="19" t="n">
        <v>0</v>
      </c>
      <c r="W28" s="19" t="n">
        <v>1</v>
      </c>
      <c r="X28" s="19" t="n">
        <v>0</v>
      </c>
      <c r="Y28" s="19" t="n">
        <v>1</v>
      </c>
      <c r="Z28" s="19" t="n">
        <v>2</v>
      </c>
      <c r="AA28" s="19" t="n">
        <v>90</v>
      </c>
      <c r="AB28" s="19" t="s">
        <v>343</v>
      </c>
      <c r="AC28" s="19" t="n">
        <v>0</v>
      </c>
      <c r="AD28" s="19" t="n">
        <v>0</v>
      </c>
      <c r="AE28" s="19" t="n">
        <v>1</v>
      </c>
      <c r="AF28" s="19" t="n">
        <v>0</v>
      </c>
      <c r="AG28" s="19" t="n">
        <v>1</v>
      </c>
      <c r="AH28" s="19" t="n">
        <v>6</v>
      </c>
      <c r="AI28" s="19" t="n">
        <v>2</v>
      </c>
      <c r="AJ28" s="19" t="n">
        <v>0</v>
      </c>
      <c r="AK28" s="19" t="n">
        <v>2</v>
      </c>
      <c r="AL28" s="19" t="n">
        <v>0</v>
      </c>
      <c r="AM28" s="19" t="n">
        <v>2</v>
      </c>
      <c r="AN28" s="19" t="n">
        <v>2</v>
      </c>
      <c r="AO28" s="19" t="n">
        <v>2</v>
      </c>
      <c r="AP28" s="19" t="n">
        <v>2</v>
      </c>
      <c r="AQ28" s="19" t="n">
        <v>0</v>
      </c>
      <c r="AR28" s="19" t="n">
        <v>3</v>
      </c>
      <c r="AS28" s="19" t="n">
        <v>1</v>
      </c>
      <c r="AT28" s="19" t="n">
        <v>1</v>
      </c>
      <c r="AU28" s="19" t="n">
        <v>1</v>
      </c>
      <c r="AV28" s="19" t="n">
        <v>4</v>
      </c>
      <c r="AW28" s="19" t="n">
        <v>0</v>
      </c>
      <c r="AX28" s="19" t="n">
        <v>0</v>
      </c>
      <c r="AY28" s="19" t="n">
        <v>0</v>
      </c>
      <c r="AZ28" s="19" t="n">
        <v>0</v>
      </c>
      <c r="BA28" s="19" t="n">
        <v>0</v>
      </c>
      <c r="BB28" s="19" t="n">
        <v>1</v>
      </c>
      <c r="BC28" s="19" t="n">
        <v>1</v>
      </c>
      <c r="BD28" s="19" t="n">
        <v>1</v>
      </c>
      <c r="BE28" s="19" t="n">
        <v>6</v>
      </c>
      <c r="BF28" s="19" t="n">
        <v>1</v>
      </c>
      <c r="BG28" s="19" t="n">
        <v>1</v>
      </c>
      <c r="BH28" s="19" t="n">
        <v>1</v>
      </c>
      <c r="BI28" s="19" t="n">
        <v>5</v>
      </c>
      <c r="BJ28" s="19" t="n">
        <v>0</v>
      </c>
      <c r="BK28" s="19" t="n">
        <v>0</v>
      </c>
      <c r="BL28" s="19" t="n">
        <v>0</v>
      </c>
      <c r="BM28" s="19" t="n">
        <v>0</v>
      </c>
      <c r="BN28" s="19" t="n">
        <v>0</v>
      </c>
      <c r="BO28" s="19" t="n">
        <v>0</v>
      </c>
      <c r="BP28" s="19" t="n">
        <v>0</v>
      </c>
      <c r="BQ28" s="19" t="n">
        <v>0</v>
      </c>
      <c r="BR28" s="19" t="n">
        <v>5</v>
      </c>
      <c r="BS28" s="19" t="n">
        <v>3</v>
      </c>
      <c r="BT28" s="19" t="n">
        <v>5</v>
      </c>
      <c r="BU28" s="19" t="n">
        <v>5</v>
      </c>
      <c r="BV28" s="19" t="n">
        <v>4</v>
      </c>
      <c r="BW28" s="19" t="n">
        <v>3</v>
      </c>
      <c r="BX28" s="19" t="n">
        <v>5</v>
      </c>
      <c r="BY28" s="19" t="n">
        <v>5</v>
      </c>
      <c r="BZ28" s="19" t="n">
        <v>4</v>
      </c>
      <c r="CA28" s="19" t="n">
        <v>5</v>
      </c>
      <c r="CB28" s="19" t="n">
        <v>5</v>
      </c>
      <c r="CC28" s="19" t="n">
        <v>5</v>
      </c>
      <c r="CD28" s="19" t="n">
        <v>2</v>
      </c>
      <c r="CE28" s="19" t="n">
        <v>4</v>
      </c>
      <c r="CF28" s="19" t="n">
        <v>3</v>
      </c>
      <c r="CG28" s="19" t="n">
        <v>5</v>
      </c>
      <c r="CH28" s="19" t="n">
        <v>3</v>
      </c>
      <c r="CI28" s="19" t="n">
        <v>4</v>
      </c>
      <c r="CJ28" s="19" t="n">
        <v>5</v>
      </c>
      <c r="CK28" s="19" t="n">
        <v>10</v>
      </c>
      <c r="CL28" s="24" t="s">
        <v>309</v>
      </c>
      <c r="CM28" s="24" t="n">
        <v>31</v>
      </c>
      <c r="CN28" s="27" t="n">
        <v>39.2</v>
      </c>
      <c r="CO28" s="27" t="n">
        <v>83.4</v>
      </c>
      <c r="CP28" s="27" t="n">
        <v>17.2</v>
      </c>
      <c r="CQ28" s="24" t="n">
        <v>85.69</v>
      </c>
      <c r="CR28" s="24" t="n">
        <v>0</v>
      </c>
      <c r="CS28" s="24" t="n">
        <v>0.39</v>
      </c>
      <c r="CT28" s="24" t="n">
        <v>0</v>
      </c>
      <c r="CU28" s="24" t="n">
        <v>13.37</v>
      </c>
      <c r="CV28" s="24" t="n">
        <v>0</v>
      </c>
      <c r="CW28" s="24" t="n">
        <v>0</v>
      </c>
      <c r="CX28" s="24" t="n">
        <v>0</v>
      </c>
      <c r="CY28" s="24" t="n">
        <v>0</v>
      </c>
      <c r="CZ28" s="24" t="n">
        <v>0</v>
      </c>
      <c r="DA28" s="24" t="n">
        <v>0</v>
      </c>
      <c r="DB28" s="24" t="n">
        <v>12.36</v>
      </c>
      <c r="DC28" s="24" t="n">
        <v>18.21</v>
      </c>
      <c r="DD28" s="24" t="n">
        <v>12.25</v>
      </c>
      <c r="DE28" s="24" t="n">
        <v>3.27</v>
      </c>
      <c r="DF28" s="24" t="n">
        <v>5.02</v>
      </c>
      <c r="DG28" s="24" t="n">
        <v>4.8</v>
      </c>
      <c r="DH28" s="24" t="n">
        <v>1</v>
      </c>
      <c r="DI28" s="24" t="n">
        <v>5</v>
      </c>
      <c r="DK28" s="24" t="n">
        <v>2</v>
      </c>
      <c r="DL28" s="24" t="n">
        <v>3</v>
      </c>
      <c r="DN28" s="24" t="n">
        <v>1</v>
      </c>
      <c r="DU28" s="24" t="n">
        <v>2.4</v>
      </c>
      <c r="DV28" s="24" t="n">
        <v>1</v>
      </c>
      <c r="DW28" s="24" t="n">
        <v>35</v>
      </c>
      <c r="DX28" s="24" t="n">
        <v>8</v>
      </c>
      <c r="DY28" s="24" t="n">
        <f aca="false">0.13*4</f>
        <v>0.52</v>
      </c>
      <c r="DZ28" s="24" t="n">
        <v>3</v>
      </c>
      <c r="EA28" s="24" t="n">
        <v>23</v>
      </c>
      <c r="EB28" s="24" t="n">
        <v>2</v>
      </c>
      <c r="EC28" s="24" t="n">
        <v>0.12</v>
      </c>
      <c r="ED28" s="24" t="n">
        <v>3</v>
      </c>
      <c r="EG28" s="28"/>
      <c r="EY28" s="24" t="n">
        <v>1</v>
      </c>
      <c r="EZ28" s="24" t="n">
        <v>50</v>
      </c>
      <c r="FA28" s="24" t="n">
        <v>5</v>
      </c>
      <c r="FB28" s="24" t="n">
        <v>0.32</v>
      </c>
      <c r="FC28" s="24" t="n">
        <v>3</v>
      </c>
      <c r="GJ28" s="27" t="n">
        <v>0.43</v>
      </c>
      <c r="GK28" s="27" t="n">
        <v>1</v>
      </c>
      <c r="GL28" s="27" t="n">
        <v>1</v>
      </c>
      <c r="GM28" s="27"/>
      <c r="GN28" s="27" t="n">
        <f aca="false">0.11+0.06+0.26*2</f>
        <v>0.69</v>
      </c>
      <c r="GO28" s="27" t="n">
        <v>2</v>
      </c>
      <c r="GP28" s="27"/>
      <c r="GQ28" s="27" t="n">
        <f aca="false">3.35*2+0.35*2</f>
        <v>7.4</v>
      </c>
      <c r="GR28" s="27"/>
      <c r="GS28" s="27"/>
      <c r="GT28" s="27"/>
      <c r="GU28" s="27" t="n">
        <v>1.74</v>
      </c>
      <c r="GV28" s="27" t="n">
        <v>1.32</v>
      </c>
      <c r="GW28" s="27"/>
      <c r="GX28" s="27"/>
      <c r="GY28" s="27" t="n">
        <v>4.32</v>
      </c>
      <c r="GZ28" s="27" t="n">
        <v>1.2</v>
      </c>
      <c r="HA28" s="27" t="n">
        <v>0.11</v>
      </c>
      <c r="HB28" s="24" t="n">
        <v>2</v>
      </c>
      <c r="HC28" s="24" t="s">
        <v>310</v>
      </c>
      <c r="HD28" s="24" t="n">
        <v>22.5</v>
      </c>
      <c r="HE28" s="27" t="n">
        <v>20.9</v>
      </c>
      <c r="HF28" s="27" t="n">
        <v>83.4</v>
      </c>
      <c r="HG28" s="27" t="n">
        <v>11</v>
      </c>
      <c r="HH28" s="24" t="n">
        <v>91.28</v>
      </c>
      <c r="HI28" s="24" t="n">
        <v>0</v>
      </c>
      <c r="HJ28" s="24" t="n">
        <v>0</v>
      </c>
      <c r="HK28" s="24" t="n">
        <v>0</v>
      </c>
      <c r="HL28" s="24" t="n">
        <v>4.15</v>
      </c>
      <c r="HM28" s="24" t="n">
        <v>0</v>
      </c>
      <c r="HN28" s="24" t="n">
        <v>0</v>
      </c>
      <c r="HO28" s="24" t="n">
        <v>0</v>
      </c>
      <c r="HP28" s="24" t="n">
        <v>0</v>
      </c>
      <c r="HQ28" s="24" t="n">
        <v>0</v>
      </c>
      <c r="HR28" s="24" t="n">
        <v>0</v>
      </c>
      <c r="HS28" s="24" t="n">
        <v>0.71</v>
      </c>
      <c r="HT28" s="24" t="n">
        <v>7.61</v>
      </c>
      <c r="HU28" s="24" t="n">
        <v>5.28</v>
      </c>
      <c r="HV28" s="24" t="n">
        <v>2.47</v>
      </c>
      <c r="HW28" s="24" t="n">
        <v>4.05</v>
      </c>
      <c r="HX28" s="24" t="n">
        <v>6.1</v>
      </c>
      <c r="HY28" s="24" t="n">
        <v>1</v>
      </c>
      <c r="HZ28" s="24" t="n">
        <v>5</v>
      </c>
      <c r="IB28" s="24" t="n">
        <v>1</v>
      </c>
      <c r="IC28" s="24" t="n">
        <v>3</v>
      </c>
      <c r="IE28" s="24" t="n">
        <v>2</v>
      </c>
      <c r="IL28" s="24" t="n">
        <v>4.7</v>
      </c>
      <c r="IM28" s="24" t="n">
        <v>1</v>
      </c>
      <c r="IN28" s="24" t="n">
        <v>35</v>
      </c>
      <c r="IO28" s="24" t="n">
        <v>8</v>
      </c>
      <c r="IP28" s="24" t="n">
        <f aca="false">0.19+0.32</f>
        <v>0.51</v>
      </c>
      <c r="IQ28" s="24" t="n">
        <v>3</v>
      </c>
      <c r="IX28" s="28"/>
      <c r="JP28" s="24" t="n">
        <v>1</v>
      </c>
      <c r="JQ28" s="24" t="n">
        <v>80</v>
      </c>
      <c r="JR28" s="24" t="n">
        <v>4</v>
      </c>
      <c r="JS28" s="24" t="n">
        <v>1.28</v>
      </c>
      <c r="JT28" s="24" t="n">
        <v>3</v>
      </c>
      <c r="JU28" s="24" t="n">
        <v>60</v>
      </c>
      <c r="JV28" s="24" t="n">
        <v>3</v>
      </c>
      <c r="JW28" s="24" t="n">
        <v>0.29</v>
      </c>
      <c r="JX28" s="24" t="n">
        <v>3</v>
      </c>
      <c r="JY28" s="24" t="n">
        <v>70</v>
      </c>
      <c r="JZ28" s="24" t="n">
        <v>4</v>
      </c>
      <c r="KA28" s="24" t="n">
        <v>0.58</v>
      </c>
      <c r="KB28" s="24" t="n">
        <v>3</v>
      </c>
      <c r="LA28" s="27" t="n">
        <v>0.49</v>
      </c>
      <c r="LB28" s="27" t="n">
        <v>1</v>
      </c>
      <c r="LC28" s="27" t="n">
        <v>2</v>
      </c>
      <c r="LD28" s="27"/>
      <c r="LE28" s="27" t="n">
        <f aca="false">0.27*3</f>
        <v>0.81</v>
      </c>
      <c r="LF28" s="27"/>
      <c r="LG28" s="27"/>
      <c r="LH28" s="27"/>
      <c r="LI28" s="27"/>
      <c r="LJ28" s="27"/>
      <c r="LK28" s="27"/>
      <c r="LL28" s="27" t="n">
        <v>0</v>
      </c>
      <c r="LM28" s="27"/>
      <c r="LN28" s="27"/>
      <c r="LO28" s="27"/>
      <c r="LP28" s="27" t="n">
        <v>0</v>
      </c>
      <c r="LQ28" s="27" t="n">
        <v>0</v>
      </c>
      <c r="LR28" s="27" t="n">
        <v>0</v>
      </c>
      <c r="LS28" s="24" t="n">
        <v>0</v>
      </c>
      <c r="LT28" s="24" t="s">
        <v>311</v>
      </c>
      <c r="LU28" s="24" t="n">
        <v>52</v>
      </c>
      <c r="LV28" s="27" t="n">
        <v>87.1</v>
      </c>
      <c r="LW28" s="27" t="n">
        <v>83.4</v>
      </c>
      <c r="LX28" s="27" t="n">
        <v>31.9</v>
      </c>
      <c r="LY28" s="24" t="n">
        <v>55.25</v>
      </c>
      <c r="LZ28" s="24" t="n">
        <v>0</v>
      </c>
      <c r="MA28" s="24" t="n">
        <v>0</v>
      </c>
      <c r="MB28" s="24" t="n">
        <v>0</v>
      </c>
      <c r="MC28" s="24" t="n">
        <v>36.01</v>
      </c>
      <c r="MD28" s="24" t="n">
        <v>0</v>
      </c>
      <c r="ME28" s="24" t="n">
        <v>0</v>
      </c>
      <c r="MF28" s="24" t="n">
        <v>0</v>
      </c>
      <c r="MG28" s="24" t="n">
        <v>0</v>
      </c>
      <c r="MH28" s="24" t="n">
        <v>0</v>
      </c>
      <c r="MI28" s="24" t="n">
        <v>0</v>
      </c>
      <c r="MJ28" s="24" t="n">
        <v>1.03</v>
      </c>
      <c r="MK28" s="24" t="n">
        <v>22.5</v>
      </c>
      <c r="ML28" s="24" t="n">
        <v>29.21</v>
      </c>
      <c r="MM28" s="24" t="n">
        <v>12.38</v>
      </c>
      <c r="MN28" s="24" t="n">
        <v>8.73</v>
      </c>
      <c r="MO28" s="24" t="n">
        <v>5.3</v>
      </c>
      <c r="MP28" s="24" t="n">
        <v>1</v>
      </c>
      <c r="MQ28" s="24" t="n">
        <v>5</v>
      </c>
      <c r="MS28" s="24" t="n">
        <v>1</v>
      </c>
      <c r="NC28" s="24" t="n">
        <v>7.1</v>
      </c>
      <c r="ND28" s="24" t="n">
        <v>1</v>
      </c>
      <c r="NE28" s="24" t="n">
        <v>35</v>
      </c>
      <c r="NF28" s="24" t="n">
        <v>8</v>
      </c>
      <c r="NG28" s="24" t="n">
        <f aca="false">0.19+0.32</f>
        <v>0.51</v>
      </c>
      <c r="NH28" s="24" t="n">
        <v>3</v>
      </c>
      <c r="NO28" s="28"/>
      <c r="OG28" s="24" t="n">
        <v>1</v>
      </c>
      <c r="OH28" s="24" t="n">
        <v>50</v>
      </c>
      <c r="OI28" s="24" t="n">
        <v>7</v>
      </c>
      <c r="OJ28" s="24" t="n">
        <f aca="false">0.92+0.73+0.32</f>
        <v>1.97</v>
      </c>
      <c r="OK28" s="24" t="n">
        <v>3</v>
      </c>
      <c r="OL28" s="24" t="n">
        <v>70</v>
      </c>
      <c r="OM28" s="24" t="n">
        <v>11</v>
      </c>
      <c r="ON28" s="24" t="n">
        <f aca="false">0.73+0.65</f>
        <v>1.38</v>
      </c>
      <c r="OO28" s="24" t="n">
        <v>3</v>
      </c>
      <c r="OP28" s="24" t="n">
        <v>50</v>
      </c>
      <c r="OQ28" s="24" t="n">
        <v>1</v>
      </c>
      <c r="OR28" s="24" t="n">
        <v>0.37</v>
      </c>
      <c r="OS28" s="24" t="n">
        <v>4</v>
      </c>
      <c r="OT28" s="24" t="n">
        <v>50</v>
      </c>
      <c r="OU28" s="24" t="n">
        <v>1</v>
      </c>
      <c r="OV28" s="24" t="n">
        <v>0.37</v>
      </c>
      <c r="OW28" s="24" t="n">
        <v>6</v>
      </c>
      <c r="OX28" s="24" t="n">
        <v>60</v>
      </c>
      <c r="OY28" s="24" t="n">
        <v>12</v>
      </c>
      <c r="OZ28" s="24" t="n">
        <f aca="false">0.65+0.13</f>
        <v>0.78</v>
      </c>
      <c r="PA28" s="24" t="n">
        <v>3</v>
      </c>
      <c r="PB28" s="24" t="n">
        <v>60</v>
      </c>
      <c r="PC28" s="24" t="n">
        <v>4</v>
      </c>
      <c r="PD28" s="24" t="n">
        <v>0.26</v>
      </c>
      <c r="PE28" s="24" t="n">
        <v>1</v>
      </c>
      <c r="PF28" s="24" t="n">
        <v>70</v>
      </c>
      <c r="PG28" s="24" t="n">
        <v>4</v>
      </c>
      <c r="PH28" s="24" t="n">
        <v>0.39</v>
      </c>
      <c r="PI28" s="24" t="n">
        <v>1</v>
      </c>
      <c r="PJ28" s="24" t="n">
        <v>60</v>
      </c>
      <c r="PK28" s="24" t="n">
        <v>2</v>
      </c>
      <c r="PL28" s="24" t="n">
        <v>0.13</v>
      </c>
      <c r="PM28" s="24" t="n">
        <v>6</v>
      </c>
      <c r="PN28" s="24" t="n">
        <v>50</v>
      </c>
      <c r="PO28" s="24" t="n">
        <v>1</v>
      </c>
      <c r="PP28" s="24" t="n">
        <v>0.83</v>
      </c>
      <c r="PQ28" s="24" t="n">
        <v>6</v>
      </c>
      <c r="PR28" s="27" t="n">
        <v>5.11</v>
      </c>
      <c r="PS28" s="27" t="n">
        <v>1</v>
      </c>
      <c r="PT28" s="27" t="n">
        <v>1</v>
      </c>
      <c r="PU28" s="27"/>
      <c r="PV28" s="27" t="n">
        <f aca="false">0.18*2</f>
        <v>0.36</v>
      </c>
      <c r="PW28" s="27" t="n">
        <v>2</v>
      </c>
      <c r="PX28" s="27"/>
      <c r="PY28" s="27" t="n">
        <f aca="false">0.75+1.53+2.04+1</f>
        <v>5.32</v>
      </c>
      <c r="PZ28" s="27"/>
      <c r="QA28" s="27"/>
      <c r="QB28" s="27"/>
      <c r="QC28" s="27" t="n">
        <v>2.17</v>
      </c>
      <c r="QD28" s="27" t="n">
        <v>2.18</v>
      </c>
      <c r="QE28" s="27"/>
      <c r="QF28" s="27"/>
      <c r="QG28" s="27" t="n">
        <v>0</v>
      </c>
      <c r="QH28" s="27" t="n">
        <v>0</v>
      </c>
      <c r="QI28" s="27" t="n">
        <v>0</v>
      </c>
      <c r="QJ28" s="24" t="n">
        <v>0</v>
      </c>
      <c r="QK28" s="24" t="s">
        <v>312</v>
      </c>
      <c r="QL28" s="24" t="n">
        <v>40</v>
      </c>
      <c r="QM28" s="27" t="n">
        <v>90.5</v>
      </c>
      <c r="QN28" s="27" t="n">
        <v>83.4</v>
      </c>
      <c r="QO28" s="27" t="n">
        <v>24.1</v>
      </c>
      <c r="QP28" s="24" t="n">
        <v>65.22</v>
      </c>
      <c r="QQ28" s="24" t="n">
        <v>0</v>
      </c>
      <c r="QR28" s="24" t="n">
        <v>0</v>
      </c>
      <c r="QS28" s="24" t="n">
        <v>0</v>
      </c>
      <c r="QT28" s="24" t="n">
        <v>27.95</v>
      </c>
      <c r="QU28" s="24" t="n">
        <v>0</v>
      </c>
      <c r="QV28" s="24" t="n">
        <v>0</v>
      </c>
      <c r="QW28" s="24" t="n">
        <v>0</v>
      </c>
      <c r="QX28" s="24" t="n">
        <v>0</v>
      </c>
      <c r="QY28" s="24" t="n">
        <v>0</v>
      </c>
      <c r="QZ28" s="24" t="n">
        <v>0</v>
      </c>
      <c r="RA28" s="24" t="n">
        <v>0.5</v>
      </c>
      <c r="RB28" s="24" t="n">
        <v>25.43</v>
      </c>
      <c r="RC28" s="24" t="n">
        <v>28.69</v>
      </c>
      <c r="RD28" s="24" t="n">
        <v>8.32</v>
      </c>
      <c r="RE28" s="24" t="n">
        <v>6.81</v>
      </c>
      <c r="RF28" s="24" t="n">
        <v>5.3</v>
      </c>
      <c r="RG28" s="24" t="n">
        <v>1</v>
      </c>
      <c r="RH28" s="24" t="n">
        <v>5</v>
      </c>
      <c r="RJ28" s="24" t="n">
        <v>1</v>
      </c>
      <c r="RT28" s="24" t="n">
        <v>3.5</v>
      </c>
      <c r="RU28" s="24" t="n">
        <v>0</v>
      </c>
      <c r="SF28" s="28"/>
      <c r="SX28" s="24" t="n">
        <v>1</v>
      </c>
      <c r="SY28" s="24" t="n">
        <v>50</v>
      </c>
      <c r="SZ28" s="24" t="n">
        <v>9</v>
      </c>
      <c r="TA28" s="24" t="n">
        <f aca="false">0.9+0.72+0.92+0.73+0.32</f>
        <v>3.59</v>
      </c>
      <c r="TB28" s="24" t="n">
        <v>3</v>
      </c>
      <c r="TC28" s="24" t="n">
        <v>70</v>
      </c>
      <c r="TD28" s="24" t="n">
        <v>12</v>
      </c>
      <c r="TE28" s="24" t="n">
        <f aca="false">0.72+0.73+0.65</f>
        <v>2.1</v>
      </c>
      <c r="TF28" s="24" t="n">
        <v>3</v>
      </c>
      <c r="TG28" s="24" t="n">
        <v>60</v>
      </c>
      <c r="TH28" s="24" t="n">
        <v>2</v>
      </c>
      <c r="TI28" s="24" t="n">
        <v>0.13</v>
      </c>
      <c r="TJ28" s="24" t="n">
        <v>3</v>
      </c>
      <c r="TK28" s="24" t="n">
        <v>50</v>
      </c>
      <c r="TL28" s="24" t="n">
        <v>1</v>
      </c>
      <c r="TM28" s="24" t="n">
        <v>0.83</v>
      </c>
      <c r="TN28" s="24" t="n">
        <v>6</v>
      </c>
      <c r="TO28" s="24" t="n">
        <v>60</v>
      </c>
      <c r="TP28" s="24" t="n">
        <v>1</v>
      </c>
      <c r="TQ28" s="24" t="n">
        <v>0.13</v>
      </c>
      <c r="TR28" s="24" t="n">
        <v>6</v>
      </c>
      <c r="TS28" s="24" t="n">
        <v>70</v>
      </c>
      <c r="TT28" s="24" t="n">
        <v>1</v>
      </c>
      <c r="TU28" s="24" t="n">
        <v>0.39</v>
      </c>
      <c r="TV28" s="24" t="n">
        <v>1</v>
      </c>
      <c r="TW28" s="24" t="n">
        <v>50</v>
      </c>
      <c r="TX28" s="24" t="n">
        <v>2</v>
      </c>
      <c r="TY28" s="24" t="n">
        <f aca="false">0.36+0.37</f>
        <v>0.73</v>
      </c>
      <c r="TZ28" s="24" t="n">
        <v>4</v>
      </c>
      <c r="UI28" s="27" t="n">
        <v>3.9</v>
      </c>
      <c r="UJ28" s="27" t="n">
        <v>1</v>
      </c>
      <c r="UK28" s="27" t="n">
        <v>1</v>
      </c>
      <c r="UL28" s="27"/>
      <c r="UM28" s="27" t="n">
        <f aca="false">1.53+0.75+0.18*2</f>
        <v>2.64</v>
      </c>
      <c r="UN28" s="27" t="n">
        <v>2</v>
      </c>
      <c r="UO28" s="27"/>
      <c r="UP28" s="27" t="n">
        <f aca="false">3.06+1.5</f>
        <v>4.56</v>
      </c>
      <c r="UQ28" s="27"/>
      <c r="UR28" s="27"/>
      <c r="US28" s="27"/>
      <c r="UT28" s="27" t="n">
        <v>3</v>
      </c>
      <c r="UU28" s="27" t="n">
        <v>2.19</v>
      </c>
      <c r="UV28" s="27"/>
      <c r="UW28" s="27"/>
      <c r="UX28" s="27" t="n">
        <v>0</v>
      </c>
      <c r="UY28" s="27" t="n">
        <v>0</v>
      </c>
      <c r="UZ28" s="27" t="n">
        <v>0</v>
      </c>
      <c r="VA28" s="24" t="n">
        <v>0</v>
      </c>
      <c r="VB28" s="24" t="s">
        <v>313</v>
      </c>
      <c r="VC28" s="24" t="n">
        <v>39</v>
      </c>
      <c r="VD28" s="27" t="n">
        <v>80.9</v>
      </c>
      <c r="VE28" s="27" t="n">
        <v>83.4</v>
      </c>
      <c r="VF28" s="27" t="n">
        <v>19.3</v>
      </c>
      <c r="VG28" s="24" t="n">
        <v>75.96</v>
      </c>
      <c r="VH28" s="24" t="n">
        <v>0</v>
      </c>
      <c r="VI28" s="24" t="n">
        <v>3.12</v>
      </c>
      <c r="VJ28" s="24" t="n">
        <v>0</v>
      </c>
      <c r="VK28" s="24" t="n">
        <v>20.93</v>
      </c>
      <c r="VL28" s="24" t="n">
        <v>0</v>
      </c>
      <c r="VM28" s="24" t="n">
        <v>0</v>
      </c>
      <c r="VN28" s="24" t="n">
        <v>0</v>
      </c>
      <c r="VO28" s="24" t="n">
        <v>0</v>
      </c>
      <c r="VP28" s="24" t="n">
        <v>0</v>
      </c>
      <c r="VQ28" s="24" t="n">
        <v>0</v>
      </c>
      <c r="VR28" s="24" t="n">
        <v>5.32</v>
      </c>
      <c r="VS28" s="24" t="n">
        <v>30.75</v>
      </c>
      <c r="VT28" s="24" t="n">
        <v>28.21</v>
      </c>
      <c r="VU28" s="24" t="n">
        <v>4.22</v>
      </c>
      <c r="VV28" s="24" t="n">
        <v>0</v>
      </c>
      <c r="VW28" s="24" t="n">
        <v>0</v>
      </c>
      <c r="VX28" s="24" t="n">
        <v>0</v>
      </c>
      <c r="WK28" s="24" t="n">
        <v>15.8</v>
      </c>
      <c r="WL28" s="24" t="n">
        <v>1</v>
      </c>
      <c r="WM28" s="24" t="n">
        <v>35</v>
      </c>
      <c r="WN28" s="24" t="n">
        <v>4</v>
      </c>
      <c r="WO28" s="24" t="n">
        <f aca="false">0.73*4</f>
        <v>2.92</v>
      </c>
      <c r="WP28" s="24" t="n">
        <v>3</v>
      </c>
      <c r="WQ28" s="24" t="n">
        <v>23</v>
      </c>
      <c r="WR28" s="24" t="n">
        <v>1</v>
      </c>
      <c r="WS28" s="24" t="n">
        <v>0.06</v>
      </c>
      <c r="WT28" s="24" t="n">
        <v>3</v>
      </c>
      <c r="WW28" s="28"/>
      <c r="XO28" s="24" t="n">
        <v>1</v>
      </c>
      <c r="XP28" s="24" t="n">
        <v>60</v>
      </c>
      <c r="XQ28" s="24" t="n">
        <v>1</v>
      </c>
      <c r="XR28" s="24" t="n">
        <v>0.73</v>
      </c>
      <c r="XS28" s="24" t="n">
        <v>3</v>
      </c>
      <c r="XT28" s="24" t="n">
        <v>50</v>
      </c>
      <c r="XU28" s="24" t="n">
        <v>1</v>
      </c>
      <c r="XV28" s="24" t="n">
        <v>0.73</v>
      </c>
      <c r="XW28" s="24" t="n">
        <v>1</v>
      </c>
      <c r="XX28" s="24" t="n">
        <v>40</v>
      </c>
      <c r="XY28" s="24" t="n">
        <v>1</v>
      </c>
      <c r="XZ28" s="24" t="n">
        <v>0.73</v>
      </c>
      <c r="YA28" s="24" t="n">
        <v>6</v>
      </c>
      <c r="YB28" s="24" t="n">
        <v>50</v>
      </c>
      <c r="YC28" s="24" t="n">
        <v>1</v>
      </c>
      <c r="YD28" s="24" t="n">
        <v>0.19</v>
      </c>
      <c r="YE28" s="24" t="n">
        <v>3</v>
      </c>
      <c r="YF28" s="24" t="n">
        <v>70</v>
      </c>
      <c r="YG28" s="24" t="n">
        <v>3</v>
      </c>
      <c r="YH28" s="24" t="n">
        <v>0.58</v>
      </c>
      <c r="YI28" s="24" t="n">
        <v>3</v>
      </c>
      <c r="YJ28" s="24" t="n">
        <v>50</v>
      </c>
      <c r="YK28" s="24" t="n">
        <v>1</v>
      </c>
      <c r="YL28" s="24" t="n">
        <v>0.29</v>
      </c>
      <c r="YM28" s="24" t="n">
        <v>6</v>
      </c>
      <c r="YZ28" s="27" t="n">
        <v>0</v>
      </c>
      <c r="ZA28" s="27" t="n">
        <v>0</v>
      </c>
      <c r="ZB28" s="27"/>
      <c r="ZC28" s="27"/>
      <c r="ZD28" s="27"/>
      <c r="ZE28" s="27"/>
      <c r="ZF28" s="27"/>
      <c r="ZG28" s="27"/>
      <c r="ZH28" s="27"/>
      <c r="ZI28" s="27"/>
      <c r="ZJ28" s="27"/>
      <c r="ZK28" s="27" t="n">
        <v>0.26</v>
      </c>
      <c r="ZL28" s="27" t="n">
        <v>0.26</v>
      </c>
      <c r="ZM28" s="27"/>
      <c r="ZN28" s="27"/>
      <c r="ZO28" s="27" t="n">
        <v>3.6</v>
      </c>
      <c r="ZP28" s="27" t="n">
        <v>0.88</v>
      </c>
      <c r="ZQ28" s="27" t="n">
        <v>0</v>
      </c>
      <c r="ZR28" s="24" t="n">
        <v>0</v>
      </c>
      <c r="ZS28" s="24" t="s">
        <v>314</v>
      </c>
      <c r="ZT28" s="24" t="n">
        <v>36</v>
      </c>
      <c r="ZU28" s="27" t="n">
        <v>71.4</v>
      </c>
      <c r="ZV28" s="27" t="n">
        <v>83.4</v>
      </c>
      <c r="ZW28" s="27" t="n">
        <v>17.2</v>
      </c>
      <c r="ZX28" s="24" t="n">
        <v>79.88</v>
      </c>
      <c r="ZY28" s="24" t="n">
        <v>0</v>
      </c>
      <c r="ZZ28" s="24" t="n">
        <v>3.12</v>
      </c>
      <c r="AAA28" s="24" t="n">
        <v>0</v>
      </c>
      <c r="AAB28" s="24" t="n">
        <v>17</v>
      </c>
      <c r="AAC28" s="24" t="n">
        <v>0</v>
      </c>
      <c r="AAD28" s="24" t="n">
        <v>0</v>
      </c>
      <c r="AAE28" s="24" t="n">
        <v>0</v>
      </c>
      <c r="AAF28" s="24" t="n">
        <v>0</v>
      </c>
      <c r="AAG28" s="24" t="n">
        <v>0</v>
      </c>
      <c r="AAH28" s="24" t="n">
        <v>0</v>
      </c>
      <c r="AAI28" s="24" t="n">
        <v>5.32</v>
      </c>
      <c r="AAJ28" s="24" t="n">
        <v>31.86</v>
      </c>
      <c r="AAK28" s="24" t="n">
        <v>24.1</v>
      </c>
      <c r="AAL28" s="24" t="n">
        <v>2.02</v>
      </c>
      <c r="AAM28" s="24" t="n">
        <v>0</v>
      </c>
      <c r="AAN28" s="24" t="n">
        <v>0</v>
      </c>
      <c r="AAO28" s="24" t="n">
        <v>0</v>
      </c>
      <c r="ABB28" s="24" t="n">
        <v>15.1</v>
      </c>
      <c r="ABC28" s="24" t="n">
        <v>1</v>
      </c>
      <c r="ABD28" s="24" t="n">
        <v>35</v>
      </c>
      <c r="ABE28" s="24" t="n">
        <v>4</v>
      </c>
      <c r="ABF28" s="24" t="n">
        <f aca="false">0.73*4</f>
        <v>2.92</v>
      </c>
      <c r="ABG28" s="24" t="n">
        <v>3</v>
      </c>
      <c r="ABN28" s="28"/>
      <c r="ACF28" s="24" t="n">
        <v>1</v>
      </c>
      <c r="ACG28" s="24" t="n">
        <v>50</v>
      </c>
      <c r="ACH28" s="24" t="n">
        <v>2</v>
      </c>
      <c r="ACI28" s="24" t="n">
        <f aca="false">0.73+0.19</f>
        <v>0.92</v>
      </c>
      <c r="ACJ28" s="24" t="n">
        <v>3</v>
      </c>
      <c r="ACK28" s="24" t="n">
        <v>50</v>
      </c>
      <c r="ACL28" s="24" t="n">
        <v>1</v>
      </c>
      <c r="ACM28" s="24" t="n">
        <v>0.73</v>
      </c>
      <c r="ACN28" s="24" t="n">
        <v>1</v>
      </c>
      <c r="ACO28" s="24" t="n">
        <v>70</v>
      </c>
      <c r="ACP28" s="24" t="n">
        <v>3</v>
      </c>
      <c r="ACQ28" s="24" t="n">
        <v>0.58</v>
      </c>
      <c r="ACR28" s="24" t="n">
        <v>3</v>
      </c>
      <c r="ACS28" s="24" t="n">
        <v>40</v>
      </c>
      <c r="ACT28" s="24" t="n">
        <v>1</v>
      </c>
      <c r="ACU28" s="24" t="n">
        <v>1.65</v>
      </c>
      <c r="ACV28" s="24" t="n">
        <v>6</v>
      </c>
      <c r="ADQ28" s="27" t="n">
        <v>0</v>
      </c>
      <c r="ADR28" s="27" t="n">
        <v>0</v>
      </c>
      <c r="ADS28" s="27"/>
      <c r="ADT28" s="27"/>
      <c r="ADU28" s="27"/>
      <c r="ADV28" s="27"/>
      <c r="ADW28" s="27"/>
      <c r="ADX28" s="27"/>
      <c r="ADY28" s="27"/>
      <c r="ADZ28" s="27"/>
      <c r="AEA28" s="27"/>
      <c r="AEB28" s="27" t="n">
        <v>0</v>
      </c>
      <c r="AEC28" s="27" t="n">
        <v>0</v>
      </c>
      <c r="AED28" s="27"/>
      <c r="AEE28" s="27"/>
      <c r="AEF28" s="27" t="n">
        <v>3.6</v>
      </c>
      <c r="AEG28" s="27" t="n">
        <v>0.88</v>
      </c>
      <c r="AEH28" s="27" t="n">
        <v>0</v>
      </c>
      <c r="AEI28" s="24" t="n">
        <v>0</v>
      </c>
      <c r="AEJ28" s="24" t="s">
        <v>315</v>
      </c>
      <c r="AEK28" s="24" t="n">
        <v>38.5</v>
      </c>
      <c r="AEL28" s="27" t="n">
        <v>90.6</v>
      </c>
      <c r="AEM28" s="27" t="n">
        <v>83.4</v>
      </c>
      <c r="AEN28" s="27" t="n">
        <v>29.4</v>
      </c>
      <c r="AEO28" s="24" t="n">
        <v>59.08</v>
      </c>
      <c r="AEP28" s="24" t="n">
        <v>0</v>
      </c>
      <c r="AEQ28" s="24" t="n">
        <v>0</v>
      </c>
      <c r="AER28" s="24" t="n">
        <v>0</v>
      </c>
      <c r="AES28" s="24" t="n">
        <v>40.92</v>
      </c>
      <c r="AET28" s="24" t="n">
        <v>0</v>
      </c>
      <c r="AEU28" s="24" t="n">
        <v>0</v>
      </c>
      <c r="AEV28" s="24" t="n">
        <v>0</v>
      </c>
      <c r="AEW28" s="24" t="n">
        <v>0</v>
      </c>
      <c r="AEX28" s="24" t="n">
        <v>0</v>
      </c>
      <c r="AEY28" s="24" t="n">
        <v>0</v>
      </c>
      <c r="AEZ28" s="24" t="n">
        <v>3.67</v>
      </c>
      <c r="AFA28" s="24" t="n">
        <v>24.93</v>
      </c>
      <c r="AFB28" s="24" t="n">
        <v>39.44</v>
      </c>
      <c r="AFC28" s="24" t="n">
        <v>8.51</v>
      </c>
      <c r="AFD28" s="24" t="n">
        <v>0</v>
      </c>
      <c r="AFE28" s="24" t="n">
        <v>0</v>
      </c>
      <c r="AFF28" s="24" t="n">
        <v>0</v>
      </c>
      <c r="AFS28" s="24" t="n">
        <v>3.7</v>
      </c>
      <c r="AFT28" s="24" t="n">
        <v>1</v>
      </c>
      <c r="AFU28" s="24" t="n">
        <v>34</v>
      </c>
      <c r="AFV28" s="24" t="n">
        <v>2</v>
      </c>
      <c r="AFW28" s="24" t="n">
        <f aca="false">4.05</f>
        <v>4.05</v>
      </c>
      <c r="AFX28" s="24" t="n">
        <v>1</v>
      </c>
      <c r="AGE28" s="28"/>
      <c r="AGW28" s="24" t="n">
        <v>1</v>
      </c>
      <c r="AGX28" s="24" t="n">
        <v>50</v>
      </c>
      <c r="AGY28" s="24" t="n">
        <v>2</v>
      </c>
      <c r="AGZ28" s="24" t="n">
        <f aca="false">0.73*2</f>
        <v>1.46</v>
      </c>
      <c r="AHA28" s="24" t="n">
        <v>6</v>
      </c>
      <c r="AIH28" s="27" t="n">
        <v>4.96</v>
      </c>
      <c r="AII28" s="27" t="n">
        <v>1</v>
      </c>
      <c r="AIJ28" s="27" t="n">
        <v>2</v>
      </c>
      <c r="AIK28" s="27"/>
      <c r="AIL28" s="27" t="n">
        <f aca="false">7.34*2+0.65*4</f>
        <v>17.28</v>
      </c>
      <c r="AIM28" s="27"/>
      <c r="AIN28" s="27"/>
      <c r="AIO28" s="27"/>
      <c r="AIP28" s="27"/>
      <c r="AIQ28" s="27"/>
      <c r="AIR28" s="27"/>
      <c r="AIS28" s="27" t="n">
        <v>0.19</v>
      </c>
      <c r="AIT28" s="27" t="n">
        <v>0.19</v>
      </c>
      <c r="AIU28" s="27"/>
      <c r="AIV28" s="27"/>
      <c r="AIW28" s="27" t="n">
        <v>0</v>
      </c>
      <c r="AIX28" s="27" t="n">
        <v>0</v>
      </c>
      <c r="AIY28" s="27" t="n">
        <v>0</v>
      </c>
      <c r="AIZ28" s="24" t="n">
        <v>0</v>
      </c>
      <c r="AJA28" s="24" t="s">
        <v>316</v>
      </c>
      <c r="AJB28" s="24" t="n">
        <v>36</v>
      </c>
      <c r="AJC28" s="27" t="n">
        <v>94.1</v>
      </c>
      <c r="AJD28" s="27" t="n">
        <v>83.4</v>
      </c>
      <c r="AJE28" s="27" t="n">
        <v>25.8</v>
      </c>
      <c r="AJF28" s="24" t="n">
        <v>60.57</v>
      </c>
      <c r="AJG28" s="24" t="n">
        <v>0</v>
      </c>
      <c r="AJH28" s="24" t="n">
        <v>0</v>
      </c>
      <c r="AJI28" s="24" t="n">
        <v>0</v>
      </c>
      <c r="AJJ28" s="24" t="n">
        <v>39.43</v>
      </c>
      <c r="AJK28" s="24" t="n">
        <v>0</v>
      </c>
      <c r="AJL28" s="24" t="n">
        <v>0</v>
      </c>
      <c r="AJM28" s="24" t="n">
        <v>0</v>
      </c>
      <c r="AJN28" s="24" t="n">
        <v>0</v>
      </c>
      <c r="AJO28" s="24" t="n">
        <v>0</v>
      </c>
      <c r="AJP28" s="24" t="n">
        <v>0</v>
      </c>
      <c r="AJQ28" s="24" t="n">
        <v>0</v>
      </c>
      <c r="AJR28" s="24" t="n">
        <v>30.64</v>
      </c>
      <c r="AJS28" s="24" t="n">
        <v>37.97</v>
      </c>
      <c r="AJT28" s="24" t="n">
        <v>4.59</v>
      </c>
      <c r="AJU28" s="24" t="n">
        <v>0</v>
      </c>
      <c r="AJV28" s="24" t="n">
        <v>0</v>
      </c>
      <c r="AJW28" s="24" t="n">
        <v>0</v>
      </c>
      <c r="AKJ28" s="24" t="n">
        <v>4.8</v>
      </c>
      <c r="AKK28" s="24" t="n">
        <v>0</v>
      </c>
      <c r="AKV28" s="28"/>
      <c r="ALN28" s="24" t="n">
        <v>1</v>
      </c>
      <c r="ALO28" s="24" t="n">
        <v>50</v>
      </c>
      <c r="ALP28" s="24" t="n">
        <v>3</v>
      </c>
      <c r="ALQ28" s="24" t="n">
        <f aca="false">0.73*3</f>
        <v>2.19</v>
      </c>
      <c r="ALR28" s="24" t="n">
        <v>6</v>
      </c>
    </row>
    <row r="29" customFormat="false" ht="13.8" hidden="false" customHeight="false" outlineLevel="0" collapsed="false">
      <c r="A29" s="1" t="s">
        <v>344</v>
      </c>
      <c r="B29" s="12" t="n">
        <v>42899</v>
      </c>
      <c r="C29" s="0" t="n">
        <v>2</v>
      </c>
      <c r="D29" s="13" t="n">
        <v>42797</v>
      </c>
      <c r="E29" s="12" t="n">
        <v>32296</v>
      </c>
      <c r="F29" s="14" t="n">
        <f aca="false">(B29-E29)/365.25</f>
        <v>29.0294318959617</v>
      </c>
      <c r="G29" s="14" t="n">
        <f aca="false">(B29-D29)/365.25</f>
        <v>0.279260780287474</v>
      </c>
      <c r="H29" s="15" t="s">
        <v>306</v>
      </c>
      <c r="I29" s="15" t="s">
        <v>307</v>
      </c>
      <c r="J29" s="21" t="s">
        <v>181</v>
      </c>
      <c r="K29" s="21" t="n">
        <v>4</v>
      </c>
      <c r="L29" s="19" t="n">
        <v>103</v>
      </c>
      <c r="M29" s="0" t="n">
        <v>1.88</v>
      </c>
      <c r="N29" s="16" t="n">
        <f aca="false">L29/(M29*M29)</f>
        <v>29.1421457673155</v>
      </c>
      <c r="O29" s="19" t="n">
        <v>0</v>
      </c>
      <c r="P29" s="19" t="n">
        <v>0</v>
      </c>
      <c r="Q29" s="19" t="n">
        <v>0</v>
      </c>
      <c r="R29" s="19" t="n">
        <v>0</v>
      </c>
      <c r="S29" s="19" t="n">
        <v>0</v>
      </c>
      <c r="T29" s="19" t="n">
        <v>0</v>
      </c>
      <c r="U29" s="19" t="n">
        <v>0</v>
      </c>
      <c r="V29" s="19" t="n">
        <v>0</v>
      </c>
      <c r="W29" s="19" t="n">
        <v>1</v>
      </c>
      <c r="X29" s="19" t="n">
        <v>0</v>
      </c>
      <c r="Y29" s="19" t="n">
        <v>1</v>
      </c>
      <c r="Z29" s="19" t="n">
        <v>1</v>
      </c>
      <c r="AA29" s="19" t="n">
        <v>120</v>
      </c>
      <c r="AB29" s="19" t="s">
        <v>345</v>
      </c>
      <c r="AC29" s="19" t="n">
        <v>1</v>
      </c>
      <c r="AD29" s="19" t="n">
        <v>10</v>
      </c>
      <c r="AE29" s="19" t="n">
        <v>0</v>
      </c>
      <c r="AF29" s="19" t="n">
        <v>0</v>
      </c>
      <c r="AG29" s="19" t="n">
        <v>0</v>
      </c>
      <c r="AH29" s="19" t="n">
        <v>0</v>
      </c>
      <c r="AI29" s="19" t="n">
        <v>0</v>
      </c>
      <c r="AJ29" s="19" t="n">
        <v>0</v>
      </c>
      <c r="AK29" s="19" t="n">
        <v>0</v>
      </c>
      <c r="AL29" s="19" t="n">
        <v>0</v>
      </c>
      <c r="AM29" s="19" t="n">
        <v>0</v>
      </c>
      <c r="AN29" s="19" t="n">
        <v>0</v>
      </c>
      <c r="AO29" s="19" t="n">
        <v>0</v>
      </c>
      <c r="AP29" s="19" t="n">
        <v>0</v>
      </c>
      <c r="AQ29" s="19" t="n">
        <v>0</v>
      </c>
      <c r="AR29" s="19" t="n">
        <v>0</v>
      </c>
      <c r="AS29" s="19" t="n">
        <v>0</v>
      </c>
      <c r="AT29" s="19" t="n">
        <v>0</v>
      </c>
      <c r="AU29" s="19" t="n">
        <v>0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19" t="n">
        <v>0</v>
      </c>
      <c r="BB29" s="19" t="n">
        <v>1</v>
      </c>
      <c r="BC29" s="19"/>
      <c r="BD29" s="19"/>
      <c r="BE29" s="19"/>
      <c r="BF29" s="19" t="n">
        <v>0</v>
      </c>
      <c r="BG29" s="19" t="n">
        <v>0</v>
      </c>
      <c r="BH29" s="19" t="n">
        <v>0</v>
      </c>
      <c r="BI29" s="19" t="n">
        <v>0</v>
      </c>
      <c r="BJ29" s="19" t="n">
        <v>0</v>
      </c>
      <c r="BK29" s="19" t="n">
        <v>0</v>
      </c>
      <c r="BL29" s="19" t="n">
        <v>0</v>
      </c>
      <c r="BM29" s="19" t="n">
        <v>0</v>
      </c>
      <c r="BN29" s="19" t="n">
        <v>1</v>
      </c>
      <c r="BO29" s="19"/>
      <c r="BP29" s="19"/>
      <c r="BQ29" s="19"/>
      <c r="BR29" s="19" t="n">
        <v>2</v>
      </c>
      <c r="BS29" s="19" t="n">
        <v>3</v>
      </c>
      <c r="BT29" s="19" t="n">
        <v>5</v>
      </c>
      <c r="BU29" s="19" t="n">
        <v>4</v>
      </c>
      <c r="BV29" s="19" t="n">
        <v>2</v>
      </c>
      <c r="BW29" s="19" t="n">
        <v>1</v>
      </c>
      <c r="BX29" s="19" t="n">
        <v>1</v>
      </c>
      <c r="BY29" s="19" t="n">
        <v>3</v>
      </c>
      <c r="BZ29" s="19" t="n">
        <v>3</v>
      </c>
      <c r="CA29" s="19" t="n">
        <v>4</v>
      </c>
      <c r="CB29" s="19" t="n">
        <v>5</v>
      </c>
      <c r="CC29" s="19" t="n">
        <v>5</v>
      </c>
      <c r="CD29" s="19" t="n">
        <v>4</v>
      </c>
      <c r="CE29" s="19" t="n">
        <v>5</v>
      </c>
      <c r="CF29" s="19" t="n">
        <v>2</v>
      </c>
      <c r="CG29" s="19" t="n">
        <v>5</v>
      </c>
      <c r="CH29" s="19" t="n">
        <v>4</v>
      </c>
      <c r="CI29" s="19" t="n">
        <v>4</v>
      </c>
      <c r="CJ29" s="19" t="n">
        <v>5</v>
      </c>
      <c r="CK29" s="19" t="n">
        <v>8</v>
      </c>
      <c r="CL29" s="24" t="s">
        <v>309</v>
      </c>
      <c r="CM29" s="24" t="n">
        <v>31</v>
      </c>
      <c r="CN29" s="27" t="n">
        <v>39.2</v>
      </c>
      <c r="CO29" s="27" t="n">
        <v>83.4</v>
      </c>
      <c r="CP29" s="27" t="n">
        <v>17.2</v>
      </c>
      <c r="CQ29" s="24" t="n">
        <v>85.69</v>
      </c>
      <c r="CR29" s="24" t="n">
        <v>0</v>
      </c>
      <c r="CS29" s="24" t="n">
        <v>0.39</v>
      </c>
      <c r="CT29" s="24" t="n">
        <v>0</v>
      </c>
      <c r="CU29" s="24" t="n">
        <v>13.37</v>
      </c>
      <c r="CV29" s="24" t="n">
        <v>0</v>
      </c>
      <c r="CW29" s="24" t="n">
        <v>0</v>
      </c>
      <c r="CX29" s="24" t="n">
        <v>0</v>
      </c>
      <c r="CY29" s="24" t="n">
        <v>0</v>
      </c>
      <c r="CZ29" s="24" t="n">
        <v>0</v>
      </c>
      <c r="DA29" s="24" t="n">
        <v>0</v>
      </c>
      <c r="DB29" s="24" t="n">
        <v>12.36</v>
      </c>
      <c r="DC29" s="24" t="n">
        <v>18.21</v>
      </c>
      <c r="DD29" s="24" t="n">
        <v>12.25</v>
      </c>
      <c r="DE29" s="24" t="n">
        <v>3.27</v>
      </c>
      <c r="DF29" s="24" t="n">
        <v>5.02</v>
      </c>
      <c r="DG29" s="24" t="n">
        <v>4.8</v>
      </c>
      <c r="DH29" s="24" t="n">
        <v>1</v>
      </c>
      <c r="DI29" s="24" t="n">
        <v>5</v>
      </c>
      <c r="DK29" s="24" t="n">
        <v>2</v>
      </c>
      <c r="DL29" s="24" t="n">
        <v>3</v>
      </c>
      <c r="DN29" s="24" t="n">
        <v>1</v>
      </c>
      <c r="DU29" s="24" t="n">
        <v>2.4</v>
      </c>
      <c r="DV29" s="24" t="n">
        <v>1</v>
      </c>
      <c r="DW29" s="24" t="n">
        <v>35</v>
      </c>
      <c r="DX29" s="24" t="n">
        <v>8</v>
      </c>
      <c r="DY29" s="24" t="n">
        <f aca="false">0.13*4</f>
        <v>0.52</v>
      </c>
      <c r="DZ29" s="24" t="n">
        <v>3</v>
      </c>
      <c r="EA29" s="24" t="n">
        <v>23</v>
      </c>
      <c r="EB29" s="24" t="n">
        <v>2</v>
      </c>
      <c r="EC29" s="24" t="n">
        <v>0.12</v>
      </c>
      <c r="ED29" s="24" t="n">
        <v>3</v>
      </c>
      <c r="EG29" s="28"/>
      <c r="EY29" s="24" t="n">
        <v>1</v>
      </c>
      <c r="EZ29" s="24" t="n">
        <v>50</v>
      </c>
      <c r="FA29" s="24" t="n">
        <v>5</v>
      </c>
      <c r="FB29" s="24" t="n">
        <v>0.32</v>
      </c>
      <c r="FC29" s="24" t="n">
        <v>3</v>
      </c>
      <c r="GJ29" s="27" t="n">
        <v>0.43</v>
      </c>
      <c r="GK29" s="27" t="n">
        <v>1</v>
      </c>
      <c r="GL29" s="27" t="n">
        <v>1</v>
      </c>
      <c r="GM29" s="27"/>
      <c r="GN29" s="27" t="n">
        <f aca="false">0.11+0.06+0.26*2</f>
        <v>0.69</v>
      </c>
      <c r="GO29" s="27" t="n">
        <v>2</v>
      </c>
      <c r="GP29" s="27"/>
      <c r="GQ29" s="27" t="n">
        <f aca="false">3.35*2+0.35*2</f>
        <v>7.4</v>
      </c>
      <c r="GR29" s="27"/>
      <c r="GS29" s="27"/>
      <c r="GT29" s="27"/>
      <c r="GU29" s="27" t="n">
        <v>1.74</v>
      </c>
      <c r="GV29" s="27" t="n">
        <v>1.32</v>
      </c>
      <c r="GW29" s="27"/>
      <c r="GX29" s="27"/>
      <c r="GY29" s="27" t="n">
        <v>4.32</v>
      </c>
      <c r="GZ29" s="27" t="n">
        <v>1.2</v>
      </c>
      <c r="HA29" s="27" t="n">
        <v>0.11</v>
      </c>
      <c r="HB29" s="24" t="n">
        <v>2</v>
      </c>
      <c r="HC29" s="24" t="s">
        <v>310</v>
      </c>
      <c r="HD29" s="24" t="n">
        <v>22.5</v>
      </c>
      <c r="HE29" s="27" t="n">
        <v>20.9</v>
      </c>
      <c r="HF29" s="27" t="n">
        <v>83.4</v>
      </c>
      <c r="HG29" s="27" t="n">
        <v>11</v>
      </c>
      <c r="HH29" s="24" t="n">
        <v>91.28</v>
      </c>
      <c r="HI29" s="24" t="n">
        <v>0</v>
      </c>
      <c r="HJ29" s="24" t="n">
        <v>0</v>
      </c>
      <c r="HK29" s="24" t="n">
        <v>0</v>
      </c>
      <c r="HL29" s="24" t="n">
        <v>4.15</v>
      </c>
      <c r="HM29" s="24" t="n">
        <v>0</v>
      </c>
      <c r="HN29" s="24" t="n">
        <v>0</v>
      </c>
      <c r="HO29" s="24" t="n">
        <v>0</v>
      </c>
      <c r="HP29" s="24" t="n">
        <v>0</v>
      </c>
      <c r="HQ29" s="24" t="n">
        <v>0</v>
      </c>
      <c r="HR29" s="24" t="n">
        <v>0</v>
      </c>
      <c r="HS29" s="24" t="n">
        <v>0.71</v>
      </c>
      <c r="HT29" s="24" t="n">
        <v>7.61</v>
      </c>
      <c r="HU29" s="24" t="n">
        <v>5.28</v>
      </c>
      <c r="HV29" s="24" t="n">
        <v>2.47</v>
      </c>
      <c r="HW29" s="24" t="n">
        <v>4.05</v>
      </c>
      <c r="HX29" s="24" t="n">
        <v>6.1</v>
      </c>
      <c r="HY29" s="24" t="n">
        <v>1</v>
      </c>
      <c r="HZ29" s="24" t="n">
        <v>5</v>
      </c>
      <c r="IB29" s="24" t="n">
        <v>1</v>
      </c>
      <c r="IC29" s="24" t="n">
        <v>3</v>
      </c>
      <c r="IE29" s="24" t="n">
        <v>2</v>
      </c>
      <c r="IL29" s="24" t="n">
        <v>4.7</v>
      </c>
      <c r="IM29" s="24" t="n">
        <v>1</v>
      </c>
      <c r="IN29" s="24" t="n">
        <v>35</v>
      </c>
      <c r="IO29" s="24" t="n">
        <v>8</v>
      </c>
      <c r="IP29" s="24" t="n">
        <f aca="false">0.19+0.32</f>
        <v>0.51</v>
      </c>
      <c r="IQ29" s="24" t="n">
        <v>3</v>
      </c>
      <c r="IX29" s="28"/>
      <c r="JP29" s="24" t="n">
        <v>1</v>
      </c>
      <c r="JQ29" s="24" t="n">
        <v>80</v>
      </c>
      <c r="JR29" s="24" t="n">
        <v>4</v>
      </c>
      <c r="JS29" s="24" t="n">
        <v>1.28</v>
      </c>
      <c r="JT29" s="24" t="n">
        <v>3</v>
      </c>
      <c r="JU29" s="24" t="n">
        <v>60</v>
      </c>
      <c r="JV29" s="24" t="n">
        <v>3</v>
      </c>
      <c r="JW29" s="24" t="n">
        <v>0.29</v>
      </c>
      <c r="JX29" s="24" t="n">
        <v>3</v>
      </c>
      <c r="JY29" s="24" t="n">
        <v>70</v>
      </c>
      <c r="JZ29" s="24" t="n">
        <v>4</v>
      </c>
      <c r="KA29" s="24" t="n">
        <v>0.58</v>
      </c>
      <c r="KB29" s="24" t="n">
        <v>3</v>
      </c>
      <c r="LA29" s="27" t="n">
        <v>0.49</v>
      </c>
      <c r="LB29" s="27" t="n">
        <v>1</v>
      </c>
      <c r="LC29" s="27" t="n">
        <v>2</v>
      </c>
      <c r="LD29" s="27"/>
      <c r="LE29" s="27" t="n">
        <f aca="false">0.27*3</f>
        <v>0.81</v>
      </c>
      <c r="LF29" s="27"/>
      <c r="LG29" s="27"/>
      <c r="LH29" s="27"/>
      <c r="LI29" s="27"/>
      <c r="LJ29" s="27"/>
      <c r="LK29" s="27"/>
      <c r="LL29" s="27" t="n">
        <v>0</v>
      </c>
      <c r="LM29" s="27"/>
      <c r="LN29" s="27"/>
      <c r="LO29" s="27"/>
      <c r="LP29" s="27" t="n">
        <v>0</v>
      </c>
      <c r="LQ29" s="27" t="n">
        <v>0</v>
      </c>
      <c r="LR29" s="27" t="n">
        <v>0</v>
      </c>
      <c r="LS29" s="24" t="n">
        <v>0</v>
      </c>
      <c r="LT29" s="24" t="s">
        <v>311</v>
      </c>
      <c r="LU29" s="24" t="n">
        <v>52</v>
      </c>
      <c r="LV29" s="27" t="n">
        <v>87.1</v>
      </c>
      <c r="LW29" s="27" t="n">
        <v>83.4</v>
      </c>
      <c r="LX29" s="27" t="n">
        <v>31.9</v>
      </c>
      <c r="LY29" s="24" t="n">
        <v>55.25</v>
      </c>
      <c r="LZ29" s="24" t="n">
        <v>0</v>
      </c>
      <c r="MA29" s="24" t="n">
        <v>0</v>
      </c>
      <c r="MB29" s="24" t="n">
        <v>0</v>
      </c>
      <c r="MC29" s="24" t="n">
        <v>36.01</v>
      </c>
      <c r="MD29" s="24" t="n">
        <v>0</v>
      </c>
      <c r="ME29" s="24" t="n">
        <v>0</v>
      </c>
      <c r="MF29" s="24" t="n">
        <v>0</v>
      </c>
      <c r="MG29" s="24" t="n">
        <v>0</v>
      </c>
      <c r="MH29" s="24" t="n">
        <v>0</v>
      </c>
      <c r="MI29" s="24" t="n">
        <v>0</v>
      </c>
      <c r="MJ29" s="24" t="n">
        <v>1.03</v>
      </c>
      <c r="MK29" s="24" t="n">
        <v>22.5</v>
      </c>
      <c r="ML29" s="24" t="n">
        <v>29.21</v>
      </c>
      <c r="MM29" s="24" t="n">
        <v>12.38</v>
      </c>
      <c r="MN29" s="24" t="n">
        <v>8.73</v>
      </c>
      <c r="MO29" s="24" t="n">
        <v>5.3</v>
      </c>
      <c r="MP29" s="24" t="n">
        <v>1</v>
      </c>
      <c r="MQ29" s="24" t="n">
        <v>5</v>
      </c>
      <c r="MS29" s="24" t="n">
        <v>1</v>
      </c>
      <c r="NC29" s="24" t="n">
        <v>7.1</v>
      </c>
      <c r="ND29" s="24" t="n">
        <v>1</v>
      </c>
      <c r="NE29" s="24" t="n">
        <v>35</v>
      </c>
      <c r="NF29" s="24" t="n">
        <v>8</v>
      </c>
      <c r="NG29" s="24" t="n">
        <f aca="false">0.19+0.32</f>
        <v>0.51</v>
      </c>
      <c r="NH29" s="24" t="n">
        <v>3</v>
      </c>
      <c r="NO29" s="28"/>
      <c r="OG29" s="24" t="n">
        <v>1</v>
      </c>
      <c r="OH29" s="24" t="n">
        <v>50</v>
      </c>
      <c r="OI29" s="24" t="n">
        <v>7</v>
      </c>
      <c r="OJ29" s="24" t="n">
        <f aca="false">0.92+0.73+0.32</f>
        <v>1.97</v>
      </c>
      <c r="OK29" s="24" t="n">
        <v>3</v>
      </c>
      <c r="OL29" s="24" t="n">
        <v>70</v>
      </c>
      <c r="OM29" s="24" t="n">
        <v>11</v>
      </c>
      <c r="ON29" s="24" t="n">
        <f aca="false">0.73+0.65</f>
        <v>1.38</v>
      </c>
      <c r="OO29" s="24" t="n">
        <v>3</v>
      </c>
      <c r="OP29" s="24" t="n">
        <v>50</v>
      </c>
      <c r="OQ29" s="24" t="n">
        <v>1</v>
      </c>
      <c r="OR29" s="24" t="n">
        <v>0.37</v>
      </c>
      <c r="OS29" s="24" t="n">
        <v>4</v>
      </c>
      <c r="OT29" s="24" t="n">
        <v>50</v>
      </c>
      <c r="OU29" s="24" t="n">
        <v>1</v>
      </c>
      <c r="OV29" s="24" t="n">
        <v>0.37</v>
      </c>
      <c r="OW29" s="24" t="n">
        <v>6</v>
      </c>
      <c r="OX29" s="24" t="n">
        <v>60</v>
      </c>
      <c r="OY29" s="24" t="n">
        <v>12</v>
      </c>
      <c r="OZ29" s="24" t="n">
        <f aca="false">0.65+0.13</f>
        <v>0.78</v>
      </c>
      <c r="PA29" s="24" t="n">
        <v>3</v>
      </c>
      <c r="PB29" s="24" t="n">
        <v>60</v>
      </c>
      <c r="PC29" s="24" t="n">
        <v>4</v>
      </c>
      <c r="PD29" s="24" t="n">
        <v>0.26</v>
      </c>
      <c r="PE29" s="24" t="n">
        <v>1</v>
      </c>
      <c r="PF29" s="24" t="n">
        <v>70</v>
      </c>
      <c r="PG29" s="24" t="n">
        <v>4</v>
      </c>
      <c r="PH29" s="24" t="n">
        <v>0.39</v>
      </c>
      <c r="PI29" s="24" t="n">
        <v>1</v>
      </c>
      <c r="PJ29" s="24" t="n">
        <v>60</v>
      </c>
      <c r="PK29" s="24" t="n">
        <v>2</v>
      </c>
      <c r="PL29" s="24" t="n">
        <v>0.13</v>
      </c>
      <c r="PM29" s="24" t="n">
        <v>6</v>
      </c>
      <c r="PN29" s="24" t="n">
        <v>50</v>
      </c>
      <c r="PO29" s="24" t="n">
        <v>1</v>
      </c>
      <c r="PP29" s="24" t="n">
        <v>0.83</v>
      </c>
      <c r="PQ29" s="24" t="n">
        <v>6</v>
      </c>
      <c r="PR29" s="27" t="n">
        <v>5.11</v>
      </c>
      <c r="PS29" s="27" t="n">
        <v>1</v>
      </c>
      <c r="PT29" s="27" t="n">
        <v>1</v>
      </c>
      <c r="PU29" s="27"/>
      <c r="PV29" s="27" t="n">
        <f aca="false">0.18*2</f>
        <v>0.36</v>
      </c>
      <c r="PW29" s="27" t="n">
        <v>2</v>
      </c>
      <c r="PX29" s="27"/>
      <c r="PY29" s="27" t="n">
        <f aca="false">0.75+1.53+2.04+1</f>
        <v>5.32</v>
      </c>
      <c r="PZ29" s="27"/>
      <c r="QA29" s="27"/>
      <c r="QB29" s="27"/>
      <c r="QC29" s="27" t="n">
        <v>2.17</v>
      </c>
      <c r="QD29" s="27" t="n">
        <v>2.18</v>
      </c>
      <c r="QE29" s="27"/>
      <c r="QF29" s="27"/>
      <c r="QG29" s="27" t="n">
        <v>0</v>
      </c>
      <c r="QH29" s="27" t="n">
        <v>0</v>
      </c>
      <c r="QI29" s="27" t="n">
        <v>0</v>
      </c>
      <c r="QJ29" s="24" t="n">
        <v>0</v>
      </c>
      <c r="QK29" s="24" t="s">
        <v>312</v>
      </c>
      <c r="QL29" s="24" t="n">
        <v>40</v>
      </c>
      <c r="QM29" s="27" t="n">
        <v>90.5</v>
      </c>
      <c r="QN29" s="27" t="n">
        <v>83.4</v>
      </c>
      <c r="QO29" s="27" t="n">
        <v>24.1</v>
      </c>
      <c r="QP29" s="24" t="n">
        <v>65.22</v>
      </c>
      <c r="QQ29" s="24" t="n">
        <v>0</v>
      </c>
      <c r="QR29" s="24" t="n">
        <v>0</v>
      </c>
      <c r="QS29" s="24" t="n">
        <v>0</v>
      </c>
      <c r="QT29" s="24" t="n">
        <v>27.95</v>
      </c>
      <c r="QU29" s="24" t="n">
        <v>0</v>
      </c>
      <c r="QV29" s="24" t="n">
        <v>0</v>
      </c>
      <c r="QW29" s="24" t="n">
        <v>0</v>
      </c>
      <c r="QX29" s="24" t="n">
        <v>0</v>
      </c>
      <c r="QY29" s="24" t="n">
        <v>0</v>
      </c>
      <c r="QZ29" s="24" t="n">
        <v>0</v>
      </c>
      <c r="RA29" s="24" t="n">
        <v>0.5</v>
      </c>
      <c r="RB29" s="24" t="n">
        <v>25.43</v>
      </c>
      <c r="RC29" s="24" t="n">
        <v>28.69</v>
      </c>
      <c r="RD29" s="24" t="n">
        <v>8.32</v>
      </c>
      <c r="RE29" s="24" t="n">
        <v>6.81</v>
      </c>
      <c r="RF29" s="24" t="n">
        <v>5.3</v>
      </c>
      <c r="RG29" s="24" t="n">
        <v>1</v>
      </c>
      <c r="RH29" s="24" t="n">
        <v>5</v>
      </c>
      <c r="RJ29" s="24" t="n">
        <v>1</v>
      </c>
      <c r="RT29" s="24" t="n">
        <v>3.5</v>
      </c>
      <c r="RU29" s="24" t="n">
        <v>0</v>
      </c>
      <c r="SF29" s="28"/>
      <c r="SX29" s="24" t="n">
        <v>1</v>
      </c>
      <c r="SY29" s="24" t="n">
        <v>50</v>
      </c>
      <c r="SZ29" s="24" t="n">
        <v>9</v>
      </c>
      <c r="TA29" s="24" t="n">
        <f aca="false">0.9+0.72+0.92+0.73+0.32</f>
        <v>3.59</v>
      </c>
      <c r="TB29" s="24" t="n">
        <v>3</v>
      </c>
      <c r="TC29" s="24" t="n">
        <v>70</v>
      </c>
      <c r="TD29" s="24" t="n">
        <v>12</v>
      </c>
      <c r="TE29" s="24" t="n">
        <f aca="false">0.72+0.73+0.65</f>
        <v>2.1</v>
      </c>
      <c r="TF29" s="24" t="n">
        <v>3</v>
      </c>
      <c r="TG29" s="24" t="n">
        <v>60</v>
      </c>
      <c r="TH29" s="24" t="n">
        <v>2</v>
      </c>
      <c r="TI29" s="24" t="n">
        <v>0.13</v>
      </c>
      <c r="TJ29" s="24" t="n">
        <v>3</v>
      </c>
      <c r="TK29" s="24" t="n">
        <v>50</v>
      </c>
      <c r="TL29" s="24" t="n">
        <v>1</v>
      </c>
      <c r="TM29" s="24" t="n">
        <v>0.83</v>
      </c>
      <c r="TN29" s="24" t="n">
        <v>6</v>
      </c>
      <c r="TO29" s="24" t="n">
        <v>60</v>
      </c>
      <c r="TP29" s="24" t="n">
        <v>1</v>
      </c>
      <c r="TQ29" s="24" t="n">
        <v>0.13</v>
      </c>
      <c r="TR29" s="24" t="n">
        <v>6</v>
      </c>
      <c r="TS29" s="24" t="n">
        <v>70</v>
      </c>
      <c r="TT29" s="24" t="n">
        <v>1</v>
      </c>
      <c r="TU29" s="24" t="n">
        <v>0.39</v>
      </c>
      <c r="TV29" s="24" t="n">
        <v>1</v>
      </c>
      <c r="TW29" s="24" t="n">
        <v>50</v>
      </c>
      <c r="TX29" s="24" t="n">
        <v>2</v>
      </c>
      <c r="TY29" s="24" t="n">
        <f aca="false">0.36+0.37</f>
        <v>0.73</v>
      </c>
      <c r="TZ29" s="24" t="n">
        <v>4</v>
      </c>
      <c r="UI29" s="27" t="n">
        <v>3.9</v>
      </c>
      <c r="UJ29" s="27" t="n">
        <v>1</v>
      </c>
      <c r="UK29" s="27" t="n">
        <v>1</v>
      </c>
      <c r="UL29" s="27"/>
      <c r="UM29" s="27" t="n">
        <f aca="false">1.53+0.75+0.18*2</f>
        <v>2.64</v>
      </c>
      <c r="UN29" s="27" t="n">
        <v>2</v>
      </c>
      <c r="UO29" s="27"/>
      <c r="UP29" s="27" t="n">
        <f aca="false">3.06+1.5</f>
        <v>4.56</v>
      </c>
      <c r="UQ29" s="27"/>
      <c r="UR29" s="27"/>
      <c r="US29" s="27"/>
      <c r="UT29" s="27" t="n">
        <v>3</v>
      </c>
      <c r="UU29" s="27" t="n">
        <v>2.19</v>
      </c>
      <c r="UV29" s="27"/>
      <c r="UW29" s="27"/>
      <c r="UX29" s="27" t="n">
        <v>0</v>
      </c>
      <c r="UY29" s="27" t="n">
        <v>0</v>
      </c>
      <c r="UZ29" s="27" t="n">
        <v>0</v>
      </c>
      <c r="VA29" s="24" t="n">
        <v>0</v>
      </c>
      <c r="VB29" s="24" t="s">
        <v>313</v>
      </c>
      <c r="VC29" s="24" t="n">
        <v>39</v>
      </c>
      <c r="VD29" s="27" t="n">
        <v>80.9</v>
      </c>
      <c r="VE29" s="27" t="n">
        <v>83.4</v>
      </c>
      <c r="VF29" s="27" t="n">
        <v>19.3</v>
      </c>
      <c r="VG29" s="24" t="n">
        <v>75.96</v>
      </c>
      <c r="VH29" s="24" t="n">
        <v>0</v>
      </c>
      <c r="VI29" s="24" t="n">
        <v>3.12</v>
      </c>
      <c r="VJ29" s="24" t="n">
        <v>0</v>
      </c>
      <c r="VK29" s="24" t="n">
        <v>20.93</v>
      </c>
      <c r="VL29" s="24" t="n">
        <v>0</v>
      </c>
      <c r="VM29" s="24" t="n">
        <v>0</v>
      </c>
      <c r="VN29" s="24" t="n">
        <v>0</v>
      </c>
      <c r="VO29" s="24" t="n">
        <v>0</v>
      </c>
      <c r="VP29" s="24" t="n">
        <v>0</v>
      </c>
      <c r="VQ29" s="24" t="n">
        <v>0</v>
      </c>
      <c r="VR29" s="24" t="n">
        <v>5.32</v>
      </c>
      <c r="VS29" s="24" t="n">
        <v>30.75</v>
      </c>
      <c r="VT29" s="24" t="n">
        <v>28.21</v>
      </c>
      <c r="VU29" s="24" t="n">
        <v>4.22</v>
      </c>
      <c r="VV29" s="24" t="n">
        <v>0</v>
      </c>
      <c r="VW29" s="24" t="n">
        <v>0</v>
      </c>
      <c r="VX29" s="24" t="n">
        <v>0</v>
      </c>
      <c r="WK29" s="24" t="n">
        <v>15.8</v>
      </c>
      <c r="WL29" s="24" t="n">
        <v>1</v>
      </c>
      <c r="WM29" s="24" t="n">
        <v>35</v>
      </c>
      <c r="WN29" s="24" t="n">
        <v>4</v>
      </c>
      <c r="WO29" s="24" t="n">
        <f aca="false">0.73*4</f>
        <v>2.92</v>
      </c>
      <c r="WP29" s="24" t="n">
        <v>3</v>
      </c>
      <c r="WQ29" s="24" t="n">
        <v>23</v>
      </c>
      <c r="WR29" s="24" t="n">
        <v>1</v>
      </c>
      <c r="WS29" s="24" t="n">
        <v>0.06</v>
      </c>
      <c r="WT29" s="24" t="n">
        <v>3</v>
      </c>
      <c r="WW29" s="28"/>
      <c r="XO29" s="24" t="n">
        <v>1</v>
      </c>
      <c r="XP29" s="24" t="n">
        <v>60</v>
      </c>
      <c r="XQ29" s="24" t="n">
        <v>1</v>
      </c>
      <c r="XR29" s="24" t="n">
        <v>0.73</v>
      </c>
      <c r="XS29" s="24" t="n">
        <v>3</v>
      </c>
      <c r="XT29" s="24" t="n">
        <v>50</v>
      </c>
      <c r="XU29" s="24" t="n">
        <v>1</v>
      </c>
      <c r="XV29" s="24" t="n">
        <v>0.73</v>
      </c>
      <c r="XW29" s="24" t="n">
        <v>1</v>
      </c>
      <c r="XX29" s="24" t="n">
        <v>40</v>
      </c>
      <c r="XY29" s="24" t="n">
        <v>1</v>
      </c>
      <c r="XZ29" s="24" t="n">
        <v>0.73</v>
      </c>
      <c r="YA29" s="24" t="n">
        <v>6</v>
      </c>
      <c r="YB29" s="24" t="n">
        <v>50</v>
      </c>
      <c r="YC29" s="24" t="n">
        <v>1</v>
      </c>
      <c r="YD29" s="24" t="n">
        <v>0.19</v>
      </c>
      <c r="YE29" s="24" t="n">
        <v>3</v>
      </c>
      <c r="YF29" s="24" t="n">
        <v>70</v>
      </c>
      <c r="YG29" s="24" t="n">
        <v>3</v>
      </c>
      <c r="YH29" s="24" t="n">
        <v>0.58</v>
      </c>
      <c r="YI29" s="24" t="n">
        <v>3</v>
      </c>
      <c r="YJ29" s="24" t="n">
        <v>50</v>
      </c>
      <c r="YK29" s="24" t="n">
        <v>1</v>
      </c>
      <c r="YL29" s="24" t="n">
        <v>0.29</v>
      </c>
      <c r="YM29" s="24" t="n">
        <v>6</v>
      </c>
      <c r="YZ29" s="27" t="n">
        <v>0</v>
      </c>
      <c r="ZA29" s="27" t="n">
        <v>0</v>
      </c>
      <c r="ZB29" s="27"/>
      <c r="ZC29" s="27"/>
      <c r="ZD29" s="27"/>
      <c r="ZE29" s="27"/>
      <c r="ZF29" s="27"/>
      <c r="ZG29" s="27"/>
      <c r="ZH29" s="27"/>
      <c r="ZI29" s="27"/>
      <c r="ZJ29" s="27"/>
      <c r="ZK29" s="27" t="n">
        <v>0.26</v>
      </c>
      <c r="ZL29" s="27" t="n">
        <v>0.26</v>
      </c>
      <c r="ZM29" s="27"/>
      <c r="ZN29" s="27"/>
      <c r="ZO29" s="27" t="n">
        <v>3.6</v>
      </c>
      <c r="ZP29" s="27" t="n">
        <v>0.88</v>
      </c>
      <c r="ZQ29" s="27" t="n">
        <v>0</v>
      </c>
      <c r="ZR29" s="24" t="n">
        <v>0</v>
      </c>
      <c r="ZS29" s="24" t="s">
        <v>314</v>
      </c>
      <c r="ZT29" s="24" t="n">
        <v>36</v>
      </c>
      <c r="ZU29" s="27" t="n">
        <v>71.4</v>
      </c>
      <c r="ZV29" s="27" t="n">
        <v>83.4</v>
      </c>
      <c r="ZW29" s="27" t="n">
        <v>17.2</v>
      </c>
      <c r="ZX29" s="24" t="n">
        <v>79.88</v>
      </c>
      <c r="ZY29" s="24" t="n">
        <v>0</v>
      </c>
      <c r="ZZ29" s="24" t="n">
        <v>3.12</v>
      </c>
      <c r="AAA29" s="24" t="n">
        <v>0</v>
      </c>
      <c r="AAB29" s="24" t="n">
        <v>17</v>
      </c>
      <c r="AAC29" s="24" t="n">
        <v>0</v>
      </c>
      <c r="AAD29" s="24" t="n">
        <v>0</v>
      </c>
      <c r="AAE29" s="24" t="n">
        <v>0</v>
      </c>
      <c r="AAF29" s="24" t="n">
        <v>0</v>
      </c>
      <c r="AAG29" s="24" t="n">
        <v>0</v>
      </c>
      <c r="AAH29" s="24" t="n">
        <v>0</v>
      </c>
      <c r="AAI29" s="24" t="n">
        <v>5.32</v>
      </c>
      <c r="AAJ29" s="24" t="n">
        <v>31.86</v>
      </c>
      <c r="AAK29" s="24" t="n">
        <v>24.1</v>
      </c>
      <c r="AAL29" s="24" t="n">
        <v>2.02</v>
      </c>
      <c r="AAM29" s="24" t="n">
        <v>0</v>
      </c>
      <c r="AAN29" s="24" t="n">
        <v>0</v>
      </c>
      <c r="AAO29" s="24" t="n">
        <v>0</v>
      </c>
      <c r="ABB29" s="24" t="n">
        <v>15.1</v>
      </c>
      <c r="ABC29" s="24" t="n">
        <v>1</v>
      </c>
      <c r="ABD29" s="24" t="n">
        <v>35</v>
      </c>
      <c r="ABE29" s="24" t="n">
        <v>4</v>
      </c>
      <c r="ABF29" s="24" t="n">
        <f aca="false">0.73*4</f>
        <v>2.92</v>
      </c>
      <c r="ABG29" s="24" t="n">
        <v>3</v>
      </c>
      <c r="ABN29" s="28"/>
      <c r="ACF29" s="24" t="n">
        <v>1</v>
      </c>
      <c r="ACG29" s="24" t="n">
        <v>50</v>
      </c>
      <c r="ACH29" s="24" t="n">
        <v>2</v>
      </c>
      <c r="ACI29" s="24" t="n">
        <f aca="false">0.73+0.19</f>
        <v>0.92</v>
      </c>
      <c r="ACJ29" s="24" t="n">
        <v>3</v>
      </c>
      <c r="ACK29" s="24" t="n">
        <v>50</v>
      </c>
      <c r="ACL29" s="24" t="n">
        <v>1</v>
      </c>
      <c r="ACM29" s="24" t="n">
        <v>0.73</v>
      </c>
      <c r="ACN29" s="24" t="n">
        <v>1</v>
      </c>
      <c r="ACO29" s="24" t="n">
        <v>70</v>
      </c>
      <c r="ACP29" s="24" t="n">
        <v>3</v>
      </c>
      <c r="ACQ29" s="24" t="n">
        <v>0.58</v>
      </c>
      <c r="ACR29" s="24" t="n">
        <v>3</v>
      </c>
      <c r="ACS29" s="24" t="n">
        <v>40</v>
      </c>
      <c r="ACT29" s="24" t="n">
        <v>1</v>
      </c>
      <c r="ACU29" s="24" t="n">
        <v>1.65</v>
      </c>
      <c r="ACV29" s="24" t="n">
        <v>6</v>
      </c>
      <c r="ADQ29" s="27" t="n">
        <v>0</v>
      </c>
      <c r="ADR29" s="27" t="n">
        <v>0</v>
      </c>
      <c r="ADS29" s="27"/>
      <c r="ADT29" s="27"/>
      <c r="ADU29" s="27"/>
      <c r="ADV29" s="27"/>
      <c r="ADW29" s="27"/>
      <c r="ADX29" s="27"/>
      <c r="ADY29" s="27"/>
      <c r="ADZ29" s="27"/>
      <c r="AEA29" s="27"/>
      <c r="AEB29" s="27" t="n">
        <v>0</v>
      </c>
      <c r="AEC29" s="27" t="n">
        <v>0</v>
      </c>
      <c r="AED29" s="27"/>
      <c r="AEE29" s="27"/>
      <c r="AEF29" s="27" t="n">
        <v>3.6</v>
      </c>
      <c r="AEG29" s="27" t="n">
        <v>0.88</v>
      </c>
      <c r="AEH29" s="27" t="n">
        <v>0</v>
      </c>
      <c r="AEI29" s="24" t="n">
        <v>0</v>
      </c>
      <c r="AEJ29" s="24" t="s">
        <v>315</v>
      </c>
      <c r="AEK29" s="24" t="n">
        <v>38.5</v>
      </c>
      <c r="AEL29" s="27" t="n">
        <v>90.6</v>
      </c>
      <c r="AEM29" s="27" t="n">
        <v>83.4</v>
      </c>
      <c r="AEN29" s="27" t="n">
        <v>29.4</v>
      </c>
      <c r="AEO29" s="24" t="n">
        <v>59.08</v>
      </c>
      <c r="AEP29" s="24" t="n">
        <v>0</v>
      </c>
      <c r="AEQ29" s="24" t="n">
        <v>0</v>
      </c>
      <c r="AER29" s="24" t="n">
        <v>0</v>
      </c>
      <c r="AES29" s="24" t="n">
        <v>40.92</v>
      </c>
      <c r="AET29" s="24" t="n">
        <v>0</v>
      </c>
      <c r="AEU29" s="24" t="n">
        <v>0</v>
      </c>
      <c r="AEV29" s="24" t="n">
        <v>0</v>
      </c>
      <c r="AEW29" s="24" t="n">
        <v>0</v>
      </c>
      <c r="AEX29" s="24" t="n">
        <v>0</v>
      </c>
      <c r="AEY29" s="24" t="n">
        <v>0</v>
      </c>
      <c r="AEZ29" s="24" t="n">
        <v>3.67</v>
      </c>
      <c r="AFA29" s="24" t="n">
        <v>24.93</v>
      </c>
      <c r="AFB29" s="24" t="n">
        <v>39.44</v>
      </c>
      <c r="AFC29" s="24" t="n">
        <v>8.51</v>
      </c>
      <c r="AFD29" s="24" t="n">
        <v>0</v>
      </c>
      <c r="AFE29" s="24" t="n">
        <v>0</v>
      </c>
      <c r="AFF29" s="24" t="n">
        <v>0</v>
      </c>
      <c r="AFS29" s="24" t="n">
        <v>3.7</v>
      </c>
      <c r="AFT29" s="24" t="n">
        <v>1</v>
      </c>
      <c r="AFU29" s="24" t="n">
        <v>34</v>
      </c>
      <c r="AFV29" s="24" t="n">
        <v>2</v>
      </c>
      <c r="AFW29" s="24" t="n">
        <f aca="false">4.05</f>
        <v>4.05</v>
      </c>
      <c r="AFX29" s="24" t="n">
        <v>1</v>
      </c>
      <c r="AGE29" s="28"/>
      <c r="AGW29" s="24" t="n">
        <v>1</v>
      </c>
      <c r="AGX29" s="24" t="n">
        <v>50</v>
      </c>
      <c r="AGY29" s="24" t="n">
        <v>2</v>
      </c>
      <c r="AGZ29" s="24" t="n">
        <f aca="false">0.73*2</f>
        <v>1.46</v>
      </c>
      <c r="AHA29" s="24" t="n">
        <v>6</v>
      </c>
      <c r="AIH29" s="27" t="n">
        <v>4.96</v>
      </c>
      <c r="AII29" s="27" t="n">
        <v>1</v>
      </c>
      <c r="AIJ29" s="27" t="n">
        <v>2</v>
      </c>
      <c r="AIK29" s="27"/>
      <c r="AIL29" s="27" t="n">
        <f aca="false">7.34*2+0.65*4</f>
        <v>17.28</v>
      </c>
      <c r="AIM29" s="27"/>
      <c r="AIN29" s="27"/>
      <c r="AIO29" s="27"/>
      <c r="AIP29" s="27"/>
      <c r="AIQ29" s="27"/>
      <c r="AIR29" s="27"/>
      <c r="AIS29" s="27" t="n">
        <v>0.19</v>
      </c>
      <c r="AIT29" s="27" t="n">
        <v>0.19</v>
      </c>
      <c r="AIU29" s="27"/>
      <c r="AIV29" s="27"/>
      <c r="AIW29" s="27" t="n">
        <v>0</v>
      </c>
      <c r="AIX29" s="27" t="n">
        <v>0</v>
      </c>
      <c r="AIY29" s="27" t="n">
        <v>0</v>
      </c>
      <c r="AIZ29" s="24" t="n">
        <v>0</v>
      </c>
      <c r="AJA29" s="24" t="s">
        <v>316</v>
      </c>
      <c r="AJB29" s="24" t="n">
        <v>36</v>
      </c>
      <c r="AJC29" s="27" t="n">
        <v>94.1</v>
      </c>
      <c r="AJD29" s="27" t="n">
        <v>83.4</v>
      </c>
      <c r="AJE29" s="27" t="n">
        <v>25.8</v>
      </c>
      <c r="AJF29" s="24" t="n">
        <v>60.57</v>
      </c>
      <c r="AJG29" s="24" t="n">
        <v>0</v>
      </c>
      <c r="AJH29" s="24" t="n">
        <v>0</v>
      </c>
      <c r="AJI29" s="24" t="n">
        <v>0</v>
      </c>
      <c r="AJJ29" s="24" t="n">
        <v>39.43</v>
      </c>
      <c r="AJK29" s="24" t="n">
        <v>0</v>
      </c>
      <c r="AJL29" s="24" t="n">
        <v>0</v>
      </c>
      <c r="AJM29" s="24" t="n">
        <v>0</v>
      </c>
      <c r="AJN29" s="24" t="n">
        <v>0</v>
      </c>
      <c r="AJO29" s="24" t="n">
        <v>0</v>
      </c>
      <c r="AJP29" s="24" t="n">
        <v>0</v>
      </c>
      <c r="AJQ29" s="24" t="n">
        <v>0</v>
      </c>
      <c r="AJR29" s="24" t="n">
        <v>30.64</v>
      </c>
      <c r="AJS29" s="24" t="n">
        <v>37.97</v>
      </c>
      <c r="AJT29" s="24" t="n">
        <v>4.59</v>
      </c>
      <c r="AJU29" s="24" t="n">
        <v>0</v>
      </c>
      <c r="AJV29" s="24" t="n">
        <v>0</v>
      </c>
      <c r="AJW29" s="24" t="n">
        <v>0</v>
      </c>
      <c r="AKJ29" s="24" t="n">
        <v>4.8</v>
      </c>
      <c r="AKK29" s="24" t="n">
        <v>0</v>
      </c>
      <c r="AKV29" s="28"/>
      <c r="ALN29" s="24" t="n">
        <v>1</v>
      </c>
      <c r="ALO29" s="24" t="n">
        <v>50</v>
      </c>
      <c r="ALP29" s="24" t="n">
        <v>3</v>
      </c>
      <c r="ALQ29" s="24" t="n">
        <f aca="false">0.73*3</f>
        <v>2.19</v>
      </c>
      <c r="ALR29" s="24" t="n">
        <v>6</v>
      </c>
    </row>
    <row r="30" customFormat="false" ht="13.8" hidden="false" customHeight="false" outlineLevel="0" collapsed="false">
      <c r="A30" s="1" t="s">
        <v>346</v>
      </c>
      <c r="B30" s="12" t="n">
        <v>42900</v>
      </c>
      <c r="C30" s="0" t="n">
        <v>2</v>
      </c>
      <c r="D30" s="13" t="n">
        <v>42853</v>
      </c>
      <c r="E30" s="12" t="n">
        <v>33719</v>
      </c>
      <c r="F30" s="14" t="n">
        <f aca="false">(B30-E30)/365.25</f>
        <v>25.1362080766598</v>
      </c>
      <c r="G30" s="14" t="n">
        <f aca="false">(B30-D30)/365.25</f>
        <v>0.128678986995209</v>
      </c>
      <c r="H30" s="15" t="s">
        <v>347</v>
      </c>
      <c r="I30" s="15" t="s">
        <v>348</v>
      </c>
      <c r="J30" s="15" t="s">
        <v>181</v>
      </c>
      <c r="K30" s="15" t="n">
        <v>4</v>
      </c>
      <c r="L30" s="19" t="n">
        <v>62</v>
      </c>
      <c r="M30" s="0" t="n">
        <v>1.62</v>
      </c>
      <c r="N30" s="16" t="n">
        <f aca="false">L30/(M30*M30)</f>
        <v>23.6244474927602</v>
      </c>
      <c r="O30" s="19" t="n">
        <v>0</v>
      </c>
      <c r="P30" s="19" t="n">
        <v>0</v>
      </c>
      <c r="Q30" s="19" t="n">
        <v>0</v>
      </c>
      <c r="R30" s="19" t="n">
        <v>0</v>
      </c>
      <c r="S30" s="19" t="n">
        <v>0</v>
      </c>
      <c r="T30" s="19" t="n">
        <v>0</v>
      </c>
      <c r="U30" s="19" t="n">
        <v>0</v>
      </c>
      <c r="V30" s="19" t="n">
        <v>0</v>
      </c>
      <c r="W30" s="19" t="n">
        <v>0</v>
      </c>
      <c r="X30" s="19" t="n">
        <v>0</v>
      </c>
      <c r="Y30" s="19" t="n">
        <v>1</v>
      </c>
      <c r="Z30" s="19" t="n">
        <v>2</v>
      </c>
      <c r="AA30" s="19" t="n">
        <v>60</v>
      </c>
      <c r="AB30" s="19" t="s">
        <v>349</v>
      </c>
      <c r="AC30" s="19" t="n">
        <v>1</v>
      </c>
      <c r="AD30" s="19" t="n">
        <v>12</v>
      </c>
      <c r="AE30" s="19" t="n">
        <v>0</v>
      </c>
      <c r="AF30" s="19" t="n">
        <v>0</v>
      </c>
      <c r="AG30" s="19" t="n">
        <v>0</v>
      </c>
      <c r="AH30" s="19" t="n">
        <v>0</v>
      </c>
      <c r="AI30" s="19" t="n">
        <v>0</v>
      </c>
      <c r="AJ30" s="19" t="n">
        <v>0</v>
      </c>
      <c r="AK30" s="19" t="n">
        <v>0</v>
      </c>
      <c r="AL30" s="19" t="n">
        <v>0</v>
      </c>
      <c r="AM30" s="19" t="n">
        <v>0</v>
      </c>
      <c r="AN30" s="19" t="n">
        <v>0</v>
      </c>
      <c r="AO30" s="19" t="n">
        <v>0</v>
      </c>
      <c r="AP30" s="19" t="n">
        <v>0</v>
      </c>
      <c r="AQ30" s="19" t="n">
        <v>0</v>
      </c>
      <c r="AR30" s="19" t="n">
        <v>0</v>
      </c>
      <c r="AS30" s="19" t="n">
        <v>0</v>
      </c>
      <c r="AT30" s="19" t="n">
        <v>0</v>
      </c>
      <c r="AU30" s="19" t="n">
        <v>0</v>
      </c>
      <c r="AV30" s="19" t="n">
        <v>0</v>
      </c>
      <c r="AW30" s="19" t="n">
        <v>0</v>
      </c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 t="n">
        <v>1</v>
      </c>
      <c r="BS30" s="19" t="n">
        <v>2</v>
      </c>
      <c r="BT30" s="19" t="n">
        <v>5</v>
      </c>
      <c r="BU30" s="19" t="n">
        <v>5</v>
      </c>
      <c r="BV30" s="19" t="n">
        <v>4</v>
      </c>
      <c r="BW30" s="19" t="n">
        <v>4</v>
      </c>
      <c r="BX30" s="19" t="n">
        <v>4</v>
      </c>
      <c r="BY30" s="19" t="n">
        <v>5</v>
      </c>
      <c r="BZ30" s="19" t="n">
        <v>5</v>
      </c>
      <c r="CA30" s="19" t="n">
        <v>4</v>
      </c>
      <c r="CB30" s="19" t="n">
        <v>5</v>
      </c>
      <c r="CC30" s="19" t="n">
        <v>5</v>
      </c>
      <c r="CD30" s="19" t="n">
        <v>5</v>
      </c>
      <c r="CE30" s="19" t="n">
        <v>5</v>
      </c>
      <c r="CF30" s="19" t="n">
        <v>5</v>
      </c>
      <c r="CG30" s="19" t="n">
        <v>5</v>
      </c>
      <c r="CH30" s="19"/>
      <c r="CI30" s="19"/>
      <c r="CJ30" s="19"/>
      <c r="CK30" s="19"/>
      <c r="CL30" s="0" t="s">
        <v>350</v>
      </c>
      <c r="CM30" s="0" t="n">
        <v>75</v>
      </c>
      <c r="CN30" s="16" t="n">
        <v>87.9</v>
      </c>
      <c r="CO30" s="16" t="n">
        <v>80.4</v>
      </c>
      <c r="CP30" s="16" t="n">
        <v>45.2</v>
      </c>
      <c r="CQ30" s="0" t="n">
        <v>50.83</v>
      </c>
      <c r="CR30" s="0" t="n">
        <v>0.05</v>
      </c>
      <c r="CS30" s="0" t="n">
        <v>46.44</v>
      </c>
      <c r="CT30" s="0" t="n">
        <v>2.67</v>
      </c>
      <c r="CU30" s="0" t="n">
        <v>0</v>
      </c>
      <c r="CV30" s="0" t="n">
        <v>0</v>
      </c>
      <c r="CW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25.21</v>
      </c>
      <c r="DD30" s="0" t="n">
        <v>43.57</v>
      </c>
      <c r="DE30" s="0" t="n">
        <v>6.27</v>
      </c>
      <c r="DF30" s="0" t="n">
        <v>0</v>
      </c>
      <c r="DG30" s="0" t="n">
        <v>0</v>
      </c>
      <c r="DH30" s="0" t="n">
        <v>0</v>
      </c>
      <c r="DU30" s="0" t="n">
        <v>17.8</v>
      </c>
      <c r="DV30" s="0" t="n">
        <v>1</v>
      </c>
      <c r="DW30" s="0" t="n">
        <v>35</v>
      </c>
      <c r="DX30" s="0" t="n">
        <v>9</v>
      </c>
      <c r="DY30" s="0" t="n">
        <v>2.55</v>
      </c>
      <c r="DZ30" s="0" t="n">
        <v>3</v>
      </c>
      <c r="EG30" s="20"/>
      <c r="EY30" s="0" t="n">
        <v>1</v>
      </c>
      <c r="EZ30" s="0" t="n">
        <v>50</v>
      </c>
      <c r="FA30" s="0" t="n">
        <v>8</v>
      </c>
      <c r="FB30" s="0" t="n">
        <v>2.12</v>
      </c>
      <c r="FC30" s="0" t="n">
        <v>3</v>
      </c>
      <c r="GJ30" s="16" t="n">
        <v>3.43</v>
      </c>
      <c r="GK30" s="16" t="n">
        <v>1</v>
      </c>
      <c r="GL30" s="16" t="n">
        <v>1</v>
      </c>
      <c r="GM30" s="16"/>
      <c r="GN30" s="16" t="n">
        <v>26.11</v>
      </c>
      <c r="GO30" s="16" t="n">
        <v>2</v>
      </c>
      <c r="GP30" s="16"/>
      <c r="GQ30" s="16" t="n">
        <v>11.19</v>
      </c>
      <c r="GR30" s="16"/>
      <c r="GS30" s="16"/>
      <c r="GT30" s="16"/>
      <c r="GU30" s="16" t="n">
        <v>6.39</v>
      </c>
      <c r="GV30" s="16" t="n">
        <v>3.31</v>
      </c>
      <c r="GW30" s="16" t="n">
        <v>0</v>
      </c>
      <c r="GX30" s="16" t="n">
        <v>0</v>
      </c>
      <c r="GY30" s="16" t="n">
        <v>0</v>
      </c>
      <c r="GZ30" s="16" t="n">
        <v>0</v>
      </c>
      <c r="HA30" s="16" t="n">
        <v>0</v>
      </c>
      <c r="HB30" s="0" t="n">
        <v>0</v>
      </c>
      <c r="HC30" s="0" t="s">
        <v>351</v>
      </c>
      <c r="HD30" s="0" t="n">
        <v>30.5</v>
      </c>
      <c r="HE30" s="16" t="n">
        <v>68.4</v>
      </c>
      <c r="HF30" s="16" t="n">
        <v>80.4</v>
      </c>
      <c r="HG30" s="16" t="n">
        <v>19.8</v>
      </c>
      <c r="HH30" s="0" t="n">
        <v>72.42</v>
      </c>
      <c r="HJ30" s="0" t="n">
        <v>0.94</v>
      </c>
      <c r="HK30" s="0" t="n">
        <v>0.94</v>
      </c>
      <c r="HL30" s="0" t="n">
        <v>25.7</v>
      </c>
      <c r="HM30" s="0" t="n">
        <v>0</v>
      </c>
      <c r="HN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28.26</v>
      </c>
      <c r="HU30" s="0" t="n">
        <v>10.55</v>
      </c>
      <c r="HV30" s="0" t="n">
        <v>14.21</v>
      </c>
      <c r="HW30" s="0" t="n">
        <v>0</v>
      </c>
      <c r="HX30" s="0" t="n">
        <v>0</v>
      </c>
      <c r="HY30" s="0" t="n">
        <v>0</v>
      </c>
      <c r="IL30" s="0" t="n">
        <v>3.3</v>
      </c>
      <c r="IM30" s="0" t="n">
        <v>1</v>
      </c>
      <c r="IN30" s="0" t="n">
        <v>68</v>
      </c>
      <c r="IO30" s="0" t="n">
        <v>2</v>
      </c>
      <c r="IP30" s="0" t="n">
        <v>1.52</v>
      </c>
      <c r="IQ30" s="0" t="n">
        <v>1</v>
      </c>
      <c r="IX30" s="20"/>
      <c r="JP30" s="0" t="n">
        <v>0</v>
      </c>
      <c r="LA30" s="16" t="n">
        <v>0</v>
      </c>
      <c r="LB30" s="16" t="n">
        <v>0</v>
      </c>
      <c r="LC30" s="16"/>
      <c r="LD30" s="16"/>
      <c r="LE30" s="16"/>
      <c r="LF30" s="16"/>
      <c r="LG30" s="16"/>
      <c r="LH30" s="16"/>
      <c r="LI30" s="16"/>
      <c r="LJ30" s="16"/>
      <c r="LK30" s="16"/>
      <c r="LL30" s="16" t="n">
        <v>0.81</v>
      </c>
      <c r="LM30" s="16" t="n">
        <v>0.8</v>
      </c>
      <c r="LN30" s="16" t="n">
        <v>0</v>
      </c>
      <c r="LO30" s="16" t="n">
        <v>0</v>
      </c>
      <c r="LP30" s="16" t="n">
        <v>2.99</v>
      </c>
      <c r="LQ30" s="16" t="n">
        <v>5.71</v>
      </c>
      <c r="LR30" s="16" t="n">
        <v>0</v>
      </c>
      <c r="LS30" s="0" t="n">
        <v>0</v>
      </c>
      <c r="LT30" s="0" t="s">
        <v>352</v>
      </c>
      <c r="LU30" s="0" t="n">
        <v>49</v>
      </c>
      <c r="LV30" s="16" t="n">
        <v>65.5</v>
      </c>
      <c r="LW30" s="16" t="n">
        <v>80.4</v>
      </c>
      <c r="LX30" s="16" t="n">
        <v>8.2</v>
      </c>
      <c r="LY30" s="0" t="n">
        <v>84.28</v>
      </c>
      <c r="MA30" s="0" t="n">
        <v>0</v>
      </c>
      <c r="MB30" s="0" t="n">
        <v>0</v>
      </c>
      <c r="MC30" s="0" t="n">
        <v>15.72</v>
      </c>
      <c r="MD30" s="0" t="n">
        <v>0</v>
      </c>
      <c r="ME30" s="0" t="n">
        <v>0</v>
      </c>
      <c r="MG30" s="0" t="n">
        <v>0</v>
      </c>
      <c r="MH30" s="0" t="n">
        <v>0</v>
      </c>
      <c r="MI30" s="0" t="n">
        <v>0</v>
      </c>
      <c r="MJ30" s="0" t="n">
        <v>0</v>
      </c>
      <c r="MK30" s="0" t="n">
        <v>21.31</v>
      </c>
      <c r="ML30" s="0" t="n">
        <v>26.03</v>
      </c>
      <c r="MM30" s="0" t="n">
        <v>0</v>
      </c>
      <c r="MN30" s="0" t="n">
        <v>0</v>
      </c>
      <c r="MO30" s="0" t="n">
        <v>8.2</v>
      </c>
      <c r="MP30" s="0" t="n">
        <v>5</v>
      </c>
      <c r="MQ30" s="0" t="n">
        <v>50</v>
      </c>
      <c r="MR30" s="0" t="n">
        <v>2</v>
      </c>
      <c r="MW30" s="0" t="n">
        <v>50</v>
      </c>
      <c r="MX30" s="0" t="n">
        <v>2</v>
      </c>
      <c r="NC30" s="0" t="n">
        <v>25.5</v>
      </c>
      <c r="ND30" s="0" t="n">
        <v>1</v>
      </c>
      <c r="NE30" s="0" t="n">
        <v>35</v>
      </c>
      <c r="NF30" s="0" t="n">
        <v>21</v>
      </c>
      <c r="NG30" s="0" t="n">
        <v>7.69</v>
      </c>
      <c r="NH30" s="0" t="n">
        <v>3</v>
      </c>
      <c r="NO30" s="20"/>
      <c r="OG30" s="0" t="n">
        <v>0</v>
      </c>
      <c r="PR30" s="16" t="n">
        <v>0</v>
      </c>
      <c r="PS30" s="16" t="n">
        <v>0</v>
      </c>
      <c r="PT30" s="16"/>
      <c r="PU30" s="16"/>
      <c r="PV30" s="16"/>
      <c r="PW30" s="16"/>
      <c r="PX30" s="16"/>
      <c r="PY30" s="16"/>
      <c r="PZ30" s="16"/>
      <c r="QA30" s="16"/>
      <c r="QB30" s="16"/>
      <c r="QC30" s="16" t="n">
        <v>0</v>
      </c>
      <c r="QD30" s="16" t="n">
        <v>0</v>
      </c>
      <c r="QE30" s="16" t="n">
        <v>0</v>
      </c>
      <c r="QF30" s="16" t="n">
        <v>0</v>
      </c>
      <c r="QG30" s="16" t="n">
        <v>0</v>
      </c>
      <c r="QH30" s="16" t="n">
        <v>0</v>
      </c>
      <c r="QI30" s="16" t="n">
        <v>0</v>
      </c>
      <c r="QJ30" s="0" t="n">
        <v>0</v>
      </c>
      <c r="QO30" s="15"/>
      <c r="QP30" s="15"/>
      <c r="QW30" s="15"/>
      <c r="QX30" s="15"/>
      <c r="RE30" s="15"/>
      <c r="RF30" s="15"/>
      <c r="RM30" s="15"/>
      <c r="RN30" s="15"/>
      <c r="RU30" s="15"/>
      <c r="RV30" s="15"/>
      <c r="SC30" s="15"/>
      <c r="SD30" s="15"/>
      <c r="SK30" s="15"/>
      <c r="SL30" s="15"/>
      <c r="SS30" s="15"/>
      <c r="ST30" s="15"/>
      <c r="TA30" s="15"/>
      <c r="TB30" s="15"/>
      <c r="TI30" s="15"/>
      <c r="TJ30" s="15"/>
      <c r="TQ30" s="15"/>
      <c r="TR30" s="15"/>
      <c r="TY30" s="15"/>
      <c r="TZ30" s="15"/>
      <c r="UG30" s="15"/>
      <c r="UH30" s="15"/>
      <c r="UO30" s="15"/>
      <c r="UP30" s="15"/>
      <c r="UW30" s="15"/>
      <c r="UX30" s="15"/>
      <c r="VE30" s="15"/>
      <c r="VF30" s="15"/>
      <c r="VM30" s="15"/>
      <c r="VN30" s="15"/>
      <c r="VU30" s="15"/>
      <c r="VV30" s="15"/>
      <c r="WC30" s="15"/>
      <c r="WD30" s="15"/>
      <c r="WK30" s="15"/>
      <c r="WL30" s="15"/>
      <c r="WS30" s="15"/>
      <c r="WT30" s="15"/>
      <c r="XA30" s="15"/>
      <c r="XB30" s="15"/>
      <c r="XI30" s="15"/>
      <c r="XJ30" s="15"/>
      <c r="XQ30" s="15"/>
      <c r="XR30" s="15"/>
      <c r="XY30" s="15"/>
      <c r="XZ30" s="15"/>
      <c r="YG30" s="15"/>
      <c r="YH30" s="15"/>
      <c r="YO30" s="15"/>
      <c r="YP30" s="15"/>
      <c r="YW30" s="15"/>
      <c r="YX30" s="15"/>
      <c r="ZE30" s="15"/>
      <c r="ZF30" s="15"/>
      <c r="ZM30" s="15"/>
      <c r="ZN30" s="15"/>
      <c r="ZU30" s="15"/>
      <c r="ZV30" s="15"/>
      <c r="AAC30" s="15"/>
      <c r="AAD30" s="15"/>
      <c r="AAK30" s="15"/>
      <c r="AAL30" s="15"/>
      <c r="AAS30" s="15"/>
      <c r="AAT30" s="15"/>
      <c r="ABA30" s="15"/>
      <c r="ABB30" s="15"/>
      <c r="ABI30" s="15"/>
      <c r="ABJ30" s="15"/>
      <c r="ABQ30" s="15"/>
      <c r="ABR30" s="15"/>
      <c r="ABY30" s="15"/>
      <c r="ABZ30" s="15"/>
      <c r="ACG30" s="15"/>
      <c r="ACH30" s="15"/>
      <c r="ACO30" s="15"/>
      <c r="ACP30" s="15"/>
      <c r="ACW30" s="15"/>
      <c r="ACX30" s="15"/>
      <c r="ADE30" s="15"/>
      <c r="ADF30" s="15"/>
      <c r="ADM30" s="15"/>
      <c r="ADN30" s="15"/>
      <c r="ADU30" s="15"/>
      <c r="ADV30" s="15"/>
      <c r="AEC30" s="15"/>
      <c r="AED30" s="15"/>
      <c r="AEK30" s="15"/>
      <c r="AEL30" s="15"/>
      <c r="AES30" s="15"/>
      <c r="AET30" s="15"/>
      <c r="AFA30" s="15"/>
      <c r="AFB30" s="15"/>
      <c r="AFI30" s="15"/>
      <c r="AFJ30" s="15"/>
      <c r="AFQ30" s="15"/>
      <c r="AFR30" s="15"/>
      <c r="AFY30" s="15"/>
      <c r="AFZ30" s="15"/>
      <c r="AGG30" s="15"/>
      <c r="AGH30" s="15"/>
      <c r="AGO30" s="15"/>
      <c r="AGP30" s="15"/>
      <c r="AGW30" s="15"/>
      <c r="AGX30" s="15"/>
      <c r="AHE30" s="15"/>
      <c r="AHF30" s="15"/>
      <c r="AHM30" s="15"/>
      <c r="AHN30" s="15"/>
      <c r="AHU30" s="15"/>
      <c r="AHV30" s="15"/>
      <c r="AIC30" s="15"/>
      <c r="AID30" s="15"/>
      <c r="AIK30" s="15"/>
      <c r="AIL30" s="15"/>
      <c r="AIS30" s="15"/>
      <c r="AIT30" s="15"/>
      <c r="AJA30" s="15"/>
      <c r="AJB30" s="15"/>
      <c r="AJI30" s="15"/>
      <c r="AJJ30" s="15"/>
      <c r="AJQ30" s="15"/>
      <c r="AJR30" s="15"/>
      <c r="AJY30" s="15"/>
      <c r="AJZ30" s="15"/>
      <c r="AKG30" s="15"/>
      <c r="AKH30" s="15"/>
      <c r="AKO30" s="15"/>
      <c r="AKP30" s="15"/>
      <c r="AKW30" s="15"/>
      <c r="AKX30" s="15"/>
      <c r="ALE30" s="15"/>
      <c r="ALF30" s="15"/>
      <c r="ALM30" s="15"/>
      <c r="ALN30" s="15"/>
      <c r="ALU30" s="15"/>
      <c r="ALV30" s="15"/>
      <c r="AMC30" s="15"/>
      <c r="AMD30" s="15"/>
    </row>
    <row r="31" customFormat="false" ht="13.8" hidden="false" customHeight="false" outlineLevel="0" collapsed="false">
      <c r="A31" s="1" t="s">
        <v>353</v>
      </c>
      <c r="B31" s="12" t="n">
        <v>42900</v>
      </c>
      <c r="C31" s="0" t="n">
        <v>1</v>
      </c>
      <c r="D31" s="13" t="n">
        <v>42793</v>
      </c>
      <c r="E31" s="12" t="n">
        <v>34997</v>
      </c>
      <c r="F31" s="14" t="n">
        <f aca="false">(B31-E31)/365.25</f>
        <v>21.637234770705</v>
      </c>
      <c r="G31" s="14" t="n">
        <f aca="false">(B31-D31)/365.25</f>
        <v>0.292950034223135</v>
      </c>
      <c r="H31" s="15" t="s">
        <v>183</v>
      </c>
      <c r="I31" s="15" t="s">
        <v>347</v>
      </c>
      <c r="J31" s="21" t="s">
        <v>181</v>
      </c>
      <c r="K31" s="21" t="n">
        <v>4</v>
      </c>
      <c r="L31" s="19" t="n">
        <v>58</v>
      </c>
      <c r="M31" s="0" t="n">
        <v>1.58</v>
      </c>
      <c r="N31" s="16" t="n">
        <f aca="false">L31/(M31*M31)</f>
        <v>23.2334561768947</v>
      </c>
      <c r="O31" s="19" t="n">
        <v>0</v>
      </c>
      <c r="P31" s="19" t="n">
        <v>0</v>
      </c>
      <c r="Q31" s="19" t="n">
        <v>0</v>
      </c>
      <c r="R31" s="19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9" t="n">
        <v>1</v>
      </c>
      <c r="Z31" s="19" t="n">
        <v>2</v>
      </c>
      <c r="AA31" s="19" t="n">
        <v>90</v>
      </c>
      <c r="AB31" s="19" t="s">
        <v>354</v>
      </c>
      <c r="AC31" s="19" t="n">
        <v>0</v>
      </c>
      <c r="AD31" s="19" t="n">
        <v>0</v>
      </c>
      <c r="AE31" s="19" t="n">
        <v>0</v>
      </c>
      <c r="AF31" s="19" t="n">
        <v>0</v>
      </c>
      <c r="AG31" s="19" t="n">
        <v>0</v>
      </c>
      <c r="AH31" s="19" t="n">
        <v>0</v>
      </c>
      <c r="AI31" s="19" t="n">
        <v>0</v>
      </c>
      <c r="AJ31" s="19" t="n">
        <v>0</v>
      </c>
      <c r="AK31" s="19" t="n">
        <v>0</v>
      </c>
      <c r="AL31" s="19" t="n">
        <v>0</v>
      </c>
      <c r="AM31" s="19" t="n">
        <v>0</v>
      </c>
      <c r="AN31" s="19" t="n">
        <v>0</v>
      </c>
      <c r="AO31" s="19" t="n">
        <v>0</v>
      </c>
      <c r="AP31" s="19" t="n">
        <v>0</v>
      </c>
      <c r="AQ31" s="19" t="n">
        <v>0</v>
      </c>
      <c r="AR31" s="19" t="n">
        <v>0</v>
      </c>
      <c r="AS31" s="19" t="n">
        <v>0</v>
      </c>
      <c r="AT31" s="19" t="n">
        <v>0</v>
      </c>
      <c r="AU31" s="19" t="n">
        <v>0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19" t="n">
        <v>0</v>
      </c>
      <c r="BB31" s="19" t="n">
        <v>0</v>
      </c>
      <c r="BC31" s="19" t="n">
        <v>0</v>
      </c>
      <c r="BD31" s="19" t="n">
        <v>0</v>
      </c>
      <c r="BE31" s="19" t="n">
        <v>0</v>
      </c>
      <c r="BF31" s="19" t="n">
        <v>0</v>
      </c>
      <c r="BG31" s="19" t="n">
        <v>0</v>
      </c>
      <c r="BH31" s="19" t="n">
        <v>0</v>
      </c>
      <c r="BI31" s="19" t="n">
        <v>0</v>
      </c>
      <c r="BJ31" s="19" t="n">
        <v>0</v>
      </c>
      <c r="BK31" s="19" t="n">
        <v>0</v>
      </c>
      <c r="BL31" s="19" t="n">
        <v>0</v>
      </c>
      <c r="BM31" s="19" t="n">
        <v>0</v>
      </c>
      <c r="BN31" s="19" t="n">
        <v>0</v>
      </c>
      <c r="BO31" s="19" t="n">
        <v>0</v>
      </c>
      <c r="BP31" s="19" t="n">
        <v>0</v>
      </c>
      <c r="BQ31" s="19" t="n">
        <v>0</v>
      </c>
      <c r="BR31" s="19" t="n">
        <v>2</v>
      </c>
      <c r="BS31" s="19" t="n">
        <v>1</v>
      </c>
      <c r="BT31" s="19" t="n">
        <v>1</v>
      </c>
      <c r="BU31" s="19" t="n">
        <v>5</v>
      </c>
      <c r="BV31" s="19" t="n">
        <v>1</v>
      </c>
      <c r="BW31" s="19" t="n">
        <v>1</v>
      </c>
      <c r="BX31" s="19" t="n">
        <v>3</v>
      </c>
      <c r="BY31" s="19" t="n">
        <v>4</v>
      </c>
      <c r="BZ31" s="19" t="n">
        <v>5</v>
      </c>
      <c r="CA31" s="19" t="n">
        <v>5</v>
      </c>
      <c r="CB31" s="19" t="n">
        <v>5</v>
      </c>
      <c r="CC31" s="19" t="n">
        <v>5</v>
      </c>
      <c r="CD31" s="19" t="n">
        <v>4</v>
      </c>
      <c r="CE31" s="19" t="n">
        <v>5</v>
      </c>
      <c r="CF31" s="19" t="n">
        <v>5</v>
      </c>
      <c r="CG31" s="19" t="n">
        <v>5</v>
      </c>
      <c r="CH31" s="19" t="n">
        <v>5</v>
      </c>
      <c r="CI31" s="19" t="n">
        <v>5</v>
      </c>
      <c r="CJ31" s="19" t="n">
        <v>5</v>
      </c>
      <c r="CK31" s="19" t="n">
        <v>10</v>
      </c>
      <c r="CL31" s="0" t="s">
        <v>355</v>
      </c>
      <c r="CM31" s="0" t="n">
        <v>37</v>
      </c>
      <c r="CN31" s="16" t="n">
        <v>95.1</v>
      </c>
      <c r="CO31" s="16" t="n">
        <v>80.4</v>
      </c>
      <c r="CP31" s="16" t="n">
        <v>15.9</v>
      </c>
      <c r="CQ31" s="0" t="n">
        <v>82.71</v>
      </c>
      <c r="CS31" s="0" t="n">
        <v>10.32</v>
      </c>
      <c r="CT31" s="0" t="n">
        <v>0.39</v>
      </c>
      <c r="CU31" s="0" t="n">
        <v>10.32</v>
      </c>
      <c r="CV31" s="0" t="n">
        <v>0</v>
      </c>
      <c r="CW31" s="0" t="n">
        <v>0</v>
      </c>
      <c r="CY31" s="0" t="n">
        <v>0</v>
      </c>
      <c r="CZ31" s="0" t="n">
        <v>0</v>
      </c>
      <c r="DA31" s="0" t="n">
        <v>0</v>
      </c>
      <c r="DB31" s="0" t="n">
        <v>1.9</v>
      </c>
      <c r="DC31" s="0" t="n">
        <v>26.26</v>
      </c>
      <c r="DD31" s="0" t="n">
        <v>6.04</v>
      </c>
      <c r="DE31" s="0" t="n">
        <v>2.19</v>
      </c>
      <c r="DF31" s="0" t="n">
        <v>0</v>
      </c>
      <c r="DG31" s="0" t="n">
        <v>0</v>
      </c>
      <c r="DH31" s="0" t="n">
        <v>0</v>
      </c>
      <c r="DU31" s="0" t="n">
        <v>14.7</v>
      </c>
      <c r="DV31" s="0" t="n">
        <v>1</v>
      </c>
      <c r="DW31" s="0" t="n">
        <v>35</v>
      </c>
      <c r="DX31" s="0" t="n">
        <v>2</v>
      </c>
      <c r="DY31" s="0" t="n">
        <v>1.8</v>
      </c>
      <c r="DZ31" s="0" t="n">
        <v>3</v>
      </c>
      <c r="EG31" s="20"/>
      <c r="EY31" s="0" t="n">
        <v>1</v>
      </c>
      <c r="EZ31" s="0" t="n">
        <v>50</v>
      </c>
      <c r="FA31" s="0" t="n">
        <v>1</v>
      </c>
      <c r="FB31" s="0" t="n">
        <v>1.34</v>
      </c>
      <c r="FC31" s="0" t="n">
        <v>2</v>
      </c>
      <c r="FD31" s="0" t="n">
        <v>40</v>
      </c>
      <c r="FE31" s="0" t="n">
        <v>1</v>
      </c>
      <c r="FF31" s="0" t="n">
        <v>0.9</v>
      </c>
      <c r="FG31" s="0" t="n">
        <v>3</v>
      </c>
      <c r="FH31" s="0" t="n">
        <v>50</v>
      </c>
      <c r="FI31" s="0" t="n">
        <v>1</v>
      </c>
      <c r="FJ31" s="0" t="n">
        <v>0.9</v>
      </c>
      <c r="FK31" s="0" t="n">
        <v>3</v>
      </c>
      <c r="FL31" s="0" t="n">
        <v>80</v>
      </c>
      <c r="FM31" s="0" t="n">
        <v>2</v>
      </c>
      <c r="FN31" s="0" t="n">
        <v>2.68</v>
      </c>
      <c r="FO31" s="0" t="n">
        <v>2</v>
      </c>
      <c r="FP31" s="0" t="n">
        <v>100</v>
      </c>
      <c r="FQ31" s="0" t="n">
        <v>1</v>
      </c>
      <c r="FR31" s="0" t="n">
        <v>2.57</v>
      </c>
      <c r="FS31" s="0" t="n">
        <v>2</v>
      </c>
      <c r="GJ31" s="0" t="n">
        <v>0</v>
      </c>
      <c r="GK31" s="19" t="n">
        <v>0</v>
      </c>
      <c r="GL31" s="19"/>
      <c r="GM31" s="13"/>
      <c r="GN31" s="13"/>
      <c r="GO31" s="19"/>
      <c r="GP31" s="13"/>
      <c r="GQ31" s="13"/>
      <c r="GR31" s="13"/>
      <c r="GS31" s="13"/>
      <c r="GT31" s="13"/>
      <c r="GU31" s="16" t="n">
        <v>5.11</v>
      </c>
      <c r="GV31" s="0" t="n">
        <v>4.81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s">
        <v>350</v>
      </c>
      <c r="HD31" s="0" t="n">
        <v>75</v>
      </c>
      <c r="HE31" s="16" t="n">
        <v>87.9</v>
      </c>
      <c r="HF31" s="16" t="n">
        <v>80.4</v>
      </c>
      <c r="HG31" s="16" t="n">
        <v>45.2</v>
      </c>
      <c r="HH31" s="0" t="n">
        <v>50.83</v>
      </c>
      <c r="HI31" s="0" t="n">
        <v>0.05</v>
      </c>
      <c r="HJ31" s="0" t="n">
        <v>46.44</v>
      </c>
      <c r="HK31" s="0" t="n">
        <v>2.67</v>
      </c>
      <c r="HL31" s="0" t="n">
        <v>0</v>
      </c>
      <c r="HM31" s="0" t="n">
        <v>0</v>
      </c>
      <c r="HN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25.21</v>
      </c>
      <c r="HU31" s="0" t="n">
        <v>43.57</v>
      </c>
      <c r="HV31" s="0" t="n">
        <v>6.27</v>
      </c>
      <c r="HW31" s="0" t="n">
        <v>0</v>
      </c>
      <c r="HX31" s="0" t="n">
        <v>0</v>
      </c>
      <c r="HY31" s="0" t="n">
        <v>0</v>
      </c>
      <c r="IL31" s="0" t="n">
        <v>17.8</v>
      </c>
      <c r="IM31" s="0" t="n">
        <v>1</v>
      </c>
      <c r="IN31" s="0" t="n">
        <v>35</v>
      </c>
      <c r="IO31" s="0" t="n">
        <v>9</v>
      </c>
      <c r="IP31" s="0" t="n">
        <v>2.55</v>
      </c>
      <c r="IQ31" s="0" t="n">
        <v>3</v>
      </c>
      <c r="IX31" s="20"/>
      <c r="JP31" s="0" t="n">
        <v>1</v>
      </c>
      <c r="JQ31" s="0" t="n">
        <v>50</v>
      </c>
      <c r="JR31" s="0" t="n">
        <v>8</v>
      </c>
      <c r="JS31" s="0" t="n">
        <v>2.12</v>
      </c>
      <c r="JT31" s="0" t="n">
        <v>3</v>
      </c>
      <c r="LA31" s="16" t="n">
        <v>3.43</v>
      </c>
      <c r="LB31" s="16" t="n">
        <v>1</v>
      </c>
      <c r="LC31" s="16" t="n">
        <v>1</v>
      </c>
      <c r="LD31" s="16"/>
      <c r="LE31" s="16" t="n">
        <v>26.11</v>
      </c>
      <c r="LF31" s="16" t="n">
        <v>2</v>
      </c>
      <c r="LG31" s="16"/>
      <c r="LH31" s="16" t="n">
        <v>11.19</v>
      </c>
      <c r="LI31" s="16"/>
      <c r="LJ31" s="16"/>
      <c r="LK31" s="16"/>
      <c r="LL31" s="16" t="n">
        <v>6.39</v>
      </c>
      <c r="LM31" s="16" t="n">
        <v>3.31</v>
      </c>
      <c r="LN31" s="16" t="n">
        <v>0</v>
      </c>
      <c r="LO31" s="16" t="n">
        <v>0</v>
      </c>
      <c r="LP31" s="16" t="n">
        <v>0</v>
      </c>
      <c r="LQ31" s="16" t="n">
        <v>0</v>
      </c>
      <c r="LR31" s="16" t="n">
        <v>0</v>
      </c>
      <c r="LS31" s="0" t="n">
        <v>0</v>
      </c>
      <c r="LT31" s="0" t="s">
        <v>351</v>
      </c>
      <c r="LU31" s="0" t="n">
        <v>30.5</v>
      </c>
      <c r="LV31" s="16" t="n">
        <v>68.4</v>
      </c>
      <c r="LW31" s="16" t="n">
        <v>80.4</v>
      </c>
      <c r="LX31" s="16" t="n">
        <v>19.8</v>
      </c>
      <c r="LY31" s="0" t="n">
        <v>72.42</v>
      </c>
      <c r="MA31" s="0" t="n">
        <v>0.94</v>
      </c>
      <c r="MB31" s="0" t="n">
        <v>0.94</v>
      </c>
      <c r="MC31" s="0" t="n">
        <v>25.7</v>
      </c>
      <c r="MD31" s="0" t="n">
        <v>0</v>
      </c>
      <c r="ME31" s="0" t="n">
        <v>0</v>
      </c>
      <c r="MG31" s="0" t="n">
        <v>0</v>
      </c>
      <c r="MH31" s="0" t="n">
        <v>0</v>
      </c>
      <c r="MI31" s="0" t="n">
        <v>0</v>
      </c>
      <c r="MJ31" s="0" t="n">
        <v>0</v>
      </c>
      <c r="MK31" s="0" t="n">
        <v>28.26</v>
      </c>
      <c r="ML31" s="0" t="n">
        <v>10.55</v>
      </c>
      <c r="MM31" s="0" t="n">
        <v>14.21</v>
      </c>
      <c r="MN31" s="0" t="n">
        <v>0</v>
      </c>
      <c r="MO31" s="0" t="n">
        <v>0</v>
      </c>
      <c r="MP31" s="0" t="n">
        <v>0</v>
      </c>
      <c r="NC31" s="0" t="n">
        <v>3.3</v>
      </c>
      <c r="ND31" s="0" t="n">
        <v>1</v>
      </c>
      <c r="NE31" s="0" t="n">
        <v>68</v>
      </c>
      <c r="NF31" s="0" t="n">
        <v>2</v>
      </c>
      <c r="NG31" s="0" t="n">
        <v>1.52</v>
      </c>
      <c r="NH31" s="0" t="n">
        <v>1</v>
      </c>
      <c r="NO31" s="20"/>
      <c r="OG31" s="0" t="n">
        <v>0</v>
      </c>
      <c r="PR31" s="16" t="n">
        <v>0</v>
      </c>
      <c r="PS31" s="16" t="n">
        <v>0</v>
      </c>
      <c r="PT31" s="16"/>
      <c r="PU31" s="16"/>
      <c r="PV31" s="16"/>
      <c r="PW31" s="16"/>
      <c r="PX31" s="16"/>
      <c r="PY31" s="16"/>
      <c r="PZ31" s="16"/>
      <c r="QA31" s="16"/>
      <c r="QB31" s="16"/>
      <c r="QC31" s="16" t="n">
        <v>0.81</v>
      </c>
      <c r="QD31" s="16" t="n">
        <v>0.8</v>
      </c>
      <c r="QE31" s="16" t="n">
        <v>0</v>
      </c>
      <c r="QF31" s="16" t="n">
        <v>0</v>
      </c>
      <c r="QG31" s="16" t="n">
        <v>2.99</v>
      </c>
      <c r="QH31" s="16" t="n">
        <v>5.71</v>
      </c>
      <c r="QI31" s="16" t="n">
        <v>0</v>
      </c>
      <c r="QJ31" s="0" t="n">
        <v>0</v>
      </c>
      <c r="QK31" s="0" t="s">
        <v>356</v>
      </c>
      <c r="QL31" s="0" t="n">
        <v>39.5</v>
      </c>
      <c r="QM31" s="16" t="n">
        <v>85.1</v>
      </c>
      <c r="QN31" s="16" t="n">
        <v>80.4</v>
      </c>
      <c r="QO31" s="16" t="n">
        <v>13.6</v>
      </c>
      <c r="QP31" s="0" t="n">
        <v>87.38</v>
      </c>
      <c r="QR31" s="0" t="n">
        <v>8.05</v>
      </c>
      <c r="QS31" s="0" t="n">
        <v>0</v>
      </c>
      <c r="QT31" s="0" t="n">
        <v>4.57</v>
      </c>
      <c r="QU31" s="0" t="n">
        <v>0</v>
      </c>
      <c r="QV31" s="0" t="n">
        <v>0</v>
      </c>
      <c r="QX31" s="0" t="n">
        <v>0</v>
      </c>
      <c r="QY31" s="0" t="n">
        <v>0</v>
      </c>
      <c r="QZ31" s="0" t="n">
        <v>0</v>
      </c>
      <c r="RA31" s="0" t="n">
        <v>0</v>
      </c>
      <c r="RB31" s="0" t="n">
        <v>45</v>
      </c>
      <c r="RC31" s="0" t="n">
        <v>10.1</v>
      </c>
      <c r="RD31" s="0" t="n">
        <v>11.8</v>
      </c>
      <c r="RE31" s="0" t="n">
        <v>0</v>
      </c>
      <c r="RF31" s="0" t="n">
        <v>0</v>
      </c>
      <c r="RG31" s="0" t="n">
        <v>0</v>
      </c>
      <c r="RT31" s="0" t="n">
        <v>17.8</v>
      </c>
      <c r="RU31" s="0" t="n">
        <v>1</v>
      </c>
      <c r="RV31" s="0" t="n">
        <v>30</v>
      </c>
      <c r="RW31" s="0" t="n">
        <v>7</v>
      </c>
      <c r="RX31" s="0" t="n">
        <v>5.33</v>
      </c>
      <c r="RY31" s="0" t="n">
        <v>3</v>
      </c>
      <c r="SF31" s="20"/>
      <c r="SX31" s="0" t="n">
        <v>1</v>
      </c>
      <c r="SY31" s="0" t="n">
        <v>50</v>
      </c>
      <c r="SZ31" s="0" t="n">
        <v>1</v>
      </c>
      <c r="TA31" s="0" t="n">
        <v>0.03</v>
      </c>
      <c r="TB31" s="0" t="n">
        <v>1</v>
      </c>
      <c r="UI31" s="16" t="n">
        <v>3.96</v>
      </c>
      <c r="UJ31" s="16" t="n">
        <v>1</v>
      </c>
      <c r="UK31" s="16" t="n">
        <v>1</v>
      </c>
      <c r="UL31" s="16"/>
      <c r="UM31" s="16" t="n">
        <v>41.03</v>
      </c>
      <c r="UN31" s="16" t="n">
        <v>2</v>
      </c>
      <c r="UO31" s="16" t="n">
        <v>3.73</v>
      </c>
      <c r="UP31" s="16"/>
      <c r="UQ31" s="16"/>
      <c r="UR31" s="16"/>
      <c r="US31" s="16"/>
      <c r="UT31" s="16" t="n">
        <v>0</v>
      </c>
      <c r="UU31" s="16" t="n">
        <v>0</v>
      </c>
      <c r="UV31" s="16" t="n">
        <v>0</v>
      </c>
      <c r="UW31" s="16" t="n">
        <v>0</v>
      </c>
      <c r="UX31" s="16" t="n">
        <v>0</v>
      </c>
      <c r="UY31" s="16" t="n">
        <v>0</v>
      </c>
      <c r="UZ31" s="16" t="n">
        <v>0</v>
      </c>
      <c r="VA31" s="0" t="n">
        <v>0</v>
      </c>
      <c r="VB31" s="0" t="s">
        <v>357</v>
      </c>
      <c r="VC31" s="0" t="n">
        <v>27.5</v>
      </c>
      <c r="VD31" s="16" t="n">
        <v>76.2</v>
      </c>
      <c r="VE31" s="16" t="n">
        <v>80.4</v>
      </c>
      <c r="VF31" s="16" t="n">
        <v>15.3</v>
      </c>
      <c r="VG31" s="0" t="n">
        <v>87.64</v>
      </c>
      <c r="VI31" s="0" t="n">
        <v>0</v>
      </c>
      <c r="VJ31" s="0" t="n">
        <v>0</v>
      </c>
      <c r="VK31" s="0" t="n">
        <v>12.36</v>
      </c>
      <c r="VL31" s="0" t="n">
        <v>0</v>
      </c>
      <c r="VM31" s="0" t="n">
        <v>0</v>
      </c>
      <c r="VO31" s="0" t="n">
        <v>0</v>
      </c>
      <c r="VP31" s="0" t="n">
        <v>0</v>
      </c>
      <c r="VQ31" s="0" t="n">
        <v>0</v>
      </c>
      <c r="VR31" s="0" t="n">
        <v>24.9</v>
      </c>
      <c r="VS31" s="0" t="n">
        <v>31.99</v>
      </c>
      <c r="VT31" s="0" t="n">
        <v>18.66</v>
      </c>
      <c r="VU31" s="0" t="n">
        <v>0</v>
      </c>
      <c r="VV31" s="0" t="n">
        <v>0</v>
      </c>
      <c r="VW31" s="0" t="n">
        <v>4.8</v>
      </c>
      <c r="VX31" s="0" t="n">
        <v>5</v>
      </c>
      <c r="VY31" s="0" t="n">
        <v>50</v>
      </c>
      <c r="VZ31" s="0" t="n">
        <v>4</v>
      </c>
      <c r="WE31" s="0" t="n">
        <v>50</v>
      </c>
      <c r="WF31" s="0" t="n">
        <v>4</v>
      </c>
      <c r="WK31" s="0" t="n">
        <v>5.5</v>
      </c>
      <c r="WL31" s="0" t="n">
        <v>0</v>
      </c>
      <c r="WW31" s="20"/>
      <c r="XO31" s="0" t="n">
        <v>1</v>
      </c>
      <c r="XP31" s="0" t="n">
        <v>50</v>
      </c>
      <c r="XQ31" s="0" t="n">
        <v>4</v>
      </c>
      <c r="XR31" s="0" t="n">
        <v>3.59</v>
      </c>
      <c r="XS31" s="0" t="n">
        <v>3</v>
      </c>
      <c r="XT31" s="0" t="n">
        <v>70</v>
      </c>
      <c r="XU31" s="0" t="n">
        <v>14</v>
      </c>
      <c r="XV31" s="0" t="n">
        <v>4.93</v>
      </c>
      <c r="XW31" s="0" t="n">
        <v>2</v>
      </c>
      <c r="YZ31" s="16" t="n">
        <v>0.75</v>
      </c>
      <c r="ZA31" s="16" t="n">
        <v>1</v>
      </c>
      <c r="ZB31" s="16" t="n">
        <v>1</v>
      </c>
      <c r="ZC31" s="16"/>
      <c r="ZD31" s="16" t="n">
        <v>9.96</v>
      </c>
      <c r="ZE31" s="16"/>
      <c r="ZF31" s="16"/>
      <c r="ZG31" s="16"/>
      <c r="ZH31" s="16"/>
      <c r="ZI31" s="16"/>
      <c r="ZJ31" s="16"/>
      <c r="ZK31" s="16" t="n">
        <v>0</v>
      </c>
      <c r="ZL31" s="16" t="n">
        <v>0</v>
      </c>
      <c r="ZM31" s="16" t="n">
        <v>0</v>
      </c>
      <c r="ZN31" s="16" t="n">
        <v>0</v>
      </c>
      <c r="ZO31" s="16" t="n">
        <v>0</v>
      </c>
      <c r="ZP31" s="16" t="n">
        <v>0</v>
      </c>
      <c r="ZQ31" s="16" t="n">
        <v>0</v>
      </c>
      <c r="ZR31" s="0" t="n">
        <v>0</v>
      </c>
      <c r="ZS31" s="0" t="s">
        <v>358</v>
      </c>
      <c r="ZT31" s="0" t="n">
        <v>41</v>
      </c>
      <c r="ZU31" s="16" t="n">
        <v>91.1</v>
      </c>
      <c r="ZV31" s="16" t="n">
        <v>80.4</v>
      </c>
      <c r="ZW31" s="16" t="n">
        <v>6.5</v>
      </c>
      <c r="ZX31" s="0" t="n">
        <v>94.94</v>
      </c>
      <c r="ZZ31" s="0" t="n">
        <v>0</v>
      </c>
      <c r="AAA31" s="0" t="n">
        <v>0</v>
      </c>
      <c r="AAB31" s="0" t="n">
        <v>5.06</v>
      </c>
      <c r="AAC31" s="0" t="n">
        <v>0</v>
      </c>
      <c r="AAD31" s="0" t="n">
        <v>0</v>
      </c>
      <c r="AAF31" s="0" t="n">
        <v>0</v>
      </c>
      <c r="AAG31" s="0" t="n">
        <v>0</v>
      </c>
      <c r="AAH31" s="0" t="n">
        <v>0</v>
      </c>
      <c r="AAI31" s="0" t="n">
        <v>0</v>
      </c>
      <c r="AAJ31" s="0" t="n">
        <v>64.35</v>
      </c>
      <c r="AAK31" s="0" t="n">
        <v>9.29</v>
      </c>
      <c r="AAL31" s="0" t="n">
        <v>0</v>
      </c>
      <c r="AAM31" s="0" t="n">
        <v>0</v>
      </c>
      <c r="AAN31" s="0" t="n">
        <v>15.7</v>
      </c>
      <c r="AAO31" s="0" t="n">
        <v>1</v>
      </c>
      <c r="AAP31" s="0" t="n">
        <v>3</v>
      </c>
      <c r="AAR31" s="0" t="n">
        <v>1</v>
      </c>
      <c r="AAV31" s="0" t="n">
        <v>3</v>
      </c>
      <c r="AAX31" s="0" t="n">
        <v>1</v>
      </c>
      <c r="ABB31" s="0" t="n">
        <v>10.8</v>
      </c>
      <c r="ABC31" s="0" t="n">
        <v>1</v>
      </c>
      <c r="ABD31" s="0" t="n">
        <v>34</v>
      </c>
      <c r="ABE31" s="0" t="n">
        <v>4</v>
      </c>
      <c r="ABF31" s="0" t="n">
        <v>1.68</v>
      </c>
      <c r="ABG31" s="0" t="n">
        <v>1</v>
      </c>
      <c r="ABN31" s="20"/>
      <c r="ACF31" s="0" t="n">
        <v>1</v>
      </c>
      <c r="ACG31" s="0" t="n">
        <v>50</v>
      </c>
      <c r="ACH31" s="0" t="n">
        <v>2</v>
      </c>
      <c r="ACI31" s="0" t="n">
        <v>2.24</v>
      </c>
      <c r="ACJ31" s="0" t="n">
        <v>3</v>
      </c>
      <c r="ACK31" s="0" t="n">
        <v>50</v>
      </c>
      <c r="ACL31" s="0" t="n">
        <v>12</v>
      </c>
      <c r="ACM31" s="0" t="n">
        <v>8.51</v>
      </c>
      <c r="ACN31" s="0" t="n">
        <v>4</v>
      </c>
      <c r="ADQ31" s="16" t="n">
        <v>0.86</v>
      </c>
      <c r="ADR31" s="16" t="n">
        <v>1</v>
      </c>
      <c r="ADS31" s="16" t="n">
        <v>1</v>
      </c>
      <c r="ADT31" s="16"/>
      <c r="ADU31" s="16" t="n">
        <v>12.44</v>
      </c>
      <c r="ADV31" s="16"/>
      <c r="ADW31" s="16"/>
      <c r="ADX31" s="16"/>
      <c r="ADY31" s="16"/>
      <c r="ADZ31" s="16"/>
      <c r="AEA31" s="16"/>
      <c r="AEB31" s="16" t="n">
        <v>5.31</v>
      </c>
      <c r="AEC31" s="16" t="n">
        <v>7.99</v>
      </c>
      <c r="AED31" s="16" t="n">
        <v>0</v>
      </c>
      <c r="AEE31" s="16" t="n">
        <v>0</v>
      </c>
      <c r="AEF31" s="16" t="n">
        <v>0</v>
      </c>
      <c r="AEG31" s="16" t="n">
        <v>0</v>
      </c>
      <c r="AEH31" s="16" t="n">
        <v>0</v>
      </c>
      <c r="AEI31" s="0" t="n">
        <v>0</v>
      </c>
      <c r="AEK31" s="15"/>
      <c r="AEL31" s="15"/>
      <c r="AES31" s="15"/>
      <c r="AET31" s="15"/>
      <c r="AFA31" s="15"/>
      <c r="AFB31" s="15"/>
      <c r="AFI31" s="15"/>
      <c r="AFJ31" s="15"/>
      <c r="AFQ31" s="15"/>
      <c r="AFR31" s="15"/>
      <c r="AFY31" s="15"/>
      <c r="AFZ31" s="15"/>
      <c r="AGG31" s="15"/>
      <c r="AGH31" s="15"/>
      <c r="AGO31" s="15"/>
      <c r="AGP31" s="15"/>
      <c r="AGW31" s="15"/>
      <c r="AGX31" s="15"/>
      <c r="AHE31" s="15"/>
      <c r="AHF31" s="15"/>
      <c r="AHM31" s="15"/>
      <c r="AHN31" s="15"/>
      <c r="AHU31" s="15"/>
      <c r="AHV31" s="15"/>
      <c r="AIC31" s="15"/>
      <c r="AID31" s="15"/>
      <c r="AIK31" s="15"/>
      <c r="AIL31" s="15"/>
      <c r="AIS31" s="15"/>
      <c r="AIT31" s="15"/>
      <c r="AJA31" s="15"/>
      <c r="AJB31" s="15"/>
      <c r="AJI31" s="15"/>
      <c r="AJJ31" s="15"/>
      <c r="AJQ31" s="15"/>
      <c r="AJR31" s="15"/>
      <c r="AJY31" s="15"/>
      <c r="AJZ31" s="15"/>
      <c r="AKG31" s="15"/>
      <c r="AKH31" s="15"/>
      <c r="AKO31" s="15"/>
      <c r="AKP31" s="15"/>
      <c r="AKW31" s="15"/>
      <c r="AKX31" s="15"/>
      <c r="ALE31" s="15"/>
      <c r="ALF31" s="15"/>
      <c r="ALM31" s="15"/>
      <c r="ALN31" s="15"/>
      <c r="ALU31" s="15"/>
      <c r="ALV31" s="15"/>
      <c r="AMC31" s="15"/>
      <c r="AMD31" s="15"/>
    </row>
    <row r="32" customFormat="false" ht="13.8" hidden="false" customHeight="false" outlineLevel="0" collapsed="false">
      <c r="A32" s="1" t="s">
        <v>359</v>
      </c>
      <c r="B32" s="12" t="n">
        <v>42900</v>
      </c>
      <c r="C32" s="0" t="n">
        <v>2</v>
      </c>
      <c r="D32" s="13" t="n">
        <v>42828</v>
      </c>
      <c r="E32" s="12" t="n">
        <v>28993</v>
      </c>
      <c r="F32" s="14" t="n">
        <f aca="false">(B32-E32)/365.25</f>
        <v>38.0752908966461</v>
      </c>
      <c r="G32" s="14" t="n">
        <f aca="false">(B32-D32)/365.25</f>
        <v>0.197125256673511</v>
      </c>
      <c r="H32" s="15" t="s">
        <v>183</v>
      </c>
      <c r="I32" s="15" t="s">
        <v>347</v>
      </c>
      <c r="J32" s="21" t="s">
        <v>181</v>
      </c>
      <c r="K32" s="21" t="n">
        <v>4</v>
      </c>
      <c r="L32" s="19" t="n">
        <v>66</v>
      </c>
      <c r="M32" s="0" t="n">
        <v>1.77</v>
      </c>
      <c r="N32" s="16" t="n">
        <f aca="false">L32/(M32*M32)</f>
        <v>21.0667432730058</v>
      </c>
      <c r="O32" s="19" t="n">
        <v>0</v>
      </c>
      <c r="P32" s="19" t="n">
        <v>0</v>
      </c>
      <c r="Q32" s="19" t="n">
        <v>0</v>
      </c>
      <c r="R32" s="19" t="n">
        <v>0</v>
      </c>
      <c r="S32" s="19" t="n">
        <v>0</v>
      </c>
      <c r="T32" s="19" t="n">
        <v>0</v>
      </c>
      <c r="U32" s="19" t="n">
        <v>0</v>
      </c>
      <c r="V32" s="19" t="n">
        <v>0</v>
      </c>
      <c r="W32" s="19" t="n">
        <v>0</v>
      </c>
      <c r="X32" s="19" t="n">
        <v>0</v>
      </c>
      <c r="Y32" s="19" t="n">
        <v>1</v>
      </c>
      <c r="Z32" s="19" t="n">
        <v>3</v>
      </c>
      <c r="AA32" s="19" t="n">
        <v>90</v>
      </c>
      <c r="AB32" s="19" t="s">
        <v>360</v>
      </c>
      <c r="AC32" s="19" t="n">
        <v>0</v>
      </c>
      <c r="AD32" s="19" t="n">
        <v>0</v>
      </c>
      <c r="AE32" s="19" t="n">
        <v>0</v>
      </c>
      <c r="AF32" s="19" t="n">
        <v>0</v>
      </c>
      <c r="AG32" s="19" t="n">
        <v>0</v>
      </c>
      <c r="AH32" s="19" t="n">
        <v>0</v>
      </c>
      <c r="AI32" s="19" t="n">
        <v>0</v>
      </c>
      <c r="AJ32" s="19" t="n">
        <v>0</v>
      </c>
      <c r="AK32" s="19" t="n">
        <v>0</v>
      </c>
      <c r="AL32" s="19" t="n">
        <v>0</v>
      </c>
      <c r="AM32" s="19" t="n">
        <v>0</v>
      </c>
      <c r="AN32" s="19" t="n">
        <v>0</v>
      </c>
      <c r="AO32" s="19" t="n">
        <v>0</v>
      </c>
      <c r="AP32" s="19" t="n">
        <v>0</v>
      </c>
      <c r="AQ32" s="19" t="n">
        <v>0</v>
      </c>
      <c r="AR32" s="19" t="n">
        <v>0</v>
      </c>
      <c r="AS32" s="19" t="n">
        <v>1</v>
      </c>
      <c r="AT32" s="19"/>
      <c r="AU32" s="19" t="n">
        <v>1</v>
      </c>
      <c r="AV32" s="19" t="n">
        <v>6</v>
      </c>
      <c r="AW32" s="19" t="n">
        <v>0</v>
      </c>
      <c r="AX32" s="19" t="n">
        <v>0</v>
      </c>
      <c r="AY32" s="19" t="n">
        <v>0</v>
      </c>
      <c r="AZ32" s="19" t="n">
        <v>0</v>
      </c>
      <c r="BA32" s="19" t="n">
        <v>0</v>
      </c>
      <c r="BB32" s="19" t="n">
        <v>0</v>
      </c>
      <c r="BC32" s="19" t="n">
        <v>0</v>
      </c>
      <c r="BD32" s="19" t="n">
        <v>0</v>
      </c>
      <c r="BE32" s="19" t="n">
        <v>0</v>
      </c>
      <c r="BF32" s="19" t="n">
        <v>0</v>
      </c>
      <c r="BG32" s="19" t="n">
        <v>0</v>
      </c>
      <c r="BH32" s="19" t="n">
        <v>0</v>
      </c>
      <c r="BI32" s="19" t="n">
        <v>0</v>
      </c>
      <c r="BJ32" s="19" t="n">
        <v>0</v>
      </c>
      <c r="BK32" s="19" t="n">
        <v>0</v>
      </c>
      <c r="BL32" s="19" t="n">
        <v>0</v>
      </c>
      <c r="BM32" s="19" t="n">
        <v>0</v>
      </c>
      <c r="BN32" s="19" t="n">
        <v>0</v>
      </c>
      <c r="BO32" s="19" t="n">
        <v>0</v>
      </c>
      <c r="BP32" s="19" t="n">
        <v>0</v>
      </c>
      <c r="BQ32" s="19" t="n">
        <v>0</v>
      </c>
      <c r="BR32" s="19" t="n">
        <v>2</v>
      </c>
      <c r="BS32" s="19" t="n">
        <v>3</v>
      </c>
      <c r="BT32" s="19" t="n">
        <v>3</v>
      </c>
      <c r="BU32" s="19" t="n">
        <v>4</v>
      </c>
      <c r="BV32" s="19" t="n">
        <v>2</v>
      </c>
      <c r="BW32" s="19" t="n">
        <v>3</v>
      </c>
      <c r="BX32" s="19" t="n">
        <v>1</v>
      </c>
      <c r="BY32" s="19" t="n">
        <v>2</v>
      </c>
      <c r="BZ32" s="19" t="n">
        <v>3</v>
      </c>
      <c r="CA32" s="19" t="n">
        <v>4</v>
      </c>
      <c r="CB32" s="19" t="n">
        <v>4</v>
      </c>
      <c r="CC32" s="19" t="n">
        <v>4</v>
      </c>
      <c r="CD32" s="19" t="n">
        <v>2</v>
      </c>
      <c r="CE32" s="19" t="n">
        <v>4</v>
      </c>
      <c r="CF32" s="19" t="n">
        <v>5</v>
      </c>
      <c r="CG32" s="19" t="n">
        <v>4</v>
      </c>
      <c r="CH32" s="19" t="n">
        <v>4</v>
      </c>
      <c r="CI32" s="19" t="n">
        <v>4</v>
      </c>
      <c r="CJ32" s="19" t="n">
        <v>2</v>
      </c>
      <c r="CK32" s="19" t="n">
        <v>7</v>
      </c>
      <c r="CL32" s="0" t="s">
        <v>361</v>
      </c>
      <c r="CM32" s="0" t="n">
        <v>74.5</v>
      </c>
      <c r="CN32" s="16" t="n">
        <v>76.2</v>
      </c>
      <c r="CO32" s="16" t="n">
        <v>80.4</v>
      </c>
      <c r="CP32" s="16" t="n">
        <v>42.8</v>
      </c>
      <c r="CQ32" s="0" t="n">
        <v>57.15</v>
      </c>
      <c r="CR32" s="0" t="n">
        <v>0.45</v>
      </c>
      <c r="CS32" s="0" t="n">
        <v>39.09</v>
      </c>
      <c r="CT32" s="0" t="n">
        <v>3.3</v>
      </c>
      <c r="CU32" s="0" t="n">
        <v>0</v>
      </c>
      <c r="CV32" s="0" t="n">
        <v>0</v>
      </c>
      <c r="CW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18.26</v>
      </c>
      <c r="DD32" s="0" t="n">
        <v>34.4</v>
      </c>
      <c r="DE32" s="0" t="n">
        <v>6.27</v>
      </c>
      <c r="DF32" s="0" t="n">
        <v>0</v>
      </c>
      <c r="DG32" s="0" t="n">
        <v>0</v>
      </c>
      <c r="DH32" s="0" t="n">
        <v>0</v>
      </c>
      <c r="DU32" s="0" t="n">
        <v>18.2</v>
      </c>
      <c r="DV32" s="0" t="n">
        <v>1</v>
      </c>
      <c r="DW32" s="0" t="n">
        <v>35</v>
      </c>
      <c r="DX32" s="0" t="n">
        <v>9</v>
      </c>
      <c r="DY32" s="0" t="n">
        <v>2.55</v>
      </c>
      <c r="DZ32" s="0" t="n">
        <v>3</v>
      </c>
      <c r="EG32" s="20"/>
      <c r="EY32" s="0" t="n">
        <v>1</v>
      </c>
      <c r="EZ32" s="0" t="n">
        <v>50</v>
      </c>
      <c r="FA32" s="0" t="n">
        <v>8</v>
      </c>
      <c r="FB32" s="0" t="n">
        <v>2.54</v>
      </c>
      <c r="FC32" s="0" t="n">
        <v>3</v>
      </c>
      <c r="GJ32" s="16" t="n">
        <v>7.59</v>
      </c>
      <c r="GK32" s="16" t="n">
        <v>1</v>
      </c>
      <c r="GL32" s="16" t="n">
        <v>1</v>
      </c>
      <c r="GM32" s="16"/>
      <c r="GN32" s="16" t="n">
        <v>22.38</v>
      </c>
      <c r="GO32" s="16" t="n">
        <v>2</v>
      </c>
      <c r="GP32" s="16"/>
      <c r="GQ32" s="16" t="n">
        <v>14.92</v>
      </c>
      <c r="GR32" s="16"/>
      <c r="GS32" s="16"/>
      <c r="GT32" s="16"/>
      <c r="GU32" s="16" t="n">
        <v>5.05</v>
      </c>
      <c r="GV32" s="16" t="n">
        <v>1.54</v>
      </c>
      <c r="GW32" s="16" t="n">
        <v>0</v>
      </c>
      <c r="GX32" s="16" t="n">
        <v>0</v>
      </c>
      <c r="GY32" s="16" t="n">
        <v>0</v>
      </c>
      <c r="GZ32" s="16" t="n">
        <v>0</v>
      </c>
      <c r="HA32" s="16" t="n">
        <v>0</v>
      </c>
      <c r="HB32" s="0" t="n">
        <v>0</v>
      </c>
      <c r="HC32" s="0" t="s">
        <v>351</v>
      </c>
      <c r="HD32" s="0" t="n">
        <v>30.5</v>
      </c>
      <c r="HE32" s="16" t="n">
        <v>68.4</v>
      </c>
      <c r="HF32" s="16" t="n">
        <v>80.4</v>
      </c>
      <c r="HG32" s="16" t="n">
        <v>19.8</v>
      </c>
      <c r="HH32" s="0" t="n">
        <v>72.42</v>
      </c>
      <c r="HJ32" s="0" t="n">
        <v>0.94</v>
      </c>
      <c r="HK32" s="0" t="n">
        <v>0.94</v>
      </c>
      <c r="HL32" s="0" t="n">
        <v>25.7</v>
      </c>
      <c r="HM32" s="0" t="n">
        <v>0</v>
      </c>
      <c r="HN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28.26</v>
      </c>
      <c r="HU32" s="0" t="n">
        <v>10.55</v>
      </c>
      <c r="HV32" s="0" t="n">
        <v>14.21</v>
      </c>
      <c r="HW32" s="0" t="n">
        <v>0</v>
      </c>
      <c r="HX32" s="0" t="n">
        <v>0</v>
      </c>
      <c r="HY32" s="0" t="n">
        <v>0</v>
      </c>
      <c r="IL32" s="0" t="n">
        <v>3.3</v>
      </c>
      <c r="IM32" s="0" t="n">
        <v>1</v>
      </c>
      <c r="IN32" s="0" t="n">
        <v>68</v>
      </c>
      <c r="IO32" s="0" t="n">
        <v>2</v>
      </c>
      <c r="IP32" s="0" t="n">
        <v>1.52</v>
      </c>
      <c r="IQ32" s="0" t="n">
        <v>1</v>
      </c>
      <c r="IX32" s="20"/>
      <c r="JP32" s="0" t="n">
        <v>0</v>
      </c>
      <c r="LA32" s="16" t="n">
        <v>0</v>
      </c>
      <c r="LB32" s="16" t="n">
        <v>0</v>
      </c>
      <c r="LC32" s="16"/>
      <c r="LD32" s="16"/>
      <c r="LE32" s="16"/>
      <c r="LF32" s="16"/>
      <c r="LG32" s="16"/>
      <c r="LH32" s="16"/>
      <c r="LI32" s="16"/>
      <c r="LJ32" s="16"/>
      <c r="LK32" s="16"/>
      <c r="LL32" s="16" t="n">
        <v>0.81</v>
      </c>
      <c r="LM32" s="16" t="n">
        <v>0.8</v>
      </c>
      <c r="LN32" s="16" t="n">
        <v>0</v>
      </c>
      <c r="LO32" s="16" t="n">
        <v>0</v>
      </c>
      <c r="LP32" s="16" t="n">
        <v>2.99</v>
      </c>
      <c r="LQ32" s="16" t="n">
        <v>5.71</v>
      </c>
      <c r="LR32" s="16" t="n">
        <v>0</v>
      </c>
      <c r="LS32" s="0" t="n">
        <v>0</v>
      </c>
      <c r="LT32" s="0" t="s">
        <v>356</v>
      </c>
      <c r="LU32" s="0" t="n">
        <v>39.5</v>
      </c>
      <c r="LV32" s="16" t="n">
        <v>85.1</v>
      </c>
      <c r="LW32" s="16" t="n">
        <v>80.4</v>
      </c>
      <c r="LX32" s="16" t="n">
        <v>13.6</v>
      </c>
      <c r="LY32" s="0" t="n">
        <v>87.38</v>
      </c>
      <c r="MA32" s="0" t="n">
        <v>8.05</v>
      </c>
      <c r="MB32" s="0" t="n">
        <v>0</v>
      </c>
      <c r="MC32" s="0" t="n">
        <v>4.57</v>
      </c>
      <c r="MD32" s="0" t="n">
        <v>0</v>
      </c>
      <c r="ME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45</v>
      </c>
      <c r="ML32" s="0" t="n">
        <v>10.1</v>
      </c>
      <c r="MM32" s="0" t="n">
        <v>11.8</v>
      </c>
      <c r="MN32" s="0" t="n">
        <v>0</v>
      </c>
      <c r="MO32" s="0" t="n">
        <v>0</v>
      </c>
      <c r="MP32" s="0" t="n">
        <v>0</v>
      </c>
      <c r="NC32" s="0" t="n">
        <v>17.8</v>
      </c>
      <c r="ND32" s="0" t="n">
        <v>1</v>
      </c>
      <c r="NE32" s="0" t="n">
        <v>30</v>
      </c>
      <c r="NF32" s="0" t="n">
        <v>7</v>
      </c>
      <c r="NG32" s="0" t="n">
        <v>5.33</v>
      </c>
      <c r="NH32" s="0" t="n">
        <v>3</v>
      </c>
      <c r="NO32" s="20"/>
      <c r="OG32" s="0" t="n">
        <v>1</v>
      </c>
      <c r="OH32" s="0" t="n">
        <v>50</v>
      </c>
      <c r="OI32" s="0" t="n">
        <v>1</v>
      </c>
      <c r="OJ32" s="0" t="n">
        <v>0.03</v>
      </c>
      <c r="OK32" s="0" t="n">
        <v>1</v>
      </c>
      <c r="PR32" s="16" t="n">
        <v>3.96</v>
      </c>
      <c r="PS32" s="16" t="n">
        <v>1</v>
      </c>
      <c r="PT32" s="16" t="n">
        <v>1</v>
      </c>
      <c r="PU32" s="16"/>
      <c r="PV32" s="16" t="n">
        <v>41.03</v>
      </c>
      <c r="PW32" s="16" t="n">
        <v>2</v>
      </c>
      <c r="PX32" s="16" t="n">
        <v>3.73</v>
      </c>
      <c r="PY32" s="16"/>
      <c r="PZ32" s="16"/>
      <c r="QA32" s="16"/>
      <c r="QB32" s="16"/>
      <c r="QC32" s="16" t="n">
        <v>0</v>
      </c>
      <c r="QD32" s="16" t="n">
        <v>0</v>
      </c>
      <c r="QE32" s="16" t="n">
        <v>0</v>
      </c>
      <c r="QF32" s="16" t="n">
        <v>0</v>
      </c>
      <c r="QG32" s="16" t="n">
        <v>0</v>
      </c>
      <c r="QH32" s="16" t="n">
        <v>0</v>
      </c>
      <c r="QI32" s="16" t="n">
        <v>0</v>
      </c>
      <c r="QJ32" s="0" t="n">
        <v>0</v>
      </c>
      <c r="QK32" s="0" t="s">
        <v>357</v>
      </c>
      <c r="QL32" s="0" t="n">
        <v>27.5</v>
      </c>
      <c r="QM32" s="16" t="n">
        <v>76.2</v>
      </c>
      <c r="QN32" s="16" t="n">
        <v>80.4</v>
      </c>
      <c r="QO32" s="16" t="n">
        <v>15.3</v>
      </c>
      <c r="QP32" s="0" t="n">
        <v>87.64</v>
      </c>
      <c r="QR32" s="0" t="n">
        <v>0</v>
      </c>
      <c r="QS32" s="0" t="n">
        <v>0</v>
      </c>
      <c r="QT32" s="0" t="n">
        <v>12.36</v>
      </c>
      <c r="QU32" s="0" t="n">
        <v>0</v>
      </c>
      <c r="QV32" s="0" t="n">
        <v>0</v>
      </c>
      <c r="QX32" s="0" t="n">
        <v>0</v>
      </c>
      <c r="QY32" s="0" t="n">
        <v>0</v>
      </c>
      <c r="QZ32" s="0" t="n">
        <v>0</v>
      </c>
      <c r="RA32" s="0" t="n">
        <v>24.9</v>
      </c>
      <c r="RB32" s="0" t="n">
        <v>31.99</v>
      </c>
      <c r="RC32" s="0" t="n">
        <v>18.66</v>
      </c>
      <c r="RD32" s="0" t="n">
        <v>0</v>
      </c>
      <c r="RE32" s="0" t="n">
        <v>0</v>
      </c>
      <c r="RF32" s="0" t="n">
        <v>4.8</v>
      </c>
      <c r="RG32" s="0" t="n">
        <v>5</v>
      </c>
      <c r="RH32" s="0" t="n">
        <v>50</v>
      </c>
      <c r="RI32" s="0" t="n">
        <v>4</v>
      </c>
      <c r="RN32" s="0" t="n">
        <v>50</v>
      </c>
      <c r="RO32" s="0" t="n">
        <v>4</v>
      </c>
      <c r="RT32" s="0" t="n">
        <v>5.5</v>
      </c>
      <c r="RU32" s="0" t="n">
        <v>0</v>
      </c>
      <c r="SF32" s="20"/>
      <c r="SX32" s="0" t="n">
        <v>1</v>
      </c>
      <c r="SY32" s="0" t="n">
        <v>50</v>
      </c>
      <c r="SZ32" s="0" t="n">
        <v>4</v>
      </c>
      <c r="TA32" s="0" t="n">
        <v>3.59</v>
      </c>
      <c r="TB32" s="0" t="n">
        <v>3</v>
      </c>
      <c r="TC32" s="0" t="n">
        <v>70</v>
      </c>
      <c r="TD32" s="0" t="n">
        <v>14</v>
      </c>
      <c r="TE32" s="0" t="n">
        <v>4.93</v>
      </c>
      <c r="TF32" s="0" t="n">
        <v>2</v>
      </c>
      <c r="UI32" s="16" t="n">
        <v>0.75</v>
      </c>
      <c r="UJ32" s="16" t="n">
        <v>1</v>
      </c>
      <c r="UK32" s="16" t="n">
        <v>1</v>
      </c>
      <c r="UL32" s="16"/>
      <c r="UM32" s="16" t="n">
        <v>9.96</v>
      </c>
      <c r="UN32" s="16"/>
      <c r="UO32" s="16"/>
      <c r="UP32" s="16"/>
      <c r="UQ32" s="16"/>
      <c r="UR32" s="16"/>
      <c r="US32" s="16"/>
      <c r="UT32" s="16" t="n">
        <v>0</v>
      </c>
      <c r="UU32" s="16" t="n">
        <v>0</v>
      </c>
      <c r="UV32" s="16" t="n">
        <v>0</v>
      </c>
      <c r="UW32" s="16" t="n">
        <v>0</v>
      </c>
      <c r="UX32" s="16" t="n">
        <v>0</v>
      </c>
      <c r="UY32" s="16" t="n">
        <v>0</v>
      </c>
      <c r="UZ32" s="16" t="n">
        <v>0</v>
      </c>
      <c r="VA32" s="0" t="n">
        <v>0</v>
      </c>
      <c r="VE32" s="15"/>
      <c r="VF32" s="15"/>
      <c r="VM32" s="15"/>
      <c r="VN32" s="15"/>
      <c r="VU32" s="15"/>
      <c r="VV32" s="15"/>
      <c r="WC32" s="15"/>
      <c r="WD32" s="15"/>
      <c r="WK32" s="15"/>
      <c r="WL32" s="15"/>
      <c r="WS32" s="15"/>
      <c r="WT32" s="15"/>
      <c r="XA32" s="15"/>
      <c r="XB32" s="15"/>
      <c r="XI32" s="15"/>
      <c r="XJ32" s="15"/>
      <c r="XQ32" s="15"/>
      <c r="XR32" s="15"/>
      <c r="XY32" s="15"/>
      <c r="XZ32" s="15"/>
      <c r="YG32" s="15"/>
      <c r="YH32" s="15"/>
      <c r="YO32" s="15"/>
      <c r="YP32" s="15"/>
      <c r="YW32" s="15"/>
      <c r="YX32" s="15"/>
      <c r="ZE32" s="15"/>
      <c r="ZF32" s="15"/>
      <c r="ZM32" s="15"/>
      <c r="ZN32" s="15"/>
      <c r="ZU32" s="15"/>
      <c r="ZV32" s="15"/>
      <c r="AAC32" s="15"/>
      <c r="AAD32" s="15"/>
      <c r="AAK32" s="15"/>
      <c r="AAL32" s="15"/>
      <c r="AAS32" s="15"/>
      <c r="AAT32" s="15"/>
      <c r="ABA32" s="15"/>
      <c r="ABB32" s="15"/>
      <c r="ABI32" s="15"/>
      <c r="ABJ32" s="15"/>
      <c r="ABQ32" s="15"/>
      <c r="ABR32" s="15"/>
      <c r="ABY32" s="15"/>
      <c r="ABZ32" s="15"/>
      <c r="ACG32" s="15"/>
      <c r="ACH32" s="15"/>
      <c r="ACO32" s="15"/>
      <c r="ACP32" s="15"/>
      <c r="ACW32" s="15"/>
      <c r="ACX32" s="15"/>
      <c r="ADE32" s="15"/>
      <c r="ADF32" s="15"/>
      <c r="ADM32" s="15"/>
      <c r="ADN32" s="15"/>
      <c r="ADU32" s="15"/>
      <c r="ADV32" s="15"/>
      <c r="AEC32" s="15"/>
      <c r="AED32" s="15"/>
      <c r="AEK32" s="15"/>
      <c r="AEL32" s="15"/>
      <c r="AES32" s="15"/>
      <c r="AET32" s="15"/>
      <c r="AFA32" s="15"/>
      <c r="AFB32" s="15"/>
      <c r="AFI32" s="15"/>
      <c r="AFJ32" s="15"/>
      <c r="AFQ32" s="15"/>
      <c r="AFR32" s="15"/>
      <c r="AFY32" s="15"/>
      <c r="AFZ32" s="15"/>
      <c r="AGG32" s="15"/>
      <c r="AGH32" s="15"/>
      <c r="AGO32" s="15"/>
      <c r="AGP32" s="15"/>
      <c r="AGW32" s="15"/>
      <c r="AGX32" s="15"/>
      <c r="AHE32" s="15"/>
      <c r="AHF32" s="15"/>
      <c r="AHM32" s="15"/>
      <c r="AHN32" s="15"/>
      <c r="AHU32" s="15"/>
      <c r="AHV32" s="15"/>
      <c r="AIC32" s="15"/>
      <c r="AID32" s="15"/>
      <c r="AIK32" s="15"/>
      <c r="AIL32" s="15"/>
      <c r="AIS32" s="15"/>
      <c r="AIT32" s="15"/>
      <c r="AJA32" s="15"/>
      <c r="AJB32" s="15"/>
      <c r="AJI32" s="15"/>
      <c r="AJJ32" s="15"/>
      <c r="AJQ32" s="15"/>
      <c r="AJR32" s="15"/>
      <c r="AJY32" s="15"/>
      <c r="AJZ32" s="15"/>
      <c r="AKG32" s="15"/>
      <c r="AKH32" s="15"/>
      <c r="AKO32" s="15"/>
      <c r="AKP32" s="15"/>
      <c r="AKW32" s="15"/>
      <c r="AKX32" s="15"/>
      <c r="ALE32" s="15"/>
      <c r="ALF32" s="15"/>
      <c r="ALM32" s="15"/>
      <c r="ALN32" s="15"/>
      <c r="ALU32" s="15"/>
      <c r="ALV32" s="15"/>
      <c r="AMC32" s="15"/>
      <c r="AMD32" s="15"/>
    </row>
    <row r="33" customFormat="false" ht="13.8" hidden="false" customHeight="false" outlineLevel="0" collapsed="false">
      <c r="A33" s="1" t="s">
        <v>362</v>
      </c>
      <c r="B33" s="12" t="n">
        <v>42899</v>
      </c>
      <c r="C33" s="0" t="n">
        <v>2</v>
      </c>
      <c r="D33" s="13" t="n">
        <v>42807</v>
      </c>
      <c r="E33" s="12" t="n">
        <v>33682</v>
      </c>
      <c r="F33" s="14" t="n">
        <f aca="false">(B33-E33)/365.25</f>
        <v>25.2347707049966</v>
      </c>
      <c r="G33" s="14" t="n">
        <f aca="false">(B33-D33)/365.25</f>
        <v>0.251882272416153</v>
      </c>
      <c r="H33" s="15" t="s">
        <v>183</v>
      </c>
      <c r="I33" s="15" t="s">
        <v>347</v>
      </c>
      <c r="J33" s="21" t="s">
        <v>181</v>
      </c>
      <c r="K33" s="21" t="n">
        <v>4</v>
      </c>
      <c r="L33" s="19" t="n">
        <v>77</v>
      </c>
      <c r="M33" s="0" t="n">
        <v>1.78</v>
      </c>
      <c r="N33" s="16" t="n">
        <f aca="false">L33/(M33*M33)</f>
        <v>24.3024870597147</v>
      </c>
      <c r="O33" s="19" t="n">
        <v>0</v>
      </c>
      <c r="P33" s="19" t="n">
        <v>0</v>
      </c>
      <c r="Q33" s="19" t="n">
        <v>0</v>
      </c>
      <c r="R33" s="19" t="n">
        <v>0</v>
      </c>
      <c r="S33" s="19" t="n">
        <v>0</v>
      </c>
      <c r="T33" s="19" t="n">
        <v>0</v>
      </c>
      <c r="U33" s="19" t="n">
        <v>0</v>
      </c>
      <c r="V33" s="19" t="n">
        <v>0</v>
      </c>
      <c r="W33" s="19" t="n">
        <v>0</v>
      </c>
      <c r="X33" s="19" t="n">
        <v>0</v>
      </c>
      <c r="Y33" s="19" t="n">
        <v>1</v>
      </c>
      <c r="Z33" s="19" t="n">
        <v>3</v>
      </c>
      <c r="AA33" s="19" t="n">
        <v>90</v>
      </c>
      <c r="AB33" s="19" t="s">
        <v>184</v>
      </c>
      <c r="AC33" s="19" t="n">
        <v>1</v>
      </c>
      <c r="AD33" s="19" t="n">
        <v>5</v>
      </c>
      <c r="AE33" s="19" t="n">
        <v>0</v>
      </c>
      <c r="AF33" s="19" t="n">
        <v>0</v>
      </c>
      <c r="AG33" s="19" t="n">
        <v>0</v>
      </c>
      <c r="AH33" s="19" t="n">
        <v>0</v>
      </c>
      <c r="AI33" s="19" t="n">
        <v>0</v>
      </c>
      <c r="AJ33" s="19" t="n">
        <v>0</v>
      </c>
      <c r="AK33" s="19" t="n">
        <v>0</v>
      </c>
      <c r="AL33" s="19" t="n">
        <v>0</v>
      </c>
      <c r="AM33" s="19" t="n">
        <v>0</v>
      </c>
      <c r="AN33" s="19" t="n">
        <v>1</v>
      </c>
      <c r="AO33" s="19" t="n">
        <v>0</v>
      </c>
      <c r="AP33" s="19" t="n">
        <v>1</v>
      </c>
      <c r="AQ33" s="19" t="n">
        <v>4</v>
      </c>
      <c r="AR33" s="19" t="n">
        <v>0</v>
      </c>
      <c r="AS33" s="19" t="n">
        <v>1</v>
      </c>
      <c r="AT33" s="19" t="n">
        <v>0</v>
      </c>
      <c r="AU33" s="19" t="n">
        <v>1</v>
      </c>
      <c r="AV33" s="19" t="n">
        <v>4</v>
      </c>
      <c r="AW33" s="19" t="n">
        <v>0</v>
      </c>
      <c r="AX33" s="19" t="n">
        <v>0</v>
      </c>
      <c r="AY33" s="19" t="n">
        <v>0</v>
      </c>
      <c r="AZ33" s="19" t="n">
        <v>0</v>
      </c>
      <c r="BA33" s="19" t="n">
        <v>0</v>
      </c>
      <c r="BB33" s="19" t="n">
        <v>0</v>
      </c>
      <c r="BC33" s="19" t="n">
        <v>0</v>
      </c>
      <c r="BD33" s="19" t="n">
        <v>0</v>
      </c>
      <c r="BE33" s="19" t="n">
        <v>0</v>
      </c>
      <c r="BF33" s="19" t="n">
        <v>0</v>
      </c>
      <c r="BG33" s="19" t="n">
        <v>0</v>
      </c>
      <c r="BH33" s="19" t="n">
        <v>0</v>
      </c>
      <c r="BI33" s="19" t="n">
        <v>0</v>
      </c>
      <c r="BJ33" s="19" t="n">
        <v>0</v>
      </c>
      <c r="BK33" s="19" t="n">
        <v>0</v>
      </c>
      <c r="BL33" s="19" t="n">
        <v>0</v>
      </c>
      <c r="BM33" s="19" t="n">
        <v>0</v>
      </c>
      <c r="BN33" s="19" t="n">
        <v>0</v>
      </c>
      <c r="BO33" s="19" t="n">
        <v>0</v>
      </c>
      <c r="BP33" s="19" t="n">
        <v>0</v>
      </c>
      <c r="BQ33" s="19" t="n">
        <v>0</v>
      </c>
      <c r="BR33" s="19" t="n">
        <v>2</v>
      </c>
      <c r="BS33" s="19" t="n">
        <v>1</v>
      </c>
      <c r="BT33" s="19" t="n">
        <v>3</v>
      </c>
      <c r="BU33" s="19" t="n">
        <v>5</v>
      </c>
      <c r="BV33" s="19" t="n">
        <v>2</v>
      </c>
      <c r="BW33" s="19" t="n">
        <v>1</v>
      </c>
      <c r="BX33" s="19" t="n">
        <v>2</v>
      </c>
      <c r="BY33" s="19" t="n">
        <v>3</v>
      </c>
      <c r="BZ33" s="19" t="n">
        <v>3</v>
      </c>
      <c r="CA33" s="19" t="n">
        <v>5</v>
      </c>
      <c r="CB33" s="19" t="n">
        <v>4</v>
      </c>
      <c r="CC33" s="19" t="n">
        <v>4</v>
      </c>
      <c r="CD33" s="19" t="n">
        <v>4</v>
      </c>
      <c r="CE33" s="19" t="n">
        <v>3</v>
      </c>
      <c r="CF33" s="19" t="n">
        <v>4</v>
      </c>
      <c r="CG33" s="19" t="n">
        <v>4</v>
      </c>
      <c r="CH33" s="19" t="n">
        <v>4</v>
      </c>
      <c r="CI33" s="19" t="n">
        <v>4</v>
      </c>
      <c r="CJ33" s="19" t="n">
        <v>4</v>
      </c>
      <c r="CK33" s="19" t="n">
        <v>9</v>
      </c>
      <c r="CL33" s="0" t="s">
        <v>355</v>
      </c>
      <c r="CM33" s="0" t="n">
        <v>37</v>
      </c>
      <c r="CN33" s="16" t="n">
        <v>95.1</v>
      </c>
      <c r="CO33" s="16" t="n">
        <v>80.4</v>
      </c>
      <c r="CP33" s="16" t="n">
        <v>15.9</v>
      </c>
      <c r="CQ33" s="0" t="n">
        <v>82.71</v>
      </c>
      <c r="CR33" s="17" t="n">
        <v>0</v>
      </c>
      <c r="CS33" s="0" t="n">
        <v>10.32</v>
      </c>
      <c r="CT33" s="0" t="n">
        <v>0.39</v>
      </c>
      <c r="CU33" s="0" t="n">
        <v>10.32</v>
      </c>
      <c r="CV33" s="0" t="n">
        <v>0</v>
      </c>
      <c r="CW33" s="0" t="n">
        <v>0</v>
      </c>
      <c r="CY33" s="0" t="n">
        <v>0</v>
      </c>
      <c r="CZ33" s="0" t="n">
        <v>0</v>
      </c>
      <c r="DA33" s="0" t="n">
        <v>0</v>
      </c>
      <c r="DB33" s="0" t="n">
        <v>1.9</v>
      </c>
      <c r="DC33" s="0" t="n">
        <v>26.26</v>
      </c>
      <c r="DD33" s="0" t="n">
        <v>6.04</v>
      </c>
      <c r="DE33" s="0" t="n">
        <v>2.19</v>
      </c>
      <c r="DF33" s="0" t="n">
        <v>0</v>
      </c>
      <c r="DG33" s="0" t="n">
        <v>0</v>
      </c>
      <c r="DH33" s="0" t="n">
        <v>0</v>
      </c>
      <c r="DU33" s="0" t="n">
        <v>14.7</v>
      </c>
      <c r="DV33" s="0" t="n">
        <v>1</v>
      </c>
      <c r="DW33" s="0" t="n">
        <v>35</v>
      </c>
      <c r="DX33" s="0" t="n">
        <v>2</v>
      </c>
      <c r="DY33" s="0" t="n">
        <v>1.8</v>
      </c>
      <c r="DZ33" s="0" t="n">
        <v>3</v>
      </c>
      <c r="EG33" s="20"/>
      <c r="EY33" s="0" t="n">
        <v>1</v>
      </c>
      <c r="EZ33" s="0" t="n">
        <v>50</v>
      </c>
      <c r="FA33" s="0" t="n">
        <v>1</v>
      </c>
      <c r="FB33" s="0" t="n">
        <v>1.34</v>
      </c>
      <c r="FC33" s="0" t="n">
        <v>2</v>
      </c>
      <c r="FD33" s="0" t="n">
        <v>40</v>
      </c>
      <c r="FE33" s="0" t="n">
        <v>1</v>
      </c>
      <c r="FF33" s="0" t="n">
        <v>0.9</v>
      </c>
      <c r="FG33" s="0" t="n">
        <v>3</v>
      </c>
      <c r="FH33" s="0" t="n">
        <v>50</v>
      </c>
      <c r="FI33" s="0" t="n">
        <v>1</v>
      </c>
      <c r="FJ33" s="0" t="n">
        <v>0.9</v>
      </c>
      <c r="FK33" s="0" t="n">
        <v>3</v>
      </c>
      <c r="FL33" s="0" t="n">
        <v>80</v>
      </c>
      <c r="FM33" s="0" t="n">
        <v>2</v>
      </c>
      <c r="FN33" s="0" t="n">
        <v>2.68</v>
      </c>
      <c r="FO33" s="0" t="n">
        <v>2</v>
      </c>
      <c r="FP33" s="0" t="n">
        <v>100</v>
      </c>
      <c r="FQ33" s="0" t="n">
        <v>1</v>
      </c>
      <c r="FR33" s="0" t="n">
        <v>2.57</v>
      </c>
      <c r="FS33" s="0" t="n">
        <v>2</v>
      </c>
      <c r="GJ33" s="0" t="n">
        <v>0</v>
      </c>
      <c r="GK33" s="19" t="n">
        <v>0</v>
      </c>
      <c r="GL33" s="19"/>
      <c r="GM33" s="13"/>
      <c r="GN33" s="13"/>
      <c r="GO33" s="19"/>
      <c r="GP33" s="13"/>
      <c r="GQ33" s="13"/>
      <c r="GR33" s="13"/>
      <c r="GS33" s="13"/>
      <c r="GT33" s="13"/>
      <c r="GU33" s="16" t="n">
        <v>5.11</v>
      </c>
      <c r="GV33" s="0" t="n">
        <v>4.81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s">
        <v>363</v>
      </c>
      <c r="HD33" s="0" t="n">
        <v>34.5</v>
      </c>
      <c r="HE33" s="16" t="n">
        <v>88.3</v>
      </c>
      <c r="HF33" s="16" t="n">
        <v>80.4</v>
      </c>
      <c r="HG33" s="16" t="n">
        <v>22.8</v>
      </c>
      <c r="HH33" s="0" t="n">
        <v>73.89</v>
      </c>
      <c r="HI33" s="17" t="n">
        <v>0</v>
      </c>
      <c r="HJ33" s="0" t="n">
        <v>14.94</v>
      </c>
      <c r="HK33" s="0" t="n">
        <v>0.5</v>
      </c>
      <c r="HL33" s="0" t="n">
        <v>10.66</v>
      </c>
      <c r="HM33" s="0" t="n">
        <v>0</v>
      </c>
      <c r="HN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46.29</v>
      </c>
      <c r="HU33" s="0" t="n">
        <v>23.15</v>
      </c>
      <c r="HV33" s="0" t="n">
        <v>0</v>
      </c>
      <c r="HW33" s="0" t="n">
        <v>0</v>
      </c>
      <c r="HX33" s="0" t="n">
        <v>0</v>
      </c>
      <c r="HY33" s="0" t="n">
        <v>0</v>
      </c>
      <c r="IL33" s="0" t="n">
        <v>2.8</v>
      </c>
      <c r="IM33" s="0" t="n">
        <v>1</v>
      </c>
      <c r="IN33" s="0" t="n">
        <v>35</v>
      </c>
      <c r="IO33" s="0" t="n">
        <v>1</v>
      </c>
      <c r="IP33" s="0" t="n">
        <v>0.5</v>
      </c>
      <c r="IQ33" s="0" t="n">
        <v>3</v>
      </c>
      <c r="IX33" s="20"/>
      <c r="JP33" s="0" t="n">
        <v>1</v>
      </c>
      <c r="JQ33" s="0" t="n">
        <v>60</v>
      </c>
      <c r="JR33" s="0" t="n">
        <v>4</v>
      </c>
      <c r="JS33" s="0" t="n">
        <v>0.54</v>
      </c>
      <c r="JT33" s="0" t="n">
        <v>3</v>
      </c>
      <c r="LA33" s="16" t="n">
        <v>3.05</v>
      </c>
      <c r="LB33" s="16" t="n">
        <v>1</v>
      </c>
      <c r="LC33" s="16" t="n">
        <v>1</v>
      </c>
      <c r="LD33" s="16" t="n">
        <v>5</v>
      </c>
      <c r="LE33" s="16" t="n">
        <v>8.71</v>
      </c>
      <c r="LF33" s="16" t="n">
        <v>2</v>
      </c>
      <c r="LG33" s="16" t="n">
        <v>25</v>
      </c>
      <c r="LH33" s="16" t="n">
        <v>12.44</v>
      </c>
      <c r="LI33" s="16"/>
      <c r="LJ33" s="16"/>
      <c r="LK33" s="16"/>
      <c r="LL33" s="16" t="n">
        <v>4.5</v>
      </c>
      <c r="LM33" s="16" t="n">
        <v>1.2</v>
      </c>
      <c r="LN33" s="16" t="n">
        <v>0</v>
      </c>
      <c r="LO33" s="16" t="n">
        <v>0</v>
      </c>
      <c r="LP33" s="16" t="n">
        <v>0</v>
      </c>
      <c r="LQ33" s="16" t="n">
        <v>0</v>
      </c>
      <c r="LR33" s="16" t="n">
        <v>0</v>
      </c>
      <c r="LS33" s="0" t="n">
        <v>0</v>
      </c>
      <c r="LT33" s="0" t="s">
        <v>364</v>
      </c>
      <c r="LU33" s="0" t="n">
        <v>32</v>
      </c>
      <c r="LV33" s="16" t="n">
        <v>75</v>
      </c>
      <c r="LW33" s="16" t="n">
        <v>80.4</v>
      </c>
      <c r="LX33" s="16" t="n">
        <v>22.6</v>
      </c>
      <c r="LY33" s="0" t="n">
        <v>76.24</v>
      </c>
      <c r="LZ33" s="17" t="n">
        <v>0</v>
      </c>
      <c r="MA33" s="0" t="n">
        <v>15.36</v>
      </c>
      <c r="MB33" s="0" t="n">
        <v>1.93</v>
      </c>
      <c r="MC33" s="0" t="n">
        <v>6.47</v>
      </c>
      <c r="MD33" s="0" t="n">
        <v>0</v>
      </c>
      <c r="ME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32.86</v>
      </c>
      <c r="ML33" s="0" t="n">
        <v>26.39</v>
      </c>
      <c r="MM33" s="0" t="n">
        <v>0</v>
      </c>
      <c r="MN33" s="0" t="n">
        <v>0</v>
      </c>
      <c r="MO33" s="0" t="n">
        <v>0</v>
      </c>
      <c r="MP33" s="0" t="n">
        <v>0</v>
      </c>
      <c r="NC33" s="0" t="n">
        <v>5.6</v>
      </c>
      <c r="ND33" s="0" t="n">
        <v>1</v>
      </c>
      <c r="NE33" s="0" t="n">
        <v>35</v>
      </c>
      <c r="NF33" s="0" t="n">
        <v>1</v>
      </c>
      <c r="NG33" s="0" t="n">
        <v>0.5</v>
      </c>
      <c r="NH33" s="0" t="n">
        <v>3</v>
      </c>
      <c r="NO33" s="20"/>
      <c r="OG33" s="0" t="n">
        <v>1</v>
      </c>
      <c r="OH33" s="0" t="n">
        <v>60</v>
      </c>
      <c r="OI33" s="0" t="n">
        <v>5</v>
      </c>
      <c r="OJ33" s="0" t="n">
        <v>3.13</v>
      </c>
      <c r="OK33" s="0" t="n">
        <v>2</v>
      </c>
      <c r="OL33" s="0" t="n">
        <v>50</v>
      </c>
      <c r="OM33" s="0" t="n">
        <v>2</v>
      </c>
      <c r="ON33" s="0" t="n">
        <v>0.67</v>
      </c>
      <c r="OO33" s="0" t="n">
        <v>2</v>
      </c>
      <c r="PR33" s="16" t="n">
        <v>1.43</v>
      </c>
      <c r="PS33" s="16" t="n">
        <v>1</v>
      </c>
      <c r="PT33" s="16" t="n">
        <v>1</v>
      </c>
      <c r="PU33" s="16" t="n">
        <v>4</v>
      </c>
      <c r="PV33" s="16" t="n">
        <v>17.43</v>
      </c>
      <c r="PW33" s="16"/>
      <c r="PX33" s="16"/>
      <c r="PY33" s="16"/>
      <c r="PZ33" s="16"/>
      <c r="QA33" s="16"/>
      <c r="QB33" s="16"/>
      <c r="QC33" s="16" t="n">
        <v>1.7</v>
      </c>
      <c r="QD33" s="16" t="n">
        <v>1.7</v>
      </c>
      <c r="QE33" s="16" t="n">
        <v>0</v>
      </c>
      <c r="QF33" s="16" t="n">
        <v>0</v>
      </c>
      <c r="QG33" s="16" t="n">
        <v>0</v>
      </c>
      <c r="QH33" s="16" t="n">
        <v>0</v>
      </c>
      <c r="QI33" s="16" t="n">
        <v>0</v>
      </c>
      <c r="QJ33" s="0" t="n">
        <v>0</v>
      </c>
      <c r="QK33" s="0" t="s">
        <v>350</v>
      </c>
      <c r="QL33" s="0" t="n">
        <v>75</v>
      </c>
      <c r="QM33" s="16" t="n">
        <v>87.9</v>
      </c>
      <c r="QN33" s="16" t="n">
        <v>80.4</v>
      </c>
      <c r="QO33" s="16" t="n">
        <v>45.2</v>
      </c>
      <c r="QP33" s="0" t="n">
        <v>50.83</v>
      </c>
      <c r="QQ33" s="0" t="n">
        <v>0.05</v>
      </c>
      <c r="QR33" s="0" t="n">
        <v>46.44</v>
      </c>
      <c r="QS33" s="0" t="n">
        <v>2.67</v>
      </c>
      <c r="QT33" s="0" t="n">
        <v>0</v>
      </c>
      <c r="QU33" s="0" t="n">
        <v>0</v>
      </c>
      <c r="QV33" s="0" t="n">
        <v>0</v>
      </c>
      <c r="QX33" s="0" t="n">
        <v>0</v>
      </c>
      <c r="QY33" s="0" t="n">
        <v>0</v>
      </c>
      <c r="QZ33" s="0" t="n">
        <v>0</v>
      </c>
      <c r="RA33" s="0" t="n">
        <v>0</v>
      </c>
      <c r="RB33" s="0" t="n">
        <v>25.21</v>
      </c>
      <c r="RC33" s="0" t="n">
        <v>43.57</v>
      </c>
      <c r="RD33" s="0" t="n">
        <v>6.27</v>
      </c>
      <c r="RE33" s="0" t="n">
        <v>0</v>
      </c>
      <c r="RF33" s="0" t="n">
        <v>0</v>
      </c>
      <c r="RG33" s="0" t="n">
        <v>0</v>
      </c>
      <c r="RT33" s="0" t="n">
        <v>17.8</v>
      </c>
      <c r="RU33" s="0" t="n">
        <v>1</v>
      </c>
      <c r="RV33" s="0" t="n">
        <v>35</v>
      </c>
      <c r="RW33" s="0" t="n">
        <v>9</v>
      </c>
      <c r="RX33" s="0" t="n">
        <v>2.55</v>
      </c>
      <c r="RY33" s="0" t="n">
        <v>3</v>
      </c>
      <c r="SF33" s="20"/>
      <c r="SX33" s="0" t="n">
        <v>1</v>
      </c>
      <c r="SY33" s="0" t="n">
        <v>50</v>
      </c>
      <c r="SZ33" s="0" t="n">
        <v>8</v>
      </c>
      <c r="TA33" s="0" t="n">
        <v>2.12</v>
      </c>
      <c r="TB33" s="0" t="n">
        <v>3</v>
      </c>
      <c r="UI33" s="16" t="n">
        <v>3.43</v>
      </c>
      <c r="UJ33" s="16" t="n">
        <v>1</v>
      </c>
      <c r="UK33" s="16" t="n">
        <v>1</v>
      </c>
      <c r="UL33" s="16"/>
      <c r="UM33" s="16" t="n">
        <v>26.11</v>
      </c>
      <c r="UN33" s="16" t="n">
        <v>2</v>
      </c>
      <c r="UO33" s="16"/>
      <c r="UP33" s="16" t="n">
        <v>11.19</v>
      </c>
      <c r="UQ33" s="16"/>
      <c r="UR33" s="16"/>
      <c r="US33" s="16"/>
      <c r="UT33" s="16" t="n">
        <v>6.39</v>
      </c>
      <c r="UU33" s="16" t="n">
        <v>3.31</v>
      </c>
      <c r="UV33" s="16" t="n">
        <v>0</v>
      </c>
      <c r="UW33" s="16" t="n">
        <v>0</v>
      </c>
      <c r="UX33" s="16" t="n">
        <v>0</v>
      </c>
      <c r="UY33" s="16" t="n">
        <v>0</v>
      </c>
      <c r="UZ33" s="16" t="n">
        <v>0</v>
      </c>
      <c r="VA33" s="0" t="n">
        <v>0</v>
      </c>
      <c r="VB33" s="0" t="s">
        <v>361</v>
      </c>
      <c r="VC33" s="0" t="n">
        <v>74.5</v>
      </c>
      <c r="VD33" s="16" t="n">
        <v>76.2</v>
      </c>
      <c r="VE33" s="16" t="n">
        <v>80.4</v>
      </c>
      <c r="VF33" s="16" t="n">
        <v>42.8</v>
      </c>
      <c r="VG33" s="0" t="n">
        <v>57.15</v>
      </c>
      <c r="VH33" s="0" t="n">
        <v>0.45</v>
      </c>
      <c r="VI33" s="0" t="n">
        <v>39.09</v>
      </c>
      <c r="VJ33" s="0" t="n">
        <v>3.3</v>
      </c>
      <c r="VK33" s="0" t="n">
        <v>0</v>
      </c>
      <c r="VL33" s="0" t="n">
        <v>0</v>
      </c>
      <c r="VM33" s="0" t="n">
        <v>0</v>
      </c>
      <c r="VO33" s="0" t="n">
        <v>0</v>
      </c>
      <c r="VP33" s="0" t="n">
        <v>0</v>
      </c>
      <c r="VQ33" s="0" t="n">
        <v>0</v>
      </c>
      <c r="VR33" s="0" t="n">
        <v>0</v>
      </c>
      <c r="VS33" s="0" t="n">
        <v>18.26</v>
      </c>
      <c r="VT33" s="0" t="n">
        <v>34.4</v>
      </c>
      <c r="VU33" s="0" t="n">
        <v>6.27</v>
      </c>
      <c r="VV33" s="0" t="n">
        <v>0</v>
      </c>
      <c r="VW33" s="0" t="n">
        <v>0</v>
      </c>
      <c r="VX33" s="0" t="n">
        <v>0</v>
      </c>
      <c r="WK33" s="0" t="n">
        <v>18.2</v>
      </c>
      <c r="WL33" s="0" t="n">
        <v>1</v>
      </c>
      <c r="WM33" s="0" t="n">
        <v>35</v>
      </c>
      <c r="WN33" s="0" t="n">
        <v>9</v>
      </c>
      <c r="WO33" s="0" t="n">
        <v>2.55</v>
      </c>
      <c r="WP33" s="0" t="n">
        <v>3</v>
      </c>
      <c r="WW33" s="20"/>
      <c r="XO33" s="0" t="n">
        <v>1</v>
      </c>
      <c r="XP33" s="0" t="n">
        <v>50</v>
      </c>
      <c r="XQ33" s="0" t="n">
        <v>8</v>
      </c>
      <c r="XR33" s="0" t="n">
        <v>2.54</v>
      </c>
      <c r="XS33" s="0" t="n">
        <v>3</v>
      </c>
      <c r="YZ33" s="16" t="n">
        <v>7.59</v>
      </c>
      <c r="ZA33" s="16" t="n">
        <v>1</v>
      </c>
      <c r="ZB33" s="16" t="n">
        <v>1</v>
      </c>
      <c r="ZC33" s="16"/>
      <c r="ZD33" s="16" t="n">
        <v>22.38</v>
      </c>
      <c r="ZE33" s="16" t="n">
        <v>2</v>
      </c>
      <c r="ZF33" s="16"/>
      <c r="ZG33" s="16" t="n">
        <v>14.92</v>
      </c>
      <c r="ZH33" s="16"/>
      <c r="ZI33" s="16"/>
      <c r="ZJ33" s="16"/>
      <c r="ZK33" s="16" t="n">
        <v>5.05</v>
      </c>
      <c r="ZL33" s="16" t="n">
        <v>1.54</v>
      </c>
      <c r="ZM33" s="16" t="n">
        <v>0</v>
      </c>
      <c r="ZN33" s="16" t="n">
        <v>0</v>
      </c>
      <c r="ZO33" s="16" t="n">
        <v>0</v>
      </c>
      <c r="ZP33" s="16" t="n">
        <v>0</v>
      </c>
      <c r="ZQ33" s="16" t="n">
        <v>0</v>
      </c>
      <c r="ZR33" s="0" t="n">
        <v>0</v>
      </c>
      <c r="ZS33" s="0" t="s">
        <v>365</v>
      </c>
      <c r="ZT33" s="0" t="n">
        <v>75</v>
      </c>
      <c r="ZU33" s="16" t="n">
        <v>76.8</v>
      </c>
      <c r="ZV33" s="16" t="n">
        <v>80.4</v>
      </c>
      <c r="ZW33" s="16" t="n">
        <v>30.8</v>
      </c>
      <c r="ZX33" s="0" t="n">
        <v>74.74</v>
      </c>
      <c r="ZY33" s="17" t="n">
        <v>0</v>
      </c>
      <c r="ZZ33" s="0" t="n">
        <v>4.24</v>
      </c>
      <c r="AAA33" s="0" t="n">
        <v>16.45</v>
      </c>
      <c r="AAB33" s="0" t="n">
        <v>4.57</v>
      </c>
      <c r="AAC33" s="0" t="n">
        <v>0</v>
      </c>
      <c r="AAD33" s="0" t="n">
        <v>0</v>
      </c>
      <c r="AAF33" s="0" t="n">
        <v>0</v>
      </c>
      <c r="AAG33" s="0" t="n">
        <v>0</v>
      </c>
      <c r="AAH33" s="0" t="n">
        <v>0</v>
      </c>
      <c r="AAI33" s="0" t="n">
        <v>0</v>
      </c>
      <c r="AAJ33" s="0" t="n">
        <v>35.23</v>
      </c>
      <c r="AAK33" s="0" t="n">
        <v>6.53</v>
      </c>
      <c r="AAL33" s="0" t="n">
        <v>4.97</v>
      </c>
      <c r="AAM33" s="0" t="n">
        <v>0</v>
      </c>
      <c r="AAN33" s="0" t="n">
        <v>0</v>
      </c>
      <c r="AAO33" s="0" t="n">
        <v>0</v>
      </c>
      <c r="ABB33" s="0" t="n">
        <v>38.4</v>
      </c>
      <c r="ABC33" s="0" t="n">
        <v>1</v>
      </c>
      <c r="ABD33" s="0" t="n">
        <v>47</v>
      </c>
      <c r="ABE33" s="0" t="n">
        <v>7</v>
      </c>
      <c r="ABF33" s="0" t="n">
        <v>5.33</v>
      </c>
      <c r="ABG33" s="0" t="n">
        <v>3</v>
      </c>
      <c r="ABN33" s="20"/>
      <c r="ACF33" s="0" t="n">
        <v>0</v>
      </c>
      <c r="ADQ33" s="16" t="n">
        <v>2.02</v>
      </c>
      <c r="ADR33" s="16" t="n">
        <v>1</v>
      </c>
      <c r="ADS33" s="16" t="n">
        <v>1</v>
      </c>
      <c r="ADT33" s="16"/>
      <c r="ADU33" s="16" t="n">
        <v>9.95</v>
      </c>
      <c r="ADV33" s="16" t="n">
        <v>2</v>
      </c>
      <c r="ADW33" s="16"/>
      <c r="ADX33" s="16" t="n">
        <v>9.95</v>
      </c>
      <c r="ADY33" s="16"/>
      <c r="ADZ33" s="16"/>
      <c r="AEA33" s="16"/>
      <c r="AEB33" s="16" t="n">
        <v>0</v>
      </c>
      <c r="AEC33" s="16" t="n">
        <v>0</v>
      </c>
      <c r="AED33" s="16" t="n">
        <v>0</v>
      </c>
      <c r="AEE33" s="16" t="n">
        <v>0</v>
      </c>
      <c r="AEF33" s="16" t="n">
        <v>0</v>
      </c>
      <c r="AEG33" s="16" t="n">
        <v>0</v>
      </c>
      <c r="AEH33" s="16" t="n">
        <v>0</v>
      </c>
      <c r="AEI33" s="0" t="n">
        <v>0</v>
      </c>
      <c r="AEJ33" s="0" t="s">
        <v>351</v>
      </c>
      <c r="AEK33" s="0" t="n">
        <v>30.5</v>
      </c>
      <c r="AEL33" s="16" t="n">
        <v>68.4</v>
      </c>
      <c r="AEM33" s="16" t="n">
        <v>80.4</v>
      </c>
      <c r="AEN33" s="16" t="n">
        <v>19.8</v>
      </c>
      <c r="AEO33" s="0" t="n">
        <v>72.42</v>
      </c>
      <c r="AEP33" s="17" t="n">
        <v>0</v>
      </c>
      <c r="AEQ33" s="0" t="n">
        <v>0.94</v>
      </c>
      <c r="AER33" s="0" t="n">
        <v>0.94</v>
      </c>
      <c r="AES33" s="0" t="n">
        <v>25.7</v>
      </c>
      <c r="AET33" s="0" t="n">
        <v>0</v>
      </c>
      <c r="AEU33" s="0" t="n">
        <v>0</v>
      </c>
      <c r="AEW33" s="0" t="n">
        <v>0</v>
      </c>
      <c r="AEX33" s="0" t="n">
        <v>0</v>
      </c>
      <c r="AEY33" s="0" t="n">
        <v>0</v>
      </c>
      <c r="AEZ33" s="0" t="n">
        <v>0</v>
      </c>
      <c r="AFA33" s="0" t="n">
        <v>28.26</v>
      </c>
      <c r="AFB33" s="0" t="n">
        <v>10.55</v>
      </c>
      <c r="AFC33" s="0" t="n">
        <v>14.21</v>
      </c>
      <c r="AFD33" s="0" t="n">
        <v>0</v>
      </c>
      <c r="AFE33" s="0" t="n">
        <v>0</v>
      </c>
      <c r="AFF33" s="0" t="n">
        <v>0</v>
      </c>
      <c r="AFS33" s="0" t="n">
        <v>3.3</v>
      </c>
      <c r="AFT33" s="0" t="n">
        <v>1</v>
      </c>
      <c r="AFU33" s="0" t="n">
        <v>68</v>
      </c>
      <c r="AFV33" s="0" t="n">
        <v>2</v>
      </c>
      <c r="AFW33" s="0" t="n">
        <v>1.52</v>
      </c>
      <c r="AFX33" s="0" t="n">
        <v>1</v>
      </c>
      <c r="AGE33" s="20"/>
      <c r="AGW33" s="0" t="n">
        <v>0</v>
      </c>
      <c r="AIH33" s="16" t="n">
        <v>0</v>
      </c>
      <c r="AII33" s="16" t="n">
        <v>0</v>
      </c>
      <c r="AIJ33" s="16"/>
      <c r="AIK33" s="16"/>
      <c r="AIL33" s="16"/>
      <c r="AIM33" s="16"/>
      <c r="AIN33" s="16"/>
      <c r="AIO33" s="16"/>
      <c r="AIP33" s="16"/>
      <c r="AIQ33" s="16"/>
      <c r="AIR33" s="16"/>
      <c r="AIS33" s="16" t="n">
        <v>0.81</v>
      </c>
      <c r="AIT33" s="16" t="n">
        <v>0.8</v>
      </c>
      <c r="AIU33" s="16" t="n">
        <v>0</v>
      </c>
      <c r="AIV33" s="16" t="n">
        <v>0</v>
      </c>
      <c r="AIW33" s="16" t="n">
        <v>2.99</v>
      </c>
      <c r="AIX33" s="16" t="n">
        <v>5.71</v>
      </c>
      <c r="AIY33" s="16" t="n">
        <v>0</v>
      </c>
      <c r="AIZ33" s="0" t="n">
        <v>0</v>
      </c>
      <c r="AJA33" s="0" t="s">
        <v>356</v>
      </c>
      <c r="AJB33" s="0" t="n">
        <v>39.5</v>
      </c>
      <c r="AJC33" s="16" t="n">
        <v>85.1</v>
      </c>
      <c r="AJD33" s="16" t="n">
        <v>80.4</v>
      </c>
      <c r="AJE33" s="16" t="n">
        <v>13.6</v>
      </c>
      <c r="AJF33" s="0" t="n">
        <v>87.38</v>
      </c>
      <c r="AJG33" s="17" t="n">
        <v>0</v>
      </c>
      <c r="AJH33" s="0" t="n">
        <v>8.05</v>
      </c>
      <c r="AJI33" s="0" t="n">
        <v>0</v>
      </c>
      <c r="AJJ33" s="0" t="n">
        <v>4.57</v>
      </c>
      <c r="AJK33" s="0" t="n">
        <v>0</v>
      </c>
      <c r="AJL33" s="0" t="n">
        <v>0</v>
      </c>
      <c r="AJN33" s="0" t="n">
        <v>0</v>
      </c>
      <c r="AJO33" s="0" t="n">
        <v>0</v>
      </c>
      <c r="AJP33" s="0" t="n">
        <v>0</v>
      </c>
      <c r="AJQ33" s="0" t="n">
        <v>0</v>
      </c>
      <c r="AJR33" s="0" t="n">
        <v>45</v>
      </c>
      <c r="AJS33" s="0" t="n">
        <v>10.1</v>
      </c>
      <c r="AJT33" s="0" t="n">
        <v>11.8</v>
      </c>
      <c r="AJU33" s="0" t="n">
        <v>0</v>
      </c>
      <c r="AJV33" s="0" t="n">
        <v>0</v>
      </c>
      <c r="AJW33" s="0" t="n">
        <v>0</v>
      </c>
      <c r="AKJ33" s="0" t="n">
        <v>17.8</v>
      </c>
      <c r="AKK33" s="0" t="n">
        <v>1</v>
      </c>
      <c r="AKL33" s="0" t="n">
        <v>30</v>
      </c>
      <c r="AKM33" s="0" t="n">
        <v>7</v>
      </c>
      <c r="AKN33" s="0" t="n">
        <v>5.33</v>
      </c>
      <c r="AKO33" s="0" t="n">
        <v>3</v>
      </c>
      <c r="AKV33" s="20"/>
      <c r="ALN33" s="0" t="n">
        <v>1</v>
      </c>
      <c r="ALO33" s="0" t="n">
        <v>50</v>
      </c>
      <c r="ALP33" s="0" t="n">
        <v>1</v>
      </c>
      <c r="ALQ33" s="0" t="n">
        <v>0.03</v>
      </c>
      <c r="ALR33" s="0" t="n">
        <v>1</v>
      </c>
    </row>
    <row r="34" customFormat="false" ht="13.8" hidden="false" customHeight="false" outlineLevel="0" collapsed="false">
      <c r="A34" s="1" t="s">
        <v>366</v>
      </c>
      <c r="B34" s="12" t="n">
        <v>42900</v>
      </c>
      <c r="C34" s="0" t="n">
        <v>2</v>
      </c>
      <c r="D34" s="13" t="n">
        <v>42804</v>
      </c>
      <c r="E34" s="12" t="n">
        <v>29685</v>
      </c>
      <c r="F34" s="14" t="n">
        <f aca="false">(B34-E34)/365.25</f>
        <v>36.1806981519507</v>
      </c>
      <c r="G34" s="14" t="n">
        <f aca="false">(B34-D34)/365.25</f>
        <v>0.262833675564682</v>
      </c>
      <c r="H34" s="15" t="s">
        <v>183</v>
      </c>
      <c r="I34" s="15" t="s">
        <v>347</v>
      </c>
      <c r="J34" s="21" t="s">
        <v>181</v>
      </c>
      <c r="K34" s="21" t="n">
        <v>4</v>
      </c>
      <c r="L34" s="19" t="n">
        <v>62</v>
      </c>
      <c r="M34" s="0" t="n">
        <v>1.7</v>
      </c>
      <c r="N34" s="16" t="n">
        <f aca="false">L34/(M34*M34)</f>
        <v>21.4532871972318</v>
      </c>
      <c r="O34" s="19" t="n">
        <v>0</v>
      </c>
      <c r="P34" s="19" t="n">
        <v>0</v>
      </c>
      <c r="Q34" s="19" t="n">
        <v>0</v>
      </c>
      <c r="R34" s="19" t="n">
        <v>0</v>
      </c>
      <c r="S34" s="19" t="n">
        <v>0</v>
      </c>
      <c r="T34" s="19" t="n">
        <v>0</v>
      </c>
      <c r="U34" s="19" t="n">
        <v>0</v>
      </c>
      <c r="V34" s="19" t="n">
        <v>0</v>
      </c>
      <c r="W34" s="19" t="n">
        <v>0</v>
      </c>
      <c r="X34" s="19" t="n">
        <v>0</v>
      </c>
      <c r="Y34" s="19" t="n">
        <v>1</v>
      </c>
      <c r="Z34" s="19" t="n">
        <v>1</v>
      </c>
      <c r="AA34" s="19" t="n">
        <v>90</v>
      </c>
      <c r="AB34" s="19" t="s">
        <v>349</v>
      </c>
      <c r="AC34" s="19" t="n">
        <v>1</v>
      </c>
      <c r="AD34" s="19" t="n">
        <v>3</v>
      </c>
      <c r="AE34" s="19" t="n">
        <v>0</v>
      </c>
      <c r="AF34" s="19" t="n">
        <v>0</v>
      </c>
      <c r="AG34" s="19" t="n">
        <v>0</v>
      </c>
      <c r="AH34" s="19" t="n">
        <v>0</v>
      </c>
      <c r="AI34" s="19" t="n">
        <v>0</v>
      </c>
      <c r="AJ34" s="19" t="n">
        <v>0</v>
      </c>
      <c r="AK34" s="19" t="n">
        <v>0</v>
      </c>
      <c r="AL34" s="19" t="n">
        <v>0</v>
      </c>
      <c r="AM34" s="19" t="n">
        <v>0</v>
      </c>
      <c r="AN34" s="19" t="n">
        <v>0</v>
      </c>
      <c r="AO34" s="19" t="n">
        <v>0</v>
      </c>
      <c r="AP34" s="19" t="n">
        <v>0</v>
      </c>
      <c r="AQ34" s="19" t="n">
        <v>0</v>
      </c>
      <c r="AR34" s="19" t="n">
        <v>0</v>
      </c>
      <c r="AS34" s="19" t="n">
        <v>0</v>
      </c>
      <c r="AT34" s="19" t="n">
        <v>0</v>
      </c>
      <c r="AU34" s="19" t="n">
        <v>0</v>
      </c>
      <c r="AV34" s="19" t="n">
        <v>0</v>
      </c>
      <c r="AW34" s="19" t="n">
        <v>0</v>
      </c>
      <c r="AX34" s="19" t="n">
        <v>0</v>
      </c>
      <c r="AY34" s="19" t="n">
        <v>0</v>
      </c>
      <c r="AZ34" s="19" t="n">
        <v>0</v>
      </c>
      <c r="BA34" s="19" t="n">
        <v>0</v>
      </c>
      <c r="BB34" s="19" t="n">
        <v>0</v>
      </c>
      <c r="BC34" s="19" t="n">
        <v>0</v>
      </c>
      <c r="BD34" s="19" t="n">
        <v>0</v>
      </c>
      <c r="BE34" s="19" t="n">
        <v>0</v>
      </c>
      <c r="BF34" s="19" t="n">
        <v>0</v>
      </c>
      <c r="BG34" s="19" t="n">
        <v>0</v>
      </c>
      <c r="BH34" s="19" t="n">
        <v>0</v>
      </c>
      <c r="BI34" s="19" t="n">
        <v>0</v>
      </c>
      <c r="BJ34" s="19" t="n">
        <v>0</v>
      </c>
      <c r="BK34" s="19" t="n">
        <v>0</v>
      </c>
      <c r="BL34" s="19" t="n">
        <v>0</v>
      </c>
      <c r="BM34" s="19" t="n">
        <v>0</v>
      </c>
      <c r="BN34" s="19" t="n">
        <v>0</v>
      </c>
      <c r="BO34" s="19" t="n">
        <v>0</v>
      </c>
      <c r="BP34" s="19" t="n">
        <v>0</v>
      </c>
      <c r="BQ34" s="19" t="n">
        <v>0</v>
      </c>
      <c r="BR34" s="19" t="n">
        <v>1</v>
      </c>
      <c r="BS34" s="19" t="n">
        <v>2</v>
      </c>
      <c r="BT34" s="19" t="n">
        <v>3</v>
      </c>
      <c r="BU34" s="19" t="n">
        <v>4</v>
      </c>
      <c r="BV34" s="19" t="n">
        <v>3</v>
      </c>
      <c r="BW34" s="19" t="n">
        <v>1</v>
      </c>
      <c r="BX34" s="19" t="n">
        <v>3</v>
      </c>
      <c r="BY34" s="19" t="n">
        <v>3</v>
      </c>
      <c r="BZ34" s="19" t="n">
        <v>3</v>
      </c>
      <c r="CA34" s="19" t="n">
        <v>5</v>
      </c>
      <c r="CB34" s="19" t="n">
        <v>5</v>
      </c>
      <c r="CC34" s="19" t="n">
        <v>5</v>
      </c>
      <c r="CD34" s="19" t="n">
        <v>5</v>
      </c>
      <c r="CE34" s="19" t="n">
        <v>4</v>
      </c>
      <c r="CF34" s="19" t="n">
        <v>5</v>
      </c>
      <c r="CG34" s="19" t="n">
        <v>4</v>
      </c>
      <c r="CH34" s="19" t="n">
        <v>5</v>
      </c>
      <c r="CI34" s="19" t="n">
        <v>5</v>
      </c>
      <c r="CJ34" s="19" t="n">
        <v>5</v>
      </c>
      <c r="CK34" s="19" t="n">
        <v>8</v>
      </c>
      <c r="CL34" s="0" t="s">
        <v>350</v>
      </c>
      <c r="CM34" s="0" t="n">
        <v>75</v>
      </c>
      <c r="CN34" s="16" t="n">
        <v>87.9</v>
      </c>
      <c r="CO34" s="16" t="n">
        <v>80.4</v>
      </c>
      <c r="CP34" s="16" t="n">
        <v>45.2</v>
      </c>
      <c r="CQ34" s="0" t="n">
        <v>50.83</v>
      </c>
      <c r="CR34" s="0" t="n">
        <v>0.05</v>
      </c>
      <c r="CS34" s="0" t="n">
        <v>46.44</v>
      </c>
      <c r="CT34" s="0" t="n">
        <v>2.67</v>
      </c>
      <c r="CU34" s="0" t="n">
        <v>0</v>
      </c>
      <c r="CV34" s="0" t="n">
        <v>0</v>
      </c>
      <c r="CW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25.21</v>
      </c>
      <c r="DD34" s="0" t="n">
        <v>43.57</v>
      </c>
      <c r="DE34" s="0" t="n">
        <v>6.27</v>
      </c>
      <c r="DF34" s="0" t="n">
        <v>0</v>
      </c>
      <c r="DG34" s="0" t="n">
        <v>0</v>
      </c>
      <c r="DH34" s="0" t="n">
        <v>0</v>
      </c>
      <c r="DU34" s="0" t="n">
        <v>17.8</v>
      </c>
      <c r="DV34" s="0" t="n">
        <v>1</v>
      </c>
      <c r="DW34" s="0" t="n">
        <v>35</v>
      </c>
      <c r="DX34" s="0" t="n">
        <v>9</v>
      </c>
      <c r="DY34" s="0" t="n">
        <v>2.55</v>
      </c>
      <c r="DZ34" s="0" t="n">
        <v>3</v>
      </c>
      <c r="EG34" s="20"/>
      <c r="EY34" s="0" t="n">
        <v>1</v>
      </c>
      <c r="EZ34" s="0" t="n">
        <v>50</v>
      </c>
      <c r="FA34" s="0" t="n">
        <v>8</v>
      </c>
      <c r="FB34" s="0" t="n">
        <v>2.12</v>
      </c>
      <c r="FC34" s="0" t="n">
        <v>3</v>
      </c>
      <c r="GJ34" s="16" t="n">
        <v>3.43</v>
      </c>
      <c r="GK34" s="16" t="n">
        <v>1</v>
      </c>
      <c r="GL34" s="16" t="n">
        <v>1</v>
      </c>
      <c r="GM34" s="16"/>
      <c r="GN34" s="16" t="n">
        <v>26.11</v>
      </c>
      <c r="GO34" s="16" t="n">
        <v>2</v>
      </c>
      <c r="GP34" s="16"/>
      <c r="GQ34" s="16" t="n">
        <v>11.19</v>
      </c>
      <c r="GR34" s="16"/>
      <c r="GS34" s="16"/>
      <c r="GT34" s="16"/>
      <c r="GU34" s="16" t="n">
        <v>6.39</v>
      </c>
      <c r="GV34" s="16" t="n">
        <v>3.31</v>
      </c>
      <c r="GW34" s="16" t="n">
        <v>0</v>
      </c>
      <c r="GX34" s="16" t="n">
        <v>0</v>
      </c>
      <c r="GY34" s="16" t="n">
        <v>0</v>
      </c>
      <c r="GZ34" s="16" t="n">
        <v>0</v>
      </c>
      <c r="HA34" s="16" t="n">
        <v>0</v>
      </c>
      <c r="HB34" s="0" t="n">
        <v>0</v>
      </c>
      <c r="HC34" s="0" t="s">
        <v>352</v>
      </c>
      <c r="HD34" s="0" t="n">
        <v>49</v>
      </c>
      <c r="HE34" s="16" t="n">
        <v>65.5</v>
      </c>
      <c r="HF34" s="16" t="n">
        <v>80.4</v>
      </c>
      <c r="HG34" s="16" t="n">
        <v>8.2</v>
      </c>
      <c r="HH34" s="0" t="n">
        <v>84.28</v>
      </c>
      <c r="HJ34" s="0" t="n">
        <v>0</v>
      </c>
      <c r="HK34" s="0" t="n">
        <v>0</v>
      </c>
      <c r="HL34" s="0" t="n">
        <v>15.72</v>
      </c>
      <c r="HM34" s="0" t="n">
        <v>0</v>
      </c>
      <c r="HN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21.31</v>
      </c>
      <c r="HU34" s="0" t="n">
        <v>26.03</v>
      </c>
      <c r="HV34" s="0" t="n">
        <v>0</v>
      </c>
      <c r="HW34" s="0" t="n">
        <v>0</v>
      </c>
      <c r="HX34" s="0" t="n">
        <v>8.2</v>
      </c>
      <c r="HY34" s="0" t="n">
        <v>5</v>
      </c>
      <c r="HZ34" s="0" t="n">
        <v>50</v>
      </c>
      <c r="IA34" s="0" t="n">
        <v>2</v>
      </c>
      <c r="IF34" s="0" t="n">
        <v>50</v>
      </c>
      <c r="IG34" s="0" t="n">
        <v>2</v>
      </c>
      <c r="IL34" s="0" t="n">
        <v>25.5</v>
      </c>
      <c r="IM34" s="0" t="n">
        <v>1</v>
      </c>
      <c r="IN34" s="0" t="n">
        <v>35</v>
      </c>
      <c r="IO34" s="0" t="n">
        <v>21</v>
      </c>
      <c r="IP34" s="0" t="n">
        <v>7.69</v>
      </c>
      <c r="IQ34" s="0" t="n">
        <v>3</v>
      </c>
      <c r="IX34" s="20"/>
      <c r="JP34" s="0" t="n">
        <v>0</v>
      </c>
      <c r="LA34" s="16" t="n">
        <v>0</v>
      </c>
      <c r="LB34" s="16" t="n">
        <v>0</v>
      </c>
      <c r="LC34" s="16"/>
      <c r="LD34" s="16"/>
      <c r="LE34" s="16"/>
      <c r="LF34" s="16"/>
      <c r="LG34" s="16"/>
      <c r="LH34" s="16"/>
      <c r="LI34" s="16"/>
      <c r="LJ34" s="16"/>
      <c r="LK34" s="16"/>
      <c r="LL34" s="16" t="n">
        <v>0</v>
      </c>
      <c r="LM34" s="16" t="n">
        <v>0</v>
      </c>
      <c r="LN34" s="16" t="n">
        <v>0</v>
      </c>
      <c r="LO34" s="16" t="n">
        <v>0</v>
      </c>
      <c r="LP34" s="16" t="n">
        <v>0</v>
      </c>
      <c r="LQ34" s="16" t="n">
        <v>0</v>
      </c>
      <c r="LR34" s="16" t="n">
        <v>0</v>
      </c>
      <c r="LS34" s="0" t="n">
        <v>0</v>
      </c>
      <c r="LT34" s="0" t="s">
        <v>358</v>
      </c>
      <c r="LU34" s="0" t="n">
        <v>41</v>
      </c>
      <c r="LV34" s="16" t="n">
        <v>91.1</v>
      </c>
      <c r="LW34" s="16" t="n">
        <v>80.4</v>
      </c>
      <c r="LX34" s="16" t="n">
        <v>6.5</v>
      </c>
      <c r="LY34" s="0" t="n">
        <v>94.94</v>
      </c>
      <c r="MA34" s="0" t="n">
        <v>0</v>
      </c>
      <c r="MB34" s="0" t="n">
        <v>0</v>
      </c>
      <c r="MC34" s="0" t="n">
        <v>5.06</v>
      </c>
      <c r="MD34" s="0" t="n">
        <v>0</v>
      </c>
      <c r="ME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64.35</v>
      </c>
      <c r="ML34" s="0" t="n">
        <v>9.29</v>
      </c>
      <c r="MM34" s="0" t="n">
        <v>0</v>
      </c>
      <c r="MN34" s="0" t="n">
        <v>0</v>
      </c>
      <c r="MO34" s="0" t="n">
        <v>15.7</v>
      </c>
      <c r="MP34" s="0" t="n">
        <v>1</v>
      </c>
      <c r="MQ34" s="0" t="n">
        <v>3</v>
      </c>
      <c r="MS34" s="0" t="n">
        <v>1</v>
      </c>
      <c r="MW34" s="0" t="n">
        <v>3</v>
      </c>
      <c r="MY34" s="0" t="n">
        <v>1</v>
      </c>
      <c r="NC34" s="0" t="n">
        <v>10.8</v>
      </c>
      <c r="ND34" s="0" t="n">
        <v>1</v>
      </c>
      <c r="NE34" s="0" t="n">
        <v>34</v>
      </c>
      <c r="NF34" s="0" t="n">
        <v>4</v>
      </c>
      <c r="NG34" s="0" t="n">
        <v>1.68</v>
      </c>
      <c r="NH34" s="0" t="n">
        <v>1</v>
      </c>
      <c r="NO34" s="20"/>
      <c r="OG34" s="0" t="n">
        <v>1</v>
      </c>
      <c r="OH34" s="0" t="n">
        <v>50</v>
      </c>
      <c r="OI34" s="0" t="n">
        <v>2</v>
      </c>
      <c r="OJ34" s="0" t="n">
        <v>2.24</v>
      </c>
      <c r="OK34" s="0" t="n">
        <v>3</v>
      </c>
      <c r="OL34" s="0" t="n">
        <v>50</v>
      </c>
      <c r="OM34" s="0" t="n">
        <v>12</v>
      </c>
      <c r="ON34" s="0" t="n">
        <v>8.51</v>
      </c>
      <c r="OO34" s="0" t="n">
        <v>4</v>
      </c>
      <c r="PR34" s="16" t="n">
        <v>0.86</v>
      </c>
      <c r="PS34" s="16" t="n">
        <v>1</v>
      </c>
      <c r="PT34" s="16" t="n">
        <v>1</v>
      </c>
      <c r="PU34" s="16"/>
      <c r="PV34" s="16" t="n">
        <v>12.44</v>
      </c>
      <c r="PW34" s="16"/>
      <c r="PX34" s="16"/>
      <c r="PY34" s="16"/>
      <c r="PZ34" s="16"/>
      <c r="QA34" s="16"/>
      <c r="QB34" s="16"/>
      <c r="QC34" s="16" t="n">
        <v>5.31</v>
      </c>
      <c r="QD34" s="16" t="n">
        <v>7.99</v>
      </c>
      <c r="QE34" s="16" t="n">
        <v>0</v>
      </c>
      <c r="QF34" s="16" t="n">
        <v>0</v>
      </c>
      <c r="QG34" s="16" t="n">
        <v>0</v>
      </c>
      <c r="QH34" s="16" t="n">
        <v>0</v>
      </c>
      <c r="QI34" s="16" t="n">
        <v>0</v>
      </c>
      <c r="QJ34" s="0" t="n">
        <v>0</v>
      </c>
      <c r="QK34" s="0" t="s">
        <v>357</v>
      </c>
      <c r="QL34" s="0" t="n">
        <v>27.5</v>
      </c>
      <c r="QM34" s="16" t="n">
        <v>76.2</v>
      </c>
      <c r="QN34" s="16" t="n">
        <v>80.4</v>
      </c>
      <c r="QO34" s="16" t="n">
        <v>15.3</v>
      </c>
      <c r="QP34" s="0" t="n">
        <v>87.64</v>
      </c>
      <c r="QR34" s="0" t="n">
        <v>0</v>
      </c>
      <c r="QS34" s="0" t="n">
        <v>0</v>
      </c>
      <c r="QT34" s="0" t="n">
        <v>12.36</v>
      </c>
      <c r="QU34" s="0" t="n">
        <v>0</v>
      </c>
      <c r="QV34" s="0" t="n">
        <v>0</v>
      </c>
      <c r="QX34" s="0" t="n">
        <v>0</v>
      </c>
      <c r="QY34" s="0" t="n">
        <v>0</v>
      </c>
      <c r="QZ34" s="0" t="n">
        <v>0</v>
      </c>
      <c r="RA34" s="0" t="n">
        <v>24.9</v>
      </c>
      <c r="RB34" s="0" t="n">
        <v>31.99</v>
      </c>
      <c r="RC34" s="0" t="n">
        <v>18.66</v>
      </c>
      <c r="RD34" s="0" t="n">
        <v>0</v>
      </c>
      <c r="RE34" s="0" t="n">
        <v>0</v>
      </c>
      <c r="RF34" s="0" t="n">
        <v>4.8</v>
      </c>
      <c r="RG34" s="0" t="n">
        <v>5</v>
      </c>
      <c r="RH34" s="0" t="n">
        <v>50</v>
      </c>
      <c r="RI34" s="0" t="n">
        <v>4</v>
      </c>
      <c r="RN34" s="0" t="n">
        <v>50</v>
      </c>
      <c r="RO34" s="0" t="n">
        <v>4</v>
      </c>
      <c r="RT34" s="0" t="n">
        <v>5.5</v>
      </c>
      <c r="RU34" s="0" t="n">
        <v>0</v>
      </c>
      <c r="SF34" s="20"/>
      <c r="SX34" s="0" t="n">
        <v>1</v>
      </c>
      <c r="SY34" s="0" t="n">
        <v>50</v>
      </c>
      <c r="SZ34" s="0" t="n">
        <v>4</v>
      </c>
      <c r="TA34" s="0" t="n">
        <v>3.59</v>
      </c>
      <c r="TB34" s="0" t="n">
        <v>3</v>
      </c>
      <c r="TC34" s="0" t="n">
        <v>70</v>
      </c>
      <c r="TD34" s="0" t="n">
        <v>14</v>
      </c>
      <c r="TE34" s="0" t="n">
        <v>4.93</v>
      </c>
      <c r="TF34" s="0" t="n">
        <v>2</v>
      </c>
      <c r="UI34" s="16" t="n">
        <v>0.75</v>
      </c>
      <c r="UJ34" s="16" t="n">
        <v>1</v>
      </c>
      <c r="UK34" s="16" t="n">
        <v>1</v>
      </c>
      <c r="UL34" s="16"/>
      <c r="UM34" s="16" t="n">
        <v>9.96</v>
      </c>
      <c r="UN34" s="16"/>
      <c r="UO34" s="16"/>
      <c r="UP34" s="16"/>
      <c r="UQ34" s="16"/>
      <c r="UR34" s="16"/>
      <c r="US34" s="16"/>
      <c r="UT34" s="16" t="n">
        <v>0</v>
      </c>
      <c r="UU34" s="16" t="n">
        <v>0</v>
      </c>
      <c r="UV34" s="16" t="n">
        <v>0</v>
      </c>
      <c r="UW34" s="16" t="n">
        <v>0</v>
      </c>
      <c r="UX34" s="16" t="n">
        <v>0</v>
      </c>
      <c r="UY34" s="16" t="n">
        <v>0</v>
      </c>
      <c r="UZ34" s="16" t="n">
        <v>0</v>
      </c>
      <c r="VA34" s="0" t="n">
        <v>0</v>
      </c>
      <c r="VE34" s="15"/>
      <c r="VF34" s="15"/>
      <c r="VM34" s="15"/>
      <c r="VN34" s="15"/>
      <c r="VU34" s="15"/>
      <c r="VV34" s="15"/>
      <c r="WC34" s="15"/>
      <c r="WD34" s="15"/>
      <c r="WK34" s="15"/>
      <c r="WL34" s="15"/>
      <c r="WS34" s="15"/>
      <c r="WT34" s="15"/>
      <c r="XA34" s="15"/>
      <c r="XB34" s="15"/>
      <c r="XI34" s="15"/>
      <c r="XJ34" s="15"/>
      <c r="XQ34" s="15"/>
      <c r="XR34" s="15"/>
      <c r="XY34" s="15"/>
      <c r="XZ34" s="15"/>
      <c r="YG34" s="15"/>
      <c r="YH34" s="15"/>
      <c r="YO34" s="15"/>
      <c r="YP34" s="15"/>
      <c r="YW34" s="15"/>
      <c r="YX34" s="15"/>
      <c r="ZE34" s="15"/>
      <c r="ZF34" s="15"/>
      <c r="ZM34" s="15"/>
      <c r="ZN34" s="15"/>
      <c r="ZU34" s="15"/>
      <c r="ZV34" s="15"/>
      <c r="AAC34" s="15"/>
      <c r="AAD34" s="15"/>
      <c r="AAK34" s="15"/>
      <c r="AAL34" s="15"/>
      <c r="AAS34" s="15"/>
      <c r="AAT34" s="15"/>
      <c r="ABA34" s="15"/>
      <c r="ABB34" s="15"/>
      <c r="ABI34" s="15"/>
      <c r="ABJ34" s="15"/>
      <c r="ABQ34" s="15"/>
      <c r="ABR34" s="15"/>
      <c r="ABY34" s="15"/>
      <c r="ABZ34" s="15"/>
      <c r="ACG34" s="15"/>
      <c r="ACH34" s="15"/>
      <c r="ACO34" s="15"/>
      <c r="ACP34" s="15"/>
      <c r="ACW34" s="15"/>
      <c r="ACX34" s="15"/>
      <c r="ADE34" s="15"/>
      <c r="ADF34" s="15"/>
      <c r="ADM34" s="15"/>
      <c r="ADN34" s="15"/>
      <c r="ADU34" s="15"/>
      <c r="ADV34" s="15"/>
      <c r="AEC34" s="15"/>
      <c r="AED34" s="15"/>
      <c r="AEK34" s="15"/>
      <c r="AEL34" s="15"/>
      <c r="AES34" s="15"/>
      <c r="AET34" s="15"/>
      <c r="AFA34" s="15"/>
      <c r="AFB34" s="15"/>
      <c r="AFI34" s="15"/>
      <c r="AFJ34" s="15"/>
      <c r="AFQ34" s="15"/>
      <c r="AFR34" s="15"/>
      <c r="AFY34" s="15"/>
      <c r="AFZ34" s="15"/>
      <c r="AGG34" s="15"/>
      <c r="AGH34" s="15"/>
      <c r="AGO34" s="15"/>
      <c r="AGP34" s="15"/>
      <c r="AGW34" s="15"/>
      <c r="AGX34" s="15"/>
      <c r="AHE34" s="15"/>
      <c r="AHF34" s="15"/>
      <c r="AHM34" s="15"/>
      <c r="AHN34" s="15"/>
      <c r="AHU34" s="15"/>
      <c r="AHV34" s="15"/>
      <c r="AIC34" s="15"/>
      <c r="AID34" s="15"/>
      <c r="AIK34" s="15"/>
      <c r="AIL34" s="15"/>
      <c r="AIS34" s="15"/>
      <c r="AIT34" s="15"/>
      <c r="AJA34" s="15"/>
      <c r="AJB34" s="15"/>
      <c r="AJI34" s="15"/>
      <c r="AJJ34" s="15"/>
      <c r="AJQ34" s="15"/>
      <c r="AJR34" s="15"/>
      <c r="AJY34" s="15"/>
      <c r="AJZ34" s="15"/>
      <c r="AKG34" s="15"/>
      <c r="AKH34" s="15"/>
      <c r="AKO34" s="15"/>
      <c r="AKP34" s="15"/>
      <c r="AKW34" s="15"/>
      <c r="AKX34" s="15"/>
      <c r="ALE34" s="15"/>
      <c r="ALF34" s="15"/>
      <c r="ALM34" s="15"/>
      <c r="ALN34" s="15"/>
      <c r="ALU34" s="15"/>
      <c r="ALV34" s="15"/>
      <c r="AMC34" s="15"/>
      <c r="AMD34" s="15"/>
    </row>
    <row r="35" customFormat="false" ht="13.8" hidden="false" customHeight="false" outlineLevel="0" collapsed="false">
      <c r="A35" s="1" t="s">
        <v>367</v>
      </c>
      <c r="B35" s="12" t="n">
        <v>42899</v>
      </c>
      <c r="C35" s="0" t="n">
        <v>2</v>
      </c>
      <c r="D35" s="13" t="n">
        <v>40513</v>
      </c>
      <c r="E35" s="12" t="n">
        <v>30921</v>
      </c>
      <c r="F35" s="14" t="n">
        <f aca="false">(B35-E35)/365.25</f>
        <v>32.7939767282683</v>
      </c>
      <c r="G35" s="14" t="n">
        <f aca="false">(B35-D35)/365.25</f>
        <v>6.53251197809719</v>
      </c>
      <c r="H35" s="15" t="s">
        <v>183</v>
      </c>
      <c r="I35" s="15" t="s">
        <v>347</v>
      </c>
      <c r="J35" s="21" t="s">
        <v>181</v>
      </c>
      <c r="K35" s="21" t="n">
        <v>4</v>
      </c>
      <c r="L35" s="19" t="n">
        <v>60</v>
      </c>
      <c r="M35" s="0" t="n">
        <v>1.72</v>
      </c>
      <c r="N35" s="16" t="n">
        <f aca="false">L35/(M35*M35)</f>
        <v>20.2812330989724</v>
      </c>
      <c r="O35" s="19" t="n">
        <v>0</v>
      </c>
      <c r="P35" s="19" t="n">
        <v>0</v>
      </c>
      <c r="Q35" s="19" t="n">
        <v>0</v>
      </c>
      <c r="R35" s="19" t="n">
        <v>0</v>
      </c>
      <c r="S35" s="19" t="n">
        <v>0</v>
      </c>
      <c r="T35" s="19" t="n">
        <v>0</v>
      </c>
      <c r="U35" s="19" t="n">
        <v>1</v>
      </c>
      <c r="V35" s="19"/>
      <c r="W35" s="19" t="n">
        <v>1</v>
      </c>
      <c r="X35" s="19" t="n">
        <v>1</v>
      </c>
      <c r="Y35" s="19" t="n">
        <v>1</v>
      </c>
      <c r="Z35" s="19" t="n">
        <v>1</v>
      </c>
      <c r="AA35" s="19" t="n">
        <v>90</v>
      </c>
      <c r="AB35" s="19" t="s">
        <v>368</v>
      </c>
      <c r="AC35" s="19" t="n">
        <v>0</v>
      </c>
      <c r="AD35" s="19" t="n">
        <v>0</v>
      </c>
      <c r="AE35" s="19"/>
      <c r="AF35" s="19"/>
      <c r="AG35" s="19"/>
      <c r="AH35" s="19"/>
      <c r="AI35" s="19" t="n">
        <v>3</v>
      </c>
      <c r="AJ35" s="19"/>
      <c r="AK35" s="19"/>
      <c r="AL35" s="19"/>
      <c r="AM35" s="19"/>
      <c r="AN35" s="19" t="n">
        <v>2</v>
      </c>
      <c r="AO35" s="19"/>
      <c r="AP35" s="19"/>
      <c r="AQ35" s="19"/>
      <c r="AR35" s="19"/>
      <c r="AS35" s="19" t="n">
        <v>1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 t="n">
        <v>1</v>
      </c>
      <c r="BK35" s="19"/>
      <c r="BL35" s="19"/>
      <c r="BM35" s="19"/>
      <c r="BN35" s="19"/>
      <c r="BO35" s="19"/>
      <c r="BP35" s="19"/>
      <c r="BQ35" s="19"/>
      <c r="BR35" s="19" t="n">
        <v>3</v>
      </c>
      <c r="BS35" s="19" t="n">
        <v>2</v>
      </c>
      <c r="BT35" s="19" t="n">
        <v>5</v>
      </c>
      <c r="BU35" s="19" t="n">
        <v>4</v>
      </c>
      <c r="BV35" s="19" t="n">
        <v>1</v>
      </c>
      <c r="BW35" s="19" t="n">
        <v>1</v>
      </c>
      <c r="BX35" s="19" t="n">
        <v>3</v>
      </c>
      <c r="BY35" s="19" t="n">
        <v>3</v>
      </c>
      <c r="BZ35" s="19" t="n">
        <v>3</v>
      </c>
      <c r="CA35" s="19" t="n">
        <v>3</v>
      </c>
      <c r="CB35" s="19" t="n">
        <v>4</v>
      </c>
      <c r="CC35" s="19" t="n">
        <v>4</v>
      </c>
      <c r="CD35" s="19" t="n">
        <v>3</v>
      </c>
      <c r="CE35" s="19" t="n">
        <v>2</v>
      </c>
      <c r="CF35" s="19" t="n">
        <v>5</v>
      </c>
      <c r="CG35" s="19" t="n">
        <v>3</v>
      </c>
      <c r="CH35" s="19" t="n">
        <v>4</v>
      </c>
      <c r="CI35" s="19" t="n">
        <v>5</v>
      </c>
      <c r="CJ35" s="19" t="n">
        <v>3</v>
      </c>
      <c r="CK35" s="19" t="n">
        <v>5</v>
      </c>
      <c r="CL35" s="0" t="s">
        <v>355</v>
      </c>
      <c r="CM35" s="0" t="n">
        <v>37</v>
      </c>
      <c r="CN35" s="16" t="n">
        <v>95.1</v>
      </c>
      <c r="CO35" s="16" t="n">
        <v>80.4</v>
      </c>
      <c r="CP35" s="16" t="n">
        <v>15.9</v>
      </c>
      <c r="CQ35" s="0" t="n">
        <v>82.71</v>
      </c>
      <c r="CS35" s="0" t="n">
        <v>10.32</v>
      </c>
      <c r="CT35" s="0" t="n">
        <v>0.39</v>
      </c>
      <c r="CU35" s="0" t="n">
        <v>10.32</v>
      </c>
      <c r="CV35" s="0" t="n">
        <v>0</v>
      </c>
      <c r="CW35" s="0" t="n">
        <v>0</v>
      </c>
      <c r="CY35" s="0" t="n">
        <v>0</v>
      </c>
      <c r="CZ35" s="0" t="n">
        <v>0</v>
      </c>
      <c r="DA35" s="0" t="n">
        <v>0</v>
      </c>
      <c r="DB35" s="0" t="n">
        <v>1.9</v>
      </c>
      <c r="DC35" s="0" t="n">
        <v>26.26</v>
      </c>
      <c r="DD35" s="0" t="n">
        <v>6.04</v>
      </c>
      <c r="DE35" s="0" t="n">
        <v>2.19</v>
      </c>
      <c r="DF35" s="0" t="n">
        <v>0</v>
      </c>
      <c r="DG35" s="0" t="n">
        <v>0</v>
      </c>
      <c r="DH35" s="0" t="n">
        <v>0</v>
      </c>
      <c r="DU35" s="0" t="n">
        <v>14.7</v>
      </c>
      <c r="DV35" s="0" t="n">
        <v>1</v>
      </c>
      <c r="DW35" s="0" t="n">
        <v>35</v>
      </c>
      <c r="DX35" s="0" t="n">
        <v>2</v>
      </c>
      <c r="DY35" s="0" t="n">
        <v>1.8</v>
      </c>
      <c r="DZ35" s="0" t="n">
        <v>3</v>
      </c>
      <c r="EG35" s="20"/>
      <c r="EY35" s="0" t="n">
        <v>1</v>
      </c>
      <c r="EZ35" s="0" t="n">
        <v>50</v>
      </c>
      <c r="FA35" s="0" t="n">
        <v>1</v>
      </c>
      <c r="FB35" s="0" t="n">
        <v>1.34</v>
      </c>
      <c r="FC35" s="0" t="n">
        <v>2</v>
      </c>
      <c r="FD35" s="0" t="n">
        <v>40</v>
      </c>
      <c r="FE35" s="0" t="n">
        <v>1</v>
      </c>
      <c r="FF35" s="0" t="n">
        <v>0.9</v>
      </c>
      <c r="FG35" s="0" t="n">
        <v>3</v>
      </c>
      <c r="FH35" s="0" t="n">
        <v>50</v>
      </c>
      <c r="FI35" s="0" t="n">
        <v>1</v>
      </c>
      <c r="FJ35" s="0" t="n">
        <v>0.9</v>
      </c>
      <c r="FK35" s="0" t="n">
        <v>3</v>
      </c>
      <c r="FL35" s="0" t="n">
        <v>80</v>
      </c>
      <c r="FM35" s="0" t="n">
        <v>2</v>
      </c>
      <c r="FN35" s="0" t="n">
        <v>2.68</v>
      </c>
      <c r="FO35" s="0" t="n">
        <v>2</v>
      </c>
      <c r="FP35" s="0" t="n">
        <v>100</v>
      </c>
      <c r="FQ35" s="0" t="n">
        <v>1</v>
      </c>
      <c r="FR35" s="0" t="n">
        <v>2.57</v>
      </c>
      <c r="FS35" s="0" t="n">
        <v>2</v>
      </c>
      <c r="GJ35" s="0" t="n">
        <v>0</v>
      </c>
      <c r="GK35" s="19" t="n">
        <v>0</v>
      </c>
      <c r="GL35" s="19"/>
      <c r="GM35" s="13"/>
      <c r="GN35" s="13"/>
      <c r="GO35" s="19"/>
      <c r="GP35" s="13"/>
      <c r="GQ35" s="13"/>
      <c r="GR35" s="13"/>
      <c r="GS35" s="13"/>
      <c r="GT35" s="13"/>
      <c r="GU35" s="16" t="n">
        <v>5.11</v>
      </c>
      <c r="GV35" s="0" t="n">
        <v>4.81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s">
        <v>363</v>
      </c>
      <c r="HD35" s="0" t="n">
        <v>34.5</v>
      </c>
      <c r="HE35" s="16" t="n">
        <v>88.3</v>
      </c>
      <c r="HF35" s="16" t="n">
        <v>80.4</v>
      </c>
      <c r="HG35" s="16" t="n">
        <v>22.8</v>
      </c>
      <c r="HH35" s="0" t="n">
        <v>73.89</v>
      </c>
      <c r="HJ35" s="0" t="n">
        <v>14.94</v>
      </c>
      <c r="HK35" s="0" t="n">
        <v>0.5</v>
      </c>
      <c r="HL35" s="0" t="n">
        <v>10.66</v>
      </c>
      <c r="HM35" s="0" t="n">
        <v>0</v>
      </c>
      <c r="HN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46.29</v>
      </c>
      <c r="HU35" s="0" t="n">
        <v>23.15</v>
      </c>
      <c r="HV35" s="0" t="n">
        <v>0</v>
      </c>
      <c r="HW35" s="0" t="n">
        <v>0</v>
      </c>
      <c r="HX35" s="0" t="n">
        <v>0</v>
      </c>
      <c r="HY35" s="0" t="n">
        <v>0</v>
      </c>
      <c r="IL35" s="0" t="n">
        <v>2.8</v>
      </c>
      <c r="IM35" s="0" t="n">
        <v>1</v>
      </c>
      <c r="IN35" s="0" t="n">
        <v>35</v>
      </c>
      <c r="IO35" s="0" t="n">
        <v>1</v>
      </c>
      <c r="IP35" s="0" t="n">
        <v>0.5</v>
      </c>
      <c r="IQ35" s="0" t="n">
        <v>3</v>
      </c>
      <c r="IX35" s="20"/>
      <c r="JP35" s="0" t="n">
        <v>1</v>
      </c>
      <c r="JQ35" s="0" t="n">
        <v>60</v>
      </c>
      <c r="JR35" s="0" t="n">
        <v>4</v>
      </c>
      <c r="JS35" s="0" t="n">
        <v>0.54</v>
      </c>
      <c r="JT35" s="0" t="n">
        <v>3</v>
      </c>
      <c r="LA35" s="16" t="n">
        <v>3.05</v>
      </c>
      <c r="LB35" s="16" t="n">
        <v>1</v>
      </c>
      <c r="LC35" s="16" t="n">
        <v>1</v>
      </c>
      <c r="LD35" s="16"/>
      <c r="LE35" s="16" t="n">
        <v>8.71</v>
      </c>
      <c r="LF35" s="16" t="n">
        <v>2</v>
      </c>
      <c r="LG35" s="16"/>
      <c r="LH35" s="16" t="n">
        <v>12.44</v>
      </c>
      <c r="LI35" s="16"/>
      <c r="LJ35" s="16"/>
      <c r="LK35" s="16"/>
      <c r="LL35" s="16" t="n">
        <v>4.5</v>
      </c>
      <c r="LM35" s="16" t="n">
        <v>1.2</v>
      </c>
      <c r="LN35" s="16" t="n">
        <v>0</v>
      </c>
      <c r="LO35" s="16" t="n">
        <v>0</v>
      </c>
      <c r="LP35" s="16" t="n">
        <v>0</v>
      </c>
      <c r="LQ35" s="16" t="n">
        <v>0</v>
      </c>
      <c r="LR35" s="16" t="n">
        <v>0</v>
      </c>
      <c r="LS35" s="0" t="n">
        <v>0</v>
      </c>
      <c r="LT35" s="0" t="s">
        <v>364</v>
      </c>
      <c r="LU35" s="0" t="n">
        <v>32</v>
      </c>
      <c r="LV35" s="16" t="n">
        <v>75</v>
      </c>
      <c r="LW35" s="16" t="n">
        <v>80.4</v>
      </c>
      <c r="LX35" s="16" t="n">
        <v>22.6</v>
      </c>
      <c r="LY35" s="0" t="n">
        <v>76.24</v>
      </c>
      <c r="MA35" s="0" t="n">
        <v>15.36</v>
      </c>
      <c r="MB35" s="0" t="n">
        <v>1.93</v>
      </c>
      <c r="MC35" s="0" t="n">
        <v>6.47</v>
      </c>
      <c r="MD35" s="0" t="n">
        <v>0</v>
      </c>
      <c r="ME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32.86</v>
      </c>
      <c r="ML35" s="0" t="n">
        <v>26.39</v>
      </c>
      <c r="MM35" s="0" t="n">
        <v>0</v>
      </c>
      <c r="MN35" s="0" t="n">
        <v>0</v>
      </c>
      <c r="MO35" s="0" t="n">
        <v>0</v>
      </c>
      <c r="MP35" s="0" t="n">
        <v>0</v>
      </c>
      <c r="NC35" s="0" t="n">
        <v>5.6</v>
      </c>
      <c r="ND35" s="0" t="n">
        <v>1</v>
      </c>
      <c r="NE35" s="0" t="n">
        <v>35</v>
      </c>
      <c r="NF35" s="0" t="n">
        <v>1</v>
      </c>
      <c r="NG35" s="0" t="n">
        <v>0.5</v>
      </c>
      <c r="NH35" s="0" t="n">
        <v>3</v>
      </c>
      <c r="NO35" s="20"/>
      <c r="OG35" s="0" t="n">
        <v>1</v>
      </c>
      <c r="OH35" s="0" t="n">
        <v>60</v>
      </c>
      <c r="OI35" s="0" t="n">
        <v>5</v>
      </c>
      <c r="OJ35" s="0" t="n">
        <v>3.13</v>
      </c>
      <c r="OK35" s="0" t="n">
        <v>2</v>
      </c>
      <c r="OL35" s="0" t="n">
        <v>50</v>
      </c>
      <c r="OM35" s="0" t="n">
        <v>2</v>
      </c>
      <c r="ON35" s="0" t="n">
        <v>0.67</v>
      </c>
      <c r="OO35" s="0" t="n">
        <v>2</v>
      </c>
      <c r="PR35" s="16" t="n">
        <v>1.43</v>
      </c>
      <c r="PS35" s="16" t="n">
        <v>1</v>
      </c>
      <c r="PT35" s="16" t="n">
        <v>1</v>
      </c>
      <c r="PU35" s="16"/>
      <c r="PV35" s="16" t="n">
        <v>17.43</v>
      </c>
      <c r="PW35" s="16"/>
      <c r="PX35" s="16"/>
      <c r="PY35" s="16"/>
      <c r="PZ35" s="16"/>
      <c r="QA35" s="16"/>
      <c r="QB35" s="16"/>
      <c r="QC35" s="16" t="n">
        <v>1.7</v>
      </c>
      <c r="QD35" s="16" t="n">
        <v>1.7</v>
      </c>
      <c r="QE35" s="16" t="n">
        <v>0</v>
      </c>
      <c r="QF35" s="16" t="n">
        <v>0</v>
      </c>
      <c r="QG35" s="16" t="n">
        <v>0</v>
      </c>
      <c r="QH35" s="16" t="n">
        <v>0</v>
      </c>
      <c r="QI35" s="16" t="n">
        <v>0</v>
      </c>
      <c r="QJ35" s="0" t="n">
        <v>0</v>
      </c>
      <c r="QK35" s="0" t="s">
        <v>350</v>
      </c>
      <c r="QL35" s="0" t="n">
        <v>75</v>
      </c>
      <c r="QM35" s="16" t="n">
        <v>87.9</v>
      </c>
      <c r="QN35" s="16" t="n">
        <v>80.4</v>
      </c>
      <c r="QO35" s="16" t="n">
        <v>45.2</v>
      </c>
      <c r="QP35" s="0" t="n">
        <v>50.83</v>
      </c>
      <c r="QQ35" s="0" t="n">
        <v>0.05</v>
      </c>
      <c r="QR35" s="0" t="n">
        <v>46.44</v>
      </c>
      <c r="QS35" s="0" t="n">
        <v>2.67</v>
      </c>
      <c r="QT35" s="0" t="n">
        <v>0</v>
      </c>
      <c r="QU35" s="0" t="n">
        <v>0</v>
      </c>
      <c r="QV35" s="0" t="n">
        <v>0</v>
      </c>
      <c r="QX35" s="0" t="n">
        <v>0</v>
      </c>
      <c r="QY35" s="0" t="n">
        <v>0</v>
      </c>
      <c r="QZ35" s="0" t="n">
        <v>0</v>
      </c>
      <c r="RA35" s="0" t="n">
        <v>0</v>
      </c>
      <c r="RB35" s="0" t="n">
        <v>25.21</v>
      </c>
      <c r="RC35" s="0" t="n">
        <v>43.57</v>
      </c>
      <c r="RD35" s="0" t="n">
        <v>6.27</v>
      </c>
      <c r="RE35" s="0" t="n">
        <v>0</v>
      </c>
      <c r="RF35" s="0" t="n">
        <v>0</v>
      </c>
      <c r="RG35" s="0" t="n">
        <v>0</v>
      </c>
      <c r="RT35" s="0" t="n">
        <v>17.8</v>
      </c>
      <c r="RU35" s="0" t="n">
        <v>1</v>
      </c>
      <c r="RV35" s="0" t="n">
        <v>35</v>
      </c>
      <c r="RW35" s="0" t="n">
        <v>9</v>
      </c>
      <c r="RX35" s="0" t="n">
        <v>2.55</v>
      </c>
      <c r="RY35" s="0" t="n">
        <v>3</v>
      </c>
      <c r="SF35" s="20"/>
      <c r="SX35" s="0" t="n">
        <v>1</v>
      </c>
      <c r="SY35" s="0" t="n">
        <v>50</v>
      </c>
      <c r="SZ35" s="0" t="n">
        <v>8</v>
      </c>
      <c r="TA35" s="0" t="n">
        <v>2.12</v>
      </c>
      <c r="TB35" s="0" t="n">
        <v>3</v>
      </c>
      <c r="UI35" s="16" t="n">
        <v>3.43</v>
      </c>
      <c r="UJ35" s="16" t="n">
        <v>1</v>
      </c>
      <c r="UK35" s="16" t="n">
        <v>1</v>
      </c>
      <c r="UL35" s="16"/>
      <c r="UM35" s="16" t="n">
        <v>26.11</v>
      </c>
      <c r="UN35" s="16" t="n">
        <v>2</v>
      </c>
      <c r="UO35" s="16"/>
      <c r="UP35" s="16" t="n">
        <v>11.19</v>
      </c>
      <c r="UQ35" s="16"/>
      <c r="UR35" s="16"/>
      <c r="US35" s="16"/>
      <c r="UT35" s="16" t="n">
        <v>6.39</v>
      </c>
      <c r="UU35" s="16" t="n">
        <v>3.31</v>
      </c>
      <c r="UV35" s="16" t="n">
        <v>0</v>
      </c>
      <c r="UW35" s="16" t="n">
        <v>0</v>
      </c>
      <c r="UX35" s="16" t="n">
        <v>0</v>
      </c>
      <c r="UY35" s="16" t="n">
        <v>0</v>
      </c>
      <c r="UZ35" s="16" t="n">
        <v>0</v>
      </c>
      <c r="VA35" s="0" t="n">
        <v>0</v>
      </c>
      <c r="VB35" s="0" t="s">
        <v>361</v>
      </c>
      <c r="VC35" s="0" t="n">
        <v>74.5</v>
      </c>
      <c r="VD35" s="16" t="n">
        <v>76.2</v>
      </c>
      <c r="VE35" s="16" t="n">
        <v>80.4</v>
      </c>
      <c r="VF35" s="16" t="n">
        <v>42.8</v>
      </c>
      <c r="VG35" s="0" t="n">
        <v>57.15</v>
      </c>
      <c r="VH35" s="0" t="n">
        <v>0.45</v>
      </c>
      <c r="VI35" s="0" t="n">
        <v>39.09</v>
      </c>
      <c r="VJ35" s="0" t="n">
        <v>3.3</v>
      </c>
      <c r="VK35" s="0" t="n">
        <v>0</v>
      </c>
      <c r="VL35" s="0" t="n">
        <v>0</v>
      </c>
      <c r="VM35" s="0" t="n">
        <v>0</v>
      </c>
      <c r="VO35" s="0" t="n">
        <v>0</v>
      </c>
      <c r="VP35" s="0" t="n">
        <v>0</v>
      </c>
      <c r="VQ35" s="0" t="n">
        <v>0</v>
      </c>
      <c r="VR35" s="0" t="n">
        <v>0</v>
      </c>
      <c r="VS35" s="0" t="n">
        <v>18.26</v>
      </c>
      <c r="VT35" s="0" t="n">
        <v>34.4</v>
      </c>
      <c r="VU35" s="0" t="n">
        <v>6.27</v>
      </c>
      <c r="VV35" s="0" t="n">
        <v>0</v>
      </c>
      <c r="VW35" s="0" t="n">
        <v>0</v>
      </c>
      <c r="VX35" s="0" t="n">
        <v>0</v>
      </c>
      <c r="WK35" s="0" t="n">
        <v>18.2</v>
      </c>
      <c r="WL35" s="0" t="n">
        <v>1</v>
      </c>
      <c r="WM35" s="0" t="n">
        <v>35</v>
      </c>
      <c r="WN35" s="0" t="n">
        <v>9</v>
      </c>
      <c r="WO35" s="0" t="n">
        <v>2.55</v>
      </c>
      <c r="WP35" s="0" t="n">
        <v>3</v>
      </c>
      <c r="WW35" s="20"/>
      <c r="XO35" s="0" t="n">
        <v>1</v>
      </c>
      <c r="XP35" s="0" t="n">
        <v>50</v>
      </c>
      <c r="XQ35" s="0" t="n">
        <v>8</v>
      </c>
      <c r="XR35" s="0" t="n">
        <v>2.54</v>
      </c>
      <c r="XS35" s="0" t="n">
        <v>3</v>
      </c>
      <c r="YZ35" s="16" t="n">
        <v>7.59</v>
      </c>
      <c r="ZA35" s="16" t="n">
        <v>1</v>
      </c>
      <c r="ZB35" s="16" t="n">
        <v>1</v>
      </c>
      <c r="ZC35" s="16"/>
      <c r="ZD35" s="16" t="n">
        <v>22.38</v>
      </c>
      <c r="ZE35" s="16" t="n">
        <v>2</v>
      </c>
      <c r="ZF35" s="16"/>
      <c r="ZG35" s="16" t="n">
        <v>14.92</v>
      </c>
      <c r="ZH35" s="16"/>
      <c r="ZI35" s="16"/>
      <c r="ZJ35" s="16"/>
      <c r="ZK35" s="16" t="n">
        <v>5.05</v>
      </c>
      <c r="ZL35" s="16" t="n">
        <v>1.54</v>
      </c>
      <c r="ZM35" s="16" t="n">
        <v>0</v>
      </c>
      <c r="ZN35" s="16" t="n">
        <v>0</v>
      </c>
      <c r="ZO35" s="16" t="n">
        <v>0</v>
      </c>
      <c r="ZP35" s="16" t="n">
        <v>0</v>
      </c>
      <c r="ZQ35" s="16" t="n">
        <v>0</v>
      </c>
      <c r="ZR35" s="0" t="n">
        <v>0</v>
      </c>
      <c r="ZS35" s="0" t="s">
        <v>365</v>
      </c>
      <c r="ZT35" s="0" t="n">
        <v>75</v>
      </c>
      <c r="ZU35" s="16" t="n">
        <v>76.8</v>
      </c>
      <c r="ZV35" s="16" t="n">
        <v>80.4</v>
      </c>
      <c r="ZW35" s="16" t="n">
        <v>30.8</v>
      </c>
      <c r="ZX35" s="0" t="n">
        <v>74.74</v>
      </c>
      <c r="ZZ35" s="0" t="n">
        <v>4.24</v>
      </c>
      <c r="AAA35" s="0" t="n">
        <v>16.45</v>
      </c>
      <c r="AAB35" s="0" t="n">
        <v>4.57</v>
      </c>
      <c r="AAC35" s="0" t="n">
        <v>0</v>
      </c>
      <c r="AAD35" s="0" t="n">
        <v>0</v>
      </c>
      <c r="AAF35" s="0" t="n">
        <v>0</v>
      </c>
      <c r="AAG35" s="0" t="n">
        <v>0</v>
      </c>
      <c r="AAH35" s="0" t="n">
        <v>0</v>
      </c>
      <c r="AAI35" s="0" t="n">
        <v>0</v>
      </c>
      <c r="AAJ35" s="0" t="n">
        <v>35.23</v>
      </c>
      <c r="AAK35" s="0" t="n">
        <v>6.53</v>
      </c>
      <c r="AAL35" s="0" t="n">
        <v>4.97</v>
      </c>
      <c r="AAM35" s="0" t="n">
        <v>0</v>
      </c>
      <c r="AAN35" s="0" t="n">
        <v>0</v>
      </c>
      <c r="AAO35" s="0" t="n">
        <v>0</v>
      </c>
      <c r="ABB35" s="0" t="n">
        <v>38.4</v>
      </c>
      <c r="ABC35" s="0" t="n">
        <v>1</v>
      </c>
      <c r="ABD35" s="0" t="n">
        <v>47</v>
      </c>
      <c r="ABE35" s="0" t="n">
        <v>7</v>
      </c>
      <c r="ABF35" s="0" t="n">
        <v>5.33</v>
      </c>
      <c r="ABG35" s="0" t="n">
        <v>3</v>
      </c>
      <c r="ABN35" s="20"/>
      <c r="ACF35" s="0" t="n">
        <v>0</v>
      </c>
      <c r="ADQ35" s="16" t="n">
        <v>2.02</v>
      </c>
      <c r="ADR35" s="16" t="n">
        <v>1</v>
      </c>
      <c r="ADS35" s="16" t="n">
        <v>1</v>
      </c>
      <c r="ADT35" s="16"/>
      <c r="ADU35" s="16" t="n">
        <v>9.95</v>
      </c>
      <c r="ADV35" s="16" t="n">
        <v>2</v>
      </c>
      <c r="ADW35" s="16"/>
      <c r="ADX35" s="16" t="n">
        <v>9.95</v>
      </c>
      <c r="ADY35" s="16"/>
      <c r="ADZ35" s="16"/>
      <c r="AEA35" s="16"/>
      <c r="AEB35" s="16" t="n">
        <v>0</v>
      </c>
      <c r="AEC35" s="16" t="n">
        <v>0</v>
      </c>
      <c r="AED35" s="16" t="n">
        <v>0</v>
      </c>
      <c r="AEE35" s="16" t="n">
        <v>0</v>
      </c>
      <c r="AEF35" s="16" t="n">
        <v>0</v>
      </c>
      <c r="AEG35" s="16" t="n">
        <v>0</v>
      </c>
      <c r="AEH35" s="16" t="n">
        <v>0</v>
      </c>
      <c r="AEI35" s="0" t="n">
        <v>0</v>
      </c>
      <c r="AEJ35" s="0" t="s">
        <v>351</v>
      </c>
      <c r="AEK35" s="0" t="n">
        <v>30.5</v>
      </c>
      <c r="AEL35" s="16" t="n">
        <v>68.4</v>
      </c>
      <c r="AEM35" s="16" t="n">
        <v>80.4</v>
      </c>
      <c r="AEN35" s="16" t="n">
        <v>19.8</v>
      </c>
      <c r="AEO35" s="0" t="n">
        <v>72.42</v>
      </c>
      <c r="AEQ35" s="0" t="n">
        <v>0.94</v>
      </c>
      <c r="AER35" s="0" t="n">
        <v>0.94</v>
      </c>
      <c r="AES35" s="0" t="n">
        <v>25.7</v>
      </c>
      <c r="AET35" s="0" t="n">
        <v>0</v>
      </c>
      <c r="AEU35" s="0" t="n">
        <v>0</v>
      </c>
      <c r="AEW35" s="0" t="n">
        <v>0</v>
      </c>
      <c r="AEX35" s="0" t="n">
        <v>0</v>
      </c>
      <c r="AEY35" s="0" t="n">
        <v>0</v>
      </c>
      <c r="AEZ35" s="0" t="n">
        <v>0</v>
      </c>
      <c r="AFA35" s="0" t="n">
        <v>28.26</v>
      </c>
      <c r="AFB35" s="0" t="n">
        <v>10.55</v>
      </c>
      <c r="AFC35" s="0" t="n">
        <v>14.21</v>
      </c>
      <c r="AFD35" s="0" t="n">
        <v>0</v>
      </c>
      <c r="AFE35" s="0" t="n">
        <v>0</v>
      </c>
      <c r="AFF35" s="0" t="n">
        <v>0</v>
      </c>
      <c r="AFS35" s="0" t="n">
        <v>3.3</v>
      </c>
      <c r="AFT35" s="0" t="n">
        <v>1</v>
      </c>
      <c r="AFU35" s="0" t="n">
        <v>68</v>
      </c>
      <c r="AFV35" s="0" t="n">
        <v>2</v>
      </c>
      <c r="AFW35" s="0" t="n">
        <v>1.52</v>
      </c>
      <c r="AFX35" s="0" t="n">
        <v>1</v>
      </c>
      <c r="AGE35" s="20"/>
      <c r="AGW35" s="0" t="n">
        <v>0</v>
      </c>
      <c r="AIH35" s="16" t="n">
        <v>0</v>
      </c>
      <c r="AII35" s="16" t="n">
        <v>0</v>
      </c>
      <c r="AIJ35" s="16"/>
      <c r="AIK35" s="16"/>
      <c r="AIL35" s="16"/>
      <c r="AIM35" s="16"/>
      <c r="AIN35" s="16"/>
      <c r="AIO35" s="16"/>
      <c r="AIP35" s="16"/>
      <c r="AIQ35" s="16"/>
      <c r="AIR35" s="16"/>
      <c r="AIS35" s="16" t="n">
        <v>0.81</v>
      </c>
      <c r="AIT35" s="16" t="n">
        <v>0.8</v>
      </c>
      <c r="AIU35" s="16" t="n">
        <v>0</v>
      </c>
      <c r="AIV35" s="16" t="n">
        <v>0</v>
      </c>
      <c r="AIW35" s="16" t="n">
        <v>2.99</v>
      </c>
      <c r="AIX35" s="16" t="n">
        <v>5.71</v>
      </c>
      <c r="AIY35" s="16" t="n">
        <v>0</v>
      </c>
      <c r="AIZ35" s="0" t="n">
        <v>0</v>
      </c>
      <c r="AJA35" s="0" t="s">
        <v>356</v>
      </c>
      <c r="AJB35" s="0" t="n">
        <v>39.5</v>
      </c>
      <c r="AJC35" s="16" t="n">
        <v>85.1</v>
      </c>
      <c r="AJD35" s="16" t="n">
        <v>80.4</v>
      </c>
      <c r="AJE35" s="16" t="n">
        <v>13.6</v>
      </c>
      <c r="AJF35" s="0" t="n">
        <v>87.38</v>
      </c>
      <c r="AJH35" s="0" t="n">
        <v>8.05</v>
      </c>
      <c r="AJI35" s="0" t="n">
        <v>0</v>
      </c>
      <c r="AJJ35" s="0" t="n">
        <v>4.57</v>
      </c>
      <c r="AJK35" s="0" t="n">
        <v>0</v>
      </c>
      <c r="AJL35" s="0" t="n">
        <v>0</v>
      </c>
      <c r="AJN35" s="0" t="n">
        <v>0</v>
      </c>
      <c r="AJO35" s="0" t="n">
        <v>0</v>
      </c>
      <c r="AJP35" s="0" t="n">
        <v>0</v>
      </c>
      <c r="AJQ35" s="0" t="n">
        <v>0</v>
      </c>
      <c r="AJR35" s="0" t="n">
        <v>45</v>
      </c>
      <c r="AJS35" s="0" t="n">
        <v>10.1</v>
      </c>
      <c r="AJT35" s="0" t="n">
        <v>11.8</v>
      </c>
      <c r="AJU35" s="0" t="n">
        <v>0</v>
      </c>
      <c r="AJV35" s="0" t="n">
        <v>0</v>
      </c>
      <c r="AJW35" s="0" t="n">
        <v>0</v>
      </c>
      <c r="AKJ35" s="0" t="n">
        <v>17.8</v>
      </c>
      <c r="AKK35" s="0" t="n">
        <v>1</v>
      </c>
      <c r="AKL35" s="0" t="n">
        <v>30</v>
      </c>
      <c r="AKM35" s="0" t="n">
        <v>7</v>
      </c>
      <c r="AKN35" s="0" t="n">
        <v>5.33</v>
      </c>
      <c r="AKO35" s="0" t="n">
        <v>3</v>
      </c>
      <c r="AKV35" s="20"/>
      <c r="ALN35" s="0" t="n">
        <v>1</v>
      </c>
      <c r="ALO35" s="0" t="n">
        <v>50</v>
      </c>
      <c r="ALP35" s="0" t="n">
        <v>1</v>
      </c>
      <c r="ALQ35" s="0" t="n">
        <v>0.03</v>
      </c>
      <c r="ALR35" s="0" t="n">
        <v>1</v>
      </c>
    </row>
    <row r="36" customFormat="false" ht="13.8" hidden="false" customHeight="false" outlineLevel="0" collapsed="false">
      <c r="A36" s="1" t="s">
        <v>369</v>
      </c>
      <c r="B36" s="12" t="n">
        <v>42899</v>
      </c>
      <c r="C36" s="0" t="n">
        <v>1</v>
      </c>
      <c r="D36" s="13" t="n">
        <v>42814</v>
      </c>
      <c r="E36" s="12" t="n">
        <v>29642</v>
      </c>
      <c r="F36" s="14" t="n">
        <f aca="false">(B36-E36)/365.25</f>
        <v>36.2956878850103</v>
      </c>
      <c r="G36" s="14" t="n">
        <f aca="false">(B36-D36)/365.25</f>
        <v>0.232717316906229</v>
      </c>
      <c r="H36" s="15" t="s">
        <v>183</v>
      </c>
      <c r="I36" s="15" t="s">
        <v>347</v>
      </c>
      <c r="J36" s="21" t="s">
        <v>181</v>
      </c>
      <c r="K36" s="21" t="n">
        <v>4</v>
      </c>
      <c r="L36" s="19" t="n">
        <v>62</v>
      </c>
      <c r="M36" s="0" t="n">
        <v>1.57</v>
      </c>
      <c r="N36" s="16" t="n">
        <f aca="false">L36/(M36*M36)</f>
        <v>25.1531502292182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19" t="n">
        <v>0</v>
      </c>
      <c r="U36" s="19" t="n">
        <v>0</v>
      </c>
      <c r="V36" s="19" t="n">
        <v>0</v>
      </c>
      <c r="W36" s="19" t="n">
        <v>0</v>
      </c>
      <c r="X36" s="19" t="n">
        <v>0</v>
      </c>
      <c r="Y36" s="19" t="n">
        <v>1</v>
      </c>
      <c r="Z36" s="19" t="n">
        <v>2</v>
      </c>
      <c r="AA36" s="19" t="n">
        <v>60</v>
      </c>
      <c r="AB36" s="19" t="s">
        <v>215</v>
      </c>
      <c r="AC36" s="19" t="n">
        <v>0</v>
      </c>
      <c r="AD36" s="19" t="n">
        <v>0</v>
      </c>
      <c r="AE36" s="19" t="n">
        <v>0</v>
      </c>
      <c r="AF36" s="19" t="n">
        <v>0</v>
      </c>
      <c r="AG36" s="19" t="n">
        <v>0</v>
      </c>
      <c r="AH36" s="19" t="n">
        <v>0</v>
      </c>
      <c r="AI36" s="19" t="n">
        <v>0</v>
      </c>
      <c r="AJ36" s="19" t="n">
        <v>0</v>
      </c>
      <c r="AK36" s="19" t="n">
        <v>0</v>
      </c>
      <c r="AL36" s="19" t="n">
        <v>0</v>
      </c>
      <c r="AM36" s="19" t="n">
        <v>0</v>
      </c>
      <c r="AN36" s="19" t="n">
        <v>0</v>
      </c>
      <c r="AO36" s="19" t="n">
        <v>0</v>
      </c>
      <c r="AP36" s="19" t="n">
        <v>0</v>
      </c>
      <c r="AQ36" s="19" t="n">
        <v>0</v>
      </c>
      <c r="AR36" s="19" t="n">
        <v>0</v>
      </c>
      <c r="AS36" s="19" t="n">
        <v>0</v>
      </c>
      <c r="AT36" s="19" t="n">
        <v>0</v>
      </c>
      <c r="AU36" s="19" t="n">
        <v>0</v>
      </c>
      <c r="AV36" s="19" t="n">
        <v>0</v>
      </c>
      <c r="AW36" s="19" t="n">
        <v>0</v>
      </c>
      <c r="AX36" s="19" t="n">
        <v>0</v>
      </c>
      <c r="AY36" s="19" t="n">
        <v>0</v>
      </c>
      <c r="AZ36" s="19" t="n">
        <v>0</v>
      </c>
      <c r="BA36" s="19" t="n">
        <v>0</v>
      </c>
      <c r="BB36" s="19" t="n">
        <v>0</v>
      </c>
      <c r="BC36" s="19" t="n">
        <v>0</v>
      </c>
      <c r="BD36" s="19" t="n">
        <v>0</v>
      </c>
      <c r="BE36" s="19" t="n">
        <v>0</v>
      </c>
      <c r="BF36" s="19" t="n">
        <v>0</v>
      </c>
      <c r="BG36" s="19" t="n">
        <v>0</v>
      </c>
      <c r="BH36" s="19" t="n">
        <v>0</v>
      </c>
      <c r="BI36" s="19" t="n">
        <v>0</v>
      </c>
      <c r="BJ36" s="19" t="n">
        <v>0</v>
      </c>
      <c r="BK36" s="19" t="n">
        <v>0</v>
      </c>
      <c r="BL36" s="19" t="n">
        <v>0</v>
      </c>
      <c r="BM36" s="19" t="n">
        <v>0</v>
      </c>
      <c r="BN36" s="19" t="n">
        <v>0</v>
      </c>
      <c r="BO36" s="19" t="n">
        <v>0</v>
      </c>
      <c r="BP36" s="19" t="n">
        <v>0</v>
      </c>
      <c r="BQ36" s="19" t="n">
        <v>0</v>
      </c>
      <c r="BR36" s="19" t="n">
        <v>2</v>
      </c>
      <c r="BS36" s="19" t="n">
        <v>2</v>
      </c>
      <c r="BT36" s="19" t="n">
        <v>3</v>
      </c>
      <c r="BU36" s="19" t="n">
        <v>5</v>
      </c>
      <c r="BV36" s="19" t="n">
        <v>3</v>
      </c>
      <c r="BW36" s="19" t="n">
        <v>1</v>
      </c>
      <c r="BX36" s="19" t="n">
        <v>1</v>
      </c>
      <c r="BY36" s="19" t="n">
        <v>3</v>
      </c>
      <c r="BZ36" s="19" t="n">
        <v>4</v>
      </c>
      <c r="CA36" s="19" t="n">
        <v>5</v>
      </c>
      <c r="CB36" s="19" t="n">
        <v>5</v>
      </c>
      <c r="CC36" s="19" t="n">
        <v>5</v>
      </c>
      <c r="CD36" s="19" t="n">
        <v>5</v>
      </c>
      <c r="CE36" s="19" t="n">
        <v>5</v>
      </c>
      <c r="CF36" s="19" t="n">
        <v>2</v>
      </c>
      <c r="CG36" s="19" t="n">
        <v>5</v>
      </c>
      <c r="CH36" s="19" t="n">
        <v>5</v>
      </c>
      <c r="CI36" s="19" t="n">
        <v>5</v>
      </c>
      <c r="CJ36" s="19" t="n">
        <v>5</v>
      </c>
      <c r="CK36" s="19" t="n">
        <v>10</v>
      </c>
      <c r="CL36" s="0" t="s">
        <v>355</v>
      </c>
      <c r="CM36" s="0" t="n">
        <v>37</v>
      </c>
      <c r="CN36" s="16" t="n">
        <v>95.1</v>
      </c>
      <c r="CO36" s="16" t="n">
        <v>80.4</v>
      </c>
      <c r="CP36" s="16" t="n">
        <v>15.9</v>
      </c>
      <c r="CQ36" s="0" t="n">
        <v>82.71</v>
      </c>
      <c r="CS36" s="0" t="n">
        <v>10.32</v>
      </c>
      <c r="CT36" s="0" t="n">
        <v>0.39</v>
      </c>
      <c r="CU36" s="0" t="n">
        <v>10.32</v>
      </c>
      <c r="CV36" s="0" t="n">
        <v>0</v>
      </c>
      <c r="CW36" s="0" t="n">
        <v>0</v>
      </c>
      <c r="CY36" s="0" t="n">
        <v>0</v>
      </c>
      <c r="CZ36" s="0" t="n">
        <v>0</v>
      </c>
      <c r="DA36" s="0" t="n">
        <v>0</v>
      </c>
      <c r="DB36" s="0" t="n">
        <v>1.9</v>
      </c>
      <c r="DC36" s="0" t="n">
        <v>26.26</v>
      </c>
      <c r="DD36" s="0" t="n">
        <v>6.04</v>
      </c>
      <c r="DE36" s="0" t="n">
        <v>2.19</v>
      </c>
      <c r="DF36" s="0" t="n">
        <v>0</v>
      </c>
      <c r="DG36" s="0" t="n">
        <v>0</v>
      </c>
      <c r="DH36" s="0" t="n">
        <v>0</v>
      </c>
      <c r="DU36" s="0" t="n">
        <v>14.7</v>
      </c>
      <c r="DV36" s="0" t="n">
        <v>1</v>
      </c>
      <c r="DW36" s="0" t="n">
        <v>35</v>
      </c>
      <c r="DX36" s="0" t="n">
        <v>2</v>
      </c>
      <c r="DY36" s="0" t="n">
        <v>1.8</v>
      </c>
      <c r="DZ36" s="0" t="n">
        <v>3</v>
      </c>
      <c r="EG36" s="20"/>
      <c r="EY36" s="0" t="n">
        <v>1</v>
      </c>
      <c r="EZ36" s="0" t="n">
        <v>50</v>
      </c>
      <c r="FA36" s="0" t="n">
        <v>1</v>
      </c>
      <c r="FB36" s="0" t="n">
        <v>1.34</v>
      </c>
      <c r="FC36" s="0" t="n">
        <v>2</v>
      </c>
      <c r="FD36" s="0" t="n">
        <v>40</v>
      </c>
      <c r="FE36" s="0" t="n">
        <v>1</v>
      </c>
      <c r="FF36" s="0" t="n">
        <v>0.9</v>
      </c>
      <c r="FG36" s="0" t="n">
        <v>3</v>
      </c>
      <c r="FH36" s="0" t="n">
        <v>50</v>
      </c>
      <c r="FI36" s="0" t="n">
        <v>1</v>
      </c>
      <c r="FJ36" s="0" t="n">
        <v>0.9</v>
      </c>
      <c r="FK36" s="0" t="n">
        <v>3</v>
      </c>
      <c r="FL36" s="0" t="n">
        <v>80</v>
      </c>
      <c r="FM36" s="0" t="n">
        <v>2</v>
      </c>
      <c r="FN36" s="0" t="n">
        <v>2.68</v>
      </c>
      <c r="FO36" s="0" t="n">
        <v>2</v>
      </c>
      <c r="FP36" s="0" t="n">
        <v>100</v>
      </c>
      <c r="FQ36" s="0" t="n">
        <v>1</v>
      </c>
      <c r="FR36" s="0" t="n">
        <v>2.57</v>
      </c>
      <c r="FS36" s="0" t="n">
        <v>2</v>
      </c>
      <c r="GJ36" s="0" t="n">
        <v>0</v>
      </c>
      <c r="GK36" s="19" t="n">
        <v>0</v>
      </c>
      <c r="GL36" s="19"/>
      <c r="GM36" s="13"/>
      <c r="GN36" s="13"/>
      <c r="GO36" s="19"/>
      <c r="GP36" s="13"/>
      <c r="GQ36" s="13"/>
      <c r="GR36" s="13"/>
      <c r="GS36" s="13"/>
      <c r="GT36" s="13"/>
      <c r="GU36" s="16" t="n">
        <v>5.11</v>
      </c>
      <c r="GV36" s="0" t="n">
        <v>4.81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s">
        <v>361</v>
      </c>
      <c r="HD36" s="0" t="n">
        <v>74.5</v>
      </c>
      <c r="HE36" s="16" t="n">
        <v>76.2</v>
      </c>
      <c r="HF36" s="16" t="n">
        <v>80.4</v>
      </c>
      <c r="HG36" s="16" t="n">
        <v>42.8</v>
      </c>
      <c r="HH36" s="0" t="n">
        <v>57.15</v>
      </c>
      <c r="HI36" s="0" t="n">
        <v>0.45</v>
      </c>
      <c r="HJ36" s="0" t="n">
        <v>39.09</v>
      </c>
      <c r="HK36" s="0" t="n">
        <v>3.3</v>
      </c>
      <c r="HL36" s="0" t="n">
        <v>0</v>
      </c>
      <c r="HM36" s="0" t="n">
        <v>0</v>
      </c>
      <c r="HN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18.26</v>
      </c>
      <c r="HU36" s="0" t="n">
        <v>34.4</v>
      </c>
      <c r="HV36" s="0" t="n">
        <v>6.27</v>
      </c>
      <c r="HW36" s="0" t="n">
        <v>0</v>
      </c>
      <c r="HX36" s="0" t="n">
        <v>0</v>
      </c>
      <c r="HY36" s="0" t="n">
        <v>0</v>
      </c>
      <c r="IL36" s="0" t="n">
        <v>18.2</v>
      </c>
      <c r="IM36" s="0" t="n">
        <v>1</v>
      </c>
      <c r="IN36" s="0" t="n">
        <v>35</v>
      </c>
      <c r="IO36" s="0" t="n">
        <v>9</v>
      </c>
      <c r="IP36" s="0" t="n">
        <v>2.55</v>
      </c>
      <c r="IQ36" s="0" t="n">
        <v>3</v>
      </c>
      <c r="IX36" s="20"/>
      <c r="JP36" s="0" t="n">
        <v>1</v>
      </c>
      <c r="JQ36" s="0" t="n">
        <v>50</v>
      </c>
      <c r="JR36" s="0" t="n">
        <v>8</v>
      </c>
      <c r="JS36" s="0" t="n">
        <v>2.54</v>
      </c>
      <c r="JT36" s="0" t="n">
        <v>3</v>
      </c>
      <c r="LA36" s="16" t="n">
        <v>7.59</v>
      </c>
      <c r="LB36" s="16" t="n">
        <v>1</v>
      </c>
      <c r="LC36" s="16" t="n">
        <v>1</v>
      </c>
      <c r="LD36" s="16"/>
      <c r="LE36" s="16" t="n">
        <v>22.38</v>
      </c>
      <c r="LF36" s="16" t="n">
        <v>2</v>
      </c>
      <c r="LG36" s="16"/>
      <c r="LH36" s="16" t="n">
        <v>14.92</v>
      </c>
      <c r="LI36" s="16"/>
      <c r="LJ36" s="16"/>
      <c r="LK36" s="16"/>
      <c r="LL36" s="16" t="n">
        <v>5.05</v>
      </c>
      <c r="LM36" s="16" t="n">
        <v>1.54</v>
      </c>
      <c r="LN36" s="16" t="n">
        <v>0</v>
      </c>
      <c r="LO36" s="16" t="n">
        <v>0</v>
      </c>
      <c r="LP36" s="16" t="n">
        <v>0</v>
      </c>
      <c r="LQ36" s="16" t="n">
        <v>0</v>
      </c>
      <c r="LR36" s="16" t="n">
        <v>0</v>
      </c>
      <c r="LS36" s="0" t="n">
        <v>0</v>
      </c>
      <c r="LT36" s="0" t="s">
        <v>351</v>
      </c>
      <c r="LU36" s="0" t="n">
        <v>30.5</v>
      </c>
      <c r="LV36" s="16" t="n">
        <v>68.4</v>
      </c>
      <c r="LW36" s="16" t="n">
        <v>80.4</v>
      </c>
      <c r="LX36" s="16" t="n">
        <v>19.8</v>
      </c>
      <c r="LY36" s="0" t="n">
        <v>72.42</v>
      </c>
      <c r="MA36" s="0" t="n">
        <v>0.94</v>
      </c>
      <c r="MB36" s="0" t="n">
        <v>0.94</v>
      </c>
      <c r="MC36" s="0" t="n">
        <v>25.7</v>
      </c>
      <c r="MD36" s="0" t="n">
        <v>0</v>
      </c>
      <c r="ME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28.26</v>
      </c>
      <c r="ML36" s="0" t="n">
        <v>10.55</v>
      </c>
      <c r="MM36" s="0" t="n">
        <v>14.21</v>
      </c>
      <c r="MN36" s="0" t="n">
        <v>0</v>
      </c>
      <c r="MO36" s="0" t="n">
        <v>0</v>
      </c>
      <c r="MP36" s="0" t="n">
        <v>0</v>
      </c>
      <c r="NC36" s="0" t="n">
        <v>3.3</v>
      </c>
      <c r="ND36" s="0" t="n">
        <v>1</v>
      </c>
      <c r="NE36" s="0" t="n">
        <v>68</v>
      </c>
      <c r="NF36" s="0" t="n">
        <v>2</v>
      </c>
      <c r="NG36" s="0" t="n">
        <v>1.52</v>
      </c>
      <c r="NH36" s="0" t="n">
        <v>1</v>
      </c>
      <c r="NO36" s="20"/>
      <c r="OG36" s="0" t="n">
        <v>0</v>
      </c>
      <c r="PR36" s="16" t="n">
        <v>0</v>
      </c>
      <c r="PS36" s="16" t="n">
        <v>0</v>
      </c>
      <c r="PT36" s="16"/>
      <c r="PU36" s="16"/>
      <c r="PV36" s="16"/>
      <c r="PW36" s="16"/>
      <c r="PX36" s="16"/>
      <c r="PY36" s="16"/>
      <c r="PZ36" s="16"/>
      <c r="QA36" s="16"/>
      <c r="QB36" s="16"/>
      <c r="QC36" s="16" t="n">
        <v>0.81</v>
      </c>
      <c r="QD36" s="16" t="n">
        <v>0.8</v>
      </c>
      <c r="QE36" s="16" t="n">
        <v>0</v>
      </c>
      <c r="QF36" s="16" t="n">
        <v>0</v>
      </c>
      <c r="QG36" s="16" t="n">
        <v>2.99</v>
      </c>
      <c r="QH36" s="16" t="n">
        <v>5.71</v>
      </c>
      <c r="QI36" s="16" t="n">
        <v>0</v>
      </c>
      <c r="QJ36" s="0" t="n">
        <v>0</v>
      </c>
      <c r="QK36" s="0" t="s">
        <v>356</v>
      </c>
      <c r="QL36" s="0" t="n">
        <v>39.5</v>
      </c>
      <c r="QM36" s="16" t="n">
        <v>85.1</v>
      </c>
      <c r="QN36" s="16" t="n">
        <v>80.4</v>
      </c>
      <c r="QO36" s="16" t="n">
        <v>13.6</v>
      </c>
      <c r="QP36" s="0" t="n">
        <v>87.38</v>
      </c>
      <c r="QR36" s="0" t="n">
        <v>8.05</v>
      </c>
      <c r="QS36" s="0" t="n">
        <v>0</v>
      </c>
      <c r="QT36" s="0" t="n">
        <v>4.57</v>
      </c>
      <c r="QU36" s="0" t="n">
        <v>0</v>
      </c>
      <c r="QV36" s="0" t="n">
        <v>0</v>
      </c>
      <c r="QX36" s="0" t="n">
        <v>0</v>
      </c>
      <c r="QY36" s="0" t="n">
        <v>0</v>
      </c>
      <c r="QZ36" s="0" t="n">
        <v>0</v>
      </c>
      <c r="RA36" s="0" t="n">
        <v>0</v>
      </c>
      <c r="RB36" s="0" t="n">
        <v>45</v>
      </c>
      <c r="RC36" s="0" t="n">
        <v>10.1</v>
      </c>
      <c r="RD36" s="0" t="n">
        <v>11.8</v>
      </c>
      <c r="RE36" s="0" t="n">
        <v>0</v>
      </c>
      <c r="RF36" s="0" t="n">
        <v>0</v>
      </c>
      <c r="RG36" s="0" t="n">
        <v>0</v>
      </c>
      <c r="RT36" s="0" t="n">
        <v>17.8</v>
      </c>
      <c r="RU36" s="0" t="n">
        <v>1</v>
      </c>
      <c r="RV36" s="0" t="n">
        <v>30</v>
      </c>
      <c r="RW36" s="0" t="n">
        <v>7</v>
      </c>
      <c r="RX36" s="0" t="n">
        <v>5.33</v>
      </c>
      <c r="RY36" s="0" t="n">
        <v>3</v>
      </c>
      <c r="SF36" s="20"/>
      <c r="SX36" s="0" t="n">
        <v>1</v>
      </c>
      <c r="SY36" s="0" t="n">
        <v>50</v>
      </c>
      <c r="SZ36" s="0" t="n">
        <v>1</v>
      </c>
      <c r="TA36" s="0" t="n">
        <v>0.03</v>
      </c>
      <c r="TB36" s="0" t="n">
        <v>1</v>
      </c>
      <c r="UI36" s="16" t="n">
        <v>3.96</v>
      </c>
      <c r="UJ36" s="16" t="n">
        <v>1</v>
      </c>
      <c r="UK36" s="16" t="n">
        <v>1</v>
      </c>
      <c r="UL36" s="16"/>
      <c r="UM36" s="16" t="n">
        <v>41.03</v>
      </c>
      <c r="UN36" s="16" t="n">
        <v>2</v>
      </c>
      <c r="UO36" s="16" t="n">
        <v>3.73</v>
      </c>
      <c r="UP36" s="16"/>
      <c r="UQ36" s="16"/>
      <c r="UR36" s="16"/>
      <c r="US36" s="16"/>
      <c r="UT36" s="16" t="n">
        <v>0</v>
      </c>
      <c r="UU36" s="16" t="n">
        <v>0</v>
      </c>
      <c r="UV36" s="16" t="n">
        <v>0</v>
      </c>
      <c r="UW36" s="16" t="n">
        <v>0</v>
      </c>
      <c r="UX36" s="16" t="n">
        <v>0</v>
      </c>
      <c r="UY36" s="16" t="n">
        <v>0</v>
      </c>
      <c r="UZ36" s="16" t="n">
        <v>0</v>
      </c>
      <c r="VA36" s="0" t="n">
        <v>0</v>
      </c>
      <c r="VB36" s="0" t="s">
        <v>357</v>
      </c>
      <c r="VC36" s="0" t="n">
        <v>27.5</v>
      </c>
      <c r="VD36" s="16" t="n">
        <v>76.2</v>
      </c>
      <c r="VE36" s="16" t="n">
        <v>80.4</v>
      </c>
      <c r="VF36" s="16" t="n">
        <v>15.3</v>
      </c>
      <c r="VG36" s="0" t="n">
        <v>87.64</v>
      </c>
      <c r="VI36" s="0" t="n">
        <v>0</v>
      </c>
      <c r="VJ36" s="0" t="n">
        <v>0</v>
      </c>
      <c r="VK36" s="0" t="n">
        <v>12.36</v>
      </c>
      <c r="VL36" s="0" t="n">
        <v>0</v>
      </c>
      <c r="VM36" s="0" t="n">
        <v>0</v>
      </c>
      <c r="VO36" s="0" t="n">
        <v>0</v>
      </c>
      <c r="VP36" s="0" t="n">
        <v>0</v>
      </c>
      <c r="VQ36" s="0" t="n">
        <v>0</v>
      </c>
      <c r="VR36" s="0" t="n">
        <v>24.9</v>
      </c>
      <c r="VS36" s="0" t="n">
        <v>31.99</v>
      </c>
      <c r="VT36" s="0" t="n">
        <v>18.66</v>
      </c>
      <c r="VU36" s="0" t="n">
        <v>0</v>
      </c>
      <c r="VV36" s="0" t="n">
        <v>0</v>
      </c>
      <c r="VW36" s="0" t="n">
        <v>4.8</v>
      </c>
      <c r="VX36" s="0" t="n">
        <v>5</v>
      </c>
      <c r="VY36" s="0" t="n">
        <v>50</v>
      </c>
      <c r="VZ36" s="0" t="n">
        <v>4</v>
      </c>
      <c r="WE36" s="0" t="n">
        <v>50</v>
      </c>
      <c r="WF36" s="0" t="n">
        <v>4</v>
      </c>
      <c r="WK36" s="0" t="n">
        <v>5.5</v>
      </c>
      <c r="WL36" s="0" t="n">
        <v>0</v>
      </c>
      <c r="WW36" s="20"/>
      <c r="XO36" s="0" t="n">
        <v>1</v>
      </c>
      <c r="XP36" s="0" t="n">
        <v>50</v>
      </c>
      <c r="XQ36" s="0" t="n">
        <v>4</v>
      </c>
      <c r="XR36" s="0" t="n">
        <v>3.59</v>
      </c>
      <c r="XS36" s="0" t="n">
        <v>3</v>
      </c>
      <c r="XT36" s="0" t="n">
        <v>70</v>
      </c>
      <c r="XU36" s="0" t="n">
        <v>14</v>
      </c>
      <c r="XV36" s="0" t="n">
        <v>4.93</v>
      </c>
      <c r="XW36" s="0" t="n">
        <v>2</v>
      </c>
      <c r="YZ36" s="16" t="n">
        <v>0.75</v>
      </c>
      <c r="ZA36" s="16" t="n">
        <v>1</v>
      </c>
      <c r="ZB36" s="16" t="n">
        <v>1</v>
      </c>
      <c r="ZC36" s="16"/>
      <c r="ZD36" s="16" t="n">
        <v>9.96</v>
      </c>
      <c r="ZE36" s="16"/>
      <c r="ZF36" s="16"/>
      <c r="ZG36" s="16"/>
      <c r="ZH36" s="16"/>
      <c r="ZI36" s="16"/>
      <c r="ZJ36" s="16"/>
      <c r="ZK36" s="16" t="n">
        <v>0</v>
      </c>
      <c r="ZL36" s="16" t="n">
        <v>0</v>
      </c>
      <c r="ZM36" s="16" t="n">
        <v>0</v>
      </c>
      <c r="ZN36" s="16" t="n">
        <v>0</v>
      </c>
      <c r="ZO36" s="16" t="n">
        <v>0</v>
      </c>
      <c r="ZP36" s="16" t="n">
        <v>0</v>
      </c>
      <c r="ZQ36" s="16" t="n">
        <v>0</v>
      </c>
      <c r="ZR36" s="0" t="n">
        <v>0</v>
      </c>
      <c r="ZS36" s="0" t="s">
        <v>370</v>
      </c>
      <c r="ZT36" s="0" t="n">
        <v>80.5</v>
      </c>
      <c r="ZU36" s="16" t="n">
        <v>42.5</v>
      </c>
      <c r="ZV36" s="16" t="n">
        <v>80.4</v>
      </c>
      <c r="ZW36" s="16" t="n">
        <v>4.3</v>
      </c>
      <c r="ZX36" s="0" t="n">
        <v>100</v>
      </c>
      <c r="ZZ36" s="0" t="n">
        <v>0</v>
      </c>
      <c r="AAA36" s="0" t="n">
        <v>0</v>
      </c>
      <c r="AAB36" s="0" t="n">
        <v>0</v>
      </c>
      <c r="AAC36" s="0" t="n">
        <v>0</v>
      </c>
      <c r="AAD36" s="0" t="n">
        <v>0</v>
      </c>
      <c r="AAF36" s="0" t="n">
        <v>0</v>
      </c>
      <c r="AAG36" s="0" t="n">
        <v>0</v>
      </c>
      <c r="AAH36" s="0" t="n">
        <v>0</v>
      </c>
      <c r="AAI36" s="0" t="n">
        <v>0</v>
      </c>
      <c r="AAJ36" s="0" t="n">
        <v>61.07</v>
      </c>
      <c r="AAK36" s="0" t="n">
        <v>4</v>
      </c>
      <c r="AAL36" s="0" t="n">
        <v>0.14</v>
      </c>
      <c r="AAM36" s="0" t="n">
        <v>0</v>
      </c>
      <c r="AAN36" s="0" t="n">
        <v>15.7</v>
      </c>
      <c r="AAO36" s="0" t="n">
        <v>1</v>
      </c>
      <c r="AAP36" s="0" t="n">
        <v>3</v>
      </c>
      <c r="AAR36" s="0" t="n">
        <v>1</v>
      </c>
      <c r="AAV36" s="0" t="n">
        <v>3</v>
      </c>
      <c r="AAX36" s="0" t="n">
        <v>1</v>
      </c>
      <c r="ABB36" s="0" t="n">
        <v>12.4</v>
      </c>
      <c r="ABC36" s="0" t="n">
        <v>1</v>
      </c>
      <c r="ABD36" s="0" t="n">
        <v>34</v>
      </c>
      <c r="ABE36" s="0" t="n">
        <v>4</v>
      </c>
      <c r="ABF36" s="0" t="n">
        <v>1.28</v>
      </c>
      <c r="ABG36" s="0" t="n">
        <v>1</v>
      </c>
      <c r="ABN36" s="20"/>
      <c r="ACF36" s="0" t="n">
        <v>1</v>
      </c>
      <c r="ACG36" s="0" t="n">
        <v>50</v>
      </c>
      <c r="ACH36" s="0" t="n">
        <v>2</v>
      </c>
      <c r="ACI36" s="0" t="n">
        <v>2.28</v>
      </c>
      <c r="ACJ36" s="0" t="n">
        <v>3</v>
      </c>
      <c r="ACK36" s="0" t="n">
        <v>50</v>
      </c>
      <c r="ACL36" s="0" t="n">
        <v>12</v>
      </c>
      <c r="ACM36" s="0" t="n">
        <v>8.75</v>
      </c>
      <c r="ACN36" s="0" t="n">
        <v>4</v>
      </c>
      <c r="ADQ36" s="16" t="n">
        <v>0.63</v>
      </c>
      <c r="ADR36" s="16" t="n">
        <v>1</v>
      </c>
      <c r="ADS36" s="16" t="n">
        <v>1</v>
      </c>
      <c r="ADT36" s="16"/>
      <c r="ADU36" s="16" t="n">
        <v>7.46</v>
      </c>
      <c r="ADV36" s="16"/>
      <c r="ADW36" s="16"/>
      <c r="ADX36" s="16"/>
      <c r="ADY36" s="16"/>
      <c r="ADZ36" s="16"/>
      <c r="AEA36" s="16"/>
      <c r="AEB36" s="16" t="n">
        <v>8.47</v>
      </c>
      <c r="AEC36" s="16" t="n">
        <v>4.95</v>
      </c>
      <c r="AED36" s="16" t="n">
        <v>0</v>
      </c>
      <c r="AEE36" s="16" t="n">
        <v>0</v>
      </c>
      <c r="AEF36" s="16" t="n">
        <v>0</v>
      </c>
      <c r="AEG36" s="16" t="n">
        <v>0</v>
      </c>
      <c r="AEH36" s="16" t="n">
        <v>0</v>
      </c>
      <c r="AEI36" s="0" t="n">
        <v>0</v>
      </c>
      <c r="AEK36" s="15"/>
      <c r="AEL36" s="15"/>
      <c r="AES36" s="15"/>
      <c r="AET36" s="15"/>
      <c r="AFA36" s="15"/>
      <c r="AFB36" s="15"/>
      <c r="AFI36" s="15"/>
      <c r="AFJ36" s="15"/>
      <c r="AFQ36" s="15"/>
      <c r="AFR36" s="15"/>
      <c r="AFY36" s="15"/>
      <c r="AFZ36" s="15"/>
      <c r="AGG36" s="15"/>
      <c r="AGH36" s="15"/>
      <c r="AGO36" s="15"/>
      <c r="AGP36" s="15"/>
      <c r="AGW36" s="15"/>
      <c r="AGX36" s="15"/>
      <c r="AHE36" s="15"/>
      <c r="AHF36" s="15"/>
      <c r="AHM36" s="15"/>
      <c r="AHN36" s="15"/>
      <c r="AHU36" s="15"/>
      <c r="AHV36" s="15"/>
      <c r="AIC36" s="15"/>
      <c r="AID36" s="15"/>
      <c r="AIK36" s="15"/>
      <c r="AIL36" s="15"/>
      <c r="AIS36" s="15"/>
      <c r="AIT36" s="15"/>
      <c r="AJA36" s="15"/>
      <c r="AJB36" s="15"/>
      <c r="AJI36" s="15"/>
      <c r="AJJ36" s="15"/>
      <c r="AJQ36" s="15"/>
      <c r="AJR36" s="15"/>
      <c r="AJY36" s="15"/>
      <c r="AJZ36" s="15"/>
      <c r="AKG36" s="15"/>
      <c r="AKH36" s="15"/>
      <c r="AKO36" s="15"/>
      <c r="AKP36" s="15"/>
      <c r="AKW36" s="15"/>
      <c r="AKX36" s="15"/>
      <c r="ALE36" s="15"/>
      <c r="ALF36" s="15"/>
      <c r="ALM36" s="15"/>
      <c r="ALN36" s="15"/>
      <c r="ALU36" s="15"/>
      <c r="ALV36" s="15"/>
      <c r="AMC36" s="15"/>
      <c r="AMD36" s="15"/>
    </row>
    <row r="37" customFormat="false" ht="13.8" hidden="false" customHeight="false" outlineLevel="0" collapsed="false">
      <c r="A37" s="1" t="s">
        <v>371</v>
      </c>
      <c r="B37" s="12" t="n">
        <v>42899</v>
      </c>
      <c r="C37" s="0" t="n">
        <v>1</v>
      </c>
      <c r="D37" s="13" t="n">
        <v>42786</v>
      </c>
      <c r="E37" s="12" t="n">
        <v>31888</v>
      </c>
      <c r="F37" s="14" t="n">
        <f aca="false">(B37-E37)/365.25</f>
        <v>30.1464750171116</v>
      </c>
      <c r="G37" s="14" t="n">
        <f aca="false">(B37-D37)/365.25</f>
        <v>0.309377138945927</v>
      </c>
      <c r="H37" s="15" t="s">
        <v>183</v>
      </c>
      <c r="I37" s="15" t="s">
        <v>347</v>
      </c>
      <c r="J37" s="21" t="s">
        <v>181</v>
      </c>
      <c r="K37" s="21" t="n">
        <v>4</v>
      </c>
      <c r="L37" s="19" t="n">
        <v>67</v>
      </c>
      <c r="M37" s="0" t="n">
        <v>1.73</v>
      </c>
      <c r="N37" s="16" t="n">
        <f aca="false">L37/(M37*M37)</f>
        <v>22.3863142771225</v>
      </c>
      <c r="O37" s="19" t="n">
        <v>0</v>
      </c>
      <c r="P37" s="19" t="n">
        <v>0</v>
      </c>
      <c r="Q37" s="19" t="n">
        <v>0</v>
      </c>
      <c r="R37" s="19" t="n">
        <v>0</v>
      </c>
      <c r="S37" s="19" t="n">
        <v>0</v>
      </c>
      <c r="T37" s="19" t="n">
        <v>0</v>
      </c>
      <c r="U37" s="19" t="n">
        <v>1</v>
      </c>
      <c r="V37" s="19" t="n">
        <v>5</v>
      </c>
      <c r="W37" s="19" t="n">
        <v>1</v>
      </c>
      <c r="X37" s="19" t="n">
        <v>0</v>
      </c>
      <c r="Y37" s="19" t="n">
        <v>0</v>
      </c>
      <c r="Z37" s="19" t="n">
        <v>0</v>
      </c>
      <c r="AA37" s="19" t="n">
        <v>0</v>
      </c>
      <c r="AB37" s="19" t="n">
        <v>0</v>
      </c>
      <c r="AC37" s="19" t="n">
        <v>0</v>
      </c>
      <c r="AD37" s="19" t="n">
        <v>0</v>
      </c>
      <c r="AE37" s="19" t="n">
        <v>1</v>
      </c>
      <c r="AF37" s="19" t="n">
        <v>0</v>
      </c>
      <c r="AG37" s="19" t="n">
        <v>0</v>
      </c>
      <c r="AH37" s="19" t="n">
        <v>0</v>
      </c>
      <c r="AI37" s="19" t="n">
        <v>1</v>
      </c>
      <c r="AJ37" s="19" t="n">
        <v>0</v>
      </c>
      <c r="AK37" s="19" t="n">
        <v>0</v>
      </c>
      <c r="AL37" s="19" t="n">
        <v>0</v>
      </c>
      <c r="AM37" s="19" t="n">
        <v>0</v>
      </c>
      <c r="AN37" s="19" t="n">
        <v>0</v>
      </c>
      <c r="AO37" s="19" t="n">
        <v>0</v>
      </c>
      <c r="AP37" s="19" t="n">
        <v>0</v>
      </c>
      <c r="AQ37" s="19" t="n">
        <v>0</v>
      </c>
      <c r="AR37" s="19" t="n">
        <v>0</v>
      </c>
      <c r="AS37" s="19" t="n">
        <v>0</v>
      </c>
      <c r="AT37" s="19" t="n">
        <v>0</v>
      </c>
      <c r="AU37" s="19" t="n">
        <v>0</v>
      </c>
      <c r="AV37" s="19" t="n">
        <v>0</v>
      </c>
      <c r="AW37" s="19" t="n">
        <v>0</v>
      </c>
      <c r="AX37" s="19" t="n">
        <v>0</v>
      </c>
      <c r="AY37" s="19" t="n">
        <v>0</v>
      </c>
      <c r="AZ37" s="19" t="n">
        <v>0</v>
      </c>
      <c r="BA37" s="19" t="n">
        <v>0</v>
      </c>
      <c r="BB37" s="19" t="n">
        <v>1</v>
      </c>
      <c r="BC37" s="19" t="n">
        <v>0</v>
      </c>
      <c r="BD37" s="19" t="n">
        <v>0</v>
      </c>
      <c r="BE37" s="19" t="n">
        <v>0</v>
      </c>
      <c r="BF37" s="19" t="n">
        <v>0</v>
      </c>
      <c r="BG37" s="19" t="n">
        <v>0</v>
      </c>
      <c r="BH37" s="19" t="n">
        <v>0</v>
      </c>
      <c r="BI37" s="19" t="n">
        <v>0</v>
      </c>
      <c r="BJ37" s="19" t="n">
        <v>0</v>
      </c>
      <c r="BK37" s="19" t="n">
        <v>0</v>
      </c>
      <c r="BL37" s="19" t="n">
        <v>0</v>
      </c>
      <c r="BM37" s="19" t="n">
        <v>0</v>
      </c>
      <c r="BN37" s="19" t="n">
        <v>1</v>
      </c>
      <c r="BO37" s="19" t="n">
        <v>0</v>
      </c>
      <c r="BP37" s="19" t="n">
        <v>0</v>
      </c>
      <c r="BQ37" s="19" t="n">
        <v>0</v>
      </c>
      <c r="BR37" s="19" t="n">
        <v>1</v>
      </c>
      <c r="BS37" s="19" t="n">
        <v>2</v>
      </c>
      <c r="BT37" s="19" t="n">
        <v>5</v>
      </c>
      <c r="BU37" s="19" t="n">
        <v>5</v>
      </c>
      <c r="BV37" s="19" t="n">
        <v>4</v>
      </c>
      <c r="BW37" s="19" t="n">
        <v>5</v>
      </c>
      <c r="BX37" s="19" t="n">
        <v>3</v>
      </c>
      <c r="BY37" s="19" t="n">
        <v>4</v>
      </c>
      <c r="BZ37" s="19" t="n">
        <v>4</v>
      </c>
      <c r="CA37" s="19" t="n">
        <v>3</v>
      </c>
      <c r="CB37" s="19" t="n">
        <v>4</v>
      </c>
      <c r="CC37" s="19" t="n">
        <v>5</v>
      </c>
      <c r="CD37" s="19" t="n">
        <v>4</v>
      </c>
      <c r="CE37" s="19" t="n">
        <v>4</v>
      </c>
      <c r="CF37" s="19" t="n">
        <v>4</v>
      </c>
      <c r="CG37" s="19" t="n">
        <v>3</v>
      </c>
      <c r="CH37" s="19" t="n">
        <v>4</v>
      </c>
      <c r="CI37" s="19" t="n">
        <v>4</v>
      </c>
      <c r="CJ37" s="19" t="n">
        <v>4</v>
      </c>
      <c r="CK37" s="19" t="n">
        <v>9</v>
      </c>
      <c r="CL37" s="0" t="s">
        <v>355</v>
      </c>
      <c r="CM37" s="0" t="n">
        <v>37</v>
      </c>
      <c r="CN37" s="16" t="n">
        <v>95.1</v>
      </c>
      <c r="CO37" s="16" t="n">
        <v>80.4</v>
      </c>
      <c r="CP37" s="16" t="n">
        <v>15.9</v>
      </c>
      <c r="CQ37" s="0" t="n">
        <v>82.71</v>
      </c>
      <c r="CS37" s="0" t="n">
        <v>10.32</v>
      </c>
      <c r="CT37" s="0" t="n">
        <v>0.39</v>
      </c>
      <c r="CU37" s="0" t="n">
        <v>10.32</v>
      </c>
      <c r="CV37" s="0" t="n">
        <v>0</v>
      </c>
      <c r="CW37" s="0" t="n">
        <v>0</v>
      </c>
      <c r="CY37" s="0" t="n">
        <v>0</v>
      </c>
      <c r="CZ37" s="0" t="n">
        <v>0</v>
      </c>
      <c r="DA37" s="0" t="n">
        <v>0</v>
      </c>
      <c r="DB37" s="0" t="n">
        <v>1.9</v>
      </c>
      <c r="DC37" s="0" t="n">
        <v>26.26</v>
      </c>
      <c r="DD37" s="0" t="n">
        <v>6.04</v>
      </c>
      <c r="DE37" s="0" t="n">
        <v>2.19</v>
      </c>
      <c r="DF37" s="0" t="n">
        <v>0</v>
      </c>
      <c r="DG37" s="0" t="n">
        <v>0</v>
      </c>
      <c r="DH37" s="0" t="n">
        <v>0</v>
      </c>
      <c r="DU37" s="0" t="n">
        <v>14.7</v>
      </c>
      <c r="DV37" s="0" t="n">
        <v>1</v>
      </c>
      <c r="DW37" s="0" t="n">
        <v>35</v>
      </c>
      <c r="DX37" s="0" t="n">
        <v>2</v>
      </c>
      <c r="DY37" s="0" t="n">
        <v>1.8</v>
      </c>
      <c r="DZ37" s="0" t="n">
        <v>3</v>
      </c>
      <c r="EG37" s="20"/>
      <c r="EY37" s="0" t="n">
        <v>1</v>
      </c>
      <c r="EZ37" s="0" t="n">
        <v>50</v>
      </c>
      <c r="FA37" s="0" t="n">
        <v>1</v>
      </c>
      <c r="FB37" s="0" t="n">
        <v>1.34</v>
      </c>
      <c r="FC37" s="0" t="n">
        <v>2</v>
      </c>
      <c r="FD37" s="0" t="n">
        <v>40</v>
      </c>
      <c r="FE37" s="0" t="n">
        <v>1</v>
      </c>
      <c r="FF37" s="0" t="n">
        <v>0.9</v>
      </c>
      <c r="FG37" s="0" t="n">
        <v>3</v>
      </c>
      <c r="FH37" s="0" t="n">
        <v>50</v>
      </c>
      <c r="FI37" s="0" t="n">
        <v>1</v>
      </c>
      <c r="FJ37" s="0" t="n">
        <v>0.9</v>
      </c>
      <c r="FK37" s="0" t="n">
        <v>3</v>
      </c>
      <c r="FL37" s="0" t="n">
        <v>80</v>
      </c>
      <c r="FM37" s="0" t="n">
        <v>2</v>
      </c>
      <c r="FN37" s="0" t="n">
        <v>2.68</v>
      </c>
      <c r="FO37" s="0" t="n">
        <v>2</v>
      </c>
      <c r="FP37" s="0" t="n">
        <v>100</v>
      </c>
      <c r="FQ37" s="0" t="n">
        <v>1</v>
      </c>
      <c r="FR37" s="0" t="n">
        <v>2.57</v>
      </c>
      <c r="FS37" s="0" t="n">
        <v>2</v>
      </c>
      <c r="GJ37" s="0" t="n">
        <v>0</v>
      </c>
      <c r="GK37" s="19" t="n">
        <v>0</v>
      </c>
      <c r="GL37" s="19"/>
      <c r="GM37" s="13"/>
      <c r="GN37" s="13"/>
      <c r="GO37" s="19"/>
      <c r="GP37" s="13"/>
      <c r="GQ37" s="13"/>
      <c r="GR37" s="13"/>
      <c r="GS37" s="13"/>
      <c r="GT37" s="13"/>
      <c r="GU37" s="16" t="n">
        <v>5.11</v>
      </c>
      <c r="GV37" s="0" t="n">
        <v>4.81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s">
        <v>351</v>
      </c>
      <c r="HD37" s="0" t="n">
        <v>30.5</v>
      </c>
      <c r="HE37" s="16" t="n">
        <v>68.4</v>
      </c>
      <c r="HF37" s="16" t="n">
        <v>80.4</v>
      </c>
      <c r="HG37" s="16" t="n">
        <v>19.8</v>
      </c>
      <c r="HH37" s="0" t="n">
        <v>72.42</v>
      </c>
      <c r="HJ37" s="0" t="n">
        <v>0.94</v>
      </c>
      <c r="HK37" s="0" t="n">
        <v>0.94</v>
      </c>
      <c r="HL37" s="0" t="n">
        <v>25.7</v>
      </c>
      <c r="HM37" s="0" t="n">
        <v>0</v>
      </c>
      <c r="HN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28.26</v>
      </c>
      <c r="HU37" s="0" t="n">
        <v>10.55</v>
      </c>
      <c r="HV37" s="0" t="n">
        <v>14.21</v>
      </c>
      <c r="HW37" s="0" t="n">
        <v>0</v>
      </c>
      <c r="HX37" s="0" t="n">
        <v>0</v>
      </c>
      <c r="HY37" s="0" t="n">
        <v>0</v>
      </c>
      <c r="IL37" s="0" t="n">
        <v>3.3</v>
      </c>
      <c r="IM37" s="0" t="n">
        <v>1</v>
      </c>
      <c r="IN37" s="0" t="n">
        <v>68</v>
      </c>
      <c r="IO37" s="0" t="n">
        <v>2</v>
      </c>
      <c r="IP37" s="0" t="n">
        <v>1.52</v>
      </c>
      <c r="IQ37" s="0" t="n">
        <v>1</v>
      </c>
      <c r="IX37" s="20"/>
      <c r="JP37" s="0" t="n">
        <v>0</v>
      </c>
      <c r="LA37" s="16" t="n">
        <v>0</v>
      </c>
      <c r="LB37" s="16" t="n">
        <v>0</v>
      </c>
      <c r="LC37" s="16"/>
      <c r="LD37" s="16"/>
      <c r="LE37" s="16"/>
      <c r="LF37" s="16"/>
      <c r="LG37" s="16"/>
      <c r="LH37" s="16"/>
      <c r="LI37" s="16"/>
      <c r="LJ37" s="16"/>
      <c r="LK37" s="16"/>
      <c r="LL37" s="16" t="n">
        <v>0.81</v>
      </c>
      <c r="LM37" s="16" t="n">
        <v>0.8</v>
      </c>
      <c r="LN37" s="16" t="n">
        <v>0</v>
      </c>
      <c r="LO37" s="16" t="n">
        <v>0</v>
      </c>
      <c r="LP37" s="16" t="n">
        <v>2.99</v>
      </c>
      <c r="LQ37" s="16" t="n">
        <v>5.71</v>
      </c>
      <c r="LR37" s="16" t="n">
        <v>0</v>
      </c>
      <c r="LS37" s="0" t="n">
        <v>0</v>
      </c>
      <c r="LT37" s="0" t="s">
        <v>356</v>
      </c>
      <c r="LU37" s="0" t="n">
        <v>39.5</v>
      </c>
      <c r="LV37" s="16" t="n">
        <v>85.1</v>
      </c>
      <c r="LW37" s="16" t="n">
        <v>80.4</v>
      </c>
      <c r="LX37" s="16" t="n">
        <v>13.6</v>
      </c>
      <c r="LY37" s="0" t="n">
        <v>87.38</v>
      </c>
      <c r="MA37" s="0" t="n">
        <v>8.05</v>
      </c>
      <c r="MB37" s="0" t="n">
        <v>0</v>
      </c>
      <c r="MC37" s="0" t="n">
        <v>4.57</v>
      </c>
      <c r="MD37" s="0" t="n">
        <v>0</v>
      </c>
      <c r="ME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45</v>
      </c>
      <c r="ML37" s="0" t="n">
        <v>10.1</v>
      </c>
      <c r="MM37" s="0" t="n">
        <v>11.8</v>
      </c>
      <c r="MN37" s="0" t="n">
        <v>0</v>
      </c>
      <c r="MO37" s="0" t="n">
        <v>0</v>
      </c>
      <c r="MP37" s="0" t="n">
        <v>0</v>
      </c>
      <c r="NC37" s="0" t="n">
        <v>17.8</v>
      </c>
      <c r="ND37" s="0" t="n">
        <v>1</v>
      </c>
      <c r="NE37" s="0" t="n">
        <v>30</v>
      </c>
      <c r="NF37" s="0" t="n">
        <v>7</v>
      </c>
      <c r="NG37" s="0" t="n">
        <v>5.33</v>
      </c>
      <c r="NH37" s="0" t="n">
        <v>3</v>
      </c>
      <c r="NO37" s="20"/>
      <c r="OG37" s="0" t="n">
        <v>1</v>
      </c>
      <c r="OH37" s="0" t="n">
        <v>50</v>
      </c>
      <c r="OI37" s="0" t="n">
        <v>1</v>
      </c>
      <c r="OJ37" s="0" t="n">
        <v>0.03</v>
      </c>
      <c r="OK37" s="0" t="n">
        <v>1</v>
      </c>
      <c r="PR37" s="16" t="n">
        <v>3.96</v>
      </c>
      <c r="PS37" s="16" t="n">
        <v>1</v>
      </c>
      <c r="PT37" s="16" t="n">
        <v>1</v>
      </c>
      <c r="PU37" s="16"/>
      <c r="PV37" s="16" t="n">
        <v>41.03</v>
      </c>
      <c r="PW37" s="16" t="n">
        <v>2</v>
      </c>
      <c r="PX37" s="16" t="n">
        <v>3.73</v>
      </c>
      <c r="PY37" s="16"/>
      <c r="PZ37" s="16"/>
      <c r="QA37" s="16"/>
      <c r="QB37" s="16"/>
      <c r="QC37" s="16" t="n">
        <v>0</v>
      </c>
      <c r="QD37" s="16" t="n">
        <v>0</v>
      </c>
      <c r="QE37" s="16" t="n">
        <v>0</v>
      </c>
      <c r="QF37" s="16" t="n">
        <v>0</v>
      </c>
      <c r="QG37" s="16" t="n">
        <v>0</v>
      </c>
      <c r="QH37" s="16" t="n">
        <v>0</v>
      </c>
      <c r="QI37" s="16" t="n">
        <v>0</v>
      </c>
      <c r="QJ37" s="0" t="n">
        <v>0</v>
      </c>
      <c r="QK37" s="0" t="s">
        <v>357</v>
      </c>
      <c r="QL37" s="0" t="n">
        <v>27.5</v>
      </c>
      <c r="QM37" s="16" t="n">
        <v>76.2</v>
      </c>
      <c r="QN37" s="16" t="n">
        <v>80.4</v>
      </c>
      <c r="QO37" s="16" t="n">
        <v>15.3</v>
      </c>
      <c r="QP37" s="0" t="n">
        <v>87.64</v>
      </c>
      <c r="QR37" s="0" t="n">
        <v>0</v>
      </c>
      <c r="QS37" s="0" t="n">
        <v>0</v>
      </c>
      <c r="QT37" s="0" t="n">
        <v>12.36</v>
      </c>
      <c r="QU37" s="0" t="n">
        <v>0</v>
      </c>
      <c r="QV37" s="0" t="n">
        <v>0</v>
      </c>
      <c r="QX37" s="0" t="n">
        <v>0</v>
      </c>
      <c r="QY37" s="0" t="n">
        <v>0</v>
      </c>
      <c r="QZ37" s="0" t="n">
        <v>0</v>
      </c>
      <c r="RA37" s="0" t="n">
        <v>24.9</v>
      </c>
      <c r="RB37" s="0" t="n">
        <v>31.99</v>
      </c>
      <c r="RC37" s="0" t="n">
        <v>18.66</v>
      </c>
      <c r="RD37" s="0" t="n">
        <v>0</v>
      </c>
      <c r="RE37" s="0" t="n">
        <v>0</v>
      </c>
      <c r="RF37" s="0" t="n">
        <v>4.8</v>
      </c>
      <c r="RG37" s="0" t="n">
        <v>5</v>
      </c>
      <c r="RH37" s="0" t="n">
        <v>50</v>
      </c>
      <c r="RI37" s="0" t="n">
        <v>4</v>
      </c>
      <c r="RN37" s="0" t="n">
        <v>50</v>
      </c>
      <c r="RO37" s="0" t="n">
        <v>4</v>
      </c>
      <c r="RT37" s="0" t="n">
        <v>5.5</v>
      </c>
      <c r="RU37" s="0" t="n">
        <v>0</v>
      </c>
      <c r="SF37" s="20"/>
      <c r="SX37" s="0" t="n">
        <v>1</v>
      </c>
      <c r="SY37" s="0" t="n">
        <v>50</v>
      </c>
      <c r="SZ37" s="0" t="n">
        <v>4</v>
      </c>
      <c r="TA37" s="0" t="n">
        <v>3.59</v>
      </c>
      <c r="TB37" s="0" t="n">
        <v>3</v>
      </c>
      <c r="TC37" s="0" t="n">
        <v>70</v>
      </c>
      <c r="TD37" s="0" t="n">
        <v>14</v>
      </c>
      <c r="TE37" s="0" t="n">
        <v>4.93</v>
      </c>
      <c r="TF37" s="0" t="n">
        <v>2</v>
      </c>
      <c r="UI37" s="16" t="n">
        <v>0.75</v>
      </c>
      <c r="UJ37" s="16" t="n">
        <v>1</v>
      </c>
      <c r="UK37" s="16" t="n">
        <v>1</v>
      </c>
      <c r="UL37" s="16"/>
      <c r="UM37" s="16" t="n">
        <v>9.96</v>
      </c>
      <c r="UN37" s="16"/>
      <c r="UO37" s="16"/>
      <c r="UP37" s="16"/>
      <c r="UQ37" s="16"/>
      <c r="UR37" s="16"/>
      <c r="US37" s="16"/>
      <c r="UT37" s="16" t="n">
        <v>0</v>
      </c>
      <c r="UU37" s="16" t="n">
        <v>0</v>
      </c>
      <c r="UV37" s="16" t="n">
        <v>0</v>
      </c>
      <c r="UW37" s="16" t="n">
        <v>0</v>
      </c>
      <c r="UX37" s="16" t="n">
        <v>0</v>
      </c>
      <c r="UY37" s="16" t="n">
        <v>0</v>
      </c>
      <c r="UZ37" s="16" t="n">
        <v>0</v>
      </c>
      <c r="VA37" s="0" t="n">
        <v>0</v>
      </c>
      <c r="VE37" s="15"/>
      <c r="VF37" s="15"/>
      <c r="VM37" s="15"/>
      <c r="VN37" s="15"/>
      <c r="VU37" s="15"/>
      <c r="VV37" s="15"/>
      <c r="WC37" s="15"/>
      <c r="WD37" s="15"/>
      <c r="WK37" s="15"/>
      <c r="WL37" s="15"/>
      <c r="WS37" s="15"/>
      <c r="WT37" s="15"/>
      <c r="XA37" s="15"/>
      <c r="XB37" s="15"/>
      <c r="XI37" s="15"/>
      <c r="XJ37" s="15"/>
      <c r="XQ37" s="15"/>
      <c r="XR37" s="15"/>
      <c r="XY37" s="15"/>
      <c r="XZ37" s="15"/>
      <c r="YG37" s="15"/>
      <c r="YH37" s="15"/>
      <c r="YO37" s="15"/>
      <c r="YP37" s="15"/>
      <c r="YW37" s="15"/>
      <c r="YX37" s="15"/>
      <c r="ZE37" s="15"/>
      <c r="ZF37" s="15"/>
      <c r="ZM37" s="15"/>
      <c r="ZN37" s="15"/>
      <c r="ZU37" s="15"/>
      <c r="ZV37" s="15"/>
      <c r="AAC37" s="15"/>
      <c r="AAD37" s="15"/>
      <c r="AAK37" s="15"/>
      <c r="AAL37" s="15"/>
      <c r="AAS37" s="15"/>
      <c r="AAT37" s="15"/>
      <c r="ABA37" s="15"/>
      <c r="ABB37" s="15"/>
      <c r="ABI37" s="15"/>
      <c r="ABJ37" s="15"/>
      <c r="ABQ37" s="15"/>
      <c r="ABR37" s="15"/>
      <c r="ABY37" s="15"/>
      <c r="ABZ37" s="15"/>
      <c r="ACG37" s="15"/>
      <c r="ACH37" s="15"/>
      <c r="ACO37" s="15"/>
      <c r="ACP37" s="15"/>
      <c r="ACW37" s="15"/>
      <c r="ACX37" s="15"/>
      <c r="ADE37" s="15"/>
      <c r="ADF37" s="15"/>
      <c r="ADM37" s="15"/>
      <c r="ADN37" s="15"/>
      <c r="ADU37" s="15"/>
      <c r="ADV37" s="15"/>
      <c r="AEC37" s="15"/>
      <c r="AED37" s="15"/>
      <c r="AEK37" s="15"/>
      <c r="AEL37" s="15"/>
      <c r="AES37" s="15"/>
      <c r="AET37" s="15"/>
      <c r="AFA37" s="15"/>
      <c r="AFB37" s="15"/>
      <c r="AFI37" s="15"/>
      <c r="AFJ37" s="15"/>
      <c r="AFQ37" s="15"/>
      <c r="AFR37" s="15"/>
      <c r="AFY37" s="15"/>
      <c r="AFZ37" s="15"/>
      <c r="AGG37" s="15"/>
      <c r="AGH37" s="15"/>
      <c r="AGO37" s="15"/>
      <c r="AGP37" s="15"/>
      <c r="AGW37" s="15"/>
      <c r="AGX37" s="15"/>
      <c r="AHE37" s="15"/>
      <c r="AHF37" s="15"/>
      <c r="AHM37" s="15"/>
      <c r="AHN37" s="15"/>
      <c r="AHU37" s="15"/>
      <c r="AHV37" s="15"/>
      <c r="AIC37" s="15"/>
      <c r="AID37" s="15"/>
      <c r="AIK37" s="15"/>
      <c r="AIL37" s="15"/>
      <c r="AIS37" s="15"/>
      <c r="AIT37" s="15"/>
      <c r="AJA37" s="15"/>
      <c r="AJB37" s="15"/>
      <c r="AJI37" s="15"/>
      <c r="AJJ37" s="15"/>
      <c r="AJQ37" s="15"/>
      <c r="AJR37" s="15"/>
      <c r="AJY37" s="15"/>
      <c r="AJZ37" s="15"/>
      <c r="AKG37" s="15"/>
      <c r="AKH37" s="15"/>
      <c r="AKO37" s="15"/>
      <c r="AKP37" s="15"/>
      <c r="AKW37" s="15"/>
      <c r="AKX37" s="15"/>
      <c r="ALE37" s="15"/>
      <c r="ALF37" s="15"/>
      <c r="ALM37" s="15"/>
      <c r="ALN37" s="15"/>
      <c r="ALU37" s="15"/>
      <c r="ALV37" s="15"/>
      <c r="AMC37" s="15"/>
      <c r="AMD37" s="15"/>
    </row>
    <row r="38" customFormat="false" ht="13.8" hidden="false" customHeight="false" outlineLevel="0" collapsed="false">
      <c r="A38" s="1" t="s">
        <v>372</v>
      </c>
      <c r="B38" s="12" t="n">
        <v>42899</v>
      </c>
      <c r="C38" s="0" t="n">
        <v>1</v>
      </c>
      <c r="D38" s="13" t="n">
        <v>42790</v>
      </c>
      <c r="E38" s="12" t="n">
        <v>29837</v>
      </c>
      <c r="F38" s="14" t="n">
        <f aca="false">(B38-E38)/365.25</f>
        <v>35.7618069815195</v>
      </c>
      <c r="G38" s="14" t="n">
        <f aca="false">(B38-D38)/365.25</f>
        <v>0.298425735797399</v>
      </c>
      <c r="H38" s="15" t="s">
        <v>183</v>
      </c>
      <c r="I38" s="15" t="s">
        <v>347</v>
      </c>
      <c r="J38" s="21" t="s">
        <v>181</v>
      </c>
      <c r="K38" s="21" t="n">
        <v>4</v>
      </c>
      <c r="L38" s="19" t="n">
        <v>87</v>
      </c>
      <c r="M38" s="0" t="n">
        <v>1.57</v>
      </c>
      <c r="N38" s="16" t="n">
        <f aca="false">L38/(M38*M38)</f>
        <v>35.2955495151933</v>
      </c>
      <c r="O38" s="19" t="n">
        <v>0</v>
      </c>
      <c r="P38" s="19" t="n">
        <v>0</v>
      </c>
      <c r="Q38" s="19" t="n">
        <v>0</v>
      </c>
      <c r="R38" s="19" t="n">
        <v>0</v>
      </c>
      <c r="S38" s="19" t="n">
        <v>0</v>
      </c>
      <c r="T38" s="19" t="n">
        <v>0</v>
      </c>
      <c r="U38" s="19" t="n">
        <v>0</v>
      </c>
      <c r="V38" s="19" t="n">
        <v>0</v>
      </c>
      <c r="W38" s="19" t="n">
        <v>0</v>
      </c>
      <c r="X38" s="19" t="n">
        <v>0</v>
      </c>
      <c r="Y38" s="19" t="n">
        <v>1</v>
      </c>
      <c r="Z38" s="19" t="n">
        <v>2</v>
      </c>
      <c r="AA38" s="19" t="n">
        <v>60</v>
      </c>
      <c r="AB38" s="19" t="s">
        <v>215</v>
      </c>
      <c r="AC38" s="19" t="n">
        <v>0</v>
      </c>
      <c r="AD38" s="19" t="n">
        <v>0</v>
      </c>
      <c r="AE38" s="19" t="n">
        <v>0</v>
      </c>
      <c r="AF38" s="19" t="n">
        <v>0</v>
      </c>
      <c r="AG38" s="19" t="n">
        <v>0</v>
      </c>
      <c r="AH38" s="19" t="n">
        <v>0</v>
      </c>
      <c r="AI38" s="19" t="n">
        <v>0</v>
      </c>
      <c r="AJ38" s="19" t="n">
        <v>0</v>
      </c>
      <c r="AK38" s="19" t="n">
        <v>0</v>
      </c>
      <c r="AL38" s="19" t="n">
        <v>0</v>
      </c>
      <c r="AM38" s="19" t="n">
        <v>0</v>
      </c>
      <c r="AN38" s="19" t="n">
        <v>0</v>
      </c>
      <c r="AO38" s="19" t="n">
        <v>0</v>
      </c>
      <c r="AP38" s="19" t="n">
        <v>0</v>
      </c>
      <c r="AQ38" s="19" t="n">
        <v>0</v>
      </c>
      <c r="AR38" s="19" t="n">
        <v>0</v>
      </c>
      <c r="AS38" s="19" t="n">
        <v>0</v>
      </c>
      <c r="AT38" s="19" t="n">
        <v>0</v>
      </c>
      <c r="AU38" s="19" t="n">
        <v>0</v>
      </c>
      <c r="AV38" s="19" t="n">
        <v>0</v>
      </c>
      <c r="AW38" s="19" t="n">
        <v>0</v>
      </c>
      <c r="AX38" s="19" t="n">
        <v>0</v>
      </c>
      <c r="AY38" s="19" t="n">
        <v>0</v>
      </c>
      <c r="AZ38" s="19" t="n">
        <v>0</v>
      </c>
      <c r="BA38" s="19" t="n">
        <v>0</v>
      </c>
      <c r="BB38" s="19" t="n">
        <v>0</v>
      </c>
      <c r="BC38" s="19" t="n">
        <v>0</v>
      </c>
      <c r="BD38" s="19" t="n">
        <v>0</v>
      </c>
      <c r="BE38" s="19" t="n">
        <v>0</v>
      </c>
      <c r="BF38" s="19" t="n">
        <v>0</v>
      </c>
      <c r="BG38" s="19" t="n">
        <v>0</v>
      </c>
      <c r="BH38" s="19" t="n">
        <v>0</v>
      </c>
      <c r="BI38" s="19" t="n">
        <v>0</v>
      </c>
      <c r="BJ38" s="19" t="n">
        <v>0</v>
      </c>
      <c r="BK38" s="19" t="n">
        <v>0</v>
      </c>
      <c r="BL38" s="19" t="n">
        <v>0</v>
      </c>
      <c r="BM38" s="19" t="n">
        <v>0</v>
      </c>
      <c r="BN38" s="19" t="n">
        <v>0</v>
      </c>
      <c r="BO38" s="19" t="n">
        <v>0</v>
      </c>
      <c r="BP38" s="19" t="n">
        <v>0</v>
      </c>
      <c r="BQ38" s="19" t="n">
        <v>0</v>
      </c>
      <c r="BR38" s="19" t="n">
        <v>1</v>
      </c>
      <c r="BS38" s="19" t="n">
        <v>1</v>
      </c>
      <c r="BT38" s="19" t="n">
        <v>1</v>
      </c>
      <c r="BU38" s="19" t="n">
        <v>2</v>
      </c>
      <c r="BV38" s="19" t="n">
        <v>1</v>
      </c>
      <c r="BW38" s="19" t="n">
        <v>1</v>
      </c>
      <c r="BX38" s="19" t="n">
        <v>1</v>
      </c>
      <c r="BY38" s="19" t="n">
        <v>2</v>
      </c>
      <c r="BZ38" s="19" t="n">
        <v>3</v>
      </c>
      <c r="CA38" s="19" t="n">
        <v>5</v>
      </c>
      <c r="CB38" s="19" t="n">
        <v>5</v>
      </c>
      <c r="CC38" s="19" t="n">
        <v>5</v>
      </c>
      <c r="CD38" s="19" t="n">
        <v>4</v>
      </c>
      <c r="CE38" s="19" t="n">
        <v>5</v>
      </c>
      <c r="CF38" s="19" t="n">
        <v>3</v>
      </c>
      <c r="CG38" s="19" t="n">
        <v>5</v>
      </c>
      <c r="CH38" s="19" t="n">
        <v>5</v>
      </c>
      <c r="CI38" s="19" t="n">
        <v>5</v>
      </c>
      <c r="CJ38" s="19" t="n">
        <v>5</v>
      </c>
      <c r="CK38" s="19" t="n">
        <v>10</v>
      </c>
      <c r="CL38" s="0" t="s">
        <v>355</v>
      </c>
      <c r="CM38" s="0" t="n">
        <v>37</v>
      </c>
      <c r="CN38" s="16" t="n">
        <v>95.1</v>
      </c>
      <c r="CO38" s="16" t="n">
        <v>80.4</v>
      </c>
      <c r="CP38" s="16" t="n">
        <v>15.9</v>
      </c>
      <c r="CQ38" s="0" t="n">
        <v>82.71</v>
      </c>
      <c r="CS38" s="0" t="n">
        <v>10.32</v>
      </c>
      <c r="CT38" s="0" t="n">
        <v>0.39</v>
      </c>
      <c r="CU38" s="0" t="n">
        <v>10.32</v>
      </c>
      <c r="CV38" s="0" t="n">
        <v>0</v>
      </c>
      <c r="CW38" s="0" t="n">
        <v>0</v>
      </c>
      <c r="CY38" s="0" t="n">
        <v>0</v>
      </c>
      <c r="CZ38" s="0" t="n">
        <v>0</v>
      </c>
      <c r="DA38" s="0" t="n">
        <v>0</v>
      </c>
      <c r="DB38" s="0" t="n">
        <v>1.9</v>
      </c>
      <c r="DC38" s="0" t="n">
        <v>26.26</v>
      </c>
      <c r="DD38" s="0" t="n">
        <v>6.04</v>
      </c>
      <c r="DE38" s="0" t="n">
        <v>2.19</v>
      </c>
      <c r="DF38" s="0" t="n">
        <v>0</v>
      </c>
      <c r="DG38" s="0" t="n">
        <v>0</v>
      </c>
      <c r="DH38" s="0" t="n">
        <v>0</v>
      </c>
      <c r="DU38" s="0" t="n">
        <v>14.7</v>
      </c>
      <c r="DV38" s="0" t="n">
        <v>1</v>
      </c>
      <c r="DW38" s="0" t="n">
        <v>35</v>
      </c>
      <c r="DX38" s="0" t="n">
        <v>2</v>
      </c>
      <c r="DY38" s="0" t="n">
        <v>1.8</v>
      </c>
      <c r="DZ38" s="0" t="n">
        <v>3</v>
      </c>
      <c r="EG38" s="20"/>
      <c r="EY38" s="0" t="n">
        <v>1</v>
      </c>
      <c r="EZ38" s="0" t="n">
        <v>50</v>
      </c>
      <c r="FA38" s="0" t="n">
        <v>1</v>
      </c>
      <c r="FB38" s="0" t="n">
        <v>1.34</v>
      </c>
      <c r="FC38" s="0" t="n">
        <v>2</v>
      </c>
      <c r="FD38" s="0" t="n">
        <v>40</v>
      </c>
      <c r="FE38" s="0" t="n">
        <v>1</v>
      </c>
      <c r="FF38" s="0" t="n">
        <v>0.9</v>
      </c>
      <c r="FG38" s="0" t="n">
        <v>3</v>
      </c>
      <c r="FH38" s="0" t="n">
        <v>50</v>
      </c>
      <c r="FI38" s="0" t="n">
        <v>1</v>
      </c>
      <c r="FJ38" s="0" t="n">
        <v>0.9</v>
      </c>
      <c r="FK38" s="0" t="n">
        <v>3</v>
      </c>
      <c r="FL38" s="0" t="n">
        <v>80</v>
      </c>
      <c r="FM38" s="0" t="n">
        <v>2</v>
      </c>
      <c r="FN38" s="0" t="n">
        <v>2.68</v>
      </c>
      <c r="FO38" s="0" t="n">
        <v>2</v>
      </c>
      <c r="FP38" s="0" t="n">
        <v>100</v>
      </c>
      <c r="FQ38" s="0" t="n">
        <v>1</v>
      </c>
      <c r="FR38" s="0" t="n">
        <v>2.57</v>
      </c>
      <c r="FS38" s="0" t="n">
        <v>2</v>
      </c>
      <c r="GJ38" s="0" t="n">
        <v>0</v>
      </c>
      <c r="GK38" s="19" t="n">
        <v>0</v>
      </c>
      <c r="GL38" s="19"/>
      <c r="GM38" s="13"/>
      <c r="GN38" s="13"/>
      <c r="GO38" s="19"/>
      <c r="GP38" s="13"/>
      <c r="GQ38" s="13"/>
      <c r="GR38" s="13"/>
      <c r="GS38" s="13"/>
      <c r="GT38" s="13"/>
      <c r="GU38" s="16" t="n">
        <v>5.11</v>
      </c>
      <c r="GV38" s="0" t="n">
        <v>4.81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s">
        <v>351</v>
      </c>
      <c r="HD38" s="0" t="n">
        <v>30.5</v>
      </c>
      <c r="HE38" s="16" t="n">
        <v>68.4</v>
      </c>
      <c r="HF38" s="16" t="n">
        <v>80.4</v>
      </c>
      <c r="HG38" s="16" t="n">
        <v>19.8</v>
      </c>
      <c r="HH38" s="0" t="n">
        <v>72.42</v>
      </c>
      <c r="HJ38" s="0" t="n">
        <v>0.94</v>
      </c>
      <c r="HK38" s="0" t="n">
        <v>0.94</v>
      </c>
      <c r="HL38" s="0" t="n">
        <v>25.7</v>
      </c>
      <c r="HM38" s="0" t="n">
        <v>0</v>
      </c>
      <c r="HN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28.26</v>
      </c>
      <c r="HU38" s="0" t="n">
        <v>10.55</v>
      </c>
      <c r="HV38" s="0" t="n">
        <v>14.21</v>
      </c>
      <c r="HW38" s="0" t="n">
        <v>0</v>
      </c>
      <c r="HX38" s="0" t="n">
        <v>0</v>
      </c>
      <c r="HY38" s="0" t="n">
        <v>0</v>
      </c>
      <c r="IL38" s="0" t="n">
        <v>3.3</v>
      </c>
      <c r="IM38" s="0" t="n">
        <v>1</v>
      </c>
      <c r="IN38" s="0" t="n">
        <v>68</v>
      </c>
      <c r="IO38" s="0" t="n">
        <v>2</v>
      </c>
      <c r="IP38" s="0" t="n">
        <v>1.52</v>
      </c>
      <c r="IQ38" s="0" t="n">
        <v>1</v>
      </c>
      <c r="IX38" s="20"/>
      <c r="JP38" s="0" t="n">
        <v>0</v>
      </c>
      <c r="LA38" s="16" t="n">
        <v>0</v>
      </c>
      <c r="LB38" s="16" t="n">
        <v>0</v>
      </c>
      <c r="LC38" s="16"/>
      <c r="LD38" s="16"/>
      <c r="LE38" s="16"/>
      <c r="LF38" s="16"/>
      <c r="LG38" s="16"/>
      <c r="LH38" s="16"/>
      <c r="LI38" s="16"/>
      <c r="LJ38" s="16"/>
      <c r="LK38" s="16"/>
      <c r="LL38" s="16" t="n">
        <v>0.81</v>
      </c>
      <c r="LM38" s="16" t="n">
        <v>0.8</v>
      </c>
      <c r="LN38" s="16" t="n">
        <v>0</v>
      </c>
      <c r="LO38" s="16" t="n">
        <v>0</v>
      </c>
      <c r="LP38" s="16" t="n">
        <v>2.99</v>
      </c>
      <c r="LQ38" s="16" t="n">
        <v>5.71</v>
      </c>
      <c r="LR38" s="16" t="n">
        <v>0</v>
      </c>
      <c r="LS38" s="0" t="n">
        <v>0</v>
      </c>
      <c r="LT38" s="0" t="s">
        <v>356</v>
      </c>
      <c r="LU38" s="0" t="n">
        <v>39.5</v>
      </c>
      <c r="LV38" s="16" t="n">
        <v>85.1</v>
      </c>
      <c r="LW38" s="16" t="n">
        <v>80.4</v>
      </c>
      <c r="LX38" s="16" t="n">
        <v>13.6</v>
      </c>
      <c r="LY38" s="0" t="n">
        <v>87.38</v>
      </c>
      <c r="MA38" s="0" t="n">
        <v>8.05</v>
      </c>
      <c r="MB38" s="0" t="n">
        <v>0</v>
      </c>
      <c r="MC38" s="0" t="n">
        <v>4.57</v>
      </c>
      <c r="MD38" s="0" t="n">
        <v>0</v>
      </c>
      <c r="ME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45</v>
      </c>
      <c r="ML38" s="0" t="n">
        <v>10.1</v>
      </c>
      <c r="MM38" s="0" t="n">
        <v>11.8</v>
      </c>
      <c r="MN38" s="0" t="n">
        <v>0</v>
      </c>
      <c r="MO38" s="0" t="n">
        <v>0</v>
      </c>
      <c r="MP38" s="0" t="n">
        <v>0</v>
      </c>
      <c r="NC38" s="0" t="n">
        <v>17.8</v>
      </c>
      <c r="ND38" s="0" t="n">
        <v>1</v>
      </c>
      <c r="NE38" s="0" t="n">
        <v>30</v>
      </c>
      <c r="NF38" s="0" t="n">
        <v>7</v>
      </c>
      <c r="NG38" s="0" t="n">
        <v>5.33</v>
      </c>
      <c r="NH38" s="0" t="n">
        <v>3</v>
      </c>
      <c r="NO38" s="20"/>
      <c r="OG38" s="0" t="n">
        <v>1</v>
      </c>
      <c r="OH38" s="0" t="n">
        <v>50</v>
      </c>
      <c r="OI38" s="0" t="n">
        <v>1</v>
      </c>
      <c r="OJ38" s="0" t="n">
        <v>0.03</v>
      </c>
      <c r="OK38" s="0" t="n">
        <v>1</v>
      </c>
      <c r="PR38" s="16" t="n">
        <v>3.96</v>
      </c>
      <c r="PS38" s="16" t="n">
        <v>1</v>
      </c>
      <c r="PT38" s="16" t="n">
        <v>1</v>
      </c>
      <c r="PU38" s="16"/>
      <c r="PV38" s="16" t="n">
        <v>41.03</v>
      </c>
      <c r="PW38" s="16" t="n">
        <v>2</v>
      </c>
      <c r="PX38" s="16" t="n">
        <v>3.73</v>
      </c>
      <c r="PY38" s="16"/>
      <c r="PZ38" s="16"/>
      <c r="QA38" s="16"/>
      <c r="QB38" s="16"/>
      <c r="QC38" s="16" t="n">
        <v>0</v>
      </c>
      <c r="QD38" s="16" t="n">
        <v>0</v>
      </c>
      <c r="QE38" s="16" t="n">
        <v>0</v>
      </c>
      <c r="QF38" s="16" t="n">
        <v>0</v>
      </c>
      <c r="QG38" s="16" t="n">
        <v>0</v>
      </c>
      <c r="QH38" s="16" t="n">
        <v>0</v>
      </c>
      <c r="QI38" s="16" t="n">
        <v>0</v>
      </c>
      <c r="QJ38" s="0" t="n">
        <v>0</v>
      </c>
      <c r="QK38" s="0" t="s">
        <v>373</v>
      </c>
      <c r="QL38" s="0" t="n">
        <v>27.5</v>
      </c>
      <c r="QM38" s="16" t="n">
        <v>79.1</v>
      </c>
      <c r="QN38" s="16" t="n">
        <v>80.4</v>
      </c>
      <c r="QO38" s="16" t="n">
        <v>15.3</v>
      </c>
      <c r="QP38" s="0" t="n">
        <v>87.64</v>
      </c>
      <c r="QR38" s="0" t="n">
        <v>0</v>
      </c>
      <c r="QS38" s="0" t="n">
        <v>0</v>
      </c>
      <c r="QT38" s="0" t="n">
        <v>12.36</v>
      </c>
      <c r="QU38" s="0" t="n">
        <v>0</v>
      </c>
      <c r="QV38" s="0" t="n">
        <v>0</v>
      </c>
      <c r="QX38" s="0" t="n">
        <v>0</v>
      </c>
      <c r="QY38" s="0" t="n">
        <v>0</v>
      </c>
      <c r="QZ38" s="0" t="n">
        <v>0</v>
      </c>
      <c r="RA38" s="0" t="n">
        <v>24.9</v>
      </c>
      <c r="RB38" s="0" t="n">
        <v>31.79</v>
      </c>
      <c r="RC38" s="0" t="n">
        <v>18.86</v>
      </c>
      <c r="RD38" s="0" t="n">
        <v>0</v>
      </c>
      <c r="RE38" s="0" t="n">
        <v>0</v>
      </c>
      <c r="RF38" s="0" t="n">
        <v>4.8</v>
      </c>
      <c r="RG38" s="0" t="n">
        <v>5</v>
      </c>
      <c r="RH38" s="0" t="n">
        <v>50</v>
      </c>
      <c r="RI38" s="0" t="n">
        <v>4</v>
      </c>
      <c r="RN38" s="0" t="n">
        <v>50</v>
      </c>
      <c r="RO38" s="0" t="n">
        <v>4</v>
      </c>
      <c r="RT38" s="0" t="n">
        <v>5.5</v>
      </c>
      <c r="RU38" s="0" t="n">
        <v>0</v>
      </c>
      <c r="SF38" s="20"/>
      <c r="SX38" s="0" t="n">
        <v>1</v>
      </c>
      <c r="SY38" s="0" t="n">
        <v>50</v>
      </c>
      <c r="SZ38" s="0" t="n">
        <v>4</v>
      </c>
      <c r="TA38" s="0" t="n">
        <v>3.59</v>
      </c>
      <c r="TB38" s="0" t="n">
        <v>3</v>
      </c>
      <c r="TC38" s="0" t="n">
        <v>70</v>
      </c>
      <c r="TD38" s="0" t="n">
        <v>14</v>
      </c>
      <c r="TE38" s="0" t="n">
        <v>4.93</v>
      </c>
      <c r="TF38" s="0" t="n">
        <v>2</v>
      </c>
      <c r="UI38" s="16" t="n">
        <v>0.75</v>
      </c>
      <c r="UJ38" s="16" t="n">
        <v>1</v>
      </c>
      <c r="UK38" s="16" t="n">
        <v>1</v>
      </c>
      <c r="UL38" s="16"/>
      <c r="UM38" s="16" t="n">
        <v>9.96</v>
      </c>
      <c r="UN38" s="16"/>
      <c r="UO38" s="16"/>
      <c r="UP38" s="16"/>
      <c r="UQ38" s="16"/>
      <c r="UR38" s="16"/>
      <c r="US38" s="16"/>
      <c r="UT38" s="16" t="n">
        <v>0</v>
      </c>
      <c r="UU38" s="16" t="n">
        <v>0</v>
      </c>
      <c r="UV38" s="16" t="n">
        <v>0</v>
      </c>
      <c r="UW38" s="16" t="n">
        <v>0</v>
      </c>
      <c r="UX38" s="16" t="n">
        <v>0</v>
      </c>
      <c r="UY38" s="16" t="n">
        <v>0</v>
      </c>
      <c r="UZ38" s="16" t="n">
        <v>0</v>
      </c>
      <c r="VA38" s="0" t="n">
        <v>0</v>
      </c>
      <c r="VB38" s="0" t="s">
        <v>370</v>
      </c>
      <c r="VC38" s="0" t="n">
        <v>80.5</v>
      </c>
      <c r="VD38" s="16" t="n">
        <v>42.5</v>
      </c>
      <c r="VE38" s="16" t="n">
        <v>80.4</v>
      </c>
      <c r="VF38" s="16" t="n">
        <v>4.3</v>
      </c>
      <c r="VG38" s="0" t="n">
        <v>100</v>
      </c>
      <c r="VI38" s="0" t="n">
        <v>0</v>
      </c>
      <c r="VJ38" s="0" t="n">
        <v>0</v>
      </c>
      <c r="VK38" s="0" t="n">
        <v>0</v>
      </c>
      <c r="VL38" s="0" t="n">
        <v>0</v>
      </c>
      <c r="VM38" s="0" t="n">
        <v>0</v>
      </c>
      <c r="VO38" s="0" t="n">
        <v>0</v>
      </c>
      <c r="VP38" s="0" t="n">
        <v>0</v>
      </c>
      <c r="VQ38" s="0" t="n">
        <v>0</v>
      </c>
      <c r="VR38" s="0" t="n">
        <v>0</v>
      </c>
      <c r="VS38" s="0" t="n">
        <v>61.07</v>
      </c>
      <c r="VT38" s="0" t="n">
        <v>4</v>
      </c>
      <c r="VU38" s="0" t="n">
        <v>0.14</v>
      </c>
      <c r="VV38" s="0" t="n">
        <v>0</v>
      </c>
      <c r="VW38" s="0" t="n">
        <v>15.7</v>
      </c>
      <c r="VX38" s="0" t="n">
        <v>1</v>
      </c>
      <c r="VY38" s="0" t="n">
        <v>3</v>
      </c>
      <c r="WA38" s="0" t="n">
        <v>1</v>
      </c>
      <c r="WE38" s="0" t="n">
        <v>3</v>
      </c>
      <c r="WG38" s="0" t="n">
        <v>1</v>
      </c>
      <c r="WK38" s="0" t="n">
        <v>12.4</v>
      </c>
      <c r="WL38" s="0" t="n">
        <v>1</v>
      </c>
      <c r="WM38" s="0" t="n">
        <v>34</v>
      </c>
      <c r="WN38" s="0" t="n">
        <v>4</v>
      </c>
      <c r="WO38" s="0" t="n">
        <v>1.28</v>
      </c>
      <c r="WP38" s="0" t="n">
        <v>1</v>
      </c>
      <c r="WW38" s="20"/>
      <c r="XO38" s="0" t="n">
        <v>1</v>
      </c>
      <c r="XP38" s="0" t="n">
        <v>50</v>
      </c>
      <c r="XQ38" s="0" t="n">
        <v>2</v>
      </c>
      <c r="XR38" s="0" t="n">
        <v>2.28</v>
      </c>
      <c r="XS38" s="0" t="n">
        <v>3</v>
      </c>
      <c r="XT38" s="0" t="n">
        <v>50</v>
      </c>
      <c r="XU38" s="0" t="n">
        <v>12</v>
      </c>
      <c r="XV38" s="0" t="n">
        <v>8.75</v>
      </c>
      <c r="XW38" s="0" t="n">
        <v>4</v>
      </c>
      <c r="YZ38" s="16" t="n">
        <v>0.63</v>
      </c>
      <c r="ZA38" s="16" t="n">
        <v>1</v>
      </c>
      <c r="ZB38" s="16" t="n">
        <v>1</v>
      </c>
      <c r="ZC38" s="16"/>
      <c r="ZD38" s="16" t="n">
        <v>7.46</v>
      </c>
      <c r="ZE38" s="16"/>
      <c r="ZF38" s="16"/>
      <c r="ZG38" s="16"/>
      <c r="ZH38" s="16"/>
      <c r="ZI38" s="16"/>
      <c r="ZJ38" s="16"/>
      <c r="ZK38" s="16" t="n">
        <v>8.47</v>
      </c>
      <c r="ZL38" s="16" t="n">
        <v>4.95</v>
      </c>
      <c r="ZM38" s="16" t="n">
        <v>0</v>
      </c>
      <c r="ZN38" s="16" t="n">
        <v>0</v>
      </c>
      <c r="ZO38" s="16" t="n">
        <v>0</v>
      </c>
      <c r="ZP38" s="16" t="n">
        <v>0</v>
      </c>
      <c r="ZQ38" s="16" t="n">
        <v>0</v>
      </c>
      <c r="ZR38" s="0" t="n">
        <v>0</v>
      </c>
      <c r="ZU38" s="15"/>
      <c r="ZV38" s="15"/>
      <c r="AAC38" s="15"/>
      <c r="AAD38" s="15"/>
      <c r="AAK38" s="15"/>
      <c r="AAL38" s="15"/>
      <c r="AAS38" s="15"/>
      <c r="AAT38" s="15"/>
      <c r="ABA38" s="15"/>
      <c r="ABB38" s="15"/>
      <c r="ABI38" s="15"/>
      <c r="ABJ38" s="15"/>
      <c r="ABQ38" s="15"/>
      <c r="ABR38" s="15"/>
      <c r="ABY38" s="15"/>
      <c r="ABZ38" s="15"/>
      <c r="ACG38" s="15"/>
      <c r="ACH38" s="15"/>
      <c r="ACO38" s="15"/>
      <c r="ACP38" s="15"/>
      <c r="ACW38" s="15"/>
      <c r="ACX38" s="15"/>
      <c r="ADE38" s="15"/>
      <c r="ADF38" s="15"/>
      <c r="ADM38" s="15"/>
      <c r="ADN38" s="15"/>
      <c r="ADU38" s="15"/>
      <c r="ADV38" s="15"/>
      <c r="AEC38" s="15"/>
      <c r="AED38" s="15"/>
      <c r="AEK38" s="15"/>
      <c r="AEL38" s="15"/>
      <c r="AES38" s="15"/>
      <c r="AET38" s="15"/>
      <c r="AFA38" s="15"/>
      <c r="AFB38" s="15"/>
      <c r="AFI38" s="15"/>
      <c r="AFJ38" s="15"/>
      <c r="AFQ38" s="15"/>
      <c r="AFR38" s="15"/>
      <c r="AFY38" s="15"/>
      <c r="AFZ38" s="15"/>
      <c r="AGG38" s="15"/>
      <c r="AGH38" s="15"/>
      <c r="AGO38" s="15"/>
      <c r="AGP38" s="15"/>
      <c r="AGW38" s="15"/>
      <c r="AGX38" s="15"/>
      <c r="AHE38" s="15"/>
      <c r="AHF38" s="15"/>
      <c r="AHM38" s="15"/>
      <c r="AHN38" s="15"/>
      <c r="AHU38" s="15"/>
      <c r="AHV38" s="15"/>
      <c r="AIC38" s="15"/>
      <c r="AID38" s="15"/>
      <c r="AIK38" s="15"/>
      <c r="AIL38" s="15"/>
      <c r="AIS38" s="15"/>
      <c r="AIT38" s="15"/>
      <c r="AJA38" s="15"/>
      <c r="AJB38" s="15"/>
      <c r="AJI38" s="15"/>
      <c r="AJJ38" s="15"/>
      <c r="AJQ38" s="15"/>
      <c r="AJR38" s="15"/>
      <c r="AJY38" s="15"/>
      <c r="AJZ38" s="15"/>
      <c r="AKG38" s="15"/>
      <c r="AKH38" s="15"/>
      <c r="AKO38" s="15"/>
      <c r="AKP38" s="15"/>
      <c r="AKW38" s="15"/>
      <c r="AKX38" s="15"/>
      <c r="ALE38" s="15"/>
      <c r="ALF38" s="15"/>
      <c r="ALM38" s="15"/>
      <c r="ALN38" s="15"/>
      <c r="ALU38" s="15"/>
      <c r="ALV38" s="15"/>
      <c r="AMC38" s="15"/>
      <c r="AMD38" s="15"/>
    </row>
    <row r="39" customFormat="false" ht="13.8" hidden="false" customHeight="false" outlineLevel="0" collapsed="false">
      <c r="A39" s="1" t="s">
        <v>374</v>
      </c>
      <c r="B39" s="12" t="n">
        <v>42900</v>
      </c>
      <c r="C39" s="0" t="n">
        <v>1</v>
      </c>
      <c r="D39" s="13" t="n">
        <v>42801</v>
      </c>
      <c r="E39" s="12" t="n">
        <v>34661</v>
      </c>
      <c r="F39" s="14" t="n">
        <f aca="false">(B39-E39)/365.25</f>
        <v>22.5571526351814</v>
      </c>
      <c r="G39" s="14" t="n">
        <f aca="false">(B39-D39)/365.25</f>
        <v>0.271047227926078</v>
      </c>
      <c r="H39" s="15" t="s">
        <v>183</v>
      </c>
      <c r="I39" s="15" t="s">
        <v>347</v>
      </c>
      <c r="J39" s="21" t="s">
        <v>181</v>
      </c>
      <c r="K39" s="21" t="n">
        <v>4</v>
      </c>
      <c r="L39" s="19" t="n">
        <v>53</v>
      </c>
      <c r="M39" s="0" t="n">
        <v>1.64</v>
      </c>
      <c r="N39" s="16" t="n">
        <f aca="false">L39/(M39*M39)</f>
        <v>19.7055324211779</v>
      </c>
      <c r="O39" s="19" t="n">
        <v>0</v>
      </c>
      <c r="P39" s="19" t="n">
        <v>0</v>
      </c>
      <c r="Q39" s="19" t="n">
        <v>0</v>
      </c>
      <c r="R39" s="19" t="n">
        <v>0</v>
      </c>
      <c r="S39" s="19" t="n">
        <v>0</v>
      </c>
      <c r="T39" s="19" t="n">
        <v>0</v>
      </c>
      <c r="U39" s="19" t="n">
        <v>0</v>
      </c>
      <c r="V39" s="19" t="n">
        <v>0</v>
      </c>
      <c r="W39" s="19" t="n">
        <v>0</v>
      </c>
      <c r="X39" s="19" t="n">
        <v>0</v>
      </c>
      <c r="Y39" s="19" t="n">
        <v>0</v>
      </c>
      <c r="Z39" s="19" t="n">
        <v>0</v>
      </c>
      <c r="AA39" s="19" t="n">
        <v>0</v>
      </c>
      <c r="AB39" s="19" t="n">
        <v>0</v>
      </c>
      <c r="AC39" s="19" t="n">
        <v>0</v>
      </c>
      <c r="AD39" s="19" t="n">
        <v>0</v>
      </c>
      <c r="AE39" s="19" t="n">
        <v>0</v>
      </c>
      <c r="AF39" s="19" t="n">
        <v>0</v>
      </c>
      <c r="AG39" s="19" t="n">
        <v>0</v>
      </c>
      <c r="AH39" s="19" t="n">
        <v>0</v>
      </c>
      <c r="AI39" s="19" t="n">
        <v>0</v>
      </c>
      <c r="AJ39" s="19" t="n">
        <v>0</v>
      </c>
      <c r="AK39" s="19" t="n">
        <v>0</v>
      </c>
      <c r="AL39" s="19" t="n">
        <v>0</v>
      </c>
      <c r="AM39" s="19" t="n">
        <v>0</v>
      </c>
      <c r="AN39" s="19" t="n">
        <v>0</v>
      </c>
      <c r="AO39" s="19" t="n">
        <v>0</v>
      </c>
      <c r="AP39" s="19" t="n">
        <v>0</v>
      </c>
      <c r="AQ39" s="19" t="n">
        <v>0</v>
      </c>
      <c r="AR39" s="19" t="n">
        <v>0</v>
      </c>
      <c r="AS39" s="19" t="n">
        <v>0</v>
      </c>
      <c r="AT39" s="19" t="n">
        <v>0</v>
      </c>
      <c r="AU39" s="19" t="n">
        <v>0</v>
      </c>
      <c r="AV39" s="19" t="n">
        <v>0</v>
      </c>
      <c r="AW39" s="19" t="n">
        <v>0</v>
      </c>
      <c r="AX39" s="19" t="n">
        <v>0</v>
      </c>
      <c r="AY39" s="19" t="n">
        <v>0</v>
      </c>
      <c r="AZ39" s="19" t="n">
        <v>0</v>
      </c>
      <c r="BA39" s="19" t="n">
        <v>0</v>
      </c>
      <c r="BB39" s="19" t="n">
        <v>0</v>
      </c>
      <c r="BC39" s="19" t="n">
        <v>0</v>
      </c>
      <c r="BD39" s="19" t="n">
        <v>0</v>
      </c>
      <c r="BE39" s="19" t="n">
        <v>0</v>
      </c>
      <c r="BF39" s="19" t="n">
        <v>0</v>
      </c>
      <c r="BG39" s="19" t="n">
        <v>0</v>
      </c>
      <c r="BH39" s="19" t="n">
        <v>0</v>
      </c>
      <c r="BI39" s="19" t="n">
        <v>0</v>
      </c>
      <c r="BJ39" s="19" t="n">
        <v>0</v>
      </c>
      <c r="BK39" s="19" t="n">
        <v>0</v>
      </c>
      <c r="BL39" s="19" t="n">
        <v>0</v>
      </c>
      <c r="BM39" s="19" t="n">
        <v>0</v>
      </c>
      <c r="BN39" s="19" t="n">
        <v>0</v>
      </c>
      <c r="BO39" s="19" t="n">
        <v>0</v>
      </c>
      <c r="BP39" s="19" t="n">
        <v>0</v>
      </c>
      <c r="BQ39" s="19" t="n">
        <v>0</v>
      </c>
      <c r="BR39" s="19" t="n">
        <v>1</v>
      </c>
      <c r="BS39" s="19" t="n">
        <v>1</v>
      </c>
      <c r="BT39" s="19" t="n">
        <v>3</v>
      </c>
      <c r="BU39" s="19" t="n">
        <v>5</v>
      </c>
      <c r="BV39" s="19" t="n">
        <v>2</v>
      </c>
      <c r="BW39" s="19" t="n">
        <v>2</v>
      </c>
      <c r="BX39" s="19" t="n">
        <v>2</v>
      </c>
      <c r="BY39" s="19" t="n">
        <v>3</v>
      </c>
      <c r="BZ39" s="19" t="n">
        <v>4</v>
      </c>
      <c r="CA39" s="19" t="n">
        <v>5</v>
      </c>
      <c r="CB39" s="19" t="n">
        <v>5</v>
      </c>
      <c r="CC39" s="19" t="n">
        <v>5</v>
      </c>
      <c r="CD39" s="19" t="n">
        <v>5</v>
      </c>
      <c r="CE39" s="19" t="n">
        <v>5</v>
      </c>
      <c r="CF39" s="19" t="n">
        <v>4</v>
      </c>
      <c r="CG39" s="19" t="n">
        <v>5</v>
      </c>
      <c r="CH39" s="19" t="n">
        <v>5</v>
      </c>
      <c r="CI39" s="19" t="n">
        <v>5</v>
      </c>
      <c r="CJ39" s="19" t="n">
        <v>5</v>
      </c>
      <c r="CK39" s="19" t="n">
        <v>10</v>
      </c>
      <c r="CL39" s="0" t="s">
        <v>355</v>
      </c>
      <c r="CM39" s="0" t="n">
        <v>37</v>
      </c>
      <c r="CN39" s="16" t="n">
        <v>95.1</v>
      </c>
      <c r="CO39" s="16" t="n">
        <v>80.4</v>
      </c>
      <c r="CP39" s="16" t="n">
        <v>15.9</v>
      </c>
      <c r="CQ39" s="0" t="n">
        <v>82.71</v>
      </c>
      <c r="CS39" s="0" t="n">
        <v>10.32</v>
      </c>
      <c r="CT39" s="0" t="n">
        <v>0.39</v>
      </c>
      <c r="CU39" s="0" t="n">
        <v>10.32</v>
      </c>
      <c r="CV39" s="0" t="n">
        <v>0</v>
      </c>
      <c r="CW39" s="0" t="n">
        <v>0</v>
      </c>
      <c r="CY39" s="0" t="n">
        <v>0</v>
      </c>
      <c r="CZ39" s="0" t="n">
        <v>0</v>
      </c>
      <c r="DA39" s="0" t="n">
        <v>0</v>
      </c>
      <c r="DB39" s="0" t="n">
        <v>1.9</v>
      </c>
      <c r="DC39" s="0" t="n">
        <v>26.26</v>
      </c>
      <c r="DD39" s="0" t="n">
        <v>6.04</v>
      </c>
      <c r="DE39" s="0" t="n">
        <v>2.19</v>
      </c>
      <c r="DF39" s="0" t="n">
        <v>0</v>
      </c>
      <c r="DG39" s="0" t="n">
        <v>0</v>
      </c>
      <c r="DH39" s="0" t="n">
        <v>0</v>
      </c>
      <c r="DU39" s="0" t="n">
        <v>14.7</v>
      </c>
      <c r="DV39" s="0" t="n">
        <v>1</v>
      </c>
      <c r="DW39" s="0" t="n">
        <v>35</v>
      </c>
      <c r="DX39" s="0" t="n">
        <v>2</v>
      </c>
      <c r="DY39" s="0" t="n">
        <v>1.8</v>
      </c>
      <c r="DZ39" s="0" t="n">
        <v>3</v>
      </c>
      <c r="EG39" s="20"/>
      <c r="EY39" s="0" t="n">
        <v>1</v>
      </c>
      <c r="EZ39" s="0" t="n">
        <v>50</v>
      </c>
      <c r="FA39" s="0" t="n">
        <v>1</v>
      </c>
      <c r="FB39" s="0" t="n">
        <v>1.34</v>
      </c>
      <c r="FC39" s="0" t="n">
        <v>2</v>
      </c>
      <c r="FD39" s="0" t="n">
        <v>40</v>
      </c>
      <c r="FE39" s="0" t="n">
        <v>1</v>
      </c>
      <c r="FF39" s="0" t="n">
        <v>0.9</v>
      </c>
      <c r="FG39" s="0" t="n">
        <v>3</v>
      </c>
      <c r="FH39" s="0" t="n">
        <v>50</v>
      </c>
      <c r="FI39" s="0" t="n">
        <v>1</v>
      </c>
      <c r="FJ39" s="0" t="n">
        <v>0.9</v>
      </c>
      <c r="FK39" s="0" t="n">
        <v>3</v>
      </c>
      <c r="FL39" s="0" t="n">
        <v>80</v>
      </c>
      <c r="FM39" s="0" t="n">
        <v>2</v>
      </c>
      <c r="FN39" s="0" t="n">
        <v>2.68</v>
      </c>
      <c r="FO39" s="0" t="n">
        <v>2</v>
      </c>
      <c r="FP39" s="0" t="n">
        <v>100</v>
      </c>
      <c r="FQ39" s="0" t="n">
        <v>1</v>
      </c>
      <c r="FR39" s="0" t="n">
        <v>2.57</v>
      </c>
      <c r="FS39" s="0" t="n">
        <v>2</v>
      </c>
      <c r="GJ39" s="0" t="n">
        <v>0</v>
      </c>
      <c r="GK39" s="19" t="n">
        <v>0</v>
      </c>
      <c r="GL39" s="19"/>
      <c r="GM39" s="13"/>
      <c r="GN39" s="13"/>
      <c r="GO39" s="19"/>
      <c r="GP39" s="13"/>
      <c r="GQ39" s="13"/>
      <c r="GR39" s="13"/>
      <c r="GS39" s="13"/>
      <c r="GT39" s="13"/>
      <c r="GU39" s="16" t="n">
        <v>5.11</v>
      </c>
      <c r="GV39" s="0" t="n">
        <v>4.81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s">
        <v>361</v>
      </c>
      <c r="HD39" s="0" t="n">
        <v>74.5</v>
      </c>
      <c r="HE39" s="16" t="n">
        <v>76.2</v>
      </c>
      <c r="HF39" s="16" t="n">
        <v>80.4</v>
      </c>
      <c r="HG39" s="16" t="n">
        <v>42.8</v>
      </c>
      <c r="HH39" s="0" t="n">
        <v>57.15</v>
      </c>
      <c r="HI39" s="0" t="n">
        <v>0.45</v>
      </c>
      <c r="HJ39" s="0" t="n">
        <v>39.09</v>
      </c>
      <c r="HK39" s="0" t="n">
        <v>3.3</v>
      </c>
      <c r="HL39" s="0" t="n">
        <v>0</v>
      </c>
      <c r="HM39" s="0" t="n">
        <v>0</v>
      </c>
      <c r="HN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18.26</v>
      </c>
      <c r="HU39" s="0" t="n">
        <v>34.4</v>
      </c>
      <c r="HV39" s="0" t="n">
        <v>6.27</v>
      </c>
      <c r="HW39" s="0" t="n">
        <v>0</v>
      </c>
      <c r="HX39" s="0" t="n">
        <v>0</v>
      </c>
      <c r="HY39" s="0" t="n">
        <v>0</v>
      </c>
      <c r="IL39" s="0" t="n">
        <v>18.2</v>
      </c>
      <c r="IM39" s="0" t="n">
        <v>1</v>
      </c>
      <c r="IN39" s="0" t="n">
        <v>35</v>
      </c>
      <c r="IO39" s="0" t="n">
        <v>9</v>
      </c>
      <c r="IP39" s="0" t="n">
        <v>2.55</v>
      </c>
      <c r="IQ39" s="0" t="n">
        <v>3</v>
      </c>
      <c r="IX39" s="20"/>
      <c r="JP39" s="0" t="n">
        <v>1</v>
      </c>
      <c r="JQ39" s="0" t="n">
        <v>50</v>
      </c>
      <c r="JR39" s="0" t="n">
        <v>8</v>
      </c>
      <c r="JS39" s="0" t="n">
        <v>2.54</v>
      </c>
      <c r="JT39" s="0" t="n">
        <v>3</v>
      </c>
      <c r="LA39" s="16" t="n">
        <v>7.59</v>
      </c>
      <c r="LB39" s="16" t="n">
        <v>1</v>
      </c>
      <c r="LC39" s="16" t="n">
        <v>1</v>
      </c>
      <c r="LD39" s="16"/>
      <c r="LE39" s="16" t="n">
        <v>22.38</v>
      </c>
      <c r="LF39" s="16" t="n">
        <v>2</v>
      </c>
      <c r="LG39" s="16"/>
      <c r="LH39" s="16" t="n">
        <v>14.92</v>
      </c>
      <c r="LI39" s="16"/>
      <c r="LJ39" s="16"/>
      <c r="LK39" s="16"/>
      <c r="LL39" s="16" t="n">
        <v>5.05</v>
      </c>
      <c r="LM39" s="16" t="n">
        <v>1.54</v>
      </c>
      <c r="LN39" s="16" t="n">
        <v>0</v>
      </c>
      <c r="LO39" s="16" t="n">
        <v>0</v>
      </c>
      <c r="LP39" s="16" t="n">
        <v>0</v>
      </c>
      <c r="LQ39" s="16" t="n">
        <v>0</v>
      </c>
      <c r="LR39" s="16" t="n">
        <v>0</v>
      </c>
      <c r="LS39" s="0" t="n">
        <v>0</v>
      </c>
      <c r="LT39" s="0" t="s">
        <v>351</v>
      </c>
      <c r="LU39" s="0" t="n">
        <v>30.5</v>
      </c>
      <c r="LV39" s="16" t="n">
        <v>68.4</v>
      </c>
      <c r="LW39" s="16" t="n">
        <v>80.4</v>
      </c>
      <c r="LX39" s="16" t="n">
        <v>19.8</v>
      </c>
      <c r="LY39" s="0" t="n">
        <v>72.42</v>
      </c>
      <c r="MA39" s="0" t="n">
        <v>0.94</v>
      </c>
      <c r="MB39" s="0" t="n">
        <v>0.94</v>
      </c>
      <c r="MC39" s="0" t="n">
        <v>25.7</v>
      </c>
      <c r="MD39" s="0" t="n">
        <v>0</v>
      </c>
      <c r="ME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28.26</v>
      </c>
      <c r="ML39" s="0" t="n">
        <v>10.55</v>
      </c>
      <c r="MM39" s="0" t="n">
        <v>14.21</v>
      </c>
      <c r="MN39" s="0" t="n">
        <v>0</v>
      </c>
      <c r="MO39" s="0" t="n">
        <v>0</v>
      </c>
      <c r="MP39" s="0" t="n">
        <v>0</v>
      </c>
      <c r="NC39" s="0" t="n">
        <v>3.3</v>
      </c>
      <c r="ND39" s="0" t="n">
        <v>1</v>
      </c>
      <c r="NE39" s="0" t="n">
        <v>68</v>
      </c>
      <c r="NF39" s="0" t="n">
        <v>2</v>
      </c>
      <c r="NG39" s="0" t="n">
        <v>1.52</v>
      </c>
      <c r="NH39" s="0" t="n">
        <v>1</v>
      </c>
      <c r="NO39" s="20"/>
      <c r="OG39" s="0" t="n">
        <v>0</v>
      </c>
      <c r="PR39" s="16" t="n">
        <v>0</v>
      </c>
      <c r="PS39" s="16" t="n">
        <v>0</v>
      </c>
      <c r="PT39" s="16"/>
      <c r="PU39" s="16"/>
      <c r="PV39" s="16"/>
      <c r="PW39" s="16"/>
      <c r="PX39" s="16"/>
      <c r="PY39" s="16"/>
      <c r="PZ39" s="16"/>
      <c r="QA39" s="16"/>
      <c r="QB39" s="16"/>
      <c r="QC39" s="16" t="n">
        <v>0.81</v>
      </c>
      <c r="QD39" s="16" t="n">
        <v>0.8</v>
      </c>
      <c r="QE39" s="16" t="n">
        <v>0</v>
      </c>
      <c r="QF39" s="16" t="n">
        <v>0</v>
      </c>
      <c r="QG39" s="16" t="n">
        <v>2.99</v>
      </c>
      <c r="QH39" s="16" t="n">
        <v>5.71</v>
      </c>
      <c r="QI39" s="16" t="n">
        <v>0</v>
      </c>
      <c r="QJ39" s="0" t="n">
        <v>0</v>
      </c>
      <c r="QK39" s="0" t="s">
        <v>356</v>
      </c>
      <c r="QL39" s="0" t="n">
        <v>39.5</v>
      </c>
      <c r="QM39" s="16" t="n">
        <v>85.1</v>
      </c>
      <c r="QN39" s="16" t="n">
        <v>80.4</v>
      </c>
      <c r="QO39" s="16" t="n">
        <v>13.6</v>
      </c>
      <c r="QP39" s="0" t="n">
        <v>87.38</v>
      </c>
      <c r="QR39" s="0" t="n">
        <v>8.05</v>
      </c>
      <c r="QS39" s="0" t="n">
        <v>0</v>
      </c>
      <c r="QT39" s="0" t="n">
        <v>4.57</v>
      </c>
      <c r="QU39" s="0" t="n">
        <v>0</v>
      </c>
      <c r="QV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45</v>
      </c>
      <c r="RC39" s="0" t="n">
        <v>10.1</v>
      </c>
      <c r="RD39" s="0" t="n">
        <v>11.8</v>
      </c>
      <c r="RE39" s="0" t="n">
        <v>0</v>
      </c>
      <c r="RF39" s="0" t="n">
        <v>0</v>
      </c>
      <c r="RG39" s="0" t="n">
        <v>0</v>
      </c>
      <c r="RT39" s="0" t="n">
        <v>17.8</v>
      </c>
      <c r="RU39" s="0" t="n">
        <v>1</v>
      </c>
      <c r="RV39" s="0" t="n">
        <v>30</v>
      </c>
      <c r="RW39" s="0" t="n">
        <v>7</v>
      </c>
      <c r="RX39" s="0" t="n">
        <v>5.33</v>
      </c>
      <c r="RY39" s="0" t="n">
        <v>3</v>
      </c>
      <c r="SF39" s="20"/>
      <c r="SX39" s="0" t="n">
        <v>1</v>
      </c>
      <c r="SY39" s="0" t="n">
        <v>50</v>
      </c>
      <c r="SZ39" s="0" t="n">
        <v>1</v>
      </c>
      <c r="TA39" s="0" t="n">
        <v>0.03</v>
      </c>
      <c r="TB39" s="0" t="n">
        <v>1</v>
      </c>
      <c r="UI39" s="16" t="n">
        <v>3.96</v>
      </c>
      <c r="UJ39" s="16" t="n">
        <v>1</v>
      </c>
      <c r="UK39" s="16" t="n">
        <v>1</v>
      </c>
      <c r="UL39" s="16"/>
      <c r="UM39" s="16" t="n">
        <v>41.03</v>
      </c>
      <c r="UN39" s="16" t="n">
        <v>2</v>
      </c>
      <c r="UO39" s="16" t="n">
        <v>3.73</v>
      </c>
      <c r="UP39" s="16"/>
      <c r="UQ39" s="16"/>
      <c r="UR39" s="16"/>
      <c r="US39" s="16"/>
      <c r="UT39" s="16" t="n">
        <v>0</v>
      </c>
      <c r="UU39" s="16" t="n">
        <v>0</v>
      </c>
      <c r="UV39" s="16" t="n">
        <v>0</v>
      </c>
      <c r="UW39" s="16" t="n">
        <v>0</v>
      </c>
      <c r="UX39" s="16" t="n">
        <v>0</v>
      </c>
      <c r="UY39" s="16" t="n">
        <v>0</v>
      </c>
      <c r="UZ39" s="16" t="n">
        <v>0</v>
      </c>
      <c r="VA39" s="0" t="n">
        <v>0</v>
      </c>
      <c r="VB39" s="0" t="s">
        <v>373</v>
      </c>
      <c r="VC39" s="0" t="n">
        <v>27.5</v>
      </c>
      <c r="VD39" s="16" t="n">
        <v>79.1</v>
      </c>
      <c r="VE39" s="16" t="n">
        <v>80.4</v>
      </c>
      <c r="VF39" s="16" t="n">
        <v>15.3</v>
      </c>
      <c r="VG39" s="0" t="n">
        <v>87.64</v>
      </c>
      <c r="VI39" s="0" t="n">
        <v>0</v>
      </c>
      <c r="VJ39" s="0" t="n">
        <v>0</v>
      </c>
      <c r="VK39" s="0" t="n">
        <v>12.36</v>
      </c>
      <c r="VL39" s="0" t="n">
        <v>0</v>
      </c>
      <c r="VM39" s="0" t="n">
        <v>0</v>
      </c>
      <c r="VO39" s="0" t="n">
        <v>0</v>
      </c>
      <c r="VP39" s="0" t="n">
        <v>0</v>
      </c>
      <c r="VQ39" s="0" t="n">
        <v>0</v>
      </c>
      <c r="VR39" s="0" t="n">
        <v>24.9</v>
      </c>
      <c r="VS39" s="0" t="n">
        <v>31.79</v>
      </c>
      <c r="VT39" s="0" t="n">
        <v>18.86</v>
      </c>
      <c r="VU39" s="0" t="n">
        <v>0</v>
      </c>
      <c r="VV39" s="0" t="n">
        <v>0</v>
      </c>
      <c r="VW39" s="0" t="n">
        <v>4.8</v>
      </c>
      <c r="VX39" s="0" t="n">
        <v>5</v>
      </c>
      <c r="VY39" s="0" t="n">
        <v>50</v>
      </c>
      <c r="VZ39" s="0" t="n">
        <v>4</v>
      </c>
      <c r="WE39" s="0" t="n">
        <v>50</v>
      </c>
      <c r="WF39" s="0" t="n">
        <v>4</v>
      </c>
      <c r="WK39" s="0" t="n">
        <v>5.5</v>
      </c>
      <c r="WL39" s="0" t="n">
        <v>0</v>
      </c>
      <c r="WW39" s="20"/>
      <c r="XO39" s="0" t="n">
        <v>1</v>
      </c>
      <c r="XP39" s="0" t="n">
        <v>50</v>
      </c>
      <c r="XQ39" s="0" t="n">
        <v>4</v>
      </c>
      <c r="XR39" s="0" t="n">
        <v>3.59</v>
      </c>
      <c r="XS39" s="0" t="n">
        <v>3</v>
      </c>
      <c r="XT39" s="0" t="n">
        <v>70</v>
      </c>
      <c r="XU39" s="0" t="n">
        <v>14</v>
      </c>
      <c r="XV39" s="0" t="n">
        <v>4.93</v>
      </c>
      <c r="XW39" s="0" t="n">
        <v>2</v>
      </c>
      <c r="YZ39" s="16" t="n">
        <v>0.75</v>
      </c>
      <c r="ZA39" s="16" t="n">
        <v>1</v>
      </c>
      <c r="ZB39" s="16" t="n">
        <v>1</v>
      </c>
      <c r="ZC39" s="16"/>
      <c r="ZD39" s="16" t="n">
        <v>9.96</v>
      </c>
      <c r="ZE39" s="16"/>
      <c r="ZF39" s="16"/>
      <c r="ZG39" s="16"/>
      <c r="ZH39" s="16"/>
      <c r="ZI39" s="16"/>
      <c r="ZJ39" s="16"/>
      <c r="ZK39" s="16" t="n">
        <v>0</v>
      </c>
      <c r="ZL39" s="16" t="n">
        <v>0</v>
      </c>
      <c r="ZM39" s="16" t="n">
        <v>0</v>
      </c>
      <c r="ZN39" s="16" t="n">
        <v>0</v>
      </c>
      <c r="ZO39" s="16" t="n">
        <v>0</v>
      </c>
      <c r="ZP39" s="16" t="n">
        <v>0</v>
      </c>
      <c r="ZQ39" s="16" t="n">
        <v>0</v>
      </c>
      <c r="ZR39" s="0" t="n">
        <v>0</v>
      </c>
      <c r="ZU39" s="15"/>
      <c r="ZV39" s="15"/>
      <c r="AAC39" s="15"/>
      <c r="AAD39" s="15"/>
      <c r="AAK39" s="15"/>
      <c r="AAL39" s="15"/>
      <c r="AAS39" s="15"/>
      <c r="AAT39" s="15"/>
      <c r="ABA39" s="15"/>
      <c r="ABB39" s="15"/>
      <c r="ABI39" s="15"/>
      <c r="ABJ39" s="15"/>
      <c r="ABQ39" s="15"/>
      <c r="ABR39" s="15"/>
      <c r="ABY39" s="15"/>
      <c r="ABZ39" s="15"/>
      <c r="ACG39" s="15"/>
      <c r="ACH39" s="15"/>
      <c r="ACO39" s="15"/>
      <c r="ACP39" s="15"/>
      <c r="ACW39" s="15"/>
      <c r="ACX39" s="15"/>
      <c r="ADE39" s="15"/>
      <c r="ADF39" s="15"/>
      <c r="ADM39" s="15"/>
      <c r="ADN39" s="15"/>
      <c r="ADU39" s="15"/>
      <c r="ADV39" s="15"/>
      <c r="AEC39" s="15"/>
      <c r="AED39" s="15"/>
      <c r="AEK39" s="15"/>
      <c r="AEL39" s="15"/>
      <c r="AES39" s="15"/>
      <c r="AET39" s="15"/>
      <c r="AFA39" s="15"/>
      <c r="AFB39" s="15"/>
      <c r="AFI39" s="15"/>
      <c r="AFJ39" s="15"/>
      <c r="AFQ39" s="15"/>
      <c r="AFR39" s="15"/>
      <c r="AFY39" s="15"/>
      <c r="AFZ39" s="15"/>
      <c r="AGG39" s="15"/>
      <c r="AGH39" s="15"/>
      <c r="AGO39" s="15"/>
      <c r="AGP39" s="15"/>
      <c r="AGW39" s="15"/>
      <c r="AGX39" s="15"/>
      <c r="AHE39" s="15"/>
      <c r="AHF39" s="15"/>
      <c r="AHM39" s="15"/>
      <c r="AHN39" s="15"/>
      <c r="AHU39" s="15"/>
      <c r="AHV39" s="15"/>
      <c r="AIC39" s="15"/>
      <c r="AID39" s="15"/>
      <c r="AIK39" s="15"/>
      <c r="AIL39" s="15"/>
      <c r="AIS39" s="15"/>
      <c r="AIT39" s="15"/>
      <c r="AJA39" s="15"/>
      <c r="AJB39" s="15"/>
      <c r="AJI39" s="15"/>
      <c r="AJJ39" s="15"/>
      <c r="AJQ39" s="15"/>
      <c r="AJR39" s="15"/>
      <c r="AJY39" s="15"/>
      <c r="AJZ39" s="15"/>
      <c r="AKG39" s="15"/>
      <c r="AKH39" s="15"/>
      <c r="AKO39" s="15"/>
      <c r="AKP39" s="15"/>
      <c r="AKW39" s="15"/>
      <c r="AKX39" s="15"/>
      <c r="ALE39" s="15"/>
      <c r="ALF39" s="15"/>
      <c r="ALM39" s="15"/>
      <c r="ALN39" s="15"/>
      <c r="ALU39" s="15"/>
      <c r="ALV39" s="15"/>
      <c r="AMC39" s="15"/>
      <c r="AMD39" s="15"/>
    </row>
    <row r="40" customFormat="false" ht="13.8" hidden="false" customHeight="false" outlineLevel="0" collapsed="false">
      <c r="A40" s="1" t="s">
        <v>375</v>
      </c>
      <c r="B40" s="12" t="n">
        <v>42899</v>
      </c>
      <c r="C40" s="0" t="n">
        <v>2</v>
      </c>
      <c r="D40" s="12" t="n">
        <v>34729</v>
      </c>
      <c r="E40" s="12" t="n">
        <v>27031</v>
      </c>
      <c r="F40" s="14" t="n">
        <f aca="false">(B40-E40)/365.25</f>
        <v>43.4442162902122</v>
      </c>
      <c r="G40" s="14" t="n">
        <f aca="false">(B40-D40)/365.25</f>
        <v>22.3682409308693</v>
      </c>
      <c r="H40" s="15" t="s">
        <v>183</v>
      </c>
      <c r="I40" s="15" t="s">
        <v>347</v>
      </c>
      <c r="J40" s="21" t="s">
        <v>181</v>
      </c>
      <c r="K40" s="21" t="n">
        <v>4</v>
      </c>
      <c r="L40" s="19" t="n">
        <v>75</v>
      </c>
      <c r="M40" s="0" t="n">
        <v>1.74</v>
      </c>
      <c r="N40" s="16" t="n">
        <f aca="false">L40/(M40*M40)</f>
        <v>24.7720967102656</v>
      </c>
      <c r="O40" s="19" t="n">
        <v>0</v>
      </c>
      <c r="P40" s="19" t="n">
        <v>0</v>
      </c>
      <c r="Q40" s="19" t="n">
        <v>0</v>
      </c>
      <c r="R40" s="19" t="n">
        <v>0</v>
      </c>
      <c r="S40" s="19" t="n">
        <v>0</v>
      </c>
      <c r="T40" s="19" t="n">
        <v>0</v>
      </c>
      <c r="U40" s="19" t="n">
        <v>0</v>
      </c>
      <c r="V40" s="19" t="n">
        <v>0</v>
      </c>
      <c r="W40" s="19" t="n">
        <v>1</v>
      </c>
      <c r="X40" s="19" t="n">
        <v>1</v>
      </c>
      <c r="Y40" s="19" t="n">
        <v>1</v>
      </c>
      <c r="Z40" s="19" t="n">
        <v>2</v>
      </c>
      <c r="AA40" s="19" t="n">
        <v>60</v>
      </c>
      <c r="AB40" s="19" t="s">
        <v>376</v>
      </c>
      <c r="AC40" s="19" t="n">
        <v>0</v>
      </c>
      <c r="AD40" s="19" t="n">
        <v>0</v>
      </c>
      <c r="AE40" s="19" t="n">
        <v>1</v>
      </c>
      <c r="AF40" s="19" t="n">
        <v>1</v>
      </c>
      <c r="AG40" s="19"/>
      <c r="AH40" s="19"/>
      <c r="AI40" s="19" t="n">
        <v>0</v>
      </c>
      <c r="AJ40" s="19" t="n">
        <v>0</v>
      </c>
      <c r="AK40" s="19" t="n">
        <v>0</v>
      </c>
      <c r="AL40" s="19" t="n">
        <v>0</v>
      </c>
      <c r="AM40" s="19" t="n">
        <v>0</v>
      </c>
      <c r="AN40" s="19" t="n">
        <v>0</v>
      </c>
      <c r="AO40" s="19" t="n">
        <v>0</v>
      </c>
      <c r="AP40" s="19" t="n">
        <v>0</v>
      </c>
      <c r="AQ40" s="19" t="n">
        <v>0</v>
      </c>
      <c r="AR40" s="19" t="n">
        <v>0</v>
      </c>
      <c r="AS40" s="19" t="n">
        <v>2</v>
      </c>
      <c r="AT40" s="19" t="n">
        <v>2</v>
      </c>
      <c r="AU40" s="19" t="n">
        <v>2</v>
      </c>
      <c r="AV40" s="19" t="n">
        <v>0</v>
      </c>
      <c r="AW40" s="19" t="n">
        <v>7</v>
      </c>
      <c r="AX40" s="19" t="n">
        <v>1</v>
      </c>
      <c r="AY40" s="19" t="n">
        <v>1</v>
      </c>
      <c r="AZ40" s="19" t="n">
        <v>1</v>
      </c>
      <c r="BA40" s="19" t="n">
        <v>7</v>
      </c>
      <c r="BB40" s="19" t="n">
        <v>1</v>
      </c>
      <c r="BC40" s="19" t="n">
        <v>1</v>
      </c>
      <c r="BD40" s="19" t="n">
        <v>1</v>
      </c>
      <c r="BE40" s="19" t="n">
        <v>7</v>
      </c>
      <c r="BF40" s="19" t="n">
        <v>0</v>
      </c>
      <c r="BG40" s="19" t="n">
        <v>0</v>
      </c>
      <c r="BH40" s="19" t="n">
        <v>0</v>
      </c>
      <c r="BI40" s="19" t="n">
        <v>0</v>
      </c>
      <c r="BJ40" s="19" t="n">
        <v>0</v>
      </c>
      <c r="BK40" s="19" t="n">
        <v>0</v>
      </c>
      <c r="BL40" s="19" t="n">
        <v>0</v>
      </c>
      <c r="BM40" s="19" t="n">
        <v>0</v>
      </c>
      <c r="BN40" s="19" t="n">
        <v>0</v>
      </c>
      <c r="BO40" s="19" t="n">
        <v>0</v>
      </c>
      <c r="BP40" s="19" t="n">
        <v>0</v>
      </c>
      <c r="BQ40" s="19" t="n">
        <v>0</v>
      </c>
      <c r="BR40" s="19" t="n">
        <v>3</v>
      </c>
      <c r="BS40" s="19" t="n">
        <v>3</v>
      </c>
      <c r="BT40" s="19" t="n">
        <v>5</v>
      </c>
      <c r="BU40" s="19" t="n">
        <v>5</v>
      </c>
      <c r="BV40" s="19" t="n">
        <v>3</v>
      </c>
      <c r="BW40" s="19" t="n">
        <v>1</v>
      </c>
      <c r="BX40" s="19" t="n">
        <v>3</v>
      </c>
      <c r="BY40" s="19" t="n">
        <v>3</v>
      </c>
      <c r="BZ40" s="19" t="n">
        <v>2</v>
      </c>
      <c r="CA40" s="19" t="n">
        <v>3</v>
      </c>
      <c r="CB40" s="19" t="n">
        <v>5</v>
      </c>
      <c r="CC40" s="19" t="n">
        <v>5</v>
      </c>
      <c r="CD40" s="19" t="n">
        <v>1</v>
      </c>
      <c r="CE40" s="19" t="n">
        <v>3</v>
      </c>
      <c r="CF40" s="19" t="n">
        <v>5</v>
      </c>
      <c r="CG40" s="19" t="n">
        <v>3</v>
      </c>
      <c r="CH40" s="19" t="n">
        <v>1</v>
      </c>
      <c r="CI40" s="19" t="n">
        <v>4</v>
      </c>
      <c r="CJ40" s="19" t="n">
        <v>3</v>
      </c>
      <c r="CK40" s="19" t="n">
        <v>3</v>
      </c>
      <c r="CL40" s="0" t="s">
        <v>355</v>
      </c>
      <c r="CM40" s="0" t="n">
        <v>37</v>
      </c>
      <c r="CN40" s="16" t="n">
        <v>95.1</v>
      </c>
      <c r="CO40" s="16" t="n">
        <v>80.4</v>
      </c>
      <c r="CP40" s="16" t="n">
        <v>15.9</v>
      </c>
      <c r="CQ40" s="0" t="n">
        <v>82.71</v>
      </c>
      <c r="CR40" s="17" t="n">
        <v>0</v>
      </c>
      <c r="CS40" s="0" t="n">
        <v>10.32</v>
      </c>
      <c r="CT40" s="0" t="n">
        <v>0.39</v>
      </c>
      <c r="CU40" s="0" t="n">
        <v>10.32</v>
      </c>
      <c r="CV40" s="0" t="n">
        <v>0</v>
      </c>
      <c r="CW40" s="0" t="n">
        <v>0</v>
      </c>
      <c r="CY40" s="0" t="n">
        <v>0</v>
      </c>
      <c r="CZ40" s="0" t="n">
        <v>0</v>
      </c>
      <c r="DA40" s="0" t="n">
        <v>0</v>
      </c>
      <c r="DB40" s="0" t="n">
        <v>1.9</v>
      </c>
      <c r="DC40" s="0" t="n">
        <v>26.26</v>
      </c>
      <c r="DD40" s="0" t="n">
        <v>6.04</v>
      </c>
      <c r="DE40" s="0" t="n">
        <v>2.19</v>
      </c>
      <c r="DF40" s="0" t="n">
        <v>0</v>
      </c>
      <c r="DG40" s="0" t="n">
        <v>0</v>
      </c>
      <c r="DH40" s="0" t="n">
        <v>0</v>
      </c>
      <c r="DU40" s="0" t="n">
        <v>14.7</v>
      </c>
      <c r="DV40" s="0" t="n">
        <v>1</v>
      </c>
      <c r="DW40" s="0" t="n">
        <v>35</v>
      </c>
      <c r="DX40" s="0" t="n">
        <v>2</v>
      </c>
      <c r="DY40" s="0" t="n">
        <v>1.8</v>
      </c>
      <c r="DZ40" s="0" t="n">
        <v>3</v>
      </c>
      <c r="EG40" s="20"/>
      <c r="EY40" s="0" t="n">
        <v>1</v>
      </c>
      <c r="EZ40" s="0" t="n">
        <v>50</v>
      </c>
      <c r="FA40" s="0" t="n">
        <v>1</v>
      </c>
      <c r="FB40" s="0" t="n">
        <v>1.34</v>
      </c>
      <c r="FC40" s="0" t="n">
        <v>2</v>
      </c>
      <c r="FD40" s="0" t="n">
        <v>40</v>
      </c>
      <c r="FE40" s="0" t="n">
        <v>1</v>
      </c>
      <c r="FF40" s="0" t="n">
        <v>0.9</v>
      </c>
      <c r="FG40" s="0" t="n">
        <v>3</v>
      </c>
      <c r="FH40" s="0" t="n">
        <v>50</v>
      </c>
      <c r="FI40" s="0" t="n">
        <v>1</v>
      </c>
      <c r="FJ40" s="0" t="n">
        <v>0.9</v>
      </c>
      <c r="FK40" s="0" t="n">
        <v>3</v>
      </c>
      <c r="FL40" s="0" t="n">
        <v>80</v>
      </c>
      <c r="FM40" s="0" t="n">
        <v>2</v>
      </c>
      <c r="FN40" s="0" t="n">
        <v>2.68</v>
      </c>
      <c r="FO40" s="0" t="n">
        <v>2</v>
      </c>
      <c r="FP40" s="0" t="n">
        <v>100</v>
      </c>
      <c r="FQ40" s="0" t="n">
        <v>1</v>
      </c>
      <c r="FR40" s="0" t="n">
        <v>2.57</v>
      </c>
      <c r="FS40" s="0" t="n">
        <v>2</v>
      </c>
      <c r="GJ40" s="0" t="n">
        <v>0</v>
      </c>
      <c r="GK40" s="19" t="n">
        <v>0</v>
      </c>
      <c r="GL40" s="19"/>
      <c r="GM40" s="13"/>
      <c r="GN40" s="13"/>
      <c r="GO40" s="19"/>
      <c r="GP40" s="13"/>
      <c r="GQ40" s="13"/>
      <c r="GR40" s="13"/>
      <c r="GS40" s="13"/>
      <c r="GT40" s="13"/>
      <c r="GU40" s="16" t="n">
        <v>5.11</v>
      </c>
      <c r="GV40" s="0" t="n">
        <v>4.81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s">
        <v>363</v>
      </c>
      <c r="HD40" s="0" t="n">
        <v>34.5</v>
      </c>
      <c r="HE40" s="16" t="n">
        <v>88.3</v>
      </c>
      <c r="HF40" s="16" t="n">
        <v>80.4</v>
      </c>
      <c r="HG40" s="16" t="n">
        <v>22.8</v>
      </c>
      <c r="HH40" s="0" t="n">
        <v>73.89</v>
      </c>
      <c r="HI40" s="17" t="n">
        <v>0</v>
      </c>
      <c r="HJ40" s="0" t="n">
        <v>14.94</v>
      </c>
      <c r="HK40" s="0" t="n">
        <v>0.5</v>
      </c>
      <c r="HL40" s="0" t="n">
        <v>10.66</v>
      </c>
      <c r="HM40" s="0" t="n">
        <v>0</v>
      </c>
      <c r="HN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46.29</v>
      </c>
      <c r="HU40" s="0" t="n">
        <v>23.15</v>
      </c>
      <c r="HV40" s="0" t="n">
        <v>0</v>
      </c>
      <c r="HW40" s="0" t="n">
        <v>0</v>
      </c>
      <c r="HX40" s="0" t="n">
        <v>0</v>
      </c>
      <c r="HY40" s="0" t="n">
        <v>0</v>
      </c>
      <c r="IL40" s="0" t="n">
        <v>2.8</v>
      </c>
      <c r="IM40" s="0" t="n">
        <v>1</v>
      </c>
      <c r="IN40" s="0" t="n">
        <v>35</v>
      </c>
      <c r="IO40" s="0" t="n">
        <v>1</v>
      </c>
      <c r="IP40" s="0" t="n">
        <v>0.5</v>
      </c>
      <c r="IQ40" s="0" t="n">
        <v>3</v>
      </c>
      <c r="IX40" s="20"/>
      <c r="JP40" s="0" t="n">
        <v>1</v>
      </c>
      <c r="JQ40" s="0" t="n">
        <v>60</v>
      </c>
      <c r="JR40" s="0" t="n">
        <v>4</v>
      </c>
      <c r="JS40" s="0" t="n">
        <v>0.54</v>
      </c>
      <c r="JT40" s="0" t="n">
        <v>3</v>
      </c>
      <c r="LA40" s="16" t="n">
        <v>3.05</v>
      </c>
      <c r="LB40" s="16" t="n">
        <v>1</v>
      </c>
      <c r="LC40" s="16" t="n">
        <v>1</v>
      </c>
      <c r="LD40" s="16" t="n">
        <v>5</v>
      </c>
      <c r="LE40" s="16" t="n">
        <v>8.71</v>
      </c>
      <c r="LF40" s="16" t="n">
        <v>2</v>
      </c>
      <c r="LG40" s="16" t="n">
        <v>25</v>
      </c>
      <c r="LH40" s="16" t="n">
        <v>12.44</v>
      </c>
      <c r="LI40" s="16"/>
      <c r="LJ40" s="16"/>
      <c r="LK40" s="16"/>
      <c r="LL40" s="16" t="n">
        <v>4.5</v>
      </c>
      <c r="LM40" s="16" t="n">
        <v>1.2</v>
      </c>
      <c r="LN40" s="16" t="n">
        <v>0</v>
      </c>
      <c r="LO40" s="16" t="n">
        <v>0</v>
      </c>
      <c r="LP40" s="16" t="n">
        <v>0</v>
      </c>
      <c r="LQ40" s="16" t="n">
        <v>0</v>
      </c>
      <c r="LR40" s="16" t="n">
        <v>0</v>
      </c>
      <c r="LS40" s="0" t="n">
        <v>0</v>
      </c>
      <c r="LT40" s="0" t="s">
        <v>364</v>
      </c>
      <c r="LU40" s="0" t="n">
        <v>32</v>
      </c>
      <c r="LV40" s="16" t="n">
        <v>75</v>
      </c>
      <c r="LW40" s="16" t="n">
        <v>80.4</v>
      </c>
      <c r="LX40" s="16" t="n">
        <v>22.6</v>
      </c>
      <c r="LY40" s="0" t="n">
        <v>76.24</v>
      </c>
      <c r="LZ40" s="17" t="n">
        <v>0</v>
      </c>
      <c r="MA40" s="0" t="n">
        <v>15.36</v>
      </c>
      <c r="MB40" s="0" t="n">
        <v>1.93</v>
      </c>
      <c r="MC40" s="0" t="n">
        <v>6.47</v>
      </c>
      <c r="MD40" s="0" t="n">
        <v>0</v>
      </c>
      <c r="ME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32.86</v>
      </c>
      <c r="ML40" s="0" t="n">
        <v>26.39</v>
      </c>
      <c r="MM40" s="0" t="n">
        <v>0</v>
      </c>
      <c r="MN40" s="0" t="n">
        <v>0</v>
      </c>
      <c r="MO40" s="0" t="n">
        <v>0</v>
      </c>
      <c r="MP40" s="0" t="n">
        <v>0</v>
      </c>
      <c r="NC40" s="0" t="n">
        <v>5.6</v>
      </c>
      <c r="ND40" s="0" t="n">
        <v>1</v>
      </c>
      <c r="NE40" s="0" t="n">
        <v>35</v>
      </c>
      <c r="NF40" s="0" t="n">
        <v>1</v>
      </c>
      <c r="NG40" s="0" t="n">
        <v>0.5</v>
      </c>
      <c r="NH40" s="0" t="n">
        <v>3</v>
      </c>
      <c r="NO40" s="20"/>
      <c r="OG40" s="0" t="n">
        <v>1</v>
      </c>
      <c r="OH40" s="0" t="n">
        <v>60</v>
      </c>
      <c r="OI40" s="0" t="n">
        <v>5</v>
      </c>
      <c r="OJ40" s="0" t="n">
        <v>3.13</v>
      </c>
      <c r="OK40" s="0" t="n">
        <v>2</v>
      </c>
      <c r="OL40" s="0" t="n">
        <v>50</v>
      </c>
      <c r="OM40" s="0" t="n">
        <v>2</v>
      </c>
      <c r="ON40" s="0" t="n">
        <v>0.67</v>
      </c>
      <c r="OO40" s="0" t="n">
        <v>2</v>
      </c>
      <c r="PR40" s="16" t="n">
        <v>1.43</v>
      </c>
      <c r="PS40" s="16" t="n">
        <v>1</v>
      </c>
      <c r="PT40" s="16" t="n">
        <v>1</v>
      </c>
      <c r="PU40" s="16" t="n">
        <v>4</v>
      </c>
      <c r="PV40" s="16" t="n">
        <v>17.43</v>
      </c>
      <c r="PW40" s="16"/>
      <c r="PX40" s="16"/>
      <c r="PY40" s="16"/>
      <c r="PZ40" s="16"/>
      <c r="QA40" s="16"/>
      <c r="QB40" s="16"/>
      <c r="QC40" s="16" t="n">
        <v>1.7</v>
      </c>
      <c r="QD40" s="16" t="n">
        <v>1.7</v>
      </c>
      <c r="QE40" s="16" t="n">
        <v>0</v>
      </c>
      <c r="QF40" s="16" t="n">
        <v>0</v>
      </c>
      <c r="QG40" s="16" t="n">
        <v>0</v>
      </c>
      <c r="QH40" s="16" t="n">
        <v>0</v>
      </c>
      <c r="QI40" s="16" t="n">
        <v>0</v>
      </c>
      <c r="QJ40" s="0" t="n">
        <v>0</v>
      </c>
      <c r="QK40" s="0" t="s">
        <v>350</v>
      </c>
      <c r="QL40" s="0" t="n">
        <v>75</v>
      </c>
      <c r="QM40" s="16" t="n">
        <v>87.9</v>
      </c>
      <c r="QN40" s="16" t="n">
        <v>80.4</v>
      </c>
      <c r="QO40" s="16" t="n">
        <v>45.2</v>
      </c>
      <c r="QP40" s="0" t="n">
        <v>50.83</v>
      </c>
      <c r="QQ40" s="0" t="n">
        <v>0.05</v>
      </c>
      <c r="QR40" s="0" t="n">
        <v>46.44</v>
      </c>
      <c r="QS40" s="0" t="n">
        <v>2.67</v>
      </c>
      <c r="QT40" s="0" t="n">
        <v>0</v>
      </c>
      <c r="QU40" s="0" t="n">
        <v>0</v>
      </c>
      <c r="QV40" s="0" t="n">
        <v>0</v>
      </c>
      <c r="QX40" s="0" t="n">
        <v>0</v>
      </c>
      <c r="QY40" s="0" t="n">
        <v>0</v>
      </c>
      <c r="QZ40" s="0" t="n">
        <v>0</v>
      </c>
      <c r="RA40" s="0" t="n">
        <v>0</v>
      </c>
      <c r="RB40" s="0" t="n">
        <v>25.21</v>
      </c>
      <c r="RC40" s="0" t="n">
        <v>43.57</v>
      </c>
      <c r="RD40" s="0" t="n">
        <v>6.27</v>
      </c>
      <c r="RE40" s="0" t="n">
        <v>0</v>
      </c>
      <c r="RF40" s="0" t="n">
        <v>0</v>
      </c>
      <c r="RG40" s="0" t="n">
        <v>0</v>
      </c>
      <c r="RT40" s="0" t="n">
        <v>17.8</v>
      </c>
      <c r="RU40" s="0" t="n">
        <v>1</v>
      </c>
      <c r="RV40" s="0" t="n">
        <v>35</v>
      </c>
      <c r="RW40" s="0" t="n">
        <v>9</v>
      </c>
      <c r="RX40" s="0" t="n">
        <v>2.55</v>
      </c>
      <c r="RY40" s="0" t="n">
        <v>3</v>
      </c>
      <c r="SF40" s="20"/>
      <c r="SX40" s="0" t="n">
        <v>1</v>
      </c>
      <c r="SY40" s="0" t="n">
        <v>50</v>
      </c>
      <c r="SZ40" s="0" t="n">
        <v>8</v>
      </c>
      <c r="TA40" s="0" t="n">
        <v>2.12</v>
      </c>
      <c r="TB40" s="0" t="n">
        <v>3</v>
      </c>
      <c r="UI40" s="16" t="n">
        <v>3.43</v>
      </c>
      <c r="UJ40" s="16" t="n">
        <v>1</v>
      </c>
      <c r="UK40" s="16" t="n">
        <v>1</v>
      </c>
      <c r="UL40" s="16"/>
      <c r="UM40" s="16" t="n">
        <v>26.11</v>
      </c>
      <c r="UN40" s="16" t="n">
        <v>2</v>
      </c>
      <c r="UO40" s="16"/>
      <c r="UP40" s="16" t="n">
        <v>11.19</v>
      </c>
      <c r="UQ40" s="16"/>
      <c r="UR40" s="16"/>
      <c r="US40" s="16"/>
      <c r="UT40" s="16" t="n">
        <v>6.39</v>
      </c>
      <c r="UU40" s="16" t="n">
        <v>3.31</v>
      </c>
      <c r="UV40" s="16" t="n">
        <v>0</v>
      </c>
      <c r="UW40" s="16" t="n">
        <v>0</v>
      </c>
      <c r="UX40" s="16" t="n">
        <v>0</v>
      </c>
      <c r="UY40" s="16" t="n">
        <v>0</v>
      </c>
      <c r="UZ40" s="16" t="n">
        <v>0</v>
      </c>
      <c r="VA40" s="0" t="n">
        <v>0</v>
      </c>
      <c r="VB40" s="0" t="s">
        <v>361</v>
      </c>
      <c r="VC40" s="0" t="n">
        <v>74.5</v>
      </c>
      <c r="VD40" s="16" t="n">
        <v>76.2</v>
      </c>
      <c r="VE40" s="16" t="n">
        <v>80.4</v>
      </c>
      <c r="VF40" s="16" t="n">
        <v>42.8</v>
      </c>
      <c r="VG40" s="0" t="n">
        <v>57.15</v>
      </c>
      <c r="VH40" s="0" t="n">
        <v>0.45</v>
      </c>
      <c r="VI40" s="0" t="n">
        <v>39.09</v>
      </c>
      <c r="VJ40" s="0" t="n">
        <v>3.3</v>
      </c>
      <c r="VK40" s="0" t="n">
        <v>0</v>
      </c>
      <c r="VL40" s="0" t="n">
        <v>0</v>
      </c>
      <c r="VM40" s="0" t="n">
        <v>0</v>
      </c>
      <c r="VO40" s="0" t="n">
        <v>0</v>
      </c>
      <c r="VP40" s="0" t="n">
        <v>0</v>
      </c>
      <c r="VQ40" s="0" t="n">
        <v>0</v>
      </c>
      <c r="VR40" s="0" t="n">
        <v>0</v>
      </c>
      <c r="VS40" s="0" t="n">
        <v>18.26</v>
      </c>
      <c r="VT40" s="0" t="n">
        <v>34.4</v>
      </c>
      <c r="VU40" s="0" t="n">
        <v>6.27</v>
      </c>
      <c r="VV40" s="0" t="n">
        <v>0</v>
      </c>
      <c r="VW40" s="0" t="n">
        <v>0</v>
      </c>
      <c r="VX40" s="0" t="n">
        <v>0</v>
      </c>
      <c r="WK40" s="0" t="n">
        <v>18.2</v>
      </c>
      <c r="WL40" s="0" t="n">
        <v>1</v>
      </c>
      <c r="WM40" s="0" t="n">
        <v>35</v>
      </c>
      <c r="WN40" s="0" t="n">
        <v>9</v>
      </c>
      <c r="WO40" s="0" t="n">
        <v>2.55</v>
      </c>
      <c r="WP40" s="0" t="n">
        <v>3</v>
      </c>
      <c r="WW40" s="20"/>
      <c r="XO40" s="0" t="n">
        <v>1</v>
      </c>
      <c r="XP40" s="0" t="n">
        <v>50</v>
      </c>
      <c r="XQ40" s="0" t="n">
        <v>8</v>
      </c>
      <c r="XR40" s="0" t="n">
        <v>2.54</v>
      </c>
      <c r="XS40" s="0" t="n">
        <v>3</v>
      </c>
      <c r="YZ40" s="16" t="n">
        <v>7.59</v>
      </c>
      <c r="ZA40" s="16" t="n">
        <v>1</v>
      </c>
      <c r="ZB40" s="16" t="n">
        <v>1</v>
      </c>
      <c r="ZC40" s="16"/>
      <c r="ZD40" s="16" t="n">
        <v>22.38</v>
      </c>
      <c r="ZE40" s="16" t="n">
        <v>2</v>
      </c>
      <c r="ZF40" s="16"/>
      <c r="ZG40" s="16" t="n">
        <v>14.92</v>
      </c>
      <c r="ZH40" s="16"/>
      <c r="ZI40" s="16"/>
      <c r="ZJ40" s="16"/>
      <c r="ZK40" s="16" t="n">
        <v>5.05</v>
      </c>
      <c r="ZL40" s="16" t="n">
        <v>1.54</v>
      </c>
      <c r="ZM40" s="16" t="n">
        <v>0</v>
      </c>
      <c r="ZN40" s="16" t="n">
        <v>0</v>
      </c>
      <c r="ZO40" s="16" t="n">
        <v>0</v>
      </c>
      <c r="ZP40" s="16" t="n">
        <v>0</v>
      </c>
      <c r="ZQ40" s="16" t="n">
        <v>0</v>
      </c>
      <c r="ZR40" s="0" t="n">
        <v>0</v>
      </c>
      <c r="ZS40" s="0" t="s">
        <v>365</v>
      </c>
      <c r="ZT40" s="0" t="n">
        <v>75</v>
      </c>
      <c r="ZU40" s="16" t="n">
        <v>76.8</v>
      </c>
      <c r="ZV40" s="16" t="n">
        <v>80.4</v>
      </c>
      <c r="ZW40" s="16" t="n">
        <v>30.8</v>
      </c>
      <c r="ZX40" s="0" t="n">
        <v>74.74</v>
      </c>
      <c r="ZY40" s="17" t="n">
        <v>0</v>
      </c>
      <c r="ZZ40" s="0" t="n">
        <v>4.24</v>
      </c>
      <c r="AAA40" s="0" t="n">
        <v>16.45</v>
      </c>
      <c r="AAB40" s="0" t="n">
        <v>4.57</v>
      </c>
      <c r="AAC40" s="0" t="n">
        <v>0</v>
      </c>
      <c r="AAD40" s="0" t="n">
        <v>0</v>
      </c>
      <c r="AAF40" s="0" t="n">
        <v>0</v>
      </c>
      <c r="AAG40" s="0" t="n">
        <v>0</v>
      </c>
      <c r="AAH40" s="0" t="n">
        <v>0</v>
      </c>
      <c r="AAI40" s="0" t="n">
        <v>0</v>
      </c>
      <c r="AAJ40" s="0" t="n">
        <v>35.23</v>
      </c>
      <c r="AAK40" s="0" t="n">
        <v>6.53</v>
      </c>
      <c r="AAL40" s="0" t="n">
        <v>4.97</v>
      </c>
      <c r="AAM40" s="0" t="n">
        <v>0</v>
      </c>
      <c r="AAN40" s="0" t="n">
        <v>0</v>
      </c>
      <c r="AAO40" s="0" t="n">
        <v>0</v>
      </c>
      <c r="ABB40" s="0" t="n">
        <v>38.4</v>
      </c>
      <c r="ABC40" s="0" t="n">
        <v>1</v>
      </c>
      <c r="ABD40" s="0" t="n">
        <v>47</v>
      </c>
      <c r="ABE40" s="0" t="n">
        <v>7</v>
      </c>
      <c r="ABF40" s="0" t="n">
        <v>5.33</v>
      </c>
      <c r="ABG40" s="0" t="n">
        <v>3</v>
      </c>
      <c r="ABN40" s="20"/>
      <c r="ACF40" s="0" t="n">
        <v>0</v>
      </c>
      <c r="ADQ40" s="16" t="n">
        <v>2.02</v>
      </c>
      <c r="ADR40" s="16" t="n">
        <v>1</v>
      </c>
      <c r="ADS40" s="16" t="n">
        <v>1</v>
      </c>
      <c r="ADT40" s="16"/>
      <c r="ADU40" s="16" t="n">
        <v>9.95</v>
      </c>
      <c r="ADV40" s="16" t="n">
        <v>2</v>
      </c>
      <c r="ADW40" s="16"/>
      <c r="ADX40" s="16" t="n">
        <v>9.95</v>
      </c>
      <c r="ADY40" s="16"/>
      <c r="ADZ40" s="16"/>
      <c r="AEA40" s="16"/>
      <c r="AEB40" s="16" t="n">
        <v>0</v>
      </c>
      <c r="AEC40" s="16" t="n">
        <v>0</v>
      </c>
      <c r="AED40" s="16" t="n">
        <v>0</v>
      </c>
      <c r="AEE40" s="16" t="n">
        <v>0</v>
      </c>
      <c r="AEF40" s="16" t="n">
        <v>0</v>
      </c>
      <c r="AEG40" s="16" t="n">
        <v>0</v>
      </c>
      <c r="AEH40" s="16" t="n">
        <v>0</v>
      </c>
      <c r="AEI40" s="0" t="n">
        <v>0</v>
      </c>
      <c r="AEJ40" s="0" t="s">
        <v>351</v>
      </c>
      <c r="AEK40" s="0" t="n">
        <v>30.5</v>
      </c>
      <c r="AEL40" s="16" t="n">
        <v>68.4</v>
      </c>
      <c r="AEM40" s="16" t="n">
        <v>80.4</v>
      </c>
      <c r="AEN40" s="16" t="n">
        <v>19.8</v>
      </c>
      <c r="AEO40" s="0" t="n">
        <v>72.42</v>
      </c>
      <c r="AEP40" s="17" t="n">
        <v>0</v>
      </c>
      <c r="AEQ40" s="0" t="n">
        <v>0.94</v>
      </c>
      <c r="AER40" s="0" t="n">
        <v>0.94</v>
      </c>
      <c r="AES40" s="0" t="n">
        <v>25.7</v>
      </c>
      <c r="AET40" s="0" t="n">
        <v>0</v>
      </c>
      <c r="AEU40" s="0" t="n">
        <v>0</v>
      </c>
      <c r="AEW40" s="0" t="n">
        <v>0</v>
      </c>
      <c r="AEX40" s="0" t="n">
        <v>0</v>
      </c>
      <c r="AEY40" s="0" t="n">
        <v>0</v>
      </c>
      <c r="AEZ40" s="0" t="n">
        <v>0</v>
      </c>
      <c r="AFA40" s="0" t="n">
        <v>28.26</v>
      </c>
      <c r="AFB40" s="0" t="n">
        <v>10.55</v>
      </c>
      <c r="AFC40" s="0" t="n">
        <v>14.21</v>
      </c>
      <c r="AFD40" s="0" t="n">
        <v>0</v>
      </c>
      <c r="AFE40" s="0" t="n">
        <v>0</v>
      </c>
      <c r="AFF40" s="0" t="n">
        <v>0</v>
      </c>
      <c r="AFS40" s="0" t="n">
        <v>3.3</v>
      </c>
      <c r="AFT40" s="0" t="n">
        <v>1</v>
      </c>
      <c r="AFU40" s="0" t="n">
        <v>68</v>
      </c>
      <c r="AFV40" s="0" t="n">
        <v>2</v>
      </c>
      <c r="AFW40" s="0" t="n">
        <v>1.52</v>
      </c>
      <c r="AFX40" s="0" t="n">
        <v>1</v>
      </c>
      <c r="AGE40" s="20"/>
      <c r="AGW40" s="0" t="n">
        <v>0</v>
      </c>
      <c r="AIH40" s="16" t="n">
        <v>0</v>
      </c>
      <c r="AII40" s="16" t="n">
        <v>0</v>
      </c>
      <c r="AIJ40" s="16"/>
      <c r="AIK40" s="16"/>
      <c r="AIL40" s="16"/>
      <c r="AIM40" s="16"/>
      <c r="AIN40" s="16"/>
      <c r="AIO40" s="16"/>
      <c r="AIP40" s="16"/>
      <c r="AIQ40" s="16"/>
      <c r="AIR40" s="16"/>
      <c r="AIS40" s="16" t="n">
        <v>0.81</v>
      </c>
      <c r="AIT40" s="16" t="n">
        <v>0.8</v>
      </c>
      <c r="AIU40" s="16" t="n">
        <v>0</v>
      </c>
      <c r="AIV40" s="16" t="n">
        <v>0</v>
      </c>
      <c r="AIW40" s="16" t="n">
        <v>2.99</v>
      </c>
      <c r="AIX40" s="16" t="n">
        <v>5.71</v>
      </c>
      <c r="AIY40" s="16" t="n">
        <v>0</v>
      </c>
      <c r="AIZ40" s="0" t="n">
        <v>0</v>
      </c>
      <c r="AJA40" s="0" t="s">
        <v>356</v>
      </c>
      <c r="AJB40" s="0" t="n">
        <v>39.5</v>
      </c>
      <c r="AJC40" s="16" t="n">
        <v>85.1</v>
      </c>
      <c r="AJD40" s="16" t="n">
        <v>80.4</v>
      </c>
      <c r="AJE40" s="16" t="n">
        <v>13.6</v>
      </c>
      <c r="AJF40" s="0" t="n">
        <v>87.38</v>
      </c>
      <c r="AJG40" s="17" t="n">
        <v>0</v>
      </c>
      <c r="AJH40" s="0" t="n">
        <v>8.05</v>
      </c>
      <c r="AJI40" s="0" t="n">
        <v>0</v>
      </c>
      <c r="AJJ40" s="0" t="n">
        <v>4.57</v>
      </c>
      <c r="AJK40" s="0" t="n">
        <v>0</v>
      </c>
      <c r="AJL40" s="0" t="n">
        <v>0</v>
      </c>
      <c r="AJN40" s="0" t="n">
        <v>0</v>
      </c>
      <c r="AJO40" s="0" t="n">
        <v>0</v>
      </c>
      <c r="AJP40" s="0" t="n">
        <v>0</v>
      </c>
      <c r="AJQ40" s="0" t="n">
        <v>0</v>
      </c>
      <c r="AJR40" s="0" t="n">
        <v>45</v>
      </c>
      <c r="AJS40" s="0" t="n">
        <v>10.1</v>
      </c>
      <c r="AJT40" s="0" t="n">
        <v>11.8</v>
      </c>
      <c r="AJU40" s="0" t="n">
        <v>0</v>
      </c>
      <c r="AJV40" s="0" t="n">
        <v>0</v>
      </c>
      <c r="AJW40" s="0" t="n">
        <v>0</v>
      </c>
      <c r="AKJ40" s="0" t="n">
        <v>17.8</v>
      </c>
      <c r="AKK40" s="0" t="n">
        <v>1</v>
      </c>
      <c r="AKL40" s="0" t="n">
        <v>30</v>
      </c>
      <c r="AKM40" s="0" t="n">
        <v>7</v>
      </c>
      <c r="AKN40" s="0" t="n">
        <v>5.33</v>
      </c>
      <c r="AKO40" s="0" t="n">
        <v>3</v>
      </c>
      <c r="AKV40" s="20"/>
      <c r="ALN40" s="0" t="n">
        <v>1</v>
      </c>
      <c r="ALO40" s="0" t="n">
        <v>50</v>
      </c>
      <c r="ALP40" s="0" t="n">
        <v>1</v>
      </c>
      <c r="ALQ40" s="0" t="n">
        <v>0.03</v>
      </c>
      <c r="ALR40" s="0" t="n">
        <v>1</v>
      </c>
    </row>
    <row r="41" customFormat="false" ht="13.8" hidden="false" customHeight="false" outlineLevel="0" collapsed="false">
      <c r="A41" s="1" t="s">
        <v>377</v>
      </c>
      <c r="B41" s="12" t="n">
        <v>42899</v>
      </c>
      <c r="C41" s="0" t="n">
        <v>2</v>
      </c>
      <c r="D41" s="13" t="n">
        <v>42790</v>
      </c>
      <c r="E41" s="12" t="n">
        <v>33908</v>
      </c>
      <c r="F41" s="14" t="n">
        <f aca="false">(B41-E41)/365.25</f>
        <v>24.6160164271047</v>
      </c>
      <c r="G41" s="14" t="n">
        <f aca="false">(B41-D41)/365.25</f>
        <v>0.298425735797399</v>
      </c>
      <c r="H41" s="15" t="s">
        <v>217</v>
      </c>
      <c r="I41" s="15" t="s">
        <v>218</v>
      </c>
      <c r="J41" s="21" t="s">
        <v>181</v>
      </c>
      <c r="K41" s="21" t="n">
        <v>4</v>
      </c>
      <c r="L41" s="19" t="n">
        <v>75</v>
      </c>
      <c r="M41" s="0" t="n">
        <v>1.72</v>
      </c>
      <c r="N41" s="16" t="n">
        <f aca="false">L41/(M41*M41)</f>
        <v>25.3515413737155</v>
      </c>
      <c r="O41" s="19" t="n">
        <v>0</v>
      </c>
      <c r="P41" s="19" t="n">
        <v>0</v>
      </c>
      <c r="Q41" s="19" t="n">
        <v>0</v>
      </c>
      <c r="R41" s="19" t="n">
        <v>0</v>
      </c>
      <c r="S41" s="19" t="n">
        <v>0</v>
      </c>
      <c r="T41" s="19" t="n">
        <v>0</v>
      </c>
      <c r="U41" s="19" t="n">
        <v>0</v>
      </c>
      <c r="V41" s="19" t="n">
        <v>0</v>
      </c>
      <c r="W41" s="19" t="n">
        <v>0</v>
      </c>
      <c r="X41" s="19" t="n">
        <v>0</v>
      </c>
      <c r="Y41" s="19" t="n">
        <v>1</v>
      </c>
      <c r="Z41" s="19" t="n">
        <v>1</v>
      </c>
      <c r="AA41" s="19" t="n">
        <v>90</v>
      </c>
      <c r="AB41" s="19" t="s">
        <v>349</v>
      </c>
      <c r="AC41" s="19" t="n">
        <v>0</v>
      </c>
      <c r="AD41" s="19" t="n">
        <v>0</v>
      </c>
      <c r="AE41" s="19" t="n">
        <v>0</v>
      </c>
      <c r="AF41" s="19" t="n">
        <v>0</v>
      </c>
      <c r="AG41" s="19" t="n">
        <v>0</v>
      </c>
      <c r="AH41" s="19" t="n">
        <v>0</v>
      </c>
      <c r="AI41" s="19" t="n">
        <v>0</v>
      </c>
      <c r="AJ41" s="19" t="n">
        <v>0</v>
      </c>
      <c r="AK41" s="19" t="n">
        <v>0</v>
      </c>
      <c r="AL41" s="19" t="n">
        <v>0</v>
      </c>
      <c r="AM41" s="19" t="n">
        <v>0</v>
      </c>
      <c r="AN41" s="19" t="n">
        <v>0</v>
      </c>
      <c r="AO41" s="19" t="n">
        <v>0</v>
      </c>
      <c r="AP41" s="19" t="n">
        <v>0</v>
      </c>
      <c r="AQ41" s="19" t="n">
        <v>0</v>
      </c>
      <c r="AR41" s="19" t="n">
        <v>0</v>
      </c>
      <c r="AS41" s="19" t="n">
        <v>0</v>
      </c>
      <c r="AT41" s="19" t="n">
        <v>0</v>
      </c>
      <c r="AU41" s="19" t="n">
        <v>0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19" t="n">
        <v>0</v>
      </c>
      <c r="BB41" s="19" t="n">
        <v>0</v>
      </c>
      <c r="BC41" s="19" t="n">
        <v>0</v>
      </c>
      <c r="BD41" s="19" t="n">
        <v>0</v>
      </c>
      <c r="BE41" s="19" t="n">
        <v>0</v>
      </c>
      <c r="BF41" s="19" t="n">
        <v>0</v>
      </c>
      <c r="BG41" s="19" t="n">
        <v>0</v>
      </c>
      <c r="BH41" s="19" t="n">
        <v>0</v>
      </c>
      <c r="BI41" s="19" t="n">
        <v>0</v>
      </c>
      <c r="BJ41" s="19" t="n">
        <v>0</v>
      </c>
      <c r="BK41" s="19" t="n">
        <v>0</v>
      </c>
      <c r="BL41" s="19" t="n">
        <v>0</v>
      </c>
      <c r="BM41" s="19" t="n">
        <v>0</v>
      </c>
      <c r="BN41" s="19" t="n">
        <v>0</v>
      </c>
      <c r="BO41" s="19" t="n">
        <v>0</v>
      </c>
      <c r="BP41" s="19" t="n">
        <v>0</v>
      </c>
      <c r="BQ41" s="19" t="n">
        <v>0</v>
      </c>
      <c r="BR41" s="19" t="n">
        <v>2</v>
      </c>
      <c r="BS41" s="19" t="n">
        <v>1</v>
      </c>
      <c r="BT41" s="19" t="n">
        <v>3</v>
      </c>
      <c r="BU41" s="19" t="n">
        <v>5</v>
      </c>
      <c r="BV41" s="19" t="n">
        <v>1</v>
      </c>
      <c r="BW41" s="19" t="n">
        <v>1</v>
      </c>
      <c r="BX41" s="19" t="n">
        <v>5</v>
      </c>
      <c r="BY41" s="19" t="n">
        <v>3</v>
      </c>
      <c r="BZ41" s="19" t="n">
        <v>5</v>
      </c>
      <c r="CA41" s="19" t="n">
        <v>3</v>
      </c>
      <c r="CB41" s="19" t="n">
        <v>5</v>
      </c>
      <c r="CC41" s="19" t="n">
        <v>5</v>
      </c>
      <c r="CD41" s="19" t="n">
        <v>5</v>
      </c>
      <c r="CE41" s="19" t="n">
        <v>5</v>
      </c>
      <c r="CF41" s="19" t="n">
        <v>2</v>
      </c>
      <c r="CG41" s="19" t="n">
        <v>5</v>
      </c>
      <c r="CH41" s="19" t="n">
        <v>5</v>
      </c>
      <c r="CI41" s="19" t="n">
        <v>5</v>
      </c>
      <c r="CJ41" s="19" t="n">
        <v>5</v>
      </c>
      <c r="CK41" s="19" t="n">
        <v>10</v>
      </c>
      <c r="CL41" s="0" t="s">
        <v>219</v>
      </c>
      <c r="CM41" s="0" t="n">
        <v>33.5</v>
      </c>
      <c r="CN41" s="16" t="n">
        <v>91.5</v>
      </c>
      <c r="CO41" s="16" t="n">
        <v>80.4</v>
      </c>
      <c r="CP41" s="16" t="n">
        <v>20</v>
      </c>
      <c r="CQ41" s="0" t="n">
        <v>84.58</v>
      </c>
      <c r="CR41" s="17" t="n">
        <v>0</v>
      </c>
      <c r="CS41" s="0" t="n">
        <v>15.42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13.79</v>
      </c>
      <c r="DD41" s="0" t="n">
        <v>2.67</v>
      </c>
      <c r="DE41" s="0" t="n">
        <v>11.54</v>
      </c>
      <c r="DF41" s="0" t="n">
        <v>0</v>
      </c>
      <c r="DG41" s="0" t="n">
        <v>12.3</v>
      </c>
      <c r="DH41" s="0" t="n">
        <v>2</v>
      </c>
      <c r="DI41" s="0" t="n">
        <v>5</v>
      </c>
      <c r="DJ41" s="0" t="n">
        <v>2</v>
      </c>
      <c r="DO41" s="0" t="n">
        <v>5</v>
      </c>
      <c r="DP41" s="0" t="n">
        <v>2</v>
      </c>
      <c r="DU41" s="0" t="n">
        <v>0</v>
      </c>
      <c r="DV41" s="0" t="n">
        <v>1</v>
      </c>
      <c r="DW41" s="0" t="n">
        <v>34</v>
      </c>
      <c r="DX41" s="0" t="n">
        <v>2</v>
      </c>
      <c r="DY41" s="0" t="n">
        <v>0.1</v>
      </c>
      <c r="DZ41" s="0" t="n">
        <v>1</v>
      </c>
      <c r="EA41" s="0" t="n">
        <v>10</v>
      </c>
      <c r="EB41" s="0" t="n">
        <f aca="false">8*4</f>
        <v>32</v>
      </c>
      <c r="EC41" s="0" t="n">
        <f aca="false">0.06+0.01+0.4+1.7+0.24+0.14+0.96</f>
        <v>3.51</v>
      </c>
      <c r="ED41" s="0" t="n">
        <v>3</v>
      </c>
      <c r="EG41" s="18"/>
      <c r="EY41" s="0" t="n">
        <v>0</v>
      </c>
      <c r="GJ41" s="16" t="n">
        <v>0.25</v>
      </c>
      <c r="GK41" s="16" t="n">
        <v>1</v>
      </c>
      <c r="GL41" s="16" t="n">
        <v>2</v>
      </c>
      <c r="GM41" s="16"/>
      <c r="GN41" s="16" t="n">
        <v>0.55</v>
      </c>
      <c r="GO41" s="16"/>
      <c r="GP41" s="16"/>
      <c r="GQ41" s="16"/>
      <c r="GR41" s="16"/>
      <c r="GS41" s="16"/>
      <c r="GT41" s="16"/>
      <c r="GU41" s="16" t="n">
        <v>0.55</v>
      </c>
      <c r="GV41" s="16" t="n">
        <v>0.55</v>
      </c>
      <c r="GW41" s="16"/>
      <c r="GX41" s="16"/>
      <c r="GY41" s="16" t="n">
        <v>0</v>
      </c>
      <c r="GZ41" s="16" t="n">
        <v>0</v>
      </c>
      <c r="HA41" s="16" t="n">
        <v>0</v>
      </c>
      <c r="HB41" s="0" t="n">
        <v>0</v>
      </c>
      <c r="HC41" s="0" t="s">
        <v>220</v>
      </c>
      <c r="HD41" s="0" t="n">
        <v>27</v>
      </c>
      <c r="HE41" s="16" t="n">
        <v>54.4</v>
      </c>
      <c r="HF41" s="16" t="n">
        <v>80.4</v>
      </c>
      <c r="HG41" s="16" t="n">
        <v>18.1</v>
      </c>
      <c r="HH41" s="0" t="n">
        <v>81.88</v>
      </c>
      <c r="HI41" s="17" t="n">
        <v>0</v>
      </c>
      <c r="HJ41" s="0" t="n">
        <v>9.83</v>
      </c>
      <c r="HK41" s="0" t="n">
        <v>0</v>
      </c>
      <c r="HL41" s="0" t="n">
        <v>2.14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2.32</v>
      </c>
      <c r="HU41" s="0" t="n">
        <v>19.66</v>
      </c>
      <c r="HV41" s="0" t="n">
        <v>3.64</v>
      </c>
      <c r="HW41" s="0" t="n">
        <v>0</v>
      </c>
      <c r="HX41" s="0" t="n">
        <v>0</v>
      </c>
      <c r="HY41" s="0" t="n">
        <v>0</v>
      </c>
      <c r="IL41" s="0" t="n">
        <v>0</v>
      </c>
      <c r="IM41" s="0" t="n">
        <v>1</v>
      </c>
      <c r="IN41" s="0" t="n">
        <v>26</v>
      </c>
      <c r="IO41" s="0" t="n">
        <v>2</v>
      </c>
      <c r="IP41" s="0" t="n">
        <v>0.05</v>
      </c>
      <c r="IQ41" s="0" t="n">
        <v>2</v>
      </c>
      <c r="IX41" s="18"/>
      <c r="JP41" s="0" t="n">
        <v>0</v>
      </c>
      <c r="LA41" s="16" t="n">
        <v>2.1</v>
      </c>
      <c r="LB41" s="16" t="n">
        <v>1</v>
      </c>
      <c r="LC41" s="16" t="n">
        <v>1</v>
      </c>
      <c r="LD41" s="16"/>
      <c r="LE41" s="16" t="n">
        <f aca="false">0.1+0.76*2+2.02+1.35*2+0.67</f>
        <v>7.01</v>
      </c>
      <c r="LF41" s="16"/>
      <c r="LG41" s="16"/>
      <c r="LH41" s="16"/>
      <c r="LI41" s="16"/>
      <c r="LJ41" s="16"/>
      <c r="LK41" s="16"/>
      <c r="LL41" s="16" t="n">
        <v>6.35</v>
      </c>
      <c r="LM41" s="16" t="n">
        <v>14.8</v>
      </c>
      <c r="LN41" s="16"/>
      <c r="LO41" s="16"/>
      <c r="LP41" s="16" t="n">
        <v>0</v>
      </c>
      <c r="LQ41" s="16" t="n">
        <v>0</v>
      </c>
      <c r="LR41" s="16" t="n">
        <v>0</v>
      </c>
      <c r="LS41" s="0" t="n">
        <v>0</v>
      </c>
      <c r="LT41" s="0" t="s">
        <v>221</v>
      </c>
      <c r="LU41" s="0" t="n">
        <v>20.5</v>
      </c>
      <c r="LV41" s="16" t="n">
        <v>76.9</v>
      </c>
      <c r="LW41" s="16" t="n">
        <v>80.4</v>
      </c>
      <c r="LX41" s="16" t="n">
        <v>9.1</v>
      </c>
      <c r="LY41" s="0" t="n">
        <v>88.58</v>
      </c>
      <c r="LZ41" s="0" t="n">
        <v>10.3</v>
      </c>
      <c r="MA41" s="0" t="n">
        <v>1.12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6.33</v>
      </c>
      <c r="ML41" s="0" t="n">
        <v>16.97</v>
      </c>
      <c r="MM41" s="0" t="n">
        <v>0</v>
      </c>
      <c r="MN41" s="0" t="n">
        <v>0</v>
      </c>
      <c r="MO41" s="0" t="n">
        <v>4.1</v>
      </c>
      <c r="MP41" s="0" t="n">
        <v>2</v>
      </c>
      <c r="MQ41" s="0" t="n">
        <v>5</v>
      </c>
      <c r="MR41" s="0" t="n">
        <v>1</v>
      </c>
      <c r="MW41" s="0" t="n">
        <v>5</v>
      </c>
      <c r="MX41" s="0" t="n">
        <v>1</v>
      </c>
      <c r="NC41" s="0" t="n">
        <v>0</v>
      </c>
      <c r="ND41" s="0" t="n">
        <v>0</v>
      </c>
      <c r="NO41" s="18"/>
      <c r="OG41" s="0" t="n">
        <v>0</v>
      </c>
      <c r="PR41" s="16" t="n">
        <v>2.24</v>
      </c>
      <c r="PS41" s="16" t="n">
        <v>1</v>
      </c>
      <c r="PT41" s="16" t="n">
        <v>2</v>
      </c>
      <c r="PU41" s="16"/>
      <c r="PV41" s="16" t="n">
        <v>4.97</v>
      </c>
      <c r="PW41" s="16"/>
      <c r="PX41" s="16"/>
      <c r="PY41" s="16"/>
      <c r="PZ41" s="16"/>
      <c r="QA41" s="16"/>
      <c r="QB41" s="16"/>
      <c r="QC41" s="16" t="n">
        <v>5.1</v>
      </c>
      <c r="QD41" s="16" t="n">
        <v>5.97</v>
      </c>
      <c r="QE41" s="16"/>
      <c r="QF41" s="16"/>
      <c r="QG41" s="16" t="n">
        <v>0</v>
      </c>
      <c r="QH41" s="16" t="n">
        <v>0</v>
      </c>
      <c r="QI41" s="16" t="n">
        <v>0</v>
      </c>
      <c r="QJ41" s="0" t="n">
        <v>0</v>
      </c>
      <c r="QK41" s="0" t="s">
        <v>222</v>
      </c>
      <c r="QL41" s="0" t="n">
        <v>32.5</v>
      </c>
      <c r="QM41" s="16" t="n">
        <v>96.7</v>
      </c>
      <c r="QN41" s="16" t="n">
        <v>80.4</v>
      </c>
      <c r="QO41" s="16" t="n">
        <v>15.1</v>
      </c>
      <c r="QP41" s="0" t="n">
        <v>52.24</v>
      </c>
      <c r="QQ41" s="0" t="n">
        <v>45.43</v>
      </c>
      <c r="QR41" s="0" t="n">
        <v>1.12</v>
      </c>
      <c r="QS41" s="0" t="n">
        <v>0</v>
      </c>
      <c r="QT41" s="0" t="n">
        <v>1.2</v>
      </c>
      <c r="QU41" s="0" t="n">
        <v>0</v>
      </c>
      <c r="QV41" s="0" t="n">
        <v>0</v>
      </c>
      <c r="QW41" s="0" t="n">
        <v>0</v>
      </c>
      <c r="QX41" s="0" t="n">
        <v>0</v>
      </c>
      <c r="QY41" s="0" t="n">
        <v>0</v>
      </c>
      <c r="QZ41" s="0" t="n">
        <v>0</v>
      </c>
      <c r="RA41" s="0" t="n">
        <v>1.2</v>
      </c>
      <c r="RB41" s="0" t="n">
        <v>15.88</v>
      </c>
      <c r="RC41" s="0" t="n">
        <v>48.59</v>
      </c>
      <c r="RD41" s="0" t="n">
        <v>0</v>
      </c>
      <c r="RE41" s="0" t="n">
        <v>0</v>
      </c>
      <c r="RF41" s="0" t="n">
        <v>0</v>
      </c>
      <c r="RG41" s="0" t="n">
        <v>0</v>
      </c>
      <c r="RT41" s="0" t="n">
        <v>0</v>
      </c>
      <c r="RU41" s="0" t="n">
        <v>0</v>
      </c>
      <c r="SF41" s="18"/>
      <c r="SX41" s="0" t="n">
        <v>1</v>
      </c>
      <c r="SY41" s="0" t="n">
        <v>50</v>
      </c>
      <c r="SZ41" s="0" t="n">
        <v>2</v>
      </c>
      <c r="TA41" s="0" t="n">
        <f aca="false">3.18+12.73</f>
        <v>15.91</v>
      </c>
      <c r="TB41" s="0" t="n">
        <v>1</v>
      </c>
      <c r="UI41" s="16" t="n">
        <v>5.9</v>
      </c>
      <c r="UJ41" s="16" t="n">
        <v>1</v>
      </c>
      <c r="UK41" s="16" t="n">
        <v>2</v>
      </c>
      <c r="UL41" s="16"/>
      <c r="UM41" s="16" t="n">
        <f aca="false">0.09+0.18*3+0.13+0.53+1.07*2+1.34*2+0.17*2+3.18+12.73</f>
        <v>22.36</v>
      </c>
      <c r="UN41" s="16"/>
      <c r="UO41" s="16"/>
      <c r="UP41" s="16"/>
      <c r="UQ41" s="16"/>
      <c r="UR41" s="16"/>
      <c r="US41" s="16"/>
      <c r="UT41" s="16" t="n">
        <v>11.45</v>
      </c>
      <c r="UU41" s="16" t="n">
        <v>41.19</v>
      </c>
      <c r="UV41" s="16"/>
      <c r="UW41" s="16"/>
      <c r="UX41" s="16" t="n">
        <v>0</v>
      </c>
      <c r="UY41" s="16" t="n">
        <v>0</v>
      </c>
      <c r="UZ41" s="16" t="n">
        <v>0</v>
      </c>
      <c r="VA41" s="0" t="n">
        <v>0</v>
      </c>
      <c r="VB41" s="0" t="s">
        <v>223</v>
      </c>
      <c r="VC41" s="0" t="n">
        <v>30.5</v>
      </c>
      <c r="VD41" s="16" t="n">
        <v>68.8</v>
      </c>
      <c r="VE41" s="16" t="n">
        <v>80.4</v>
      </c>
      <c r="VF41" s="16" t="n">
        <v>16.3</v>
      </c>
      <c r="VG41" s="0" t="n">
        <v>66.28</v>
      </c>
      <c r="VH41" s="0" t="n">
        <v>20.09</v>
      </c>
      <c r="VI41" s="0" t="n">
        <v>1.81</v>
      </c>
      <c r="VJ41" s="0" t="n">
        <v>0</v>
      </c>
      <c r="VK41" s="0" t="n">
        <v>11.82</v>
      </c>
      <c r="VL41" s="0" t="n">
        <v>0</v>
      </c>
      <c r="VM41" s="0" t="n">
        <v>0</v>
      </c>
      <c r="VN41" s="0" t="n">
        <v>0</v>
      </c>
      <c r="VO41" s="0" t="n">
        <v>0</v>
      </c>
      <c r="VP41" s="0" t="n">
        <v>0</v>
      </c>
      <c r="VQ41" s="0" t="n">
        <v>0</v>
      </c>
      <c r="VR41" s="0" t="n">
        <v>0</v>
      </c>
      <c r="VS41" s="0" t="n">
        <v>13.17</v>
      </c>
      <c r="VT41" s="0" t="n">
        <v>35.75</v>
      </c>
      <c r="VU41" s="0" t="n">
        <v>0</v>
      </c>
      <c r="VV41" s="0" t="n">
        <v>0</v>
      </c>
      <c r="VW41" s="0" t="n">
        <v>0</v>
      </c>
      <c r="VX41" s="0" t="n">
        <v>0</v>
      </c>
      <c r="WK41" s="0" t="n">
        <v>0</v>
      </c>
      <c r="WL41" s="0" t="n">
        <v>1</v>
      </c>
      <c r="WM41" s="0" t="n">
        <v>52</v>
      </c>
      <c r="WN41" s="0" t="n">
        <v>1</v>
      </c>
      <c r="WO41" s="0" t="n">
        <v>0.01</v>
      </c>
      <c r="WP41" s="0" t="n">
        <v>2</v>
      </c>
      <c r="WW41" s="18"/>
      <c r="XO41" s="0" t="n">
        <v>0</v>
      </c>
      <c r="YZ41" s="16" t="n">
        <v>5.43</v>
      </c>
      <c r="ZA41" s="16" t="n">
        <v>1</v>
      </c>
      <c r="ZB41" s="16" t="n">
        <v>1</v>
      </c>
      <c r="ZC41" s="16"/>
      <c r="ZD41" s="16" t="n">
        <f aca="false">0.09*2+0.07+1.36</f>
        <v>1.61</v>
      </c>
      <c r="ZE41" s="16" t="n">
        <v>2</v>
      </c>
      <c r="ZF41" s="16"/>
      <c r="ZG41" s="16" t="n">
        <f aca="false">4.2+0.09+0.66+0.01+3.18+3.18</f>
        <v>11.32</v>
      </c>
      <c r="ZH41" s="16"/>
      <c r="ZI41" s="16"/>
      <c r="ZJ41" s="16"/>
      <c r="ZK41" s="16" t="n">
        <v>8.61</v>
      </c>
      <c r="ZL41" s="16" t="n">
        <v>26.91</v>
      </c>
      <c r="ZM41" s="16"/>
      <c r="ZN41" s="16"/>
      <c r="ZO41" s="16" t="n">
        <v>0</v>
      </c>
      <c r="ZP41" s="16" t="n">
        <v>0</v>
      </c>
      <c r="ZQ41" s="16" t="n">
        <v>0</v>
      </c>
      <c r="ZR41" s="0" t="n">
        <v>0</v>
      </c>
      <c r="ZS41" s="0" t="s">
        <v>224</v>
      </c>
      <c r="ZT41" s="0" t="n">
        <v>39.5</v>
      </c>
      <c r="ZU41" s="16" t="n">
        <v>60.8</v>
      </c>
      <c r="ZV41" s="16" t="n">
        <v>80.4</v>
      </c>
      <c r="ZW41" s="16" t="n">
        <v>22.9</v>
      </c>
      <c r="ZX41" s="0" t="n">
        <v>67.01</v>
      </c>
      <c r="ZY41" s="0" t="n">
        <v>11.71</v>
      </c>
      <c r="ZZ41" s="0" t="n">
        <v>16.61</v>
      </c>
      <c r="AAA41" s="0" t="n">
        <v>0</v>
      </c>
      <c r="AAB41" s="0" t="n">
        <v>4.67</v>
      </c>
      <c r="AAC41" s="0" t="n">
        <v>0</v>
      </c>
      <c r="AAD41" s="0" t="n">
        <v>0</v>
      </c>
      <c r="AAE41" s="0" t="n">
        <v>0</v>
      </c>
      <c r="AAF41" s="0" t="n">
        <v>0</v>
      </c>
      <c r="AAG41" s="0" t="n">
        <v>0</v>
      </c>
      <c r="AAH41" s="0" t="n">
        <v>0</v>
      </c>
      <c r="AAI41" s="0" t="n">
        <v>0</v>
      </c>
      <c r="AAJ41" s="0" t="n">
        <v>20.9</v>
      </c>
      <c r="AAK41" s="0" t="n">
        <v>25.23</v>
      </c>
      <c r="AAL41" s="0" t="n">
        <v>0.58</v>
      </c>
      <c r="AAM41" s="0" t="n">
        <v>0</v>
      </c>
      <c r="AAN41" s="0" t="n">
        <v>0</v>
      </c>
      <c r="AAO41" s="0" t="n">
        <v>0</v>
      </c>
      <c r="ABB41" s="0" t="n">
        <v>2</v>
      </c>
      <c r="ABC41" s="0" t="n">
        <v>1</v>
      </c>
      <c r="ABD41" s="0" t="n">
        <v>103</v>
      </c>
      <c r="ABE41" s="0" t="n">
        <v>2</v>
      </c>
      <c r="ABF41" s="0" t="n">
        <f aca="false">0.18+0.14</f>
        <v>0.32</v>
      </c>
      <c r="ABG41" s="0" t="n">
        <v>1</v>
      </c>
      <c r="ABH41" s="0" t="n">
        <v>68</v>
      </c>
      <c r="ABI41" s="0" t="n">
        <v>1</v>
      </c>
      <c r="ABJ41" s="0" t="n">
        <v>0.01</v>
      </c>
      <c r="ABK41" s="0" t="n">
        <v>1</v>
      </c>
      <c r="ABL41" s="0" t="n">
        <v>52</v>
      </c>
      <c r="ABM41" s="0" t="n">
        <v>3</v>
      </c>
      <c r="ABN41" s="18" t="n">
        <v>0.05</v>
      </c>
      <c r="ABO41" s="0" t="n">
        <v>2</v>
      </c>
      <c r="ACF41" s="0" t="n">
        <v>0</v>
      </c>
      <c r="ADQ41" s="16" t="n">
        <v>3.66</v>
      </c>
      <c r="ADR41" s="16" t="n">
        <v>1</v>
      </c>
      <c r="ADS41" s="16" t="n">
        <v>1</v>
      </c>
      <c r="ADT41" s="16"/>
      <c r="ADU41" s="16" t="n">
        <f aca="false">2.69*3+1.35*3+0.14*2+0.1</f>
        <v>12.5</v>
      </c>
      <c r="ADV41" s="16" t="n">
        <v>2</v>
      </c>
      <c r="ADW41" s="16"/>
      <c r="ADX41" s="16" t="n">
        <f aca="false">0.66+0.35+0.18+0.14+1.25+1.23</f>
        <v>3.81</v>
      </c>
      <c r="ADY41" s="16"/>
      <c r="ADZ41" s="16"/>
      <c r="AEA41" s="16"/>
      <c r="AEB41" s="16" t="n">
        <v>10.05</v>
      </c>
      <c r="AEC41" s="16" t="n">
        <v>27.11</v>
      </c>
      <c r="AED41" s="16"/>
      <c r="AEE41" s="16"/>
      <c r="AEF41" s="16" t="n">
        <v>0</v>
      </c>
      <c r="AEG41" s="16" t="n">
        <v>0</v>
      </c>
      <c r="AEH41" s="16" t="n">
        <v>0</v>
      </c>
      <c r="AEI41" s="0" t="n">
        <v>0</v>
      </c>
      <c r="AEJ41" s="0" t="s">
        <v>225</v>
      </c>
      <c r="AEK41" s="0" t="n">
        <v>47</v>
      </c>
      <c r="AEL41" s="16" t="n">
        <v>72.3</v>
      </c>
      <c r="AEM41" s="16" t="n">
        <v>80.4</v>
      </c>
      <c r="AEN41" s="16" t="n">
        <v>18</v>
      </c>
      <c r="AEO41" s="0" t="n">
        <v>70.55</v>
      </c>
      <c r="AEP41" s="0" t="n">
        <v>6.81</v>
      </c>
      <c r="AEQ41" s="0" t="n">
        <v>3.09</v>
      </c>
      <c r="AER41" s="0" t="n">
        <v>0</v>
      </c>
      <c r="AES41" s="0" t="n">
        <v>19.55</v>
      </c>
      <c r="AET41" s="0" t="n">
        <v>0</v>
      </c>
      <c r="AEU41" s="0" t="n">
        <v>0</v>
      </c>
      <c r="AEV41" s="0" t="n">
        <v>0</v>
      </c>
      <c r="AEW41" s="0" t="n">
        <v>0</v>
      </c>
      <c r="AEX41" s="0" t="n">
        <v>0</v>
      </c>
      <c r="AEY41" s="0" t="n">
        <v>0</v>
      </c>
      <c r="AEZ41" s="0" t="n">
        <v>0</v>
      </c>
      <c r="AFA41" s="0" t="n">
        <v>18.07</v>
      </c>
      <c r="AFB41" s="0" t="n">
        <v>30.57</v>
      </c>
      <c r="AFC41" s="0" t="n">
        <v>7.61</v>
      </c>
      <c r="AFD41" s="0" t="n">
        <v>0</v>
      </c>
      <c r="AFE41" s="0" t="n">
        <v>14</v>
      </c>
      <c r="AFF41" s="0" t="n">
        <v>2</v>
      </c>
      <c r="AFG41" s="0" t="n">
        <v>5</v>
      </c>
      <c r="AFH41" s="0" t="n">
        <v>4.47</v>
      </c>
      <c r="AFJ41" s="0" t="n">
        <v>7</v>
      </c>
      <c r="AFK41" s="0" t="n">
        <v>5.15</v>
      </c>
      <c r="AFM41" s="0" t="n">
        <v>5</v>
      </c>
      <c r="AFN41" s="0" t="n">
        <v>4.47</v>
      </c>
      <c r="AFP41" s="0" t="n">
        <v>7</v>
      </c>
      <c r="AFQ41" s="0" t="n">
        <v>5.15</v>
      </c>
      <c r="AFS41" s="0" t="n">
        <v>0</v>
      </c>
      <c r="AFT41" s="0" t="n">
        <v>0</v>
      </c>
      <c r="AGE41" s="18"/>
      <c r="AGW41" s="0" t="n">
        <v>0</v>
      </c>
      <c r="AIH41" s="16" t="n">
        <v>4.21</v>
      </c>
      <c r="AII41" s="16" t="n">
        <v>1</v>
      </c>
      <c r="AIJ41" s="16" t="n">
        <v>2</v>
      </c>
      <c r="AIK41" s="16"/>
      <c r="AIL41" s="16" t="n">
        <f aca="false">7.46+1.59+0.6</f>
        <v>9.65</v>
      </c>
      <c r="AIM41" s="16"/>
      <c r="AIN41" s="16"/>
      <c r="AIO41" s="16"/>
      <c r="AIP41" s="16"/>
      <c r="AIQ41" s="16"/>
      <c r="AIR41" s="16"/>
      <c r="AIS41" s="16" t="n">
        <v>10.63</v>
      </c>
      <c r="AIT41" s="16" t="n">
        <v>36.38</v>
      </c>
      <c r="AIU41" s="16"/>
      <c r="AIV41" s="16"/>
      <c r="AIW41" s="16" t="n">
        <v>0</v>
      </c>
      <c r="AIX41" s="16" t="n">
        <v>0</v>
      </c>
      <c r="AIY41" s="16" t="n">
        <v>0</v>
      </c>
      <c r="AIZ41" s="0" t="n">
        <v>0</v>
      </c>
      <c r="AJA41" s="0" t="s">
        <v>226</v>
      </c>
      <c r="AJB41" s="0" t="n">
        <v>19</v>
      </c>
      <c r="AJC41" s="16" t="n">
        <v>82.6</v>
      </c>
      <c r="AJD41" s="16" t="n">
        <v>80.4</v>
      </c>
      <c r="AJE41" s="16" t="n">
        <v>7.7</v>
      </c>
      <c r="AJF41" s="0" t="n">
        <v>86.83</v>
      </c>
      <c r="AJG41" s="0" t="n">
        <v>12.69</v>
      </c>
      <c r="AJH41" s="0" t="n">
        <v>0</v>
      </c>
      <c r="AJI41" s="0" t="n">
        <v>0</v>
      </c>
      <c r="AJJ41" s="0" t="n">
        <v>0.48</v>
      </c>
      <c r="AJK41" s="0" t="n">
        <v>0</v>
      </c>
      <c r="AJL41" s="0" t="n">
        <v>0</v>
      </c>
      <c r="AJM41" s="0" t="n">
        <v>0</v>
      </c>
      <c r="AJN41" s="0" t="n">
        <v>0</v>
      </c>
      <c r="AJO41" s="0" t="n">
        <v>0</v>
      </c>
      <c r="AJP41" s="0" t="n">
        <v>0</v>
      </c>
      <c r="AJQ41" s="0" t="n">
        <v>0</v>
      </c>
      <c r="AJR41" s="0" t="n">
        <v>7.16</v>
      </c>
      <c r="AJS41" s="0" t="n">
        <v>10.76</v>
      </c>
      <c r="AJT41" s="0" t="n">
        <v>0</v>
      </c>
      <c r="AJU41" s="0" t="n">
        <v>0</v>
      </c>
      <c r="AJV41" s="0" t="n">
        <v>3.4</v>
      </c>
      <c r="AJW41" s="0" t="n">
        <v>2</v>
      </c>
      <c r="AJX41" s="0" t="n">
        <v>11.9</v>
      </c>
      <c r="AJY41" s="0" t="n">
        <v>0.48</v>
      </c>
      <c r="AKD41" s="0" t="n">
        <v>11.9</v>
      </c>
      <c r="AKE41" s="0" t="n">
        <v>0.48</v>
      </c>
      <c r="AKJ41" s="0" t="n">
        <v>0</v>
      </c>
      <c r="AKK41" s="0" t="n">
        <v>1</v>
      </c>
      <c r="AKL41" s="0" t="n">
        <v>34</v>
      </c>
      <c r="AKM41" s="0" t="n">
        <v>2</v>
      </c>
      <c r="AKN41" s="0" t="n">
        <f aca="false">0.84*2</f>
        <v>1.68</v>
      </c>
      <c r="AKO41" s="0" t="n">
        <v>1</v>
      </c>
      <c r="AKV41" s="18"/>
      <c r="ALN41" s="0" t="n">
        <v>0</v>
      </c>
    </row>
    <row r="42" customFormat="false" ht="13.8" hidden="false" customHeight="false" outlineLevel="0" collapsed="false">
      <c r="A42" s="1" t="s">
        <v>378</v>
      </c>
      <c r="B42" s="12" t="n">
        <v>42899</v>
      </c>
      <c r="C42" s="0" t="n">
        <v>2</v>
      </c>
      <c r="D42" s="13" t="n">
        <v>42797</v>
      </c>
      <c r="E42" s="12" t="n">
        <v>32802</v>
      </c>
      <c r="F42" s="14" t="n">
        <f aca="false">(B42-E42)/365.25</f>
        <v>27.6440793976728</v>
      </c>
      <c r="G42" s="14" t="n">
        <f aca="false">(B42-D42)/365.25</f>
        <v>0.279260780287474</v>
      </c>
      <c r="H42" s="15" t="s">
        <v>217</v>
      </c>
      <c r="I42" s="15" t="s">
        <v>218</v>
      </c>
      <c r="J42" s="21" t="s">
        <v>181</v>
      </c>
      <c r="K42" s="21" t="n">
        <v>4</v>
      </c>
      <c r="L42" s="19" t="n">
        <v>78</v>
      </c>
      <c r="M42" s="0" t="n">
        <v>1.82</v>
      </c>
      <c r="N42" s="16" t="n">
        <f aca="false">L42/(M42*M42)</f>
        <v>23.5478806907378</v>
      </c>
      <c r="O42" s="19" t="n">
        <v>0</v>
      </c>
      <c r="P42" s="19" t="n">
        <v>0</v>
      </c>
      <c r="Q42" s="19" t="n">
        <v>0</v>
      </c>
      <c r="R42" s="19" t="n">
        <v>0</v>
      </c>
      <c r="S42" s="19" t="n">
        <v>0</v>
      </c>
      <c r="T42" s="19" t="n">
        <v>0</v>
      </c>
      <c r="U42" s="19" t="n">
        <v>0</v>
      </c>
      <c r="V42" s="19" t="n">
        <v>0</v>
      </c>
      <c r="W42" s="19" t="n">
        <v>0</v>
      </c>
      <c r="X42" s="19" t="n">
        <v>0</v>
      </c>
      <c r="Y42" s="19" t="n">
        <v>1</v>
      </c>
      <c r="Z42" s="19" t="n">
        <v>1</v>
      </c>
      <c r="AA42" s="19" t="n">
        <v>90</v>
      </c>
      <c r="AB42" s="19" t="s">
        <v>349</v>
      </c>
      <c r="AC42" s="19" t="n">
        <v>1</v>
      </c>
      <c r="AD42" s="19" t="n">
        <v>10</v>
      </c>
      <c r="AE42" s="19" t="n">
        <v>0</v>
      </c>
      <c r="AF42" s="19" t="n">
        <v>0</v>
      </c>
      <c r="AG42" s="19" t="n">
        <v>0</v>
      </c>
      <c r="AH42" s="19" t="n">
        <v>0</v>
      </c>
      <c r="AI42" s="19" t="n">
        <v>0</v>
      </c>
      <c r="AJ42" s="19" t="n">
        <v>0</v>
      </c>
      <c r="AK42" s="19" t="n">
        <v>0</v>
      </c>
      <c r="AL42" s="19" t="n">
        <v>0</v>
      </c>
      <c r="AM42" s="19" t="n">
        <v>0</v>
      </c>
      <c r="AN42" s="19" t="n">
        <v>0</v>
      </c>
      <c r="AO42" s="19" t="n">
        <v>0</v>
      </c>
      <c r="AP42" s="19" t="n">
        <v>0</v>
      </c>
      <c r="AQ42" s="19" t="n">
        <v>0</v>
      </c>
      <c r="AR42" s="19" t="n">
        <v>0</v>
      </c>
      <c r="AS42" s="19" t="n">
        <v>0</v>
      </c>
      <c r="AT42" s="19" t="n">
        <v>0</v>
      </c>
      <c r="AU42" s="19" t="n">
        <v>0</v>
      </c>
      <c r="AV42" s="19" t="n">
        <v>0</v>
      </c>
      <c r="AW42" s="19" t="n">
        <v>0</v>
      </c>
      <c r="AX42" s="19" t="n">
        <v>0</v>
      </c>
      <c r="AY42" s="19" t="n">
        <v>0</v>
      </c>
      <c r="AZ42" s="19" t="n">
        <v>0</v>
      </c>
      <c r="BA42" s="19" t="n">
        <v>0</v>
      </c>
      <c r="BB42" s="19" t="n">
        <v>0</v>
      </c>
      <c r="BC42" s="19" t="n">
        <v>0</v>
      </c>
      <c r="BD42" s="19" t="n">
        <v>0</v>
      </c>
      <c r="BE42" s="19" t="n">
        <v>0</v>
      </c>
      <c r="BF42" s="19" t="n">
        <v>0</v>
      </c>
      <c r="BG42" s="19" t="n">
        <v>0</v>
      </c>
      <c r="BH42" s="19" t="n">
        <v>0</v>
      </c>
      <c r="BI42" s="19" t="n">
        <v>0</v>
      </c>
      <c r="BJ42" s="19" t="n">
        <v>0</v>
      </c>
      <c r="BK42" s="19" t="n">
        <v>0</v>
      </c>
      <c r="BL42" s="19" t="n">
        <v>0</v>
      </c>
      <c r="BM42" s="19" t="n">
        <v>0</v>
      </c>
      <c r="BN42" s="19" t="n">
        <v>1</v>
      </c>
      <c r="BO42" s="19" t="n">
        <v>0</v>
      </c>
      <c r="BP42" s="19" t="n">
        <v>1</v>
      </c>
      <c r="BQ42" s="19" t="n">
        <v>5</v>
      </c>
      <c r="BR42" s="19" t="n">
        <v>1</v>
      </c>
      <c r="BS42" s="19" t="n">
        <v>1</v>
      </c>
      <c r="BT42" s="19" t="n">
        <v>3</v>
      </c>
      <c r="BU42" s="19" t="n">
        <v>5</v>
      </c>
      <c r="BV42" s="19" t="n">
        <v>2</v>
      </c>
      <c r="BW42" s="19" t="n">
        <v>1</v>
      </c>
      <c r="BX42" s="19" t="n">
        <v>3</v>
      </c>
      <c r="BY42" s="19" t="n">
        <v>4</v>
      </c>
      <c r="BZ42" s="19" t="n">
        <v>4</v>
      </c>
      <c r="CA42" s="19" t="n">
        <v>5</v>
      </c>
      <c r="CB42" s="19" t="n">
        <v>5</v>
      </c>
      <c r="CC42" s="19" t="n">
        <v>5</v>
      </c>
      <c r="CD42" s="19" t="n">
        <v>4</v>
      </c>
      <c r="CE42" s="19" t="n">
        <v>5</v>
      </c>
      <c r="CF42" s="19" t="n">
        <v>5</v>
      </c>
      <c r="CG42" s="19" t="n">
        <v>5</v>
      </c>
      <c r="CH42" s="19" t="n">
        <v>5</v>
      </c>
      <c r="CI42" s="19" t="n">
        <v>5</v>
      </c>
      <c r="CJ42" s="19" t="n">
        <v>5</v>
      </c>
      <c r="CK42" s="19" t="n">
        <v>9</v>
      </c>
      <c r="CL42" s="0" t="s">
        <v>219</v>
      </c>
      <c r="CM42" s="0" t="n">
        <v>33.5</v>
      </c>
      <c r="CN42" s="16" t="n">
        <v>91.5</v>
      </c>
      <c r="CO42" s="16" t="n">
        <v>80.4</v>
      </c>
      <c r="CP42" s="16" t="n">
        <v>20</v>
      </c>
      <c r="CQ42" s="0" t="n">
        <v>84.58</v>
      </c>
      <c r="CR42" s="17" t="n">
        <v>0</v>
      </c>
      <c r="CS42" s="0" t="n">
        <v>15.42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13.79</v>
      </c>
      <c r="DD42" s="0" t="n">
        <v>2.67</v>
      </c>
      <c r="DE42" s="0" t="n">
        <v>11.54</v>
      </c>
      <c r="DF42" s="0" t="n">
        <v>0</v>
      </c>
      <c r="DG42" s="0" t="n">
        <v>12.3</v>
      </c>
      <c r="DH42" s="0" t="n">
        <v>2</v>
      </c>
      <c r="DI42" s="0" t="n">
        <v>5</v>
      </c>
      <c r="DJ42" s="0" t="n">
        <v>2</v>
      </c>
      <c r="DO42" s="0" t="n">
        <v>5</v>
      </c>
      <c r="DP42" s="0" t="n">
        <v>2</v>
      </c>
      <c r="DU42" s="0" t="n">
        <v>0</v>
      </c>
      <c r="DV42" s="0" t="n">
        <v>1</v>
      </c>
      <c r="DW42" s="0" t="n">
        <v>34</v>
      </c>
      <c r="DX42" s="0" t="n">
        <v>2</v>
      </c>
      <c r="DY42" s="0" t="n">
        <v>0.1</v>
      </c>
      <c r="DZ42" s="0" t="n">
        <v>1</v>
      </c>
      <c r="EA42" s="0" t="n">
        <v>10</v>
      </c>
      <c r="EB42" s="0" t="n">
        <f aca="false">8*4</f>
        <v>32</v>
      </c>
      <c r="EC42" s="0" t="n">
        <f aca="false">0.06+0.01+0.4+1.7+0.24+0.14+0.96</f>
        <v>3.51</v>
      </c>
      <c r="ED42" s="0" t="n">
        <v>3</v>
      </c>
      <c r="EG42" s="18"/>
      <c r="EY42" s="0" t="n">
        <v>0</v>
      </c>
      <c r="GJ42" s="16" t="n">
        <v>0.25</v>
      </c>
      <c r="GK42" s="16" t="n">
        <v>1</v>
      </c>
      <c r="GL42" s="16" t="n">
        <v>2</v>
      </c>
      <c r="GM42" s="16"/>
      <c r="GN42" s="16" t="n">
        <v>0.55</v>
      </c>
      <c r="GO42" s="16"/>
      <c r="GP42" s="16"/>
      <c r="GQ42" s="16"/>
      <c r="GR42" s="16"/>
      <c r="GS42" s="16"/>
      <c r="GT42" s="16"/>
      <c r="GU42" s="16" t="n">
        <v>0.55</v>
      </c>
      <c r="GV42" s="16" t="n">
        <v>0.55</v>
      </c>
      <c r="GW42" s="16"/>
      <c r="GX42" s="16"/>
      <c r="GY42" s="16" t="n">
        <v>0</v>
      </c>
      <c r="GZ42" s="16" t="n">
        <v>0</v>
      </c>
      <c r="HA42" s="16" t="n">
        <v>0</v>
      </c>
      <c r="HB42" s="0" t="n">
        <v>0</v>
      </c>
      <c r="HC42" s="0" t="s">
        <v>220</v>
      </c>
      <c r="HD42" s="0" t="n">
        <v>27</v>
      </c>
      <c r="HE42" s="16" t="n">
        <v>54.4</v>
      </c>
      <c r="HF42" s="16" t="n">
        <v>80.4</v>
      </c>
      <c r="HG42" s="16" t="n">
        <v>18.1</v>
      </c>
      <c r="HH42" s="0" t="n">
        <v>81.88</v>
      </c>
      <c r="HI42" s="17" t="n">
        <v>0</v>
      </c>
      <c r="HJ42" s="0" t="n">
        <v>9.83</v>
      </c>
      <c r="HK42" s="0" t="n">
        <v>0</v>
      </c>
      <c r="HL42" s="0" t="n">
        <v>2.14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2.32</v>
      </c>
      <c r="HU42" s="0" t="n">
        <v>19.66</v>
      </c>
      <c r="HV42" s="0" t="n">
        <v>3.64</v>
      </c>
      <c r="HW42" s="0" t="n">
        <v>0</v>
      </c>
      <c r="HX42" s="0" t="n">
        <v>0</v>
      </c>
      <c r="HY42" s="0" t="n">
        <v>0</v>
      </c>
      <c r="IL42" s="0" t="n">
        <v>0</v>
      </c>
      <c r="IM42" s="0" t="n">
        <v>1</v>
      </c>
      <c r="IN42" s="0" t="n">
        <v>26</v>
      </c>
      <c r="IO42" s="0" t="n">
        <v>2</v>
      </c>
      <c r="IP42" s="0" t="n">
        <v>0.05</v>
      </c>
      <c r="IQ42" s="0" t="n">
        <v>2</v>
      </c>
      <c r="IX42" s="18"/>
      <c r="JP42" s="0" t="n">
        <v>0</v>
      </c>
      <c r="LA42" s="16" t="n">
        <v>2.1</v>
      </c>
      <c r="LB42" s="16" t="n">
        <v>1</v>
      </c>
      <c r="LC42" s="16" t="n">
        <v>1</v>
      </c>
      <c r="LD42" s="16"/>
      <c r="LE42" s="16" t="n">
        <f aca="false">0.1+0.76*2+2.02+1.35*2+0.67</f>
        <v>7.01</v>
      </c>
      <c r="LF42" s="16"/>
      <c r="LG42" s="16"/>
      <c r="LH42" s="16"/>
      <c r="LI42" s="16"/>
      <c r="LJ42" s="16"/>
      <c r="LK42" s="16"/>
      <c r="LL42" s="16" t="n">
        <v>6.35</v>
      </c>
      <c r="LM42" s="16" t="n">
        <v>14.8</v>
      </c>
      <c r="LN42" s="16"/>
      <c r="LO42" s="16"/>
      <c r="LP42" s="16" t="n">
        <v>0</v>
      </c>
      <c r="LQ42" s="16" t="n">
        <v>0</v>
      </c>
      <c r="LR42" s="16" t="n">
        <v>0</v>
      </c>
      <c r="LS42" s="0" t="n">
        <v>0</v>
      </c>
      <c r="LT42" s="0" t="s">
        <v>221</v>
      </c>
      <c r="LU42" s="0" t="n">
        <v>20.5</v>
      </c>
      <c r="LV42" s="16" t="n">
        <v>76.9</v>
      </c>
      <c r="LW42" s="16" t="n">
        <v>80.4</v>
      </c>
      <c r="LX42" s="16" t="n">
        <v>9.1</v>
      </c>
      <c r="LY42" s="0" t="n">
        <v>88.58</v>
      </c>
      <c r="LZ42" s="0" t="n">
        <v>10.3</v>
      </c>
      <c r="MA42" s="0" t="n">
        <v>1.12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6.33</v>
      </c>
      <c r="ML42" s="0" t="n">
        <v>16.97</v>
      </c>
      <c r="MM42" s="0" t="n">
        <v>0</v>
      </c>
      <c r="MN42" s="0" t="n">
        <v>0</v>
      </c>
      <c r="MO42" s="0" t="n">
        <v>4.1</v>
      </c>
      <c r="MP42" s="0" t="n">
        <v>2</v>
      </c>
      <c r="MQ42" s="0" t="n">
        <v>5</v>
      </c>
      <c r="MR42" s="0" t="n">
        <v>1</v>
      </c>
      <c r="MW42" s="0" t="n">
        <v>5</v>
      </c>
      <c r="MX42" s="0" t="n">
        <v>1</v>
      </c>
      <c r="NC42" s="0" t="n">
        <v>0</v>
      </c>
      <c r="ND42" s="0" t="n">
        <v>0</v>
      </c>
      <c r="NO42" s="18"/>
      <c r="OG42" s="0" t="n">
        <v>0</v>
      </c>
      <c r="PR42" s="16" t="n">
        <v>2.24</v>
      </c>
      <c r="PS42" s="16" t="n">
        <v>1</v>
      </c>
      <c r="PT42" s="16" t="n">
        <v>2</v>
      </c>
      <c r="PU42" s="16"/>
      <c r="PV42" s="16" t="n">
        <v>4.97</v>
      </c>
      <c r="PW42" s="16"/>
      <c r="PX42" s="16"/>
      <c r="PY42" s="16"/>
      <c r="PZ42" s="16"/>
      <c r="QA42" s="16"/>
      <c r="QB42" s="16"/>
      <c r="QC42" s="16" t="n">
        <v>5.1</v>
      </c>
      <c r="QD42" s="16" t="n">
        <v>5.97</v>
      </c>
      <c r="QE42" s="16"/>
      <c r="QF42" s="16"/>
      <c r="QG42" s="16" t="n">
        <v>0</v>
      </c>
      <c r="QH42" s="16" t="n">
        <v>0</v>
      </c>
      <c r="QI42" s="16" t="n">
        <v>0</v>
      </c>
      <c r="QJ42" s="0" t="n">
        <v>0</v>
      </c>
      <c r="QK42" s="0" t="s">
        <v>222</v>
      </c>
      <c r="QL42" s="0" t="n">
        <v>32.5</v>
      </c>
      <c r="QM42" s="16" t="n">
        <v>96.7</v>
      </c>
      <c r="QN42" s="16" t="n">
        <v>80.4</v>
      </c>
      <c r="QO42" s="16" t="n">
        <v>15.1</v>
      </c>
      <c r="QP42" s="0" t="n">
        <v>52.24</v>
      </c>
      <c r="QQ42" s="0" t="n">
        <v>45.43</v>
      </c>
      <c r="QR42" s="0" t="n">
        <v>1.12</v>
      </c>
      <c r="QS42" s="0" t="n">
        <v>0</v>
      </c>
      <c r="QT42" s="0" t="n">
        <v>1.2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0</v>
      </c>
      <c r="QZ42" s="0" t="n">
        <v>0</v>
      </c>
      <c r="RA42" s="0" t="n">
        <v>1.2</v>
      </c>
      <c r="RB42" s="0" t="n">
        <v>15.88</v>
      </c>
      <c r="RC42" s="0" t="n">
        <v>48.59</v>
      </c>
      <c r="RD42" s="0" t="n">
        <v>0</v>
      </c>
      <c r="RE42" s="0" t="n">
        <v>0</v>
      </c>
      <c r="RF42" s="0" t="n">
        <v>0</v>
      </c>
      <c r="RG42" s="0" t="n">
        <v>0</v>
      </c>
      <c r="RT42" s="0" t="n">
        <v>0</v>
      </c>
      <c r="RU42" s="0" t="n">
        <v>0</v>
      </c>
      <c r="SF42" s="18"/>
      <c r="SX42" s="0" t="n">
        <v>1</v>
      </c>
      <c r="SY42" s="0" t="n">
        <v>50</v>
      </c>
      <c r="SZ42" s="0" t="n">
        <v>2</v>
      </c>
      <c r="TA42" s="0" t="n">
        <f aca="false">3.18+12.73</f>
        <v>15.91</v>
      </c>
      <c r="TB42" s="0" t="n">
        <v>1</v>
      </c>
      <c r="UI42" s="16" t="n">
        <v>5.9</v>
      </c>
      <c r="UJ42" s="16" t="n">
        <v>1</v>
      </c>
      <c r="UK42" s="16" t="n">
        <v>2</v>
      </c>
      <c r="UL42" s="16"/>
      <c r="UM42" s="16" t="n">
        <f aca="false">0.09+0.18*3+0.13+0.53+1.07*2+1.34*2+0.17*2+3.18+12.73</f>
        <v>22.36</v>
      </c>
      <c r="UN42" s="16"/>
      <c r="UO42" s="16"/>
      <c r="UP42" s="16"/>
      <c r="UQ42" s="16"/>
      <c r="UR42" s="16"/>
      <c r="US42" s="16"/>
      <c r="UT42" s="16" t="n">
        <v>11.45</v>
      </c>
      <c r="UU42" s="16" t="n">
        <v>41.19</v>
      </c>
      <c r="UV42" s="16"/>
      <c r="UW42" s="16"/>
      <c r="UX42" s="16" t="n">
        <v>0</v>
      </c>
      <c r="UY42" s="16" t="n">
        <v>0</v>
      </c>
      <c r="UZ42" s="16" t="n">
        <v>0</v>
      </c>
      <c r="VA42" s="0" t="n">
        <v>0</v>
      </c>
      <c r="VB42" s="0" t="s">
        <v>223</v>
      </c>
      <c r="VC42" s="0" t="n">
        <v>30.5</v>
      </c>
      <c r="VD42" s="16" t="n">
        <v>68.8</v>
      </c>
      <c r="VE42" s="16" t="n">
        <v>80.4</v>
      </c>
      <c r="VF42" s="16" t="n">
        <v>16.3</v>
      </c>
      <c r="VG42" s="0" t="n">
        <v>66.28</v>
      </c>
      <c r="VH42" s="0" t="n">
        <v>20.09</v>
      </c>
      <c r="VI42" s="0" t="n">
        <v>1.81</v>
      </c>
      <c r="VJ42" s="0" t="n">
        <v>0</v>
      </c>
      <c r="VK42" s="0" t="n">
        <v>11.82</v>
      </c>
      <c r="VL42" s="0" t="n">
        <v>0</v>
      </c>
      <c r="VM42" s="0" t="n">
        <v>0</v>
      </c>
      <c r="VN42" s="0" t="n">
        <v>0</v>
      </c>
      <c r="VO42" s="0" t="n">
        <v>0</v>
      </c>
      <c r="VP42" s="0" t="n">
        <v>0</v>
      </c>
      <c r="VQ42" s="0" t="n">
        <v>0</v>
      </c>
      <c r="VR42" s="0" t="n">
        <v>0</v>
      </c>
      <c r="VS42" s="0" t="n">
        <v>13.17</v>
      </c>
      <c r="VT42" s="0" t="n">
        <v>35.75</v>
      </c>
      <c r="VU42" s="0" t="n">
        <v>0</v>
      </c>
      <c r="VV42" s="0" t="n">
        <v>0</v>
      </c>
      <c r="VW42" s="0" t="n">
        <v>0</v>
      </c>
      <c r="VX42" s="0" t="n">
        <v>0</v>
      </c>
      <c r="WK42" s="0" t="n">
        <v>0</v>
      </c>
      <c r="WL42" s="0" t="n">
        <v>1</v>
      </c>
      <c r="WM42" s="0" t="n">
        <v>52</v>
      </c>
      <c r="WN42" s="0" t="n">
        <v>1</v>
      </c>
      <c r="WO42" s="0" t="n">
        <v>0.01</v>
      </c>
      <c r="WP42" s="0" t="n">
        <v>2</v>
      </c>
      <c r="WW42" s="18"/>
      <c r="XO42" s="0" t="n">
        <v>0</v>
      </c>
      <c r="YZ42" s="16" t="n">
        <v>5.43</v>
      </c>
      <c r="ZA42" s="16" t="n">
        <v>1</v>
      </c>
      <c r="ZB42" s="16" t="n">
        <v>1</v>
      </c>
      <c r="ZC42" s="16"/>
      <c r="ZD42" s="16" t="n">
        <f aca="false">0.09*2+0.07+1.36</f>
        <v>1.61</v>
      </c>
      <c r="ZE42" s="16" t="n">
        <v>2</v>
      </c>
      <c r="ZF42" s="16"/>
      <c r="ZG42" s="16" t="n">
        <f aca="false">4.2+0.09+0.66+0.01+3.18+3.18</f>
        <v>11.32</v>
      </c>
      <c r="ZH42" s="16"/>
      <c r="ZI42" s="16"/>
      <c r="ZJ42" s="16"/>
      <c r="ZK42" s="16" t="n">
        <v>8.61</v>
      </c>
      <c r="ZL42" s="16" t="n">
        <v>26.91</v>
      </c>
      <c r="ZM42" s="16"/>
      <c r="ZN42" s="16"/>
      <c r="ZO42" s="16" t="n">
        <v>0</v>
      </c>
      <c r="ZP42" s="16" t="n">
        <v>0</v>
      </c>
      <c r="ZQ42" s="16" t="n">
        <v>0</v>
      </c>
      <c r="ZR42" s="0" t="n">
        <v>0</v>
      </c>
      <c r="ZS42" s="0" t="s">
        <v>224</v>
      </c>
      <c r="ZT42" s="0" t="n">
        <v>39.5</v>
      </c>
      <c r="ZU42" s="16" t="n">
        <v>60.8</v>
      </c>
      <c r="ZV42" s="16" t="n">
        <v>80.4</v>
      </c>
      <c r="ZW42" s="16" t="n">
        <v>22.9</v>
      </c>
      <c r="ZX42" s="0" t="n">
        <v>67.01</v>
      </c>
      <c r="ZY42" s="0" t="n">
        <v>11.71</v>
      </c>
      <c r="ZZ42" s="0" t="n">
        <v>16.61</v>
      </c>
      <c r="AAA42" s="0" t="n">
        <v>0</v>
      </c>
      <c r="AAB42" s="0" t="n">
        <v>4.67</v>
      </c>
      <c r="AAC42" s="0" t="n">
        <v>0</v>
      </c>
      <c r="AAD42" s="0" t="n">
        <v>0</v>
      </c>
      <c r="AAE42" s="0" t="n">
        <v>0</v>
      </c>
      <c r="AAF42" s="0" t="n">
        <v>0</v>
      </c>
      <c r="AAG42" s="0" t="n">
        <v>0</v>
      </c>
      <c r="AAH42" s="0" t="n">
        <v>0</v>
      </c>
      <c r="AAI42" s="0" t="n">
        <v>0</v>
      </c>
      <c r="AAJ42" s="0" t="n">
        <v>20.9</v>
      </c>
      <c r="AAK42" s="0" t="n">
        <v>25.23</v>
      </c>
      <c r="AAL42" s="0" t="n">
        <v>0.58</v>
      </c>
      <c r="AAM42" s="0" t="n">
        <v>0</v>
      </c>
      <c r="AAN42" s="0" t="n">
        <v>0</v>
      </c>
      <c r="AAO42" s="0" t="n">
        <v>0</v>
      </c>
      <c r="ABB42" s="0" t="n">
        <v>2</v>
      </c>
      <c r="ABC42" s="0" t="n">
        <v>1</v>
      </c>
      <c r="ABD42" s="0" t="n">
        <v>103</v>
      </c>
      <c r="ABE42" s="0" t="n">
        <v>2</v>
      </c>
      <c r="ABF42" s="0" t="n">
        <f aca="false">0.18+0.14</f>
        <v>0.32</v>
      </c>
      <c r="ABG42" s="0" t="n">
        <v>1</v>
      </c>
      <c r="ABH42" s="0" t="n">
        <v>68</v>
      </c>
      <c r="ABI42" s="0" t="n">
        <v>1</v>
      </c>
      <c r="ABJ42" s="0" t="n">
        <v>0.01</v>
      </c>
      <c r="ABK42" s="0" t="n">
        <v>1</v>
      </c>
      <c r="ABL42" s="0" t="n">
        <v>52</v>
      </c>
      <c r="ABM42" s="0" t="n">
        <v>3</v>
      </c>
      <c r="ABN42" s="18" t="n">
        <v>0.05</v>
      </c>
      <c r="ABO42" s="0" t="n">
        <v>2</v>
      </c>
      <c r="ACF42" s="0" t="n">
        <v>0</v>
      </c>
      <c r="ADQ42" s="16" t="n">
        <v>3.66</v>
      </c>
      <c r="ADR42" s="16" t="n">
        <v>1</v>
      </c>
      <c r="ADS42" s="16" t="n">
        <v>1</v>
      </c>
      <c r="ADT42" s="16"/>
      <c r="ADU42" s="16" t="n">
        <f aca="false">2.69*3+1.35*3+0.14*2+0.1</f>
        <v>12.5</v>
      </c>
      <c r="ADV42" s="16" t="n">
        <v>2</v>
      </c>
      <c r="ADW42" s="16"/>
      <c r="ADX42" s="16" t="n">
        <f aca="false">0.66+0.35+0.18+0.14+1.25+1.23</f>
        <v>3.81</v>
      </c>
      <c r="ADY42" s="16"/>
      <c r="ADZ42" s="16"/>
      <c r="AEA42" s="16"/>
      <c r="AEB42" s="16" t="n">
        <v>10.05</v>
      </c>
      <c r="AEC42" s="16" t="n">
        <v>27.11</v>
      </c>
      <c r="AED42" s="16"/>
      <c r="AEE42" s="16"/>
      <c r="AEF42" s="16" t="n">
        <v>0</v>
      </c>
      <c r="AEG42" s="16" t="n">
        <v>0</v>
      </c>
      <c r="AEH42" s="16" t="n">
        <v>0</v>
      </c>
      <c r="AEI42" s="0" t="n">
        <v>0</v>
      </c>
      <c r="AEJ42" s="0" t="s">
        <v>225</v>
      </c>
      <c r="AEK42" s="0" t="n">
        <v>47</v>
      </c>
      <c r="AEL42" s="16" t="n">
        <v>72.3</v>
      </c>
      <c r="AEM42" s="16" t="n">
        <v>80.4</v>
      </c>
      <c r="AEN42" s="16" t="n">
        <v>18</v>
      </c>
      <c r="AEO42" s="0" t="n">
        <v>70.55</v>
      </c>
      <c r="AEP42" s="0" t="n">
        <v>6.81</v>
      </c>
      <c r="AEQ42" s="0" t="n">
        <v>3.09</v>
      </c>
      <c r="AER42" s="0" t="n">
        <v>0</v>
      </c>
      <c r="AES42" s="0" t="n">
        <v>19.55</v>
      </c>
      <c r="AET42" s="0" t="n">
        <v>0</v>
      </c>
      <c r="AEU42" s="0" t="n">
        <v>0</v>
      </c>
      <c r="AEV42" s="0" t="n">
        <v>0</v>
      </c>
      <c r="AEW42" s="0" t="n">
        <v>0</v>
      </c>
      <c r="AEX42" s="0" t="n">
        <v>0</v>
      </c>
      <c r="AEY42" s="0" t="n">
        <v>0</v>
      </c>
      <c r="AEZ42" s="0" t="n">
        <v>0</v>
      </c>
      <c r="AFA42" s="0" t="n">
        <v>18.07</v>
      </c>
      <c r="AFB42" s="0" t="n">
        <v>30.57</v>
      </c>
      <c r="AFC42" s="0" t="n">
        <v>7.61</v>
      </c>
      <c r="AFD42" s="0" t="n">
        <v>0</v>
      </c>
      <c r="AFE42" s="0" t="n">
        <v>14</v>
      </c>
      <c r="AFF42" s="0" t="n">
        <v>2</v>
      </c>
      <c r="AFG42" s="0" t="n">
        <v>5</v>
      </c>
      <c r="AFH42" s="0" t="n">
        <v>4.47</v>
      </c>
      <c r="AFJ42" s="0" t="n">
        <v>7</v>
      </c>
      <c r="AFK42" s="0" t="n">
        <v>5.15</v>
      </c>
      <c r="AFM42" s="0" t="n">
        <v>5</v>
      </c>
      <c r="AFN42" s="0" t="n">
        <v>4.47</v>
      </c>
      <c r="AFP42" s="0" t="n">
        <v>7</v>
      </c>
      <c r="AFQ42" s="0" t="n">
        <v>5.15</v>
      </c>
      <c r="AFS42" s="0" t="n">
        <v>0</v>
      </c>
      <c r="AFT42" s="0" t="n">
        <v>0</v>
      </c>
      <c r="AGE42" s="18"/>
      <c r="AGW42" s="0" t="n">
        <v>0</v>
      </c>
      <c r="AIH42" s="16" t="n">
        <v>4.21</v>
      </c>
      <c r="AII42" s="16" t="n">
        <v>1</v>
      </c>
      <c r="AIJ42" s="16" t="n">
        <v>2</v>
      </c>
      <c r="AIK42" s="16"/>
      <c r="AIL42" s="16" t="n">
        <f aca="false">7.46+1.59+0.6</f>
        <v>9.65</v>
      </c>
      <c r="AIM42" s="16"/>
      <c r="AIN42" s="16"/>
      <c r="AIO42" s="16"/>
      <c r="AIP42" s="16"/>
      <c r="AIQ42" s="16"/>
      <c r="AIR42" s="16"/>
      <c r="AIS42" s="16" t="n">
        <v>10.63</v>
      </c>
      <c r="AIT42" s="16" t="n">
        <v>36.38</v>
      </c>
      <c r="AIU42" s="16"/>
      <c r="AIV42" s="16"/>
      <c r="AIW42" s="16" t="n">
        <v>0</v>
      </c>
      <c r="AIX42" s="16" t="n">
        <v>0</v>
      </c>
      <c r="AIY42" s="16" t="n">
        <v>0</v>
      </c>
      <c r="AIZ42" s="0" t="n">
        <v>0</v>
      </c>
      <c r="AJA42" s="0" t="s">
        <v>226</v>
      </c>
      <c r="AJB42" s="0" t="n">
        <v>19</v>
      </c>
      <c r="AJC42" s="16" t="n">
        <v>82.6</v>
      </c>
      <c r="AJD42" s="16" t="n">
        <v>80.4</v>
      </c>
      <c r="AJE42" s="16" t="n">
        <v>7.7</v>
      </c>
      <c r="AJF42" s="0" t="n">
        <v>86.83</v>
      </c>
      <c r="AJG42" s="0" t="n">
        <v>12.69</v>
      </c>
      <c r="AJH42" s="0" t="n">
        <v>0</v>
      </c>
      <c r="AJI42" s="0" t="n">
        <v>0</v>
      </c>
      <c r="AJJ42" s="0" t="n">
        <v>0.48</v>
      </c>
      <c r="AJK42" s="0" t="n">
        <v>0</v>
      </c>
      <c r="AJL42" s="0" t="n">
        <v>0</v>
      </c>
      <c r="AJM42" s="0" t="n">
        <v>0</v>
      </c>
      <c r="AJN42" s="0" t="n">
        <v>0</v>
      </c>
      <c r="AJO42" s="0" t="n">
        <v>0</v>
      </c>
      <c r="AJP42" s="0" t="n">
        <v>0</v>
      </c>
      <c r="AJQ42" s="0" t="n">
        <v>0</v>
      </c>
      <c r="AJR42" s="0" t="n">
        <v>7.16</v>
      </c>
      <c r="AJS42" s="0" t="n">
        <v>10.76</v>
      </c>
      <c r="AJT42" s="0" t="n">
        <v>0</v>
      </c>
      <c r="AJU42" s="0" t="n">
        <v>0</v>
      </c>
      <c r="AJV42" s="0" t="n">
        <v>3.4</v>
      </c>
      <c r="AJW42" s="0" t="n">
        <v>2</v>
      </c>
      <c r="AJX42" s="0" t="n">
        <v>11.9</v>
      </c>
      <c r="AJY42" s="0" t="n">
        <v>0.48</v>
      </c>
      <c r="AKD42" s="0" t="n">
        <v>11.9</v>
      </c>
      <c r="AKE42" s="0" t="n">
        <v>0.48</v>
      </c>
      <c r="AKJ42" s="0" t="n">
        <v>0</v>
      </c>
      <c r="AKK42" s="0" t="n">
        <v>1</v>
      </c>
      <c r="AKL42" s="0" t="n">
        <v>34</v>
      </c>
      <c r="AKM42" s="0" t="n">
        <v>2</v>
      </c>
      <c r="AKN42" s="0" t="n">
        <f aca="false">0.84*2</f>
        <v>1.68</v>
      </c>
      <c r="AKO42" s="0" t="n">
        <v>1</v>
      </c>
      <c r="AKV42" s="18"/>
      <c r="ALN42" s="0" t="n">
        <v>0</v>
      </c>
    </row>
    <row r="43" customFormat="false" ht="13.8" hidden="false" customHeight="false" outlineLevel="0" collapsed="false">
      <c r="A43" s="1" t="s">
        <v>379</v>
      </c>
      <c r="B43" s="13" t="n">
        <v>42899</v>
      </c>
      <c r="C43" s="0" t="n">
        <v>2</v>
      </c>
      <c r="D43" s="13" t="n">
        <v>42804</v>
      </c>
      <c r="E43" s="12" t="n">
        <v>33133</v>
      </c>
      <c r="F43" s="14" t="n">
        <f aca="false">(B43-E43)/365.25</f>
        <v>26.7378507871321</v>
      </c>
      <c r="G43" s="14" t="n">
        <f aca="false">(B43-D43)/365.25</f>
        <v>0.26009582477755</v>
      </c>
      <c r="H43" s="15" t="s">
        <v>217</v>
      </c>
      <c r="I43" s="15" t="s">
        <v>218</v>
      </c>
      <c r="J43" s="21" t="s">
        <v>181</v>
      </c>
      <c r="K43" s="21" t="n">
        <v>4</v>
      </c>
      <c r="L43" s="19" t="n">
        <v>85</v>
      </c>
      <c r="M43" s="0" t="n">
        <v>1.7</v>
      </c>
      <c r="N43" s="16" t="n">
        <f aca="false">L43/(M43*M43)</f>
        <v>29.4117647058823</v>
      </c>
      <c r="O43" s="19" t="n">
        <v>0</v>
      </c>
      <c r="P43" s="19" t="n">
        <v>0</v>
      </c>
      <c r="Q43" s="19" t="n">
        <v>0</v>
      </c>
      <c r="R43" s="19" t="n">
        <v>0</v>
      </c>
      <c r="S43" s="19" t="n">
        <v>0</v>
      </c>
      <c r="T43" s="19" t="n">
        <v>0</v>
      </c>
      <c r="U43" s="19" t="n">
        <v>0</v>
      </c>
      <c r="V43" s="19" t="n">
        <v>0</v>
      </c>
      <c r="W43" s="19" t="n">
        <v>0</v>
      </c>
      <c r="X43" s="19" t="n">
        <v>0</v>
      </c>
      <c r="Y43" s="19" t="n">
        <v>0</v>
      </c>
      <c r="Z43" s="19" t="n">
        <v>0</v>
      </c>
      <c r="AA43" s="19" t="n">
        <v>0</v>
      </c>
      <c r="AB43" s="19" t="n">
        <v>0</v>
      </c>
      <c r="AC43" s="19" t="n">
        <v>0</v>
      </c>
      <c r="AD43" s="19" t="n">
        <v>0</v>
      </c>
      <c r="AE43" s="19" t="n">
        <v>0</v>
      </c>
      <c r="AF43" s="19" t="n">
        <v>0</v>
      </c>
      <c r="AG43" s="19" t="n">
        <v>0</v>
      </c>
      <c r="AH43" s="19" t="n">
        <v>0</v>
      </c>
      <c r="AI43" s="19" t="n">
        <v>0</v>
      </c>
      <c r="AJ43" s="19" t="n">
        <v>0</v>
      </c>
      <c r="AK43" s="19" t="n">
        <v>0</v>
      </c>
      <c r="AL43" s="19" t="n">
        <v>0</v>
      </c>
      <c r="AM43" s="19" t="n">
        <v>0</v>
      </c>
      <c r="AN43" s="19" t="n">
        <v>0</v>
      </c>
      <c r="AO43" s="19" t="n">
        <v>0</v>
      </c>
      <c r="AP43" s="19" t="n">
        <v>0</v>
      </c>
      <c r="AQ43" s="19" t="n">
        <v>0</v>
      </c>
      <c r="AR43" s="19" t="n">
        <v>0</v>
      </c>
      <c r="AS43" s="19" t="n">
        <v>0</v>
      </c>
      <c r="AT43" s="19" t="n">
        <v>0</v>
      </c>
      <c r="AU43" s="19" t="n">
        <v>0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19" t="n">
        <v>0</v>
      </c>
      <c r="BB43" s="19" t="n">
        <v>0</v>
      </c>
      <c r="BC43" s="19" t="n">
        <v>0</v>
      </c>
      <c r="BD43" s="19" t="n">
        <v>0</v>
      </c>
      <c r="BE43" s="19" t="n">
        <v>0</v>
      </c>
      <c r="BF43" s="19" t="n">
        <v>0</v>
      </c>
      <c r="BG43" s="19" t="n">
        <v>0</v>
      </c>
      <c r="BH43" s="19" t="n">
        <v>0</v>
      </c>
      <c r="BI43" s="19" t="n">
        <v>0</v>
      </c>
      <c r="BJ43" s="19" t="n">
        <v>0</v>
      </c>
      <c r="BK43" s="19" t="n">
        <v>0</v>
      </c>
      <c r="BL43" s="19" t="n">
        <v>0</v>
      </c>
      <c r="BM43" s="19" t="n">
        <v>0</v>
      </c>
      <c r="BN43" s="19" t="n">
        <v>0</v>
      </c>
      <c r="BO43" s="19" t="n">
        <v>0</v>
      </c>
      <c r="BP43" s="19" t="n">
        <v>0</v>
      </c>
      <c r="BQ43" s="19" t="n">
        <v>0</v>
      </c>
      <c r="BR43" s="19" t="n">
        <v>1</v>
      </c>
      <c r="BS43" s="19" t="n">
        <v>1</v>
      </c>
      <c r="BT43" s="19" t="n">
        <v>3</v>
      </c>
      <c r="BU43" s="19" t="n">
        <v>5</v>
      </c>
      <c r="BV43" s="19" t="n">
        <v>1</v>
      </c>
      <c r="BW43" s="19" t="n">
        <v>1</v>
      </c>
      <c r="BX43" s="19" t="n">
        <v>5</v>
      </c>
      <c r="BY43" s="19" t="n">
        <v>5</v>
      </c>
      <c r="BZ43" s="19" t="n">
        <v>5</v>
      </c>
      <c r="CA43" s="19" t="n">
        <v>3</v>
      </c>
      <c r="CB43" s="19" t="n">
        <v>5</v>
      </c>
      <c r="CC43" s="19" t="n">
        <v>5</v>
      </c>
      <c r="CD43" s="19" t="n">
        <v>5</v>
      </c>
      <c r="CE43" s="19" t="n">
        <v>5</v>
      </c>
      <c r="CF43" s="19" t="n">
        <v>5</v>
      </c>
      <c r="CG43" s="19" t="n">
        <v>5</v>
      </c>
      <c r="CH43" s="19" t="n">
        <v>5</v>
      </c>
      <c r="CI43" s="19" t="n">
        <v>5</v>
      </c>
      <c r="CJ43" s="19" t="n">
        <v>5</v>
      </c>
      <c r="CK43" s="19" t="n">
        <v>10</v>
      </c>
      <c r="CL43" s="0" t="s">
        <v>219</v>
      </c>
      <c r="CM43" s="0" t="n">
        <v>33.5</v>
      </c>
      <c r="CN43" s="16" t="n">
        <v>91.5</v>
      </c>
      <c r="CO43" s="16" t="n">
        <v>80.4</v>
      </c>
      <c r="CP43" s="16" t="n">
        <v>20</v>
      </c>
      <c r="CQ43" s="0" t="n">
        <v>84.58</v>
      </c>
      <c r="CR43" s="17" t="n">
        <v>0</v>
      </c>
      <c r="CS43" s="0" t="n">
        <v>15.42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13.79</v>
      </c>
      <c r="DD43" s="0" t="n">
        <v>2.67</v>
      </c>
      <c r="DE43" s="0" t="n">
        <v>11.54</v>
      </c>
      <c r="DF43" s="0" t="n">
        <v>0</v>
      </c>
      <c r="DG43" s="0" t="n">
        <v>12.3</v>
      </c>
      <c r="DH43" s="0" t="n">
        <v>2</v>
      </c>
      <c r="DI43" s="0" t="n">
        <v>5</v>
      </c>
      <c r="DJ43" s="0" t="n">
        <v>2</v>
      </c>
      <c r="DO43" s="0" t="n">
        <v>5</v>
      </c>
      <c r="DP43" s="0" t="n">
        <v>2</v>
      </c>
      <c r="DU43" s="0" t="n">
        <v>0</v>
      </c>
      <c r="DV43" s="0" t="n">
        <v>1</v>
      </c>
      <c r="DW43" s="0" t="n">
        <v>34</v>
      </c>
      <c r="DX43" s="0" t="n">
        <v>2</v>
      </c>
      <c r="DY43" s="0" t="n">
        <v>0.1</v>
      </c>
      <c r="DZ43" s="0" t="n">
        <v>1</v>
      </c>
      <c r="EA43" s="0" t="n">
        <v>10</v>
      </c>
      <c r="EB43" s="0" t="n">
        <f aca="false">8*4</f>
        <v>32</v>
      </c>
      <c r="EC43" s="0" t="n">
        <f aca="false">0.06+0.01+0.4+1.7+0.24+0.14+0.96</f>
        <v>3.51</v>
      </c>
      <c r="ED43" s="0" t="n">
        <v>3</v>
      </c>
      <c r="EG43" s="18"/>
      <c r="EY43" s="0" t="n">
        <v>0</v>
      </c>
      <c r="GJ43" s="16" t="n">
        <v>0.25</v>
      </c>
      <c r="GK43" s="16" t="n">
        <v>1</v>
      </c>
      <c r="GL43" s="16" t="n">
        <v>2</v>
      </c>
      <c r="GM43" s="16"/>
      <c r="GN43" s="16" t="n">
        <v>0.55</v>
      </c>
      <c r="GO43" s="16"/>
      <c r="GP43" s="16"/>
      <c r="GQ43" s="16"/>
      <c r="GR43" s="16"/>
      <c r="GS43" s="16"/>
      <c r="GT43" s="16"/>
      <c r="GU43" s="16" t="n">
        <v>0.55</v>
      </c>
      <c r="GV43" s="16" t="n">
        <v>0.55</v>
      </c>
      <c r="GW43" s="16"/>
      <c r="GX43" s="16"/>
      <c r="GY43" s="16" t="n">
        <v>0</v>
      </c>
      <c r="GZ43" s="16" t="n">
        <v>0</v>
      </c>
      <c r="HA43" s="16" t="n">
        <v>0</v>
      </c>
      <c r="HB43" s="0" t="n">
        <v>0</v>
      </c>
      <c r="HC43" s="0" t="s">
        <v>220</v>
      </c>
      <c r="HD43" s="0" t="n">
        <v>27</v>
      </c>
      <c r="HE43" s="16" t="n">
        <v>54.4</v>
      </c>
      <c r="HF43" s="16" t="n">
        <v>80.4</v>
      </c>
      <c r="HG43" s="16" t="n">
        <v>18.1</v>
      </c>
      <c r="HH43" s="0" t="n">
        <v>81.88</v>
      </c>
      <c r="HI43" s="17" t="n">
        <v>0</v>
      </c>
      <c r="HJ43" s="0" t="n">
        <v>9.83</v>
      </c>
      <c r="HK43" s="0" t="n">
        <v>0</v>
      </c>
      <c r="HL43" s="0" t="n">
        <v>2.14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2.32</v>
      </c>
      <c r="HU43" s="0" t="n">
        <v>19.66</v>
      </c>
      <c r="HV43" s="0" t="n">
        <v>3.64</v>
      </c>
      <c r="HW43" s="0" t="n">
        <v>0</v>
      </c>
      <c r="HX43" s="0" t="n">
        <v>0</v>
      </c>
      <c r="HY43" s="0" t="n">
        <v>0</v>
      </c>
      <c r="IL43" s="0" t="n">
        <v>0</v>
      </c>
      <c r="IM43" s="0" t="n">
        <v>1</v>
      </c>
      <c r="IN43" s="0" t="n">
        <v>26</v>
      </c>
      <c r="IO43" s="0" t="n">
        <v>2</v>
      </c>
      <c r="IP43" s="0" t="n">
        <v>0.05</v>
      </c>
      <c r="IQ43" s="0" t="n">
        <v>2</v>
      </c>
      <c r="IX43" s="18"/>
      <c r="JP43" s="0" t="n">
        <v>0</v>
      </c>
      <c r="LA43" s="16" t="n">
        <v>2.1</v>
      </c>
      <c r="LB43" s="16" t="n">
        <v>1</v>
      </c>
      <c r="LC43" s="16" t="n">
        <v>1</v>
      </c>
      <c r="LD43" s="16"/>
      <c r="LE43" s="16" t="n">
        <f aca="false">0.1+0.76*2+2.02+1.35*2+0.67</f>
        <v>7.01</v>
      </c>
      <c r="LF43" s="16"/>
      <c r="LG43" s="16"/>
      <c r="LH43" s="16"/>
      <c r="LI43" s="16"/>
      <c r="LJ43" s="16"/>
      <c r="LK43" s="16"/>
      <c r="LL43" s="16" t="n">
        <v>6.35</v>
      </c>
      <c r="LM43" s="16" t="n">
        <v>14.8</v>
      </c>
      <c r="LN43" s="16"/>
      <c r="LO43" s="16"/>
      <c r="LP43" s="16" t="n">
        <v>0</v>
      </c>
      <c r="LQ43" s="16" t="n">
        <v>0</v>
      </c>
      <c r="LR43" s="16" t="n">
        <v>0</v>
      </c>
      <c r="LS43" s="0" t="n">
        <v>0</v>
      </c>
      <c r="LT43" s="0" t="s">
        <v>221</v>
      </c>
      <c r="LU43" s="0" t="n">
        <v>20.5</v>
      </c>
      <c r="LV43" s="16" t="n">
        <v>76.9</v>
      </c>
      <c r="LW43" s="16" t="n">
        <v>80.4</v>
      </c>
      <c r="LX43" s="16" t="n">
        <v>9.1</v>
      </c>
      <c r="LY43" s="0" t="n">
        <v>88.58</v>
      </c>
      <c r="LZ43" s="0" t="n">
        <v>10.3</v>
      </c>
      <c r="MA43" s="0" t="n">
        <v>1.12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6.33</v>
      </c>
      <c r="ML43" s="0" t="n">
        <v>16.97</v>
      </c>
      <c r="MM43" s="0" t="n">
        <v>0</v>
      </c>
      <c r="MN43" s="0" t="n">
        <v>0</v>
      </c>
      <c r="MO43" s="0" t="n">
        <v>4.1</v>
      </c>
      <c r="MP43" s="0" t="n">
        <v>2</v>
      </c>
      <c r="MQ43" s="0" t="n">
        <v>5</v>
      </c>
      <c r="MR43" s="0" t="n">
        <v>1</v>
      </c>
      <c r="MW43" s="0" t="n">
        <v>5</v>
      </c>
      <c r="MX43" s="0" t="n">
        <v>1</v>
      </c>
      <c r="NC43" s="0" t="n">
        <v>0</v>
      </c>
      <c r="ND43" s="0" t="n">
        <v>0</v>
      </c>
      <c r="NO43" s="18"/>
      <c r="OG43" s="0" t="n">
        <v>0</v>
      </c>
      <c r="PR43" s="16" t="n">
        <v>2.24</v>
      </c>
      <c r="PS43" s="16" t="n">
        <v>1</v>
      </c>
      <c r="PT43" s="16" t="n">
        <v>2</v>
      </c>
      <c r="PU43" s="16"/>
      <c r="PV43" s="16" t="n">
        <v>4.97</v>
      </c>
      <c r="PW43" s="16"/>
      <c r="PX43" s="16"/>
      <c r="PY43" s="16"/>
      <c r="PZ43" s="16"/>
      <c r="QA43" s="16"/>
      <c r="QB43" s="16"/>
      <c r="QC43" s="16" t="n">
        <v>5.1</v>
      </c>
      <c r="QD43" s="16" t="n">
        <v>5.97</v>
      </c>
      <c r="QE43" s="16"/>
      <c r="QF43" s="16"/>
      <c r="QG43" s="16" t="n">
        <v>0</v>
      </c>
      <c r="QH43" s="16" t="n">
        <v>0</v>
      </c>
      <c r="QI43" s="16" t="n">
        <v>0</v>
      </c>
      <c r="QJ43" s="0" t="n">
        <v>0</v>
      </c>
      <c r="QK43" s="0" t="s">
        <v>222</v>
      </c>
      <c r="QL43" s="0" t="n">
        <v>32.5</v>
      </c>
      <c r="QM43" s="16" t="n">
        <v>96.7</v>
      </c>
      <c r="QN43" s="16" t="n">
        <v>80.4</v>
      </c>
      <c r="QO43" s="16" t="n">
        <v>15.1</v>
      </c>
      <c r="QP43" s="0" t="n">
        <v>52.24</v>
      </c>
      <c r="QQ43" s="0" t="n">
        <v>45.43</v>
      </c>
      <c r="QR43" s="0" t="n">
        <v>1.12</v>
      </c>
      <c r="QS43" s="0" t="n">
        <v>0</v>
      </c>
      <c r="QT43" s="0" t="n">
        <v>1.2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1.2</v>
      </c>
      <c r="RB43" s="0" t="n">
        <v>15.88</v>
      </c>
      <c r="RC43" s="0" t="n">
        <v>48.59</v>
      </c>
      <c r="RD43" s="0" t="n">
        <v>0</v>
      </c>
      <c r="RE43" s="0" t="n">
        <v>0</v>
      </c>
      <c r="RF43" s="0" t="n">
        <v>0</v>
      </c>
      <c r="RG43" s="0" t="n">
        <v>0</v>
      </c>
      <c r="RT43" s="0" t="n">
        <v>0</v>
      </c>
      <c r="RU43" s="0" t="n">
        <v>0</v>
      </c>
      <c r="SF43" s="18"/>
      <c r="SX43" s="0" t="n">
        <v>1</v>
      </c>
      <c r="SY43" s="0" t="n">
        <v>50</v>
      </c>
      <c r="SZ43" s="0" t="n">
        <v>2</v>
      </c>
      <c r="TA43" s="0" t="n">
        <f aca="false">3.18+12.73</f>
        <v>15.91</v>
      </c>
      <c r="TB43" s="0" t="n">
        <v>1</v>
      </c>
      <c r="UI43" s="16" t="n">
        <v>5.9</v>
      </c>
      <c r="UJ43" s="16" t="n">
        <v>1</v>
      </c>
      <c r="UK43" s="16" t="n">
        <v>2</v>
      </c>
      <c r="UL43" s="16"/>
      <c r="UM43" s="16" t="n">
        <f aca="false">0.09+0.18*3+0.13+0.53+1.07*2+1.34*2+0.17*2+3.18+12.73</f>
        <v>22.36</v>
      </c>
      <c r="UN43" s="16"/>
      <c r="UO43" s="16"/>
      <c r="UP43" s="16"/>
      <c r="UQ43" s="16"/>
      <c r="UR43" s="16"/>
      <c r="US43" s="16"/>
      <c r="UT43" s="16" t="n">
        <v>11.45</v>
      </c>
      <c r="UU43" s="16" t="n">
        <v>41.19</v>
      </c>
      <c r="UV43" s="16"/>
      <c r="UW43" s="16"/>
      <c r="UX43" s="16" t="n">
        <v>0</v>
      </c>
      <c r="UY43" s="16" t="n">
        <v>0</v>
      </c>
      <c r="UZ43" s="16" t="n">
        <v>0</v>
      </c>
      <c r="VA43" s="0" t="n">
        <v>0</v>
      </c>
      <c r="VB43" s="0" t="s">
        <v>223</v>
      </c>
      <c r="VC43" s="0" t="n">
        <v>30.5</v>
      </c>
      <c r="VD43" s="16" t="n">
        <v>68.8</v>
      </c>
      <c r="VE43" s="16" t="n">
        <v>80.4</v>
      </c>
      <c r="VF43" s="16" t="n">
        <v>16.3</v>
      </c>
      <c r="VG43" s="0" t="n">
        <v>66.28</v>
      </c>
      <c r="VH43" s="0" t="n">
        <v>20.09</v>
      </c>
      <c r="VI43" s="0" t="n">
        <v>1.81</v>
      </c>
      <c r="VJ43" s="0" t="n">
        <v>0</v>
      </c>
      <c r="VK43" s="0" t="n">
        <v>11.82</v>
      </c>
      <c r="VL43" s="0" t="n">
        <v>0</v>
      </c>
      <c r="VM43" s="0" t="n">
        <v>0</v>
      </c>
      <c r="VN43" s="0" t="n">
        <v>0</v>
      </c>
      <c r="VO43" s="0" t="n">
        <v>0</v>
      </c>
      <c r="VP43" s="0" t="n">
        <v>0</v>
      </c>
      <c r="VQ43" s="0" t="n">
        <v>0</v>
      </c>
      <c r="VR43" s="0" t="n">
        <v>0</v>
      </c>
      <c r="VS43" s="0" t="n">
        <v>13.17</v>
      </c>
      <c r="VT43" s="0" t="n">
        <v>35.75</v>
      </c>
      <c r="VU43" s="0" t="n">
        <v>0</v>
      </c>
      <c r="VV43" s="0" t="n">
        <v>0</v>
      </c>
      <c r="VW43" s="0" t="n">
        <v>0</v>
      </c>
      <c r="VX43" s="0" t="n">
        <v>0</v>
      </c>
      <c r="WK43" s="0" t="n">
        <v>0</v>
      </c>
      <c r="WL43" s="0" t="n">
        <v>1</v>
      </c>
      <c r="WM43" s="0" t="n">
        <v>52</v>
      </c>
      <c r="WN43" s="0" t="n">
        <v>1</v>
      </c>
      <c r="WO43" s="0" t="n">
        <v>0.01</v>
      </c>
      <c r="WP43" s="0" t="n">
        <v>2</v>
      </c>
      <c r="WW43" s="18"/>
      <c r="XO43" s="0" t="n">
        <v>0</v>
      </c>
      <c r="YZ43" s="16" t="n">
        <v>5.43</v>
      </c>
      <c r="ZA43" s="16" t="n">
        <v>1</v>
      </c>
      <c r="ZB43" s="16" t="n">
        <v>1</v>
      </c>
      <c r="ZC43" s="16"/>
      <c r="ZD43" s="16" t="n">
        <f aca="false">0.09*2+0.07+1.36</f>
        <v>1.61</v>
      </c>
      <c r="ZE43" s="16" t="n">
        <v>2</v>
      </c>
      <c r="ZF43" s="16"/>
      <c r="ZG43" s="16" t="n">
        <f aca="false">4.2+0.09+0.66+0.01+3.18+3.18</f>
        <v>11.32</v>
      </c>
      <c r="ZH43" s="16"/>
      <c r="ZI43" s="16"/>
      <c r="ZJ43" s="16"/>
      <c r="ZK43" s="16" t="n">
        <v>8.61</v>
      </c>
      <c r="ZL43" s="16" t="n">
        <v>26.91</v>
      </c>
      <c r="ZM43" s="16"/>
      <c r="ZN43" s="16"/>
      <c r="ZO43" s="16" t="n">
        <v>0</v>
      </c>
      <c r="ZP43" s="16" t="n">
        <v>0</v>
      </c>
      <c r="ZQ43" s="16" t="n">
        <v>0</v>
      </c>
      <c r="ZR43" s="0" t="n">
        <v>0</v>
      </c>
      <c r="ZS43" s="0" t="s">
        <v>224</v>
      </c>
      <c r="ZT43" s="0" t="n">
        <v>39.5</v>
      </c>
      <c r="ZU43" s="16" t="n">
        <v>60.8</v>
      </c>
      <c r="ZV43" s="16" t="n">
        <v>80.4</v>
      </c>
      <c r="ZW43" s="16" t="n">
        <v>22.9</v>
      </c>
      <c r="ZX43" s="0" t="n">
        <v>67.01</v>
      </c>
      <c r="ZY43" s="0" t="n">
        <v>11.71</v>
      </c>
      <c r="ZZ43" s="0" t="n">
        <v>16.61</v>
      </c>
      <c r="AAA43" s="0" t="n">
        <v>0</v>
      </c>
      <c r="AAB43" s="0" t="n">
        <v>4.67</v>
      </c>
      <c r="AAC43" s="0" t="n">
        <v>0</v>
      </c>
      <c r="AAD43" s="0" t="n">
        <v>0</v>
      </c>
      <c r="AAE43" s="0" t="n">
        <v>0</v>
      </c>
      <c r="AAF43" s="0" t="n">
        <v>0</v>
      </c>
      <c r="AAG43" s="0" t="n">
        <v>0</v>
      </c>
      <c r="AAH43" s="0" t="n">
        <v>0</v>
      </c>
      <c r="AAI43" s="0" t="n">
        <v>0</v>
      </c>
      <c r="AAJ43" s="0" t="n">
        <v>20.9</v>
      </c>
      <c r="AAK43" s="0" t="n">
        <v>25.23</v>
      </c>
      <c r="AAL43" s="0" t="n">
        <v>0.58</v>
      </c>
      <c r="AAM43" s="0" t="n">
        <v>0</v>
      </c>
      <c r="AAN43" s="0" t="n">
        <v>0</v>
      </c>
      <c r="AAO43" s="0" t="n">
        <v>0</v>
      </c>
      <c r="ABB43" s="0" t="n">
        <v>2</v>
      </c>
      <c r="ABC43" s="0" t="n">
        <v>1</v>
      </c>
      <c r="ABD43" s="0" t="n">
        <v>103</v>
      </c>
      <c r="ABE43" s="0" t="n">
        <v>2</v>
      </c>
      <c r="ABF43" s="0" t="n">
        <f aca="false">0.18+0.14</f>
        <v>0.32</v>
      </c>
      <c r="ABG43" s="0" t="n">
        <v>1</v>
      </c>
      <c r="ABH43" s="0" t="n">
        <v>68</v>
      </c>
      <c r="ABI43" s="0" t="n">
        <v>1</v>
      </c>
      <c r="ABJ43" s="0" t="n">
        <v>0.01</v>
      </c>
      <c r="ABK43" s="0" t="n">
        <v>1</v>
      </c>
      <c r="ABL43" s="0" t="n">
        <v>52</v>
      </c>
      <c r="ABM43" s="0" t="n">
        <v>3</v>
      </c>
      <c r="ABN43" s="18" t="n">
        <v>0.05</v>
      </c>
      <c r="ABO43" s="0" t="n">
        <v>2</v>
      </c>
      <c r="ACF43" s="0" t="n">
        <v>0</v>
      </c>
      <c r="ADQ43" s="16" t="n">
        <v>3.66</v>
      </c>
      <c r="ADR43" s="16" t="n">
        <v>1</v>
      </c>
      <c r="ADS43" s="16" t="n">
        <v>1</v>
      </c>
      <c r="ADT43" s="16"/>
      <c r="ADU43" s="16" t="n">
        <f aca="false">2.69*3+1.35*3+0.14*2+0.1</f>
        <v>12.5</v>
      </c>
      <c r="ADV43" s="16" t="n">
        <v>2</v>
      </c>
      <c r="ADW43" s="16"/>
      <c r="ADX43" s="16" t="n">
        <f aca="false">0.66+0.35+0.18+0.14+1.25+1.23</f>
        <v>3.81</v>
      </c>
      <c r="ADY43" s="16"/>
      <c r="ADZ43" s="16"/>
      <c r="AEA43" s="16"/>
      <c r="AEB43" s="16" t="n">
        <v>10.05</v>
      </c>
      <c r="AEC43" s="16" t="n">
        <v>27.11</v>
      </c>
      <c r="AED43" s="16"/>
      <c r="AEE43" s="16"/>
      <c r="AEF43" s="16" t="n">
        <v>0</v>
      </c>
      <c r="AEG43" s="16" t="n">
        <v>0</v>
      </c>
      <c r="AEH43" s="16" t="n">
        <v>0</v>
      </c>
      <c r="AEI43" s="0" t="n">
        <v>0</v>
      </c>
      <c r="AEJ43" s="0" t="s">
        <v>225</v>
      </c>
      <c r="AEK43" s="0" t="n">
        <v>47</v>
      </c>
      <c r="AEL43" s="16" t="n">
        <v>72.3</v>
      </c>
      <c r="AEM43" s="16" t="n">
        <v>80.4</v>
      </c>
      <c r="AEN43" s="16" t="n">
        <v>18</v>
      </c>
      <c r="AEO43" s="0" t="n">
        <v>70.55</v>
      </c>
      <c r="AEP43" s="0" t="n">
        <v>6.81</v>
      </c>
      <c r="AEQ43" s="0" t="n">
        <v>3.09</v>
      </c>
      <c r="AER43" s="0" t="n">
        <v>0</v>
      </c>
      <c r="AES43" s="0" t="n">
        <v>19.55</v>
      </c>
      <c r="AET43" s="0" t="n">
        <v>0</v>
      </c>
      <c r="AEU43" s="0" t="n">
        <v>0</v>
      </c>
      <c r="AEV43" s="0" t="n">
        <v>0</v>
      </c>
      <c r="AEW43" s="0" t="n">
        <v>0</v>
      </c>
      <c r="AEX43" s="0" t="n">
        <v>0</v>
      </c>
      <c r="AEY43" s="0" t="n">
        <v>0</v>
      </c>
      <c r="AEZ43" s="0" t="n">
        <v>0</v>
      </c>
      <c r="AFA43" s="0" t="n">
        <v>18.07</v>
      </c>
      <c r="AFB43" s="0" t="n">
        <v>30.57</v>
      </c>
      <c r="AFC43" s="0" t="n">
        <v>7.61</v>
      </c>
      <c r="AFD43" s="0" t="n">
        <v>0</v>
      </c>
      <c r="AFE43" s="0" t="n">
        <v>14</v>
      </c>
      <c r="AFF43" s="0" t="n">
        <v>2</v>
      </c>
      <c r="AFG43" s="0" t="n">
        <v>5</v>
      </c>
      <c r="AFH43" s="0" t="n">
        <v>4.47</v>
      </c>
      <c r="AFJ43" s="0" t="n">
        <v>7</v>
      </c>
      <c r="AFK43" s="0" t="n">
        <v>5.15</v>
      </c>
      <c r="AFM43" s="0" t="n">
        <v>5</v>
      </c>
      <c r="AFN43" s="0" t="n">
        <v>4.47</v>
      </c>
      <c r="AFP43" s="0" t="n">
        <v>7</v>
      </c>
      <c r="AFQ43" s="0" t="n">
        <v>5.15</v>
      </c>
      <c r="AFS43" s="0" t="n">
        <v>0</v>
      </c>
      <c r="AFT43" s="0" t="n">
        <v>0</v>
      </c>
      <c r="AGE43" s="18"/>
      <c r="AGW43" s="0" t="n">
        <v>0</v>
      </c>
      <c r="AIH43" s="16" t="n">
        <v>4.21</v>
      </c>
      <c r="AII43" s="16" t="n">
        <v>1</v>
      </c>
      <c r="AIJ43" s="16" t="n">
        <v>2</v>
      </c>
      <c r="AIK43" s="16"/>
      <c r="AIL43" s="16" t="n">
        <f aca="false">7.46+1.59+0.6</f>
        <v>9.65</v>
      </c>
      <c r="AIM43" s="16"/>
      <c r="AIN43" s="16"/>
      <c r="AIO43" s="16"/>
      <c r="AIP43" s="16"/>
      <c r="AIQ43" s="16"/>
      <c r="AIR43" s="16"/>
      <c r="AIS43" s="16" t="n">
        <v>10.63</v>
      </c>
      <c r="AIT43" s="16" t="n">
        <v>36.38</v>
      </c>
      <c r="AIU43" s="16"/>
      <c r="AIV43" s="16"/>
      <c r="AIW43" s="16" t="n">
        <v>0</v>
      </c>
      <c r="AIX43" s="16" t="n">
        <v>0</v>
      </c>
      <c r="AIY43" s="16" t="n">
        <v>0</v>
      </c>
      <c r="AIZ43" s="0" t="n">
        <v>0</v>
      </c>
      <c r="AJA43" s="0" t="s">
        <v>226</v>
      </c>
      <c r="AJB43" s="0" t="n">
        <v>19</v>
      </c>
      <c r="AJC43" s="16" t="n">
        <v>82.6</v>
      </c>
      <c r="AJD43" s="16" t="n">
        <v>80.4</v>
      </c>
      <c r="AJE43" s="16" t="n">
        <v>7.7</v>
      </c>
      <c r="AJF43" s="0" t="n">
        <v>86.83</v>
      </c>
      <c r="AJG43" s="0" t="n">
        <v>12.69</v>
      </c>
      <c r="AJH43" s="0" t="n">
        <v>0</v>
      </c>
      <c r="AJI43" s="0" t="n">
        <v>0</v>
      </c>
      <c r="AJJ43" s="0" t="n">
        <v>0.48</v>
      </c>
      <c r="AJK43" s="0" t="n">
        <v>0</v>
      </c>
      <c r="AJL43" s="0" t="n">
        <v>0</v>
      </c>
      <c r="AJM43" s="0" t="n">
        <v>0</v>
      </c>
      <c r="AJN43" s="0" t="n">
        <v>0</v>
      </c>
      <c r="AJO43" s="0" t="n">
        <v>0</v>
      </c>
      <c r="AJP43" s="0" t="n">
        <v>0</v>
      </c>
      <c r="AJQ43" s="0" t="n">
        <v>0</v>
      </c>
      <c r="AJR43" s="0" t="n">
        <v>7.16</v>
      </c>
      <c r="AJS43" s="0" t="n">
        <v>10.76</v>
      </c>
      <c r="AJT43" s="0" t="n">
        <v>0</v>
      </c>
      <c r="AJU43" s="0" t="n">
        <v>0</v>
      </c>
      <c r="AJV43" s="0" t="n">
        <v>3.4</v>
      </c>
      <c r="AJW43" s="0" t="n">
        <v>2</v>
      </c>
      <c r="AJX43" s="0" t="n">
        <v>11.9</v>
      </c>
      <c r="AJY43" s="0" t="n">
        <v>0.48</v>
      </c>
      <c r="AKD43" s="0" t="n">
        <v>11.9</v>
      </c>
      <c r="AKE43" s="0" t="n">
        <v>0.48</v>
      </c>
      <c r="AKJ43" s="0" t="n">
        <v>0</v>
      </c>
      <c r="AKK43" s="0" t="n">
        <v>1</v>
      </c>
      <c r="AKL43" s="0" t="n">
        <v>34</v>
      </c>
      <c r="AKM43" s="0" t="n">
        <v>2</v>
      </c>
      <c r="AKN43" s="0" t="n">
        <f aca="false">0.84*2</f>
        <v>1.68</v>
      </c>
      <c r="AKO43" s="0" t="n">
        <v>1</v>
      </c>
      <c r="AKV43" s="18"/>
      <c r="ALN43" s="0" t="n">
        <v>0</v>
      </c>
    </row>
    <row r="44" customFormat="false" ht="13.8" hidden="false" customHeight="false" outlineLevel="0" collapsed="false">
      <c r="A44" s="1" t="s">
        <v>380</v>
      </c>
      <c r="B44" s="12" t="n">
        <v>42893</v>
      </c>
      <c r="C44" s="0" t="n">
        <v>1</v>
      </c>
      <c r="D44" s="13" t="n">
        <v>39118</v>
      </c>
      <c r="E44" s="12" t="n">
        <v>27176</v>
      </c>
      <c r="F44" s="14" t="n">
        <f aca="false">(B44-E44)/365.25</f>
        <v>43.0308008213552</v>
      </c>
      <c r="G44" s="14" t="n">
        <f aca="false">(B44-D44)/365.25</f>
        <v>10.3353867214237</v>
      </c>
      <c r="H44" s="15" t="s">
        <v>217</v>
      </c>
      <c r="I44" s="15" t="s">
        <v>218</v>
      </c>
      <c r="J44" s="21" t="s">
        <v>181</v>
      </c>
      <c r="K44" s="21" t="n">
        <v>8</v>
      </c>
      <c r="L44" s="19" t="n">
        <v>65</v>
      </c>
      <c r="M44" s="0" t="n">
        <v>1.62</v>
      </c>
      <c r="N44" s="16" t="n">
        <f aca="false">L44/(M44*M44)</f>
        <v>24.7675659198293</v>
      </c>
      <c r="O44" s="19" t="n">
        <v>0</v>
      </c>
      <c r="P44" s="19" t="n">
        <v>0</v>
      </c>
      <c r="Q44" s="19" t="n">
        <v>0</v>
      </c>
      <c r="R44" s="19" t="n">
        <v>0</v>
      </c>
      <c r="S44" s="19" t="n">
        <v>0</v>
      </c>
      <c r="T44" s="19" t="n">
        <v>0</v>
      </c>
      <c r="U44" s="19" t="n">
        <v>0</v>
      </c>
      <c r="V44" s="19" t="n">
        <v>0</v>
      </c>
      <c r="W44" s="19" t="n">
        <v>1</v>
      </c>
      <c r="X44" s="19" t="n">
        <v>0</v>
      </c>
      <c r="Y44" s="19" t="n">
        <v>1</v>
      </c>
      <c r="Z44" s="19" t="n">
        <v>1</v>
      </c>
      <c r="AA44" s="19" t="n">
        <v>40</v>
      </c>
      <c r="AB44" s="19" t="s">
        <v>381</v>
      </c>
      <c r="AC44" s="19" t="n">
        <v>0</v>
      </c>
      <c r="AD44" s="19" t="n">
        <v>0</v>
      </c>
      <c r="AE44" s="19" t="n">
        <v>1</v>
      </c>
      <c r="AF44" s="19" t="n">
        <v>1</v>
      </c>
      <c r="AG44" s="19" t="n">
        <v>1</v>
      </c>
      <c r="AH44" s="19" t="n">
        <v>9</v>
      </c>
      <c r="AI44" s="19" t="n">
        <v>2</v>
      </c>
      <c r="AJ44" s="19" t="n">
        <v>2</v>
      </c>
      <c r="AK44" s="19" t="n">
        <v>2</v>
      </c>
      <c r="AL44" s="19" t="n">
        <v>0</v>
      </c>
      <c r="AM44" s="19" t="n">
        <v>6</v>
      </c>
      <c r="AN44" s="19" t="n">
        <v>3</v>
      </c>
      <c r="AO44" s="19" t="n">
        <v>3</v>
      </c>
      <c r="AP44" s="19" t="n">
        <v>3</v>
      </c>
      <c r="AQ44" s="19" t="n">
        <v>9</v>
      </c>
      <c r="AR44" s="19" t="n">
        <v>10</v>
      </c>
      <c r="AS44" s="19" t="n">
        <v>0</v>
      </c>
      <c r="AT44" s="19" t="n">
        <v>0</v>
      </c>
      <c r="AU44" s="19" t="n">
        <v>0</v>
      </c>
      <c r="AV44" s="19" t="n">
        <v>0</v>
      </c>
      <c r="AW44" s="19" t="n">
        <v>0</v>
      </c>
      <c r="AX44" s="19" t="n">
        <v>0</v>
      </c>
      <c r="AY44" s="19" t="n">
        <v>0</v>
      </c>
      <c r="AZ44" s="19" t="n">
        <v>0</v>
      </c>
      <c r="BA44" s="19" t="n">
        <v>0</v>
      </c>
      <c r="BB44" s="19" t="n">
        <v>1</v>
      </c>
      <c r="BC44" s="19" t="n">
        <v>0</v>
      </c>
      <c r="BD44" s="19" t="n">
        <v>0</v>
      </c>
      <c r="BE44" s="19" t="n">
        <v>0</v>
      </c>
      <c r="BF44" s="19" t="n">
        <v>1</v>
      </c>
      <c r="BG44" s="19"/>
      <c r="BH44" s="19" t="n">
        <v>0</v>
      </c>
      <c r="BI44" s="19" t="n">
        <v>0</v>
      </c>
      <c r="BJ44" s="19" t="n">
        <v>0</v>
      </c>
      <c r="BK44" s="19" t="n">
        <v>0</v>
      </c>
      <c r="BL44" s="19" t="n">
        <v>0</v>
      </c>
      <c r="BM44" s="19" t="n">
        <v>0</v>
      </c>
      <c r="BN44" s="19" t="n">
        <v>1</v>
      </c>
      <c r="BO44" s="19" t="n">
        <v>0</v>
      </c>
      <c r="BP44" s="19" t="n">
        <v>1</v>
      </c>
      <c r="BQ44" s="19" t="n">
        <v>3</v>
      </c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 t="n">
        <v>5</v>
      </c>
      <c r="CI44" s="19" t="n">
        <v>5</v>
      </c>
      <c r="CJ44" s="19" t="n">
        <v>2</v>
      </c>
      <c r="CK44" s="19" t="n">
        <v>9</v>
      </c>
      <c r="CL44" s="0" t="s">
        <v>219</v>
      </c>
      <c r="CM44" s="0" t="n">
        <v>33.5</v>
      </c>
      <c r="CN44" s="16" t="n">
        <v>91.5</v>
      </c>
      <c r="CO44" s="16" t="n">
        <v>80.4</v>
      </c>
      <c r="CP44" s="16" t="n">
        <v>20</v>
      </c>
      <c r="CQ44" s="0" t="n">
        <v>84.58</v>
      </c>
      <c r="CR44" s="17" t="n">
        <v>0</v>
      </c>
      <c r="CS44" s="0" t="n">
        <v>15.42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13.79</v>
      </c>
      <c r="DD44" s="0" t="n">
        <v>2.67</v>
      </c>
      <c r="DE44" s="0" t="n">
        <v>11.54</v>
      </c>
      <c r="DF44" s="0" t="n">
        <v>0</v>
      </c>
      <c r="DG44" s="0" t="n">
        <v>12.3</v>
      </c>
      <c r="DH44" s="0" t="n">
        <v>2</v>
      </c>
      <c r="DI44" s="0" t="n">
        <v>5</v>
      </c>
      <c r="DJ44" s="0" t="n">
        <v>2</v>
      </c>
      <c r="DO44" s="0" t="n">
        <v>5</v>
      </c>
      <c r="DP44" s="0" t="n">
        <v>2</v>
      </c>
      <c r="DU44" s="0" t="n">
        <v>0</v>
      </c>
      <c r="DV44" s="0" t="n">
        <v>1</v>
      </c>
      <c r="DW44" s="0" t="n">
        <v>34</v>
      </c>
      <c r="DX44" s="0" t="n">
        <v>2</v>
      </c>
      <c r="DY44" s="0" t="n">
        <v>0.1</v>
      </c>
      <c r="DZ44" s="0" t="n">
        <v>1</v>
      </c>
      <c r="EA44" s="0" t="n">
        <v>10</v>
      </c>
      <c r="EB44" s="0" t="n">
        <f aca="false">8*4</f>
        <v>32</v>
      </c>
      <c r="EC44" s="0" t="n">
        <f aca="false">0.06+0.01+0.4+1.7+0.24+0.14+0.96</f>
        <v>3.51</v>
      </c>
      <c r="ED44" s="0" t="n">
        <v>3</v>
      </c>
      <c r="EG44" s="18"/>
      <c r="EY44" s="0" t="n">
        <v>0</v>
      </c>
      <c r="GJ44" s="16" t="n">
        <v>0.25</v>
      </c>
      <c r="GK44" s="16" t="n">
        <v>1</v>
      </c>
      <c r="GL44" s="16" t="n">
        <v>2</v>
      </c>
      <c r="GM44" s="16"/>
      <c r="GN44" s="16" t="n">
        <v>0.55</v>
      </c>
      <c r="GO44" s="16"/>
      <c r="GP44" s="16"/>
      <c r="GQ44" s="16"/>
      <c r="GR44" s="16"/>
      <c r="GS44" s="16"/>
      <c r="GT44" s="16"/>
      <c r="GU44" s="16" t="n">
        <v>0.55</v>
      </c>
      <c r="GV44" s="16" t="n">
        <v>0.55</v>
      </c>
      <c r="GW44" s="16"/>
      <c r="GX44" s="16"/>
      <c r="GY44" s="16" t="n">
        <v>0</v>
      </c>
      <c r="GZ44" s="16" t="n">
        <v>0</v>
      </c>
      <c r="HA44" s="16" t="n">
        <v>0</v>
      </c>
      <c r="HB44" s="0" t="n">
        <v>0</v>
      </c>
      <c r="HC44" s="0" t="s">
        <v>220</v>
      </c>
      <c r="HD44" s="0" t="n">
        <v>27</v>
      </c>
      <c r="HE44" s="16" t="n">
        <v>54.4</v>
      </c>
      <c r="HF44" s="16" t="n">
        <v>80.4</v>
      </c>
      <c r="HG44" s="16" t="n">
        <v>18.1</v>
      </c>
      <c r="HH44" s="0" t="n">
        <v>81.88</v>
      </c>
      <c r="HI44" s="17" t="n">
        <v>0</v>
      </c>
      <c r="HJ44" s="0" t="n">
        <v>9.83</v>
      </c>
      <c r="HK44" s="0" t="n">
        <v>0</v>
      </c>
      <c r="HL44" s="0" t="n">
        <v>2.14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2.32</v>
      </c>
      <c r="HU44" s="0" t="n">
        <v>19.66</v>
      </c>
      <c r="HV44" s="0" t="n">
        <v>3.64</v>
      </c>
      <c r="HW44" s="0" t="n">
        <v>0</v>
      </c>
      <c r="HX44" s="0" t="n">
        <v>0</v>
      </c>
      <c r="HY44" s="0" t="n">
        <v>0</v>
      </c>
      <c r="IL44" s="0" t="n">
        <v>0</v>
      </c>
      <c r="IM44" s="0" t="n">
        <v>1</v>
      </c>
      <c r="IN44" s="0" t="n">
        <v>26</v>
      </c>
      <c r="IO44" s="0" t="n">
        <v>2</v>
      </c>
      <c r="IP44" s="0" t="n">
        <v>0.05</v>
      </c>
      <c r="IQ44" s="0" t="n">
        <v>2</v>
      </c>
      <c r="IX44" s="18"/>
      <c r="JP44" s="0" t="n">
        <v>0</v>
      </c>
      <c r="LA44" s="16" t="n">
        <v>2.1</v>
      </c>
      <c r="LB44" s="16" t="n">
        <v>1</v>
      </c>
      <c r="LC44" s="16" t="n">
        <v>1</v>
      </c>
      <c r="LD44" s="16"/>
      <c r="LE44" s="16" t="n">
        <f aca="false">0.1+0.76*2+2.02+1.35*2+0.67</f>
        <v>7.01</v>
      </c>
      <c r="LF44" s="16"/>
      <c r="LG44" s="16"/>
      <c r="LH44" s="16"/>
      <c r="LI44" s="16"/>
      <c r="LJ44" s="16"/>
      <c r="LK44" s="16"/>
      <c r="LL44" s="16" t="n">
        <v>6.35</v>
      </c>
      <c r="LM44" s="16" t="n">
        <v>14.8</v>
      </c>
      <c r="LN44" s="16"/>
      <c r="LO44" s="16"/>
      <c r="LP44" s="16" t="n">
        <v>0</v>
      </c>
      <c r="LQ44" s="16" t="n">
        <v>0</v>
      </c>
      <c r="LR44" s="16" t="n">
        <v>0</v>
      </c>
      <c r="LS44" s="0" t="n">
        <v>0</v>
      </c>
      <c r="LT44" s="0" t="s">
        <v>221</v>
      </c>
      <c r="LU44" s="0" t="n">
        <v>20.5</v>
      </c>
      <c r="LV44" s="16" t="n">
        <v>76.9</v>
      </c>
      <c r="LW44" s="16" t="n">
        <v>80.4</v>
      </c>
      <c r="LX44" s="16" t="n">
        <v>9.1</v>
      </c>
      <c r="LY44" s="0" t="n">
        <v>88.58</v>
      </c>
      <c r="LZ44" s="0" t="n">
        <v>10.3</v>
      </c>
      <c r="MA44" s="0" t="n">
        <v>1.12</v>
      </c>
      <c r="MB44" s="0" t="n">
        <v>0</v>
      </c>
      <c r="MC44" s="0" t="n">
        <v>0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6.33</v>
      </c>
      <c r="ML44" s="0" t="n">
        <v>16.97</v>
      </c>
      <c r="MM44" s="0" t="n">
        <v>0</v>
      </c>
      <c r="MN44" s="0" t="n">
        <v>0</v>
      </c>
      <c r="MO44" s="0" t="n">
        <v>4.1</v>
      </c>
      <c r="MP44" s="0" t="n">
        <v>2</v>
      </c>
      <c r="MQ44" s="0" t="n">
        <v>5</v>
      </c>
      <c r="MR44" s="0" t="n">
        <v>1</v>
      </c>
      <c r="MW44" s="0" t="n">
        <v>5</v>
      </c>
      <c r="MX44" s="0" t="n">
        <v>1</v>
      </c>
      <c r="NC44" s="0" t="n">
        <v>0</v>
      </c>
      <c r="ND44" s="0" t="n">
        <v>0</v>
      </c>
      <c r="NO44" s="18"/>
      <c r="OG44" s="0" t="n">
        <v>0</v>
      </c>
      <c r="PR44" s="16" t="n">
        <v>2.24</v>
      </c>
      <c r="PS44" s="16" t="n">
        <v>1</v>
      </c>
      <c r="PT44" s="16" t="n">
        <v>2</v>
      </c>
      <c r="PU44" s="16"/>
      <c r="PV44" s="16" t="n">
        <v>4.97</v>
      </c>
      <c r="PW44" s="16"/>
      <c r="PX44" s="16"/>
      <c r="PY44" s="16"/>
      <c r="PZ44" s="16"/>
      <c r="QA44" s="16"/>
      <c r="QB44" s="16"/>
      <c r="QC44" s="16" t="n">
        <v>5.1</v>
      </c>
      <c r="QD44" s="16" t="n">
        <v>5.97</v>
      </c>
      <c r="QE44" s="16"/>
      <c r="QF44" s="16"/>
      <c r="QG44" s="16" t="n">
        <v>0</v>
      </c>
      <c r="QH44" s="16" t="n">
        <v>0</v>
      </c>
      <c r="QI44" s="16" t="n">
        <v>0</v>
      </c>
      <c r="QJ44" s="0" t="n">
        <v>0</v>
      </c>
      <c r="QK44" s="0" t="s">
        <v>222</v>
      </c>
      <c r="QL44" s="0" t="n">
        <v>32.5</v>
      </c>
      <c r="QM44" s="16" t="n">
        <v>96.7</v>
      </c>
      <c r="QN44" s="16" t="n">
        <v>80.4</v>
      </c>
      <c r="QO44" s="16" t="n">
        <v>15.1</v>
      </c>
      <c r="QP44" s="0" t="n">
        <v>52.24</v>
      </c>
      <c r="QQ44" s="0" t="n">
        <v>45.43</v>
      </c>
      <c r="QR44" s="0" t="n">
        <v>1.12</v>
      </c>
      <c r="QS44" s="0" t="n">
        <v>0</v>
      </c>
      <c r="QT44" s="0" t="n">
        <v>1.2</v>
      </c>
      <c r="QU44" s="0" t="n">
        <v>0</v>
      </c>
      <c r="QV44" s="0" t="n">
        <v>0</v>
      </c>
      <c r="QW44" s="0" t="n">
        <v>0</v>
      </c>
      <c r="QX44" s="0" t="n">
        <v>0</v>
      </c>
      <c r="QY44" s="0" t="n">
        <v>0</v>
      </c>
      <c r="QZ44" s="0" t="n">
        <v>0</v>
      </c>
      <c r="RA44" s="0" t="n">
        <v>1.2</v>
      </c>
      <c r="RB44" s="0" t="n">
        <v>15.88</v>
      </c>
      <c r="RC44" s="0" t="n">
        <v>48.59</v>
      </c>
      <c r="RD44" s="0" t="n">
        <v>0</v>
      </c>
      <c r="RE44" s="0" t="n">
        <v>0</v>
      </c>
      <c r="RF44" s="0" t="n">
        <v>0</v>
      </c>
      <c r="RG44" s="0" t="n">
        <v>0</v>
      </c>
      <c r="RT44" s="0" t="n">
        <v>0</v>
      </c>
      <c r="RU44" s="0" t="n">
        <v>0</v>
      </c>
      <c r="SF44" s="18"/>
      <c r="SX44" s="0" t="n">
        <v>1</v>
      </c>
      <c r="SY44" s="0" t="n">
        <v>50</v>
      </c>
      <c r="SZ44" s="0" t="n">
        <v>2</v>
      </c>
      <c r="TA44" s="0" t="n">
        <f aca="false">3.18+12.73</f>
        <v>15.91</v>
      </c>
      <c r="TB44" s="0" t="n">
        <v>1</v>
      </c>
      <c r="UI44" s="16" t="n">
        <v>5.9</v>
      </c>
      <c r="UJ44" s="16" t="n">
        <v>1</v>
      </c>
      <c r="UK44" s="16" t="n">
        <v>2</v>
      </c>
      <c r="UL44" s="16"/>
      <c r="UM44" s="16" t="n">
        <f aca="false">0.09+0.18*3+0.13+0.53+1.07*2+1.34*2+0.17*2+3.18+12.73</f>
        <v>22.36</v>
      </c>
      <c r="UN44" s="16"/>
      <c r="UO44" s="16"/>
      <c r="UP44" s="16"/>
      <c r="UQ44" s="16"/>
      <c r="UR44" s="16"/>
      <c r="US44" s="16"/>
      <c r="UT44" s="16" t="n">
        <v>11.45</v>
      </c>
      <c r="UU44" s="16" t="n">
        <v>41.19</v>
      </c>
      <c r="UV44" s="16"/>
      <c r="UW44" s="16"/>
      <c r="UX44" s="16" t="n">
        <v>0</v>
      </c>
      <c r="UY44" s="16" t="n">
        <v>0</v>
      </c>
      <c r="UZ44" s="16" t="n">
        <v>0</v>
      </c>
      <c r="VA44" s="0" t="n">
        <v>0</v>
      </c>
      <c r="VB44" s="0" t="s">
        <v>223</v>
      </c>
      <c r="VC44" s="0" t="n">
        <v>30.5</v>
      </c>
      <c r="VD44" s="16" t="n">
        <v>68.8</v>
      </c>
      <c r="VE44" s="16" t="n">
        <v>80.4</v>
      </c>
      <c r="VF44" s="16" t="n">
        <v>16.3</v>
      </c>
      <c r="VG44" s="0" t="n">
        <v>66.28</v>
      </c>
      <c r="VH44" s="0" t="n">
        <v>20.09</v>
      </c>
      <c r="VI44" s="0" t="n">
        <v>1.81</v>
      </c>
      <c r="VJ44" s="0" t="n">
        <v>0</v>
      </c>
      <c r="VK44" s="0" t="n">
        <v>11.82</v>
      </c>
      <c r="VL44" s="0" t="n">
        <v>0</v>
      </c>
      <c r="VM44" s="0" t="n">
        <v>0</v>
      </c>
      <c r="VN44" s="0" t="n">
        <v>0</v>
      </c>
      <c r="VO44" s="0" t="n">
        <v>0</v>
      </c>
      <c r="VP44" s="0" t="n">
        <v>0</v>
      </c>
      <c r="VQ44" s="0" t="n">
        <v>0</v>
      </c>
      <c r="VR44" s="0" t="n">
        <v>0</v>
      </c>
      <c r="VS44" s="0" t="n">
        <v>13.17</v>
      </c>
      <c r="VT44" s="0" t="n">
        <v>35.75</v>
      </c>
      <c r="VU44" s="0" t="n">
        <v>0</v>
      </c>
      <c r="VV44" s="0" t="n">
        <v>0</v>
      </c>
      <c r="VW44" s="0" t="n">
        <v>0</v>
      </c>
      <c r="VX44" s="0" t="n">
        <v>0</v>
      </c>
      <c r="WK44" s="0" t="n">
        <v>0</v>
      </c>
      <c r="WL44" s="0" t="n">
        <v>1</v>
      </c>
      <c r="WM44" s="0" t="n">
        <v>52</v>
      </c>
      <c r="WN44" s="0" t="n">
        <v>1</v>
      </c>
      <c r="WO44" s="0" t="n">
        <v>0.01</v>
      </c>
      <c r="WP44" s="0" t="n">
        <v>2</v>
      </c>
      <c r="WW44" s="18"/>
      <c r="XO44" s="0" t="n">
        <v>0</v>
      </c>
      <c r="YZ44" s="16" t="n">
        <v>5.43</v>
      </c>
      <c r="ZA44" s="16" t="n">
        <v>1</v>
      </c>
      <c r="ZB44" s="16" t="n">
        <v>1</v>
      </c>
      <c r="ZC44" s="16"/>
      <c r="ZD44" s="16" t="n">
        <f aca="false">0.09*2+0.07+1.36</f>
        <v>1.61</v>
      </c>
      <c r="ZE44" s="16" t="n">
        <v>2</v>
      </c>
      <c r="ZF44" s="16"/>
      <c r="ZG44" s="16" t="n">
        <f aca="false">4.2+0.09+0.66+0.01+3.18+3.18</f>
        <v>11.32</v>
      </c>
      <c r="ZH44" s="16"/>
      <c r="ZI44" s="16"/>
      <c r="ZJ44" s="16"/>
      <c r="ZK44" s="16" t="n">
        <v>8.61</v>
      </c>
      <c r="ZL44" s="16" t="n">
        <v>26.91</v>
      </c>
      <c r="ZM44" s="16"/>
      <c r="ZN44" s="16"/>
      <c r="ZO44" s="16" t="n">
        <v>0</v>
      </c>
      <c r="ZP44" s="16" t="n">
        <v>0</v>
      </c>
      <c r="ZQ44" s="16" t="n">
        <v>0</v>
      </c>
      <c r="ZR44" s="0" t="n">
        <v>0</v>
      </c>
      <c r="ZS44" s="0" t="s">
        <v>224</v>
      </c>
      <c r="ZT44" s="0" t="n">
        <v>39.5</v>
      </c>
      <c r="ZU44" s="16" t="n">
        <v>60.8</v>
      </c>
      <c r="ZV44" s="16" t="n">
        <v>80.4</v>
      </c>
      <c r="ZW44" s="16" t="n">
        <v>22.9</v>
      </c>
      <c r="ZX44" s="0" t="n">
        <v>67.01</v>
      </c>
      <c r="ZY44" s="0" t="n">
        <v>11.71</v>
      </c>
      <c r="ZZ44" s="0" t="n">
        <v>16.61</v>
      </c>
      <c r="AAA44" s="0" t="n">
        <v>0</v>
      </c>
      <c r="AAB44" s="0" t="n">
        <v>4.67</v>
      </c>
      <c r="AAC44" s="0" t="n">
        <v>0</v>
      </c>
      <c r="AAD44" s="0" t="n">
        <v>0</v>
      </c>
      <c r="AAE44" s="0" t="n">
        <v>0</v>
      </c>
      <c r="AAF44" s="0" t="n">
        <v>0</v>
      </c>
      <c r="AAG44" s="0" t="n">
        <v>0</v>
      </c>
      <c r="AAH44" s="0" t="n">
        <v>0</v>
      </c>
      <c r="AAI44" s="0" t="n">
        <v>0</v>
      </c>
      <c r="AAJ44" s="0" t="n">
        <v>20.9</v>
      </c>
      <c r="AAK44" s="0" t="n">
        <v>25.23</v>
      </c>
      <c r="AAL44" s="0" t="n">
        <v>0.58</v>
      </c>
      <c r="AAM44" s="0" t="n">
        <v>0</v>
      </c>
      <c r="AAN44" s="0" t="n">
        <v>0</v>
      </c>
      <c r="AAO44" s="0" t="n">
        <v>0</v>
      </c>
      <c r="ABB44" s="0" t="n">
        <v>2</v>
      </c>
      <c r="ABC44" s="0" t="n">
        <v>1</v>
      </c>
      <c r="ABD44" s="0" t="n">
        <v>103</v>
      </c>
      <c r="ABE44" s="0" t="n">
        <v>2</v>
      </c>
      <c r="ABF44" s="0" t="n">
        <f aca="false">0.18+0.14</f>
        <v>0.32</v>
      </c>
      <c r="ABG44" s="0" t="n">
        <v>1</v>
      </c>
      <c r="ABH44" s="0" t="n">
        <v>68</v>
      </c>
      <c r="ABI44" s="0" t="n">
        <v>1</v>
      </c>
      <c r="ABJ44" s="0" t="n">
        <v>0.01</v>
      </c>
      <c r="ABK44" s="0" t="n">
        <v>1</v>
      </c>
      <c r="ABL44" s="0" t="n">
        <v>52</v>
      </c>
      <c r="ABM44" s="0" t="n">
        <v>3</v>
      </c>
      <c r="ABN44" s="18" t="n">
        <v>0.05</v>
      </c>
      <c r="ABO44" s="0" t="n">
        <v>2</v>
      </c>
      <c r="ACF44" s="0" t="n">
        <v>0</v>
      </c>
      <c r="ADQ44" s="16" t="n">
        <v>3.66</v>
      </c>
      <c r="ADR44" s="16" t="n">
        <v>1</v>
      </c>
      <c r="ADS44" s="16" t="n">
        <v>1</v>
      </c>
      <c r="ADT44" s="16"/>
      <c r="ADU44" s="16" t="n">
        <f aca="false">2.69*3+1.35*3+0.14*2+0.1</f>
        <v>12.5</v>
      </c>
      <c r="ADV44" s="16" t="n">
        <v>2</v>
      </c>
      <c r="ADW44" s="16"/>
      <c r="ADX44" s="16" t="n">
        <f aca="false">0.66+0.35+0.18+0.14+1.25+1.23</f>
        <v>3.81</v>
      </c>
      <c r="ADY44" s="16"/>
      <c r="ADZ44" s="16"/>
      <c r="AEA44" s="16"/>
      <c r="AEB44" s="16" t="n">
        <v>10.05</v>
      </c>
      <c r="AEC44" s="16" t="n">
        <v>27.11</v>
      </c>
      <c r="AED44" s="16"/>
      <c r="AEE44" s="16"/>
      <c r="AEF44" s="16" t="n">
        <v>0</v>
      </c>
      <c r="AEG44" s="16" t="n">
        <v>0</v>
      </c>
      <c r="AEH44" s="16" t="n">
        <v>0</v>
      </c>
      <c r="AEI44" s="0" t="n">
        <v>0</v>
      </c>
      <c r="AEJ44" s="0" t="s">
        <v>225</v>
      </c>
      <c r="AEK44" s="0" t="n">
        <v>47</v>
      </c>
      <c r="AEL44" s="16" t="n">
        <v>72.3</v>
      </c>
      <c r="AEM44" s="16" t="n">
        <v>80.4</v>
      </c>
      <c r="AEN44" s="16" t="n">
        <v>18</v>
      </c>
      <c r="AEO44" s="0" t="n">
        <v>70.55</v>
      </c>
      <c r="AEP44" s="0" t="n">
        <v>6.81</v>
      </c>
      <c r="AEQ44" s="0" t="n">
        <v>3.09</v>
      </c>
      <c r="AER44" s="0" t="n">
        <v>0</v>
      </c>
      <c r="AES44" s="0" t="n">
        <v>19.55</v>
      </c>
      <c r="AET44" s="0" t="n">
        <v>0</v>
      </c>
      <c r="AEU44" s="0" t="n">
        <v>0</v>
      </c>
      <c r="AEV44" s="0" t="n">
        <v>0</v>
      </c>
      <c r="AEW44" s="0" t="n">
        <v>0</v>
      </c>
      <c r="AEX44" s="0" t="n">
        <v>0</v>
      </c>
      <c r="AEY44" s="0" t="n">
        <v>0</v>
      </c>
      <c r="AEZ44" s="0" t="n">
        <v>0</v>
      </c>
      <c r="AFA44" s="0" t="n">
        <v>18.07</v>
      </c>
      <c r="AFB44" s="0" t="n">
        <v>30.57</v>
      </c>
      <c r="AFC44" s="0" t="n">
        <v>7.61</v>
      </c>
      <c r="AFD44" s="0" t="n">
        <v>0</v>
      </c>
      <c r="AFE44" s="0" t="n">
        <v>14</v>
      </c>
      <c r="AFF44" s="0" t="n">
        <v>2</v>
      </c>
      <c r="AFG44" s="0" t="n">
        <v>5</v>
      </c>
      <c r="AFH44" s="0" t="n">
        <v>4.47</v>
      </c>
      <c r="AFJ44" s="0" t="n">
        <v>7</v>
      </c>
      <c r="AFK44" s="0" t="n">
        <v>5.15</v>
      </c>
      <c r="AFM44" s="0" t="n">
        <v>5</v>
      </c>
      <c r="AFN44" s="0" t="n">
        <v>4.47</v>
      </c>
      <c r="AFP44" s="0" t="n">
        <v>7</v>
      </c>
      <c r="AFQ44" s="0" t="n">
        <v>5.15</v>
      </c>
      <c r="AFS44" s="0" t="n">
        <v>0</v>
      </c>
      <c r="AFT44" s="0" t="n">
        <v>0</v>
      </c>
      <c r="AGE44" s="18"/>
      <c r="AGW44" s="0" t="n">
        <v>0</v>
      </c>
      <c r="AIH44" s="16" t="n">
        <v>4.21</v>
      </c>
      <c r="AII44" s="16" t="n">
        <v>1</v>
      </c>
      <c r="AIJ44" s="16" t="n">
        <v>2</v>
      </c>
      <c r="AIK44" s="16"/>
      <c r="AIL44" s="16" t="n">
        <f aca="false">7.46+1.59+0.6</f>
        <v>9.65</v>
      </c>
      <c r="AIM44" s="16"/>
      <c r="AIN44" s="16"/>
      <c r="AIO44" s="16"/>
      <c r="AIP44" s="16"/>
      <c r="AIQ44" s="16"/>
      <c r="AIR44" s="16"/>
      <c r="AIS44" s="16" t="n">
        <v>10.63</v>
      </c>
      <c r="AIT44" s="16" t="n">
        <v>36.38</v>
      </c>
      <c r="AIU44" s="16"/>
      <c r="AIV44" s="16"/>
      <c r="AIW44" s="16" t="n">
        <v>0</v>
      </c>
      <c r="AIX44" s="16" t="n">
        <v>0</v>
      </c>
      <c r="AIY44" s="16" t="n">
        <v>0</v>
      </c>
      <c r="AIZ44" s="0" t="n">
        <v>0</v>
      </c>
      <c r="AJA44" s="0" t="s">
        <v>226</v>
      </c>
      <c r="AJB44" s="0" t="n">
        <v>19</v>
      </c>
      <c r="AJC44" s="16" t="n">
        <v>82.6</v>
      </c>
      <c r="AJD44" s="16" t="n">
        <v>80.4</v>
      </c>
      <c r="AJE44" s="16" t="n">
        <v>7.7</v>
      </c>
      <c r="AJF44" s="0" t="n">
        <v>86.83</v>
      </c>
      <c r="AJG44" s="0" t="n">
        <v>12.69</v>
      </c>
      <c r="AJH44" s="0" t="n">
        <v>0</v>
      </c>
      <c r="AJI44" s="0" t="n">
        <v>0</v>
      </c>
      <c r="AJJ44" s="0" t="n">
        <v>0.48</v>
      </c>
      <c r="AJK44" s="0" t="n">
        <v>0</v>
      </c>
      <c r="AJL44" s="0" t="n">
        <v>0</v>
      </c>
      <c r="AJM44" s="0" t="n">
        <v>0</v>
      </c>
      <c r="AJN44" s="0" t="n">
        <v>0</v>
      </c>
      <c r="AJO44" s="0" t="n">
        <v>0</v>
      </c>
      <c r="AJP44" s="0" t="n">
        <v>0</v>
      </c>
      <c r="AJQ44" s="0" t="n">
        <v>0</v>
      </c>
      <c r="AJR44" s="0" t="n">
        <v>7.16</v>
      </c>
      <c r="AJS44" s="0" t="n">
        <v>10.76</v>
      </c>
      <c r="AJT44" s="0" t="n">
        <v>0</v>
      </c>
      <c r="AJU44" s="0" t="n">
        <v>0</v>
      </c>
      <c r="AJV44" s="0" t="n">
        <v>3.4</v>
      </c>
      <c r="AJW44" s="0" t="n">
        <v>2</v>
      </c>
      <c r="AJX44" s="0" t="n">
        <v>11.9</v>
      </c>
      <c r="AJY44" s="0" t="n">
        <v>0.48</v>
      </c>
      <c r="AKD44" s="0" t="n">
        <v>11.9</v>
      </c>
      <c r="AKE44" s="0" t="n">
        <v>0.48</v>
      </c>
      <c r="AKJ44" s="0" t="n">
        <v>0</v>
      </c>
      <c r="AKK44" s="0" t="n">
        <v>1</v>
      </c>
      <c r="AKL44" s="0" t="n">
        <v>34</v>
      </c>
      <c r="AKM44" s="0" t="n">
        <v>2</v>
      </c>
      <c r="AKN44" s="0" t="n">
        <f aca="false">0.84*2</f>
        <v>1.68</v>
      </c>
      <c r="AKO44" s="0" t="n">
        <v>1</v>
      </c>
      <c r="AKV44" s="18"/>
      <c r="ALN44" s="0" t="n">
        <v>0</v>
      </c>
    </row>
    <row r="45" s="15" customFormat="true" ht="13.8" hidden="false" customHeight="false" outlineLevel="0" collapsed="false">
      <c r="A45" s="1" t="s">
        <v>382</v>
      </c>
      <c r="B45" s="12" t="n">
        <v>42900</v>
      </c>
      <c r="C45" s="0" t="n">
        <v>1</v>
      </c>
      <c r="D45" s="13" t="n">
        <v>35163</v>
      </c>
      <c r="E45" s="12" t="n">
        <v>27704</v>
      </c>
      <c r="F45" s="14" t="n">
        <f aca="false">(B45-E45)/365.25</f>
        <v>41.6043805612594</v>
      </c>
      <c r="G45" s="14" t="n">
        <f aca="false">(B45-D45)/365.25</f>
        <v>21.1827515400411</v>
      </c>
      <c r="H45" s="15" t="s">
        <v>183</v>
      </c>
      <c r="I45" s="15" t="s">
        <v>383</v>
      </c>
      <c r="J45" s="21" t="s">
        <v>181</v>
      </c>
      <c r="K45" s="21" t="n">
        <v>4</v>
      </c>
      <c r="L45" s="19"/>
      <c r="M45" s="0" t="n">
        <v>1.75</v>
      </c>
      <c r="N45" s="16" t="n">
        <f aca="false">L45/(M45*M45)</f>
        <v>0</v>
      </c>
      <c r="O45" s="19" t="n">
        <v>0</v>
      </c>
      <c r="P45" s="19" t="n">
        <v>0</v>
      </c>
      <c r="Q45" s="19" t="n">
        <v>0</v>
      </c>
      <c r="R45" s="19" t="n">
        <v>0</v>
      </c>
      <c r="S45" s="19" t="n">
        <v>0</v>
      </c>
      <c r="T45" s="19" t="n">
        <v>0</v>
      </c>
      <c r="U45" s="19" t="n">
        <v>0</v>
      </c>
      <c r="V45" s="19" t="n">
        <v>0</v>
      </c>
      <c r="W45" s="19" t="n">
        <v>1</v>
      </c>
      <c r="X45" s="19" t="n">
        <v>0</v>
      </c>
      <c r="Y45" s="19" t="n">
        <v>1</v>
      </c>
      <c r="Z45" s="19" t="n">
        <v>1</v>
      </c>
      <c r="AA45" s="19" t="n">
        <v>60</v>
      </c>
      <c r="AB45" s="19" t="s">
        <v>215</v>
      </c>
      <c r="AC45" s="19" t="n">
        <v>0</v>
      </c>
      <c r="AD45" s="19" t="n">
        <v>0</v>
      </c>
      <c r="AE45" s="19" t="n">
        <v>1</v>
      </c>
      <c r="AF45" s="19" t="n">
        <v>1</v>
      </c>
      <c r="AG45" s="19" t="n">
        <v>1</v>
      </c>
      <c r="AH45" s="19" t="n">
        <v>6</v>
      </c>
      <c r="AI45" s="19" t="n">
        <v>3</v>
      </c>
      <c r="AJ45" s="19" t="n">
        <v>3</v>
      </c>
      <c r="AK45" s="19" t="n">
        <v>3</v>
      </c>
      <c r="AL45" s="19" t="n">
        <v>8</v>
      </c>
      <c r="AM45" s="19" t="n">
        <v>9</v>
      </c>
      <c r="AN45" s="19" t="n">
        <v>3</v>
      </c>
      <c r="AO45" s="19" t="n">
        <v>3</v>
      </c>
      <c r="AP45" s="19" t="n">
        <v>3</v>
      </c>
      <c r="AQ45" s="19" t="n">
        <v>6</v>
      </c>
      <c r="AR45" s="19" t="n">
        <v>9</v>
      </c>
      <c r="AS45" s="19" t="n">
        <v>3</v>
      </c>
      <c r="AT45" s="19" t="n">
        <v>3</v>
      </c>
      <c r="AU45" s="19" t="n">
        <v>3</v>
      </c>
      <c r="AV45" s="19" t="n">
        <v>5</v>
      </c>
      <c r="AW45" s="19" t="n">
        <v>7</v>
      </c>
      <c r="AX45" s="19" t="n">
        <v>0</v>
      </c>
      <c r="AY45" s="19" t="n">
        <v>0</v>
      </c>
      <c r="AZ45" s="19" t="n">
        <v>0</v>
      </c>
      <c r="BA45" s="19" t="n">
        <v>0</v>
      </c>
      <c r="BB45" s="19" t="n">
        <v>1</v>
      </c>
      <c r="BC45" s="19" t="n">
        <v>0</v>
      </c>
      <c r="BD45" s="19" t="n">
        <v>0</v>
      </c>
      <c r="BE45" s="19" t="n">
        <v>0</v>
      </c>
      <c r="BF45" s="19" t="n">
        <v>1</v>
      </c>
      <c r="BG45" s="19" t="n">
        <v>0</v>
      </c>
      <c r="BH45" s="19" t="n">
        <v>0</v>
      </c>
      <c r="BI45" s="19" t="n">
        <v>0</v>
      </c>
      <c r="BJ45" s="19" t="n">
        <v>1</v>
      </c>
      <c r="BK45" s="19" t="n">
        <v>0</v>
      </c>
      <c r="BL45" s="19" t="n">
        <v>0</v>
      </c>
      <c r="BM45" s="19" t="n">
        <v>0</v>
      </c>
      <c r="BN45" s="19" t="n">
        <v>1</v>
      </c>
      <c r="BO45" s="19" t="n">
        <v>0</v>
      </c>
      <c r="BP45" s="19" t="n">
        <v>1</v>
      </c>
      <c r="BQ45" s="19" t="n">
        <v>4</v>
      </c>
      <c r="BR45" s="19" t="n">
        <v>3</v>
      </c>
      <c r="BS45" s="19" t="n">
        <v>2</v>
      </c>
      <c r="BT45" s="19" t="n">
        <v>5</v>
      </c>
      <c r="BU45" s="19" t="n">
        <v>5</v>
      </c>
      <c r="BV45" s="19" t="n">
        <v>2</v>
      </c>
      <c r="BW45" s="19" t="n">
        <v>3</v>
      </c>
      <c r="BX45" s="19" t="n">
        <v>4</v>
      </c>
      <c r="BY45" s="19" t="n">
        <v>3</v>
      </c>
      <c r="BZ45" s="19" t="n">
        <v>1</v>
      </c>
      <c r="CA45" s="19" t="n">
        <v>2</v>
      </c>
      <c r="CB45" s="19" t="n">
        <v>3</v>
      </c>
      <c r="CC45" s="19" t="n">
        <v>5</v>
      </c>
      <c r="CD45" s="19" t="n">
        <v>3</v>
      </c>
      <c r="CE45" s="19" t="n">
        <v>4</v>
      </c>
      <c r="CF45" s="19" t="n">
        <v>5</v>
      </c>
      <c r="CG45" s="19" t="n">
        <v>5</v>
      </c>
      <c r="CH45" s="19" t="n">
        <v>2</v>
      </c>
      <c r="CI45" s="19" t="n">
        <v>4</v>
      </c>
      <c r="CJ45" s="19" t="n">
        <v>1</v>
      </c>
      <c r="CK45" s="19" t="n">
        <v>5</v>
      </c>
      <c r="CL45" s="30" t="s">
        <v>384</v>
      </c>
      <c r="CM45" s="15" t="n">
        <v>28.5</v>
      </c>
      <c r="CN45" s="17" t="n">
        <v>69.3</v>
      </c>
      <c r="CO45" s="17" t="n">
        <v>114</v>
      </c>
      <c r="CP45" s="17" t="n">
        <v>19.5</v>
      </c>
      <c r="CQ45" s="17" t="n">
        <v>79.15</v>
      </c>
      <c r="CR45" s="17" t="n">
        <v>0</v>
      </c>
      <c r="CS45" s="17" t="n">
        <v>3.87</v>
      </c>
      <c r="CT45" s="17" t="n">
        <v>2.86</v>
      </c>
      <c r="CU45" s="17" t="n">
        <v>14.12</v>
      </c>
      <c r="CV45" s="17" t="n">
        <v>0</v>
      </c>
      <c r="CW45" s="17" t="n">
        <v>0</v>
      </c>
      <c r="CX45" s="17" t="n">
        <v>0</v>
      </c>
      <c r="CY45" s="17" t="n">
        <v>0</v>
      </c>
      <c r="CZ45" s="17" t="n">
        <v>0</v>
      </c>
      <c r="DA45" s="17" t="n">
        <v>0</v>
      </c>
      <c r="DB45" s="17" t="n">
        <v>0.82</v>
      </c>
      <c r="DC45" s="17" t="n">
        <v>11.71</v>
      </c>
      <c r="DD45" s="17" t="n">
        <v>15.43</v>
      </c>
      <c r="DE45" s="17" t="n">
        <v>4.91</v>
      </c>
      <c r="DF45" s="17" t="n">
        <v>0</v>
      </c>
      <c r="DG45" s="17" t="n">
        <v>0</v>
      </c>
      <c r="DH45" s="17" t="n">
        <v>0</v>
      </c>
      <c r="DI45" s="17" t="n">
        <v>0</v>
      </c>
      <c r="DJ45" s="17" t="n">
        <v>0</v>
      </c>
      <c r="DK45" s="17" t="n">
        <v>0</v>
      </c>
      <c r="DL45" s="17" t="n">
        <v>0</v>
      </c>
      <c r="DM45" s="17" t="n">
        <v>0</v>
      </c>
      <c r="DN45" s="17" t="n">
        <v>0</v>
      </c>
      <c r="DO45" s="17" t="n">
        <v>0</v>
      </c>
      <c r="DP45" s="17" t="n">
        <v>0</v>
      </c>
      <c r="DQ45" s="17" t="n">
        <v>0</v>
      </c>
      <c r="DR45" s="17" t="n">
        <v>0</v>
      </c>
      <c r="DS45" s="17" t="n">
        <v>0</v>
      </c>
      <c r="DT45" s="17" t="n">
        <v>0</v>
      </c>
      <c r="DU45" s="17" t="n">
        <v>0</v>
      </c>
      <c r="DV45" s="17" t="n">
        <v>0</v>
      </c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31"/>
      <c r="EH45" s="17"/>
      <c r="EK45" s="31"/>
      <c r="EO45" s="31"/>
      <c r="ES45" s="31"/>
      <c r="EW45" s="31"/>
      <c r="EY45" s="15" t="n">
        <v>0</v>
      </c>
      <c r="GJ45" s="15" t="n">
        <v>0</v>
      </c>
      <c r="GK45" s="15" t="n">
        <v>0</v>
      </c>
      <c r="GU45" s="15" t="n">
        <v>8.7</v>
      </c>
      <c r="GV45" s="15" t="n">
        <f aca="false">3.27*4+1.23+0.08+0.52*2</f>
        <v>15.43</v>
      </c>
      <c r="GW45" s="15" t="n">
        <v>0</v>
      </c>
      <c r="GX45" s="15" t="n">
        <v>0</v>
      </c>
      <c r="GY45" s="15" t="n">
        <v>0</v>
      </c>
      <c r="GZ45" s="15" t="n">
        <v>0</v>
      </c>
      <c r="HA45" s="15" t="n">
        <v>0</v>
      </c>
      <c r="HB45" s="15" t="n">
        <v>0</v>
      </c>
      <c r="HC45" s="15" t="s">
        <v>385</v>
      </c>
      <c r="HD45" s="15" t="n">
        <v>38.5</v>
      </c>
      <c r="HE45" s="17" t="n">
        <v>55</v>
      </c>
      <c r="HF45" s="17" t="n">
        <v>114</v>
      </c>
      <c r="HG45" s="17" t="n">
        <v>7.8</v>
      </c>
      <c r="HH45" s="17" t="n">
        <v>95.15</v>
      </c>
      <c r="HI45" s="17" t="n">
        <v>0</v>
      </c>
      <c r="HJ45" s="17" t="n">
        <v>3.78</v>
      </c>
      <c r="HK45" s="17" t="n">
        <v>0</v>
      </c>
      <c r="HL45" s="17" t="n">
        <v>1.07</v>
      </c>
      <c r="HM45" s="17" t="n">
        <v>0</v>
      </c>
      <c r="HN45" s="17" t="n">
        <v>0</v>
      </c>
      <c r="HO45" s="17" t="n">
        <v>0</v>
      </c>
      <c r="HP45" s="17" t="n">
        <v>0</v>
      </c>
      <c r="HQ45" s="17" t="n">
        <v>0</v>
      </c>
      <c r="HR45" s="17" t="n">
        <v>0</v>
      </c>
      <c r="HS45" s="17" t="n">
        <v>0</v>
      </c>
      <c r="HT45" s="17" t="n">
        <v>15.05</v>
      </c>
      <c r="HU45" s="17" t="n">
        <v>4.58</v>
      </c>
      <c r="HV45" s="17" t="n">
        <v>0.1</v>
      </c>
      <c r="HW45" s="17" t="n">
        <v>0</v>
      </c>
      <c r="HX45" s="17" t="n">
        <v>0</v>
      </c>
      <c r="HY45" s="17" t="n">
        <v>0</v>
      </c>
      <c r="IL45" s="15" t="n">
        <v>22.8</v>
      </c>
      <c r="IM45" s="15" t="n">
        <v>1</v>
      </c>
      <c r="IN45" s="15" t="n">
        <v>38</v>
      </c>
      <c r="IO45" s="15" t="n">
        <v>5</v>
      </c>
      <c r="IP45" s="15" t="n">
        <f aca="false">2.45+1.09</f>
        <v>3.54</v>
      </c>
      <c r="IQ45" s="15" t="n">
        <v>5</v>
      </c>
      <c r="IX45" s="31"/>
      <c r="JB45" s="31"/>
      <c r="JF45" s="31"/>
      <c r="JJ45" s="31"/>
      <c r="JN45" s="31"/>
      <c r="JP45" s="15" t="n">
        <v>0</v>
      </c>
      <c r="LA45" s="15" t="n">
        <v>0</v>
      </c>
      <c r="LB45" s="15" t="n">
        <v>0</v>
      </c>
      <c r="LL45" s="15" t="n">
        <v>7.84</v>
      </c>
      <c r="LM45" s="15" t="n">
        <f aca="false">2.45+1.09</f>
        <v>3.54</v>
      </c>
      <c r="LN45" s="15" t="n">
        <v>0</v>
      </c>
      <c r="LO45" s="15" t="n">
        <v>0</v>
      </c>
      <c r="LP45" s="15" t="n">
        <v>0</v>
      </c>
      <c r="LQ45" s="15" t="n">
        <v>0</v>
      </c>
      <c r="LR45" s="15" t="n">
        <v>0</v>
      </c>
      <c r="LS45" s="15" t="n">
        <v>0</v>
      </c>
      <c r="LT45" s="15" t="s">
        <v>386</v>
      </c>
      <c r="LU45" s="15" t="n">
        <v>38</v>
      </c>
      <c r="LV45" s="17" t="n">
        <v>48.8</v>
      </c>
      <c r="LW45" s="17" t="n">
        <v>114</v>
      </c>
      <c r="LX45" s="17" t="n">
        <v>7.2</v>
      </c>
      <c r="LY45" s="17" t="n">
        <v>96.13</v>
      </c>
      <c r="LZ45" s="17" t="n">
        <v>0</v>
      </c>
      <c r="MA45" s="17" t="n">
        <v>3.78</v>
      </c>
      <c r="MB45" s="17" t="n">
        <v>0</v>
      </c>
      <c r="MC45" s="17" t="n">
        <v>0.1</v>
      </c>
      <c r="MD45" s="17" t="n">
        <v>0</v>
      </c>
      <c r="ME45" s="17" t="n">
        <v>0</v>
      </c>
      <c r="MF45" s="17" t="n">
        <v>0</v>
      </c>
      <c r="MG45" s="17" t="n">
        <v>0</v>
      </c>
      <c r="MH45" s="17" t="n">
        <v>0</v>
      </c>
      <c r="MI45" s="17" t="n">
        <v>0</v>
      </c>
      <c r="MJ45" s="17" t="n">
        <v>0</v>
      </c>
      <c r="MK45" s="17" t="n">
        <v>12.85</v>
      </c>
      <c r="ML45" s="17" t="n">
        <v>4.58</v>
      </c>
      <c r="MM45" s="17" t="n">
        <v>0.1</v>
      </c>
      <c r="MN45" s="17" t="n">
        <v>0</v>
      </c>
      <c r="MO45" s="17" t="n">
        <v>0</v>
      </c>
      <c r="MP45" s="17" t="n">
        <v>0</v>
      </c>
      <c r="NC45" s="15" t="n">
        <v>22.8</v>
      </c>
      <c r="ND45" s="15" t="n">
        <v>1</v>
      </c>
      <c r="NE45" s="15" t="n">
        <v>38</v>
      </c>
      <c r="NF45" s="15" t="n">
        <v>5</v>
      </c>
      <c r="NG45" s="15" t="n">
        <f aca="false">2.45+1.09</f>
        <v>3.54</v>
      </c>
      <c r="NH45" s="15" t="n">
        <v>5</v>
      </c>
      <c r="NI45" s="15" t="n">
        <v>20</v>
      </c>
      <c r="NJ45" s="15" t="n">
        <v>4</v>
      </c>
      <c r="NK45" s="15" t="n">
        <v>0.29</v>
      </c>
      <c r="NL45" s="15" t="n">
        <v>2</v>
      </c>
      <c r="NO45" s="31"/>
      <c r="NS45" s="31"/>
      <c r="NW45" s="31"/>
      <c r="OA45" s="31"/>
      <c r="OE45" s="31"/>
      <c r="OG45" s="15" t="n">
        <v>0</v>
      </c>
      <c r="PR45" s="15" t="n">
        <v>0</v>
      </c>
      <c r="PS45" s="15" t="n">
        <v>0</v>
      </c>
      <c r="QC45" s="15" t="n">
        <v>7.84</v>
      </c>
      <c r="QD45" s="15" t="n">
        <f aca="false">2.45+1.09</f>
        <v>3.54</v>
      </c>
      <c r="QE45" s="15" t="n">
        <v>0</v>
      </c>
      <c r="QF45" s="15" t="n">
        <v>0</v>
      </c>
      <c r="QG45" s="15" t="n">
        <v>0</v>
      </c>
      <c r="QH45" s="15" t="n">
        <v>0</v>
      </c>
      <c r="QI45" s="15" t="n">
        <v>0</v>
      </c>
      <c r="QJ45" s="15" t="n">
        <v>0</v>
      </c>
      <c r="QK45" s="15" t="s">
        <v>387</v>
      </c>
      <c r="QL45" s="15" t="n">
        <v>64</v>
      </c>
      <c r="QM45" s="17" t="n">
        <v>70.6</v>
      </c>
      <c r="QN45" s="17" t="n">
        <v>114</v>
      </c>
      <c r="QO45" s="17" t="n">
        <v>14.9</v>
      </c>
      <c r="QP45" s="17" t="n">
        <v>88.29</v>
      </c>
      <c r="QQ45" s="17" t="n">
        <v>0</v>
      </c>
      <c r="QR45" s="17" t="n">
        <v>9.81</v>
      </c>
      <c r="QS45" s="17" t="n">
        <v>1.64</v>
      </c>
      <c r="QT45" s="17" t="n">
        <v>0.26</v>
      </c>
      <c r="QU45" s="17" t="n">
        <v>0</v>
      </c>
      <c r="QV45" s="17" t="n">
        <v>0</v>
      </c>
      <c r="QW45" s="17" t="n">
        <v>0</v>
      </c>
      <c r="QX45" s="17" t="n">
        <v>0</v>
      </c>
      <c r="QY45" s="17" t="n">
        <v>0</v>
      </c>
      <c r="QZ45" s="17" t="n">
        <v>0</v>
      </c>
      <c r="RA45" s="17" t="n">
        <v>0.55</v>
      </c>
      <c r="RB45" s="17" t="n">
        <v>22.64</v>
      </c>
      <c r="RC45" s="17" t="n">
        <v>2.58</v>
      </c>
      <c r="RD45" s="17" t="n">
        <v>0.13</v>
      </c>
      <c r="RE45" s="17" t="n">
        <v>0</v>
      </c>
      <c r="RF45" s="17" t="n">
        <v>0</v>
      </c>
      <c r="RG45" s="17" t="n">
        <v>0</v>
      </c>
      <c r="RT45" s="15" t="n">
        <v>40.4</v>
      </c>
      <c r="RU45" s="15" t="n">
        <v>1</v>
      </c>
      <c r="RV45" s="15" t="n">
        <v>38</v>
      </c>
      <c r="RW45" s="15" t="n">
        <v>9</v>
      </c>
      <c r="RX45" s="15" t="n">
        <v>5.52</v>
      </c>
      <c r="RY45" s="15" t="n">
        <v>5</v>
      </c>
      <c r="RZ45" s="15" t="n">
        <v>23</v>
      </c>
      <c r="SA45" s="15" t="n">
        <v>1</v>
      </c>
      <c r="SB45" s="15" t="n">
        <v>0.09</v>
      </c>
      <c r="SC45" s="15" t="n">
        <v>3</v>
      </c>
      <c r="SF45" s="31"/>
      <c r="SJ45" s="31"/>
      <c r="SN45" s="31"/>
      <c r="SR45" s="31"/>
      <c r="SV45" s="31"/>
      <c r="SX45" s="15" t="n">
        <v>0</v>
      </c>
      <c r="UI45" s="15" t="n">
        <v>0</v>
      </c>
      <c r="UJ45" s="15" t="n">
        <v>0</v>
      </c>
      <c r="UT45" s="15" t="n">
        <v>8.33</v>
      </c>
      <c r="UU45" s="15" t="n">
        <v>5.52</v>
      </c>
      <c r="UV45" s="15" t="n">
        <v>0</v>
      </c>
      <c r="UW45" s="15" t="n">
        <v>0</v>
      </c>
      <c r="UX45" s="15" t="n">
        <v>0</v>
      </c>
      <c r="UY45" s="15" t="n">
        <v>0</v>
      </c>
      <c r="UZ45" s="15" t="n">
        <v>0</v>
      </c>
      <c r="VA45" s="15" t="n">
        <v>0</v>
      </c>
      <c r="VB45" s="15" t="s">
        <v>388</v>
      </c>
      <c r="VC45" s="15" t="n">
        <v>64</v>
      </c>
      <c r="VD45" s="17" t="n">
        <v>79.5</v>
      </c>
      <c r="VE45" s="17" t="n">
        <v>114</v>
      </c>
      <c r="VF45" s="17" t="n">
        <v>15</v>
      </c>
      <c r="VG45" s="17" t="n">
        <v>88.29</v>
      </c>
      <c r="VH45" s="17" t="n">
        <v>0</v>
      </c>
      <c r="VI45" s="17" t="n">
        <v>9.81</v>
      </c>
      <c r="VJ45" s="17" t="n">
        <v>1.64</v>
      </c>
      <c r="VK45" s="17" t="n">
        <v>0.26</v>
      </c>
      <c r="VL45" s="17" t="n">
        <v>0</v>
      </c>
      <c r="VM45" s="17" t="n">
        <v>0</v>
      </c>
      <c r="VN45" s="17" t="n">
        <v>0</v>
      </c>
      <c r="VO45" s="17" t="n">
        <v>0</v>
      </c>
      <c r="VP45" s="17" t="n">
        <v>0</v>
      </c>
      <c r="VQ45" s="17" t="n">
        <v>0</v>
      </c>
      <c r="VR45" s="17" t="n">
        <v>0.55</v>
      </c>
      <c r="VS45" s="17" t="n">
        <v>24</v>
      </c>
      <c r="VT45" s="17" t="n">
        <v>4.31</v>
      </c>
      <c r="VU45" s="17" t="n">
        <v>0.82</v>
      </c>
      <c r="VV45" s="17" t="n">
        <v>0</v>
      </c>
      <c r="VW45" s="17" t="n">
        <v>0</v>
      </c>
      <c r="VX45" s="17" t="n">
        <v>0</v>
      </c>
      <c r="VY45" s="17"/>
      <c r="WK45" s="15" t="n">
        <v>40.4</v>
      </c>
      <c r="WL45" s="15" t="n">
        <v>1</v>
      </c>
      <c r="WM45" s="15" t="n">
        <v>38</v>
      </c>
      <c r="WN45" s="15" t="n">
        <v>9</v>
      </c>
      <c r="WO45" s="15" t="n">
        <v>5.52</v>
      </c>
      <c r="WP45" s="15" t="n">
        <v>5</v>
      </c>
      <c r="WQ45" s="15" t="n">
        <v>23</v>
      </c>
      <c r="WR45" s="15" t="n">
        <v>1</v>
      </c>
      <c r="WS45" s="15" t="n">
        <v>0.09</v>
      </c>
      <c r="WT45" s="15" t="n">
        <v>3</v>
      </c>
      <c r="WW45" s="31"/>
      <c r="XA45" s="31"/>
      <c r="XE45" s="31"/>
      <c r="XI45" s="31"/>
      <c r="XM45" s="31"/>
      <c r="XO45" s="15" t="n">
        <v>0</v>
      </c>
      <c r="YZ45" s="15" t="n">
        <v>0</v>
      </c>
      <c r="ZA45" s="15" t="n">
        <v>0</v>
      </c>
      <c r="ZK45" s="15" t="n">
        <v>8.33</v>
      </c>
      <c r="ZL45" s="15" t="n">
        <v>5.52</v>
      </c>
      <c r="ZM45" s="15" t="n">
        <v>0</v>
      </c>
      <c r="ZN45" s="15" t="n">
        <v>0</v>
      </c>
      <c r="ZO45" s="15" t="n">
        <v>0</v>
      </c>
      <c r="ZP45" s="15" t="n">
        <v>0</v>
      </c>
      <c r="ZQ45" s="15" t="n">
        <v>0</v>
      </c>
      <c r="ZR45" s="15" t="n">
        <v>0</v>
      </c>
      <c r="ZS45" s="15" t="s">
        <v>196</v>
      </c>
      <c r="ZT45" s="15" t="n">
        <v>24.5</v>
      </c>
      <c r="ZU45" s="17" t="n">
        <v>58.4</v>
      </c>
      <c r="ZV45" s="17" t="n">
        <v>114</v>
      </c>
      <c r="ZW45" s="17" t="n">
        <v>12</v>
      </c>
      <c r="ZX45" s="17" t="n">
        <v>92.09</v>
      </c>
      <c r="ZY45" s="17" t="n">
        <v>0</v>
      </c>
      <c r="ZZ45" s="17" t="n">
        <v>0</v>
      </c>
      <c r="AAA45" s="17" t="n">
        <v>5.57</v>
      </c>
      <c r="AAB45" s="17" t="n">
        <v>2.35</v>
      </c>
      <c r="AAC45" s="17" t="n">
        <v>0</v>
      </c>
      <c r="AAD45" s="17" t="n">
        <v>0</v>
      </c>
      <c r="AAE45" s="17" t="n">
        <v>0</v>
      </c>
      <c r="AAF45" s="17" t="n">
        <v>0</v>
      </c>
      <c r="AAG45" s="17" t="n">
        <v>0</v>
      </c>
      <c r="AAH45" s="17" t="n">
        <v>0</v>
      </c>
      <c r="AAI45" s="17" t="n">
        <v>8.58</v>
      </c>
      <c r="AAJ45" s="17" t="n">
        <v>3.1</v>
      </c>
      <c r="AAK45" s="17" t="n">
        <v>0.55</v>
      </c>
      <c r="AAL45" s="17" t="n">
        <v>0.71</v>
      </c>
      <c r="AAM45" s="17" t="n">
        <v>0</v>
      </c>
      <c r="AAN45" s="17" t="n">
        <v>0</v>
      </c>
      <c r="AAO45" s="17" t="n">
        <v>0</v>
      </c>
      <c r="ABB45" s="15" t="n">
        <v>7.2</v>
      </c>
      <c r="ABC45" s="15" t="n">
        <v>1</v>
      </c>
      <c r="ABD45" s="17" t="n">
        <v>30</v>
      </c>
      <c r="ABE45" s="17" t="n">
        <v>2</v>
      </c>
      <c r="ABF45" s="17" t="n">
        <v>1.09</v>
      </c>
      <c r="ABG45" s="17" t="n">
        <v>4</v>
      </c>
      <c r="ABH45" s="17" t="n">
        <v>30</v>
      </c>
      <c r="ABI45" s="17" t="n">
        <v>2</v>
      </c>
      <c r="ABJ45" s="17" t="n">
        <v>0.27</v>
      </c>
      <c r="ABK45" s="17" t="n">
        <v>2</v>
      </c>
      <c r="ABL45" s="17" t="n">
        <v>34</v>
      </c>
      <c r="ABM45" s="17" t="n">
        <v>1</v>
      </c>
      <c r="ABN45" s="31" t="n">
        <v>1.09</v>
      </c>
      <c r="ABO45" s="17" t="n">
        <v>1</v>
      </c>
      <c r="ABR45" s="31"/>
      <c r="ABV45" s="31"/>
      <c r="ABZ45" s="31"/>
      <c r="ACD45" s="31"/>
      <c r="ACF45" s="15" t="n">
        <v>0</v>
      </c>
      <c r="ADQ45" s="15" t="n">
        <v>0</v>
      </c>
      <c r="ADR45" s="15" t="n">
        <v>0</v>
      </c>
      <c r="AEB45" s="15" t="n">
        <v>5.3</v>
      </c>
      <c r="AEC45" s="15" t="n">
        <f aca="false">0.27+8.58+0.32</f>
        <v>9.17</v>
      </c>
      <c r="AED45" s="15" t="n">
        <v>0</v>
      </c>
      <c r="AEE45" s="15" t="n">
        <v>0</v>
      </c>
      <c r="AEF45" s="15" t="n">
        <v>0</v>
      </c>
      <c r="AEG45" s="15" t="n">
        <v>8.58</v>
      </c>
      <c r="AEH45" s="15" t="n">
        <v>0</v>
      </c>
      <c r="AEI45" s="15" t="n">
        <v>0</v>
      </c>
      <c r="AEJ45" s="15" t="s">
        <v>195</v>
      </c>
      <c r="AEK45" s="15" t="n">
        <v>22</v>
      </c>
      <c r="AEL45" s="17" t="n">
        <v>44.2</v>
      </c>
      <c r="AEM45" s="17" t="n">
        <v>114</v>
      </c>
      <c r="AEN45" s="17" t="n">
        <v>10.9</v>
      </c>
      <c r="AEO45" s="17" t="n">
        <v>92.8</v>
      </c>
      <c r="AEP45" s="17" t="n">
        <v>0</v>
      </c>
      <c r="AEQ45" s="17" t="n">
        <v>0</v>
      </c>
      <c r="AER45" s="17" t="n">
        <v>5.57</v>
      </c>
      <c r="AES45" s="17" t="n">
        <v>1.64</v>
      </c>
      <c r="AET45" s="17" t="n">
        <v>0</v>
      </c>
      <c r="AEU45" s="17" t="n">
        <v>0</v>
      </c>
      <c r="AEV45" s="17" t="n">
        <v>0</v>
      </c>
      <c r="AEW45" s="17" t="n">
        <v>0</v>
      </c>
      <c r="AEX45" s="17" t="n">
        <v>0</v>
      </c>
      <c r="AEY45" s="17" t="n">
        <v>0</v>
      </c>
      <c r="AEZ45" s="17" t="n">
        <v>8.58</v>
      </c>
      <c r="AFA45" s="17" t="n">
        <v>1.57</v>
      </c>
      <c r="AFB45" s="17" t="n">
        <v>0.55</v>
      </c>
      <c r="AFC45" s="17" t="n">
        <v>0</v>
      </c>
      <c r="AFD45" s="17" t="n">
        <v>0</v>
      </c>
      <c r="AFE45" s="17" t="n">
        <v>0</v>
      </c>
      <c r="AFF45" s="17" t="n">
        <v>0</v>
      </c>
      <c r="AFS45" s="15" t="n">
        <v>7.15</v>
      </c>
      <c r="AFT45" s="15" t="n">
        <v>1</v>
      </c>
      <c r="AFU45" s="17" t="n">
        <v>30</v>
      </c>
      <c r="AFV45" s="17" t="n">
        <v>2</v>
      </c>
      <c r="AFW45" s="17" t="n">
        <v>1.09</v>
      </c>
      <c r="AFX45" s="17" t="n">
        <v>4</v>
      </c>
      <c r="AFY45" s="17" t="n">
        <v>30</v>
      </c>
      <c r="AFZ45" s="17" t="n">
        <v>2</v>
      </c>
      <c r="AGA45" s="17" t="n">
        <v>0.27</v>
      </c>
      <c r="AGB45" s="17" t="n">
        <v>2</v>
      </c>
      <c r="AGC45" s="17" t="n">
        <v>34</v>
      </c>
      <c r="AGD45" s="17" t="n">
        <v>1</v>
      </c>
      <c r="AGE45" s="31" t="n">
        <v>1.09</v>
      </c>
      <c r="AGF45" s="17" t="n">
        <v>1</v>
      </c>
      <c r="AGI45" s="31"/>
      <c r="AGM45" s="31"/>
      <c r="AGQ45" s="31"/>
      <c r="AGU45" s="31"/>
      <c r="AIH45" s="15" t="n">
        <v>0</v>
      </c>
      <c r="AII45" s="15" t="n">
        <v>0</v>
      </c>
      <c r="AIS45" s="15" t="n">
        <v>2.59</v>
      </c>
      <c r="AIT45" s="15" t="n">
        <f aca="false">0.27+0.32</f>
        <v>0.59</v>
      </c>
      <c r="AIU45" s="15" t="n">
        <v>0</v>
      </c>
      <c r="AIV45" s="15" t="n">
        <v>0</v>
      </c>
      <c r="AIW45" s="15" t="n">
        <v>0</v>
      </c>
      <c r="AIX45" s="15" t="n">
        <v>0</v>
      </c>
      <c r="AIY45" s="15" t="n">
        <v>1.03</v>
      </c>
      <c r="AIZ45" s="15" t="n">
        <v>0</v>
      </c>
      <c r="AJA45" s="15" t="s">
        <v>389</v>
      </c>
      <c r="AJB45" s="15" t="n">
        <v>10</v>
      </c>
      <c r="AJC45" s="17" t="n">
        <v>46.2</v>
      </c>
      <c r="AJD45" s="17" t="n">
        <v>114</v>
      </c>
      <c r="AJE45" s="17" t="n">
        <v>6.3</v>
      </c>
      <c r="AJF45" s="17" t="n">
        <v>0</v>
      </c>
      <c r="AJG45" s="17" t="n">
        <v>0</v>
      </c>
      <c r="AJH45" s="17" t="n">
        <v>1.91</v>
      </c>
      <c r="AJI45" s="17" t="n">
        <v>0</v>
      </c>
      <c r="AJJ45" s="17" t="n">
        <v>1.91</v>
      </c>
      <c r="AJK45" s="17" t="n">
        <v>0</v>
      </c>
      <c r="AJL45" s="17" t="n">
        <v>0</v>
      </c>
      <c r="AJM45" s="17" t="n">
        <v>0</v>
      </c>
      <c r="AJN45" s="17" t="n">
        <v>0</v>
      </c>
      <c r="AJO45" s="17" t="n">
        <v>0</v>
      </c>
      <c r="AJP45" s="17" t="n">
        <v>0</v>
      </c>
      <c r="AJQ45" s="17" t="n">
        <v>0</v>
      </c>
      <c r="AJR45" s="17" t="n">
        <v>8.85</v>
      </c>
      <c r="AJS45" s="17" t="n">
        <v>4.36</v>
      </c>
      <c r="AJT45" s="17" t="n">
        <v>0</v>
      </c>
      <c r="AJU45" s="17" t="n">
        <v>0</v>
      </c>
      <c r="AJV45" s="17" t="n">
        <v>0</v>
      </c>
      <c r="AKJ45" s="15" t="n">
        <v>0</v>
      </c>
      <c r="AKV45" s="31"/>
      <c r="AKZ45" s="31"/>
      <c r="ALD45" s="31"/>
      <c r="ALH45" s="31"/>
      <c r="ALL45" s="31"/>
      <c r="ALN45" s="15" t="n">
        <v>0</v>
      </c>
    </row>
    <row r="46" customFormat="false" ht="13.8" hidden="false" customHeight="false" outlineLevel="0" collapsed="false">
      <c r="A46" s="1" t="s">
        <v>390</v>
      </c>
      <c r="B46" s="12" t="n">
        <v>42900</v>
      </c>
      <c r="C46" s="0" t="n">
        <v>2</v>
      </c>
      <c r="D46" s="13" t="n">
        <v>34973</v>
      </c>
      <c r="E46" s="12" t="n">
        <v>27160</v>
      </c>
      <c r="F46" s="14" t="n">
        <f aca="false">(B46-E46)/365.25</f>
        <v>43.0937713894593</v>
      </c>
      <c r="G46" s="14" t="n">
        <f aca="false">(B46-D46)/365.25</f>
        <v>21.7029431895962</v>
      </c>
      <c r="H46" s="15" t="s">
        <v>183</v>
      </c>
      <c r="I46" s="15" t="s">
        <v>383</v>
      </c>
      <c r="J46" s="21" t="s">
        <v>181</v>
      </c>
      <c r="K46" s="21" t="n">
        <v>4</v>
      </c>
      <c r="L46" s="19" t="n">
        <v>69</v>
      </c>
      <c r="M46" s="0" t="n">
        <v>1.74</v>
      </c>
      <c r="N46" s="16" t="n">
        <f aca="false">L46/(M46*M46)</f>
        <v>22.7903289734443</v>
      </c>
      <c r="O46" s="19" t="n">
        <v>0</v>
      </c>
      <c r="P46" s="19" t="n">
        <v>0</v>
      </c>
      <c r="Q46" s="19" t="n">
        <v>0</v>
      </c>
      <c r="R46" s="19" t="n">
        <v>0</v>
      </c>
      <c r="S46" s="19" t="n">
        <v>0</v>
      </c>
      <c r="T46" s="19" t="n">
        <v>0</v>
      </c>
      <c r="U46" s="19" t="n">
        <v>0</v>
      </c>
      <c r="V46" s="19" t="n">
        <v>0</v>
      </c>
      <c r="W46" s="19" t="n">
        <v>1</v>
      </c>
      <c r="X46" s="19" t="n">
        <v>0</v>
      </c>
      <c r="Y46" s="19" t="n">
        <v>1</v>
      </c>
      <c r="Z46" s="19" t="n">
        <v>2</v>
      </c>
      <c r="AA46" s="19" t="n">
        <v>90</v>
      </c>
      <c r="AB46" s="19" t="s">
        <v>335</v>
      </c>
      <c r="AC46" s="19" t="n">
        <v>0</v>
      </c>
      <c r="AD46" s="19" t="n">
        <v>0</v>
      </c>
      <c r="AE46" s="19" t="n">
        <v>1</v>
      </c>
      <c r="AF46" s="19"/>
      <c r="AG46" s="19" t="n">
        <v>0</v>
      </c>
      <c r="AH46" s="19" t="n">
        <v>0</v>
      </c>
      <c r="AI46" s="19" t="n">
        <v>0</v>
      </c>
      <c r="AJ46" s="19" t="n">
        <v>0</v>
      </c>
      <c r="AK46" s="19" t="n">
        <v>0</v>
      </c>
      <c r="AL46" s="19" t="n">
        <v>0</v>
      </c>
      <c r="AM46" s="19"/>
      <c r="AN46" s="19" t="n">
        <v>0</v>
      </c>
      <c r="AO46" s="19" t="n">
        <v>0</v>
      </c>
      <c r="AP46" s="19" t="n">
        <v>0</v>
      </c>
      <c r="AQ46" s="19" t="n">
        <v>0</v>
      </c>
      <c r="AR46" s="19" t="n">
        <v>0</v>
      </c>
      <c r="AS46" s="19" t="n">
        <v>0</v>
      </c>
      <c r="AT46" s="19" t="n">
        <v>0</v>
      </c>
      <c r="AU46" s="19" t="n">
        <v>0</v>
      </c>
      <c r="AV46" s="19" t="n">
        <v>0</v>
      </c>
      <c r="AW46" s="19" t="n">
        <v>0</v>
      </c>
      <c r="AX46" s="19" t="n">
        <v>0</v>
      </c>
      <c r="AY46" s="19" t="n">
        <v>0</v>
      </c>
      <c r="AZ46" s="19" t="n">
        <v>0</v>
      </c>
      <c r="BA46" s="19" t="n">
        <v>0</v>
      </c>
      <c r="BB46" s="19" t="n">
        <v>0</v>
      </c>
      <c r="BC46" s="19" t="n">
        <v>0</v>
      </c>
      <c r="BD46" s="19" t="n">
        <v>0</v>
      </c>
      <c r="BE46" s="19" t="n">
        <v>0</v>
      </c>
      <c r="BF46" s="19" t="n">
        <v>0</v>
      </c>
      <c r="BG46" s="19" t="n">
        <v>0</v>
      </c>
      <c r="BH46" s="19" t="n">
        <v>0</v>
      </c>
      <c r="BI46" s="19" t="n">
        <v>0</v>
      </c>
      <c r="BJ46" s="19" t="n">
        <v>1</v>
      </c>
      <c r="BK46" s="19"/>
      <c r="BL46" s="19"/>
      <c r="BM46" s="19"/>
      <c r="BN46" s="19" t="n">
        <v>0</v>
      </c>
      <c r="BO46" s="19" t="n">
        <v>0</v>
      </c>
      <c r="BP46" s="19" t="n">
        <v>0</v>
      </c>
      <c r="BQ46" s="19" t="n">
        <v>0</v>
      </c>
      <c r="BR46" s="19" t="n">
        <v>3</v>
      </c>
      <c r="BS46" s="19" t="n">
        <v>3</v>
      </c>
      <c r="BT46" s="19" t="n">
        <v>3</v>
      </c>
      <c r="BU46" s="19" t="n">
        <v>4</v>
      </c>
      <c r="BV46" s="19" t="n">
        <v>2</v>
      </c>
      <c r="BW46" s="19" t="n">
        <v>1</v>
      </c>
      <c r="BX46" s="19" t="n">
        <v>3</v>
      </c>
      <c r="BY46" s="19" t="n">
        <v>3</v>
      </c>
      <c r="BZ46" s="19" t="n">
        <v>3</v>
      </c>
      <c r="CA46" s="19" t="n">
        <v>2</v>
      </c>
      <c r="CB46" s="19" t="n">
        <v>2</v>
      </c>
      <c r="CC46" s="19" t="n">
        <v>5</v>
      </c>
      <c r="CD46" s="19" t="n">
        <v>2</v>
      </c>
      <c r="CE46" s="19" t="n">
        <v>5</v>
      </c>
      <c r="CF46" s="19" t="n">
        <v>4</v>
      </c>
      <c r="CG46" s="19" t="n">
        <v>4</v>
      </c>
      <c r="CH46" s="19" t="n">
        <v>4</v>
      </c>
      <c r="CI46" s="19" t="n">
        <v>4</v>
      </c>
      <c r="CJ46" s="19" t="n">
        <v>3</v>
      </c>
      <c r="CK46" s="19" t="n">
        <v>9</v>
      </c>
      <c r="CL46" s="30" t="s">
        <v>384</v>
      </c>
      <c r="CM46" s="15" t="n">
        <v>28.5</v>
      </c>
      <c r="CN46" s="17" t="n">
        <v>69.3</v>
      </c>
      <c r="CO46" s="17" t="n">
        <v>114</v>
      </c>
      <c r="CP46" s="17" t="n">
        <v>19.5</v>
      </c>
      <c r="CQ46" s="17" t="n">
        <v>79.15</v>
      </c>
      <c r="CR46" s="17" t="n">
        <v>0</v>
      </c>
      <c r="CS46" s="17" t="n">
        <v>3.87</v>
      </c>
      <c r="CT46" s="17" t="n">
        <v>2.86</v>
      </c>
      <c r="CU46" s="17" t="n">
        <v>14.12</v>
      </c>
      <c r="CV46" s="17" t="n">
        <v>0</v>
      </c>
      <c r="CW46" s="17" t="n">
        <v>0</v>
      </c>
      <c r="CX46" s="17" t="n">
        <v>0</v>
      </c>
      <c r="CY46" s="17" t="n">
        <v>0</v>
      </c>
      <c r="CZ46" s="17" t="n">
        <v>0</v>
      </c>
      <c r="DA46" s="17" t="n">
        <v>0</v>
      </c>
      <c r="DB46" s="17" t="n">
        <v>0.82</v>
      </c>
      <c r="DC46" s="17" t="n">
        <v>11.71</v>
      </c>
      <c r="DD46" s="17" t="n">
        <v>15.43</v>
      </c>
      <c r="DE46" s="17" t="n">
        <v>4.91</v>
      </c>
      <c r="DF46" s="17" t="n">
        <v>0</v>
      </c>
      <c r="DG46" s="17" t="n">
        <v>0</v>
      </c>
      <c r="DH46" s="17" t="n">
        <v>0</v>
      </c>
      <c r="DI46" s="17" t="n">
        <v>0</v>
      </c>
      <c r="DJ46" s="17" t="n">
        <v>0</v>
      </c>
      <c r="DK46" s="17" t="n">
        <v>0</v>
      </c>
      <c r="DL46" s="17" t="n">
        <v>0</v>
      </c>
      <c r="DM46" s="17" t="n">
        <v>0</v>
      </c>
      <c r="DN46" s="17" t="n">
        <v>0</v>
      </c>
      <c r="DO46" s="17" t="n">
        <v>0</v>
      </c>
      <c r="DP46" s="17" t="n">
        <v>0</v>
      </c>
      <c r="DQ46" s="17" t="n">
        <v>0</v>
      </c>
      <c r="DR46" s="17" t="n">
        <v>0</v>
      </c>
      <c r="DS46" s="17" t="n">
        <v>0</v>
      </c>
      <c r="DT46" s="17" t="n">
        <v>0</v>
      </c>
      <c r="DU46" s="17" t="n">
        <v>0</v>
      </c>
      <c r="DV46" s="17" t="n">
        <v>0</v>
      </c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31"/>
      <c r="EH46" s="17"/>
      <c r="EK46" s="31"/>
      <c r="EO46" s="31"/>
      <c r="ES46" s="31"/>
      <c r="EW46" s="31"/>
      <c r="EY46" s="15" t="n">
        <v>0</v>
      </c>
      <c r="GJ46" s="15" t="n">
        <v>0</v>
      </c>
      <c r="GK46" s="15" t="n">
        <v>0</v>
      </c>
      <c r="GU46" s="15" t="n">
        <v>8.7</v>
      </c>
      <c r="GV46" s="15" t="n">
        <f aca="false">3.27*4+1.23+0.08+0.52*2</f>
        <v>15.43</v>
      </c>
      <c r="GW46" s="15" t="n">
        <v>0</v>
      </c>
      <c r="GX46" s="15" t="n">
        <v>0</v>
      </c>
      <c r="GY46" s="15" t="n">
        <v>0</v>
      </c>
      <c r="GZ46" s="15" t="n">
        <v>0</v>
      </c>
      <c r="HA46" s="15" t="n">
        <v>0</v>
      </c>
      <c r="HB46" s="15" t="n">
        <v>0</v>
      </c>
      <c r="HC46" s="15" t="s">
        <v>385</v>
      </c>
      <c r="HD46" s="15" t="n">
        <v>38.5</v>
      </c>
      <c r="HE46" s="17" t="n">
        <v>55</v>
      </c>
      <c r="HF46" s="17" t="n">
        <v>114</v>
      </c>
      <c r="HG46" s="17" t="n">
        <v>7.8</v>
      </c>
      <c r="HH46" s="17" t="n">
        <v>95.15</v>
      </c>
      <c r="HI46" s="17" t="n">
        <v>0</v>
      </c>
      <c r="HJ46" s="17" t="n">
        <v>3.78</v>
      </c>
      <c r="HK46" s="17" t="n">
        <v>0</v>
      </c>
      <c r="HL46" s="17" t="n">
        <v>1.07</v>
      </c>
      <c r="HM46" s="17" t="n">
        <v>0</v>
      </c>
      <c r="HN46" s="17" t="n">
        <v>0</v>
      </c>
      <c r="HO46" s="17" t="n">
        <v>0</v>
      </c>
      <c r="HP46" s="17" t="n">
        <v>0</v>
      </c>
      <c r="HQ46" s="17" t="n">
        <v>0</v>
      </c>
      <c r="HR46" s="17" t="n">
        <v>0</v>
      </c>
      <c r="HS46" s="17" t="n">
        <v>0</v>
      </c>
      <c r="HT46" s="17" t="n">
        <v>15.05</v>
      </c>
      <c r="HU46" s="17" t="n">
        <v>4.58</v>
      </c>
      <c r="HV46" s="17" t="n">
        <v>0.1</v>
      </c>
      <c r="HW46" s="17" t="n">
        <v>0</v>
      </c>
      <c r="HX46" s="17" t="n">
        <v>0</v>
      </c>
      <c r="HY46" s="17" t="n">
        <v>0</v>
      </c>
      <c r="IL46" s="15" t="n">
        <v>22.8</v>
      </c>
      <c r="IM46" s="15" t="n">
        <v>1</v>
      </c>
      <c r="IN46" s="15" t="n">
        <v>38</v>
      </c>
      <c r="IO46" s="15" t="n">
        <v>5</v>
      </c>
      <c r="IP46" s="15" t="n">
        <f aca="false">2.45+1.09</f>
        <v>3.54</v>
      </c>
      <c r="IQ46" s="15" t="n">
        <v>5</v>
      </c>
      <c r="IX46" s="31"/>
      <c r="JB46" s="31"/>
      <c r="JF46" s="31"/>
      <c r="JJ46" s="31"/>
      <c r="JN46" s="31"/>
      <c r="JP46" s="15" t="n">
        <v>0</v>
      </c>
      <c r="LA46" s="15" t="n">
        <v>0</v>
      </c>
      <c r="LB46" s="15" t="n">
        <v>0</v>
      </c>
      <c r="LL46" s="15" t="n">
        <v>7.84</v>
      </c>
      <c r="LM46" s="15" t="n">
        <f aca="false">2.45+1.09</f>
        <v>3.54</v>
      </c>
      <c r="LN46" s="15" t="n">
        <v>0</v>
      </c>
      <c r="LO46" s="15" t="n">
        <v>0</v>
      </c>
      <c r="LP46" s="15" t="n">
        <v>0</v>
      </c>
      <c r="LQ46" s="15" t="n">
        <v>0</v>
      </c>
      <c r="LR46" s="15" t="n">
        <v>0</v>
      </c>
      <c r="LS46" s="15" t="n">
        <v>0</v>
      </c>
      <c r="LT46" s="15" t="s">
        <v>386</v>
      </c>
      <c r="LU46" s="15" t="n">
        <v>38</v>
      </c>
      <c r="LV46" s="17" t="n">
        <v>48.8</v>
      </c>
      <c r="LW46" s="17" t="n">
        <v>114</v>
      </c>
      <c r="LX46" s="17" t="n">
        <v>7.2</v>
      </c>
      <c r="LY46" s="17" t="n">
        <v>96.13</v>
      </c>
      <c r="LZ46" s="17" t="n">
        <v>0</v>
      </c>
      <c r="MA46" s="17" t="n">
        <v>3.78</v>
      </c>
      <c r="MB46" s="17" t="n">
        <v>0</v>
      </c>
      <c r="MC46" s="17" t="n">
        <v>0.1</v>
      </c>
      <c r="MD46" s="17" t="n">
        <v>0</v>
      </c>
      <c r="ME46" s="17" t="n">
        <v>0</v>
      </c>
      <c r="MF46" s="17" t="n">
        <v>0</v>
      </c>
      <c r="MG46" s="17" t="n">
        <v>0</v>
      </c>
      <c r="MH46" s="17" t="n">
        <v>0</v>
      </c>
      <c r="MI46" s="17" t="n">
        <v>0</v>
      </c>
      <c r="MJ46" s="17" t="n">
        <v>0</v>
      </c>
      <c r="MK46" s="17" t="n">
        <v>12.85</v>
      </c>
      <c r="ML46" s="17" t="n">
        <v>4.58</v>
      </c>
      <c r="MM46" s="17" t="n">
        <v>0.1</v>
      </c>
      <c r="MN46" s="17" t="n">
        <v>0</v>
      </c>
      <c r="MO46" s="17" t="n">
        <v>0</v>
      </c>
      <c r="MP46" s="17" t="n">
        <v>0</v>
      </c>
      <c r="NC46" s="15" t="n">
        <v>22.8</v>
      </c>
      <c r="ND46" s="15" t="n">
        <v>1</v>
      </c>
      <c r="NE46" s="15" t="n">
        <v>38</v>
      </c>
      <c r="NF46" s="15" t="n">
        <v>5</v>
      </c>
      <c r="NG46" s="15" t="n">
        <f aca="false">2.45+1.09</f>
        <v>3.54</v>
      </c>
      <c r="NH46" s="15" t="n">
        <v>5</v>
      </c>
      <c r="NI46" s="15" t="n">
        <v>20</v>
      </c>
      <c r="NJ46" s="15" t="n">
        <v>4</v>
      </c>
      <c r="NK46" s="15" t="n">
        <v>0.29</v>
      </c>
      <c r="NL46" s="15" t="n">
        <v>2</v>
      </c>
      <c r="NO46" s="31"/>
      <c r="NS46" s="31"/>
      <c r="NW46" s="31"/>
      <c r="OA46" s="31"/>
      <c r="OE46" s="31"/>
      <c r="OG46" s="15" t="n">
        <v>0</v>
      </c>
      <c r="PR46" s="15" t="n">
        <v>0</v>
      </c>
      <c r="PS46" s="15" t="n">
        <v>0</v>
      </c>
      <c r="QC46" s="15" t="n">
        <v>7.84</v>
      </c>
      <c r="QD46" s="15" t="n">
        <f aca="false">2.45+1.09</f>
        <v>3.54</v>
      </c>
      <c r="QE46" s="15" t="n">
        <v>0</v>
      </c>
      <c r="QF46" s="15" t="n">
        <v>0</v>
      </c>
      <c r="QG46" s="15" t="n">
        <v>0</v>
      </c>
      <c r="QH46" s="15" t="n">
        <v>0</v>
      </c>
      <c r="QI46" s="15" t="n">
        <v>0</v>
      </c>
      <c r="QJ46" s="15" t="n">
        <v>0</v>
      </c>
      <c r="QK46" s="15" t="s">
        <v>387</v>
      </c>
      <c r="QL46" s="15" t="n">
        <v>64</v>
      </c>
      <c r="QM46" s="17" t="n">
        <v>70.6</v>
      </c>
      <c r="QN46" s="17" t="n">
        <v>114</v>
      </c>
      <c r="QO46" s="17" t="n">
        <v>14.9</v>
      </c>
      <c r="QP46" s="17" t="n">
        <v>88.29</v>
      </c>
      <c r="QQ46" s="17" t="n">
        <v>0</v>
      </c>
      <c r="QR46" s="17" t="n">
        <v>9.81</v>
      </c>
      <c r="QS46" s="17" t="n">
        <v>1.64</v>
      </c>
      <c r="QT46" s="17" t="n">
        <v>0.26</v>
      </c>
      <c r="QU46" s="17" t="n">
        <v>0</v>
      </c>
      <c r="QV46" s="17" t="n">
        <v>0</v>
      </c>
      <c r="QW46" s="17" t="n">
        <v>0</v>
      </c>
      <c r="QX46" s="17" t="n">
        <v>0</v>
      </c>
      <c r="QY46" s="17" t="n">
        <v>0</v>
      </c>
      <c r="QZ46" s="17" t="n">
        <v>0</v>
      </c>
      <c r="RA46" s="17" t="n">
        <v>0.55</v>
      </c>
      <c r="RB46" s="17" t="n">
        <v>22.64</v>
      </c>
      <c r="RC46" s="17" t="n">
        <v>2.58</v>
      </c>
      <c r="RD46" s="17" t="n">
        <v>0.13</v>
      </c>
      <c r="RE46" s="17" t="n">
        <v>0</v>
      </c>
      <c r="RF46" s="17" t="n">
        <v>0</v>
      </c>
      <c r="RG46" s="17" t="n">
        <v>0</v>
      </c>
      <c r="RT46" s="15" t="n">
        <v>40.4</v>
      </c>
      <c r="RU46" s="15" t="n">
        <v>1</v>
      </c>
      <c r="RV46" s="15" t="n">
        <v>38</v>
      </c>
      <c r="RW46" s="15" t="n">
        <v>9</v>
      </c>
      <c r="RX46" s="15" t="n">
        <v>5.52</v>
      </c>
      <c r="RY46" s="15" t="n">
        <v>5</v>
      </c>
      <c r="RZ46" s="15" t="n">
        <v>23</v>
      </c>
      <c r="SA46" s="15" t="n">
        <v>1</v>
      </c>
      <c r="SB46" s="15" t="n">
        <v>0.09</v>
      </c>
      <c r="SC46" s="15" t="n">
        <v>3</v>
      </c>
      <c r="SF46" s="31"/>
      <c r="SJ46" s="31"/>
      <c r="SN46" s="31"/>
      <c r="SR46" s="31"/>
      <c r="SV46" s="31"/>
      <c r="SX46" s="15" t="n">
        <v>0</v>
      </c>
      <c r="UI46" s="15" t="n">
        <v>0</v>
      </c>
      <c r="UJ46" s="15" t="n">
        <v>0</v>
      </c>
      <c r="UT46" s="15" t="n">
        <v>8.33</v>
      </c>
      <c r="UU46" s="15" t="n">
        <v>5.52</v>
      </c>
      <c r="UV46" s="15" t="n">
        <v>0</v>
      </c>
      <c r="UW46" s="15" t="n">
        <v>0</v>
      </c>
      <c r="UX46" s="15" t="n">
        <v>0</v>
      </c>
      <c r="UY46" s="15" t="n">
        <v>0</v>
      </c>
      <c r="UZ46" s="15" t="n">
        <v>0</v>
      </c>
      <c r="VA46" s="15" t="n">
        <v>0</v>
      </c>
      <c r="VB46" s="15" t="s">
        <v>388</v>
      </c>
      <c r="VC46" s="15" t="n">
        <v>64</v>
      </c>
      <c r="VD46" s="17" t="n">
        <v>79.5</v>
      </c>
      <c r="VE46" s="17" t="n">
        <v>114</v>
      </c>
      <c r="VF46" s="17" t="n">
        <v>15</v>
      </c>
      <c r="VG46" s="17" t="n">
        <v>88.29</v>
      </c>
      <c r="VH46" s="17" t="n">
        <v>0</v>
      </c>
      <c r="VI46" s="17" t="n">
        <v>9.81</v>
      </c>
      <c r="VJ46" s="17" t="n">
        <v>1.64</v>
      </c>
      <c r="VK46" s="17" t="n">
        <v>0.26</v>
      </c>
      <c r="VL46" s="17" t="n">
        <v>0</v>
      </c>
      <c r="VM46" s="17" t="n">
        <v>0</v>
      </c>
      <c r="VN46" s="17" t="n">
        <v>0</v>
      </c>
      <c r="VO46" s="17" t="n">
        <v>0</v>
      </c>
      <c r="VP46" s="17" t="n">
        <v>0</v>
      </c>
      <c r="VQ46" s="17" t="n">
        <v>0</v>
      </c>
      <c r="VR46" s="17" t="n">
        <v>0.55</v>
      </c>
      <c r="VS46" s="17" t="n">
        <v>24</v>
      </c>
      <c r="VT46" s="17" t="n">
        <v>4.31</v>
      </c>
      <c r="VU46" s="17" t="n">
        <v>0.82</v>
      </c>
      <c r="VV46" s="17" t="n">
        <v>0</v>
      </c>
      <c r="VW46" s="17" t="n">
        <v>0</v>
      </c>
      <c r="VX46" s="17" t="n">
        <v>0</v>
      </c>
      <c r="VY46" s="17"/>
      <c r="WK46" s="15" t="n">
        <v>40.4</v>
      </c>
      <c r="WL46" s="15" t="n">
        <v>1</v>
      </c>
      <c r="WM46" s="15" t="n">
        <v>38</v>
      </c>
      <c r="WN46" s="15" t="n">
        <v>9</v>
      </c>
      <c r="WO46" s="15" t="n">
        <v>5.52</v>
      </c>
      <c r="WP46" s="15" t="n">
        <v>5</v>
      </c>
      <c r="WQ46" s="15" t="n">
        <v>23</v>
      </c>
      <c r="WR46" s="15" t="n">
        <v>1</v>
      </c>
      <c r="WS46" s="15" t="n">
        <v>0.09</v>
      </c>
      <c r="WT46" s="15" t="n">
        <v>3</v>
      </c>
      <c r="WW46" s="31"/>
      <c r="XA46" s="31"/>
      <c r="XE46" s="31"/>
      <c r="XI46" s="31"/>
      <c r="XM46" s="31"/>
      <c r="XO46" s="15" t="n">
        <v>0</v>
      </c>
      <c r="YZ46" s="15" t="n">
        <v>0</v>
      </c>
      <c r="ZA46" s="15" t="n">
        <v>0</v>
      </c>
      <c r="ZK46" s="15" t="n">
        <v>8.33</v>
      </c>
      <c r="ZL46" s="15" t="n">
        <v>5.52</v>
      </c>
      <c r="ZM46" s="15" t="n">
        <v>0</v>
      </c>
      <c r="ZN46" s="15" t="n">
        <v>0</v>
      </c>
      <c r="ZO46" s="15" t="n">
        <v>0</v>
      </c>
      <c r="ZP46" s="15" t="n">
        <v>0</v>
      </c>
      <c r="ZQ46" s="15" t="n">
        <v>0</v>
      </c>
      <c r="ZR46" s="15" t="n">
        <v>0</v>
      </c>
      <c r="ZS46" s="15" t="s">
        <v>196</v>
      </c>
      <c r="ZT46" s="15" t="n">
        <v>24.5</v>
      </c>
      <c r="ZU46" s="17" t="n">
        <v>58.4</v>
      </c>
      <c r="ZV46" s="17" t="n">
        <v>114</v>
      </c>
      <c r="ZW46" s="17" t="n">
        <v>12</v>
      </c>
      <c r="ZX46" s="17" t="n">
        <v>92.09</v>
      </c>
      <c r="ZY46" s="17" t="n">
        <v>0</v>
      </c>
      <c r="ZZ46" s="17" t="n">
        <v>0</v>
      </c>
      <c r="AAA46" s="17" t="n">
        <v>5.57</v>
      </c>
      <c r="AAB46" s="17" t="n">
        <v>2.35</v>
      </c>
      <c r="AAC46" s="17" t="n">
        <v>0</v>
      </c>
      <c r="AAD46" s="17" t="n">
        <v>0</v>
      </c>
      <c r="AAE46" s="17" t="n">
        <v>0</v>
      </c>
      <c r="AAF46" s="17" t="n">
        <v>0</v>
      </c>
      <c r="AAG46" s="17" t="n">
        <v>0</v>
      </c>
      <c r="AAH46" s="17" t="n">
        <v>0</v>
      </c>
      <c r="AAI46" s="17" t="n">
        <v>8.58</v>
      </c>
      <c r="AAJ46" s="17" t="n">
        <v>3.1</v>
      </c>
      <c r="AAK46" s="17" t="n">
        <v>0.55</v>
      </c>
      <c r="AAL46" s="17" t="n">
        <v>0.71</v>
      </c>
      <c r="AAM46" s="17" t="n">
        <v>0</v>
      </c>
      <c r="AAN46" s="17" t="n">
        <v>0</v>
      </c>
      <c r="AAO46" s="17" t="n">
        <v>0</v>
      </c>
      <c r="ABB46" s="15" t="n">
        <v>7.2</v>
      </c>
      <c r="ABC46" s="15" t="n">
        <v>1</v>
      </c>
      <c r="ABD46" s="17" t="n">
        <v>30</v>
      </c>
      <c r="ABE46" s="17" t="n">
        <v>2</v>
      </c>
      <c r="ABF46" s="17" t="n">
        <v>1.09</v>
      </c>
      <c r="ABG46" s="17" t="n">
        <v>4</v>
      </c>
      <c r="ABH46" s="17" t="n">
        <v>30</v>
      </c>
      <c r="ABI46" s="17" t="n">
        <v>2</v>
      </c>
      <c r="ABJ46" s="17" t="n">
        <v>0.27</v>
      </c>
      <c r="ABK46" s="17" t="n">
        <v>2</v>
      </c>
      <c r="ABL46" s="17" t="n">
        <v>34</v>
      </c>
      <c r="ABM46" s="17" t="n">
        <v>1</v>
      </c>
      <c r="ABN46" s="31" t="n">
        <v>1.09</v>
      </c>
      <c r="ABO46" s="17" t="n">
        <v>1</v>
      </c>
      <c r="ABR46" s="31"/>
      <c r="ABV46" s="31"/>
      <c r="ABZ46" s="31"/>
      <c r="ACD46" s="31"/>
      <c r="ACF46" s="15" t="n">
        <v>0</v>
      </c>
      <c r="ADQ46" s="15" t="n">
        <v>0</v>
      </c>
      <c r="ADR46" s="15" t="n">
        <v>0</v>
      </c>
      <c r="AEB46" s="15" t="n">
        <v>5.3</v>
      </c>
      <c r="AEC46" s="15" t="n">
        <f aca="false">0.27+8.58+0.32</f>
        <v>9.17</v>
      </c>
      <c r="AED46" s="15" t="n">
        <v>0</v>
      </c>
      <c r="AEE46" s="15" t="n">
        <v>0</v>
      </c>
      <c r="AEF46" s="15" t="n">
        <v>0</v>
      </c>
      <c r="AEG46" s="15" t="n">
        <v>8.58</v>
      </c>
      <c r="AEH46" s="15" t="n">
        <v>0</v>
      </c>
      <c r="AEI46" s="15" t="n">
        <v>0</v>
      </c>
      <c r="AEJ46" s="15" t="s">
        <v>195</v>
      </c>
      <c r="AEK46" s="15" t="n">
        <v>22</v>
      </c>
      <c r="AEL46" s="17" t="n">
        <v>44.2</v>
      </c>
      <c r="AEM46" s="17" t="n">
        <v>114</v>
      </c>
      <c r="AEN46" s="17" t="n">
        <v>10.9</v>
      </c>
      <c r="AEO46" s="17" t="n">
        <v>92.8</v>
      </c>
      <c r="AEP46" s="17" t="n">
        <v>0</v>
      </c>
      <c r="AEQ46" s="17" t="n">
        <v>0</v>
      </c>
      <c r="AER46" s="17" t="n">
        <v>5.57</v>
      </c>
      <c r="AES46" s="17" t="n">
        <v>1.64</v>
      </c>
      <c r="AET46" s="17" t="n">
        <v>0</v>
      </c>
      <c r="AEU46" s="17" t="n">
        <v>0</v>
      </c>
      <c r="AEV46" s="17" t="n">
        <v>0</v>
      </c>
      <c r="AEW46" s="17" t="n">
        <v>0</v>
      </c>
      <c r="AEX46" s="17" t="n">
        <v>0</v>
      </c>
      <c r="AEY46" s="17" t="n">
        <v>0</v>
      </c>
      <c r="AEZ46" s="17" t="n">
        <v>8.58</v>
      </c>
      <c r="AFA46" s="17" t="n">
        <v>1.57</v>
      </c>
      <c r="AFB46" s="17" t="n">
        <v>0.55</v>
      </c>
      <c r="AFC46" s="17" t="n">
        <v>0</v>
      </c>
      <c r="AFD46" s="17" t="n">
        <v>0</v>
      </c>
      <c r="AFE46" s="17" t="n">
        <v>0</v>
      </c>
      <c r="AFF46" s="17" t="n">
        <v>0</v>
      </c>
      <c r="AFS46" s="15" t="n">
        <v>7.15</v>
      </c>
      <c r="AFT46" s="15" t="n">
        <v>1</v>
      </c>
      <c r="AFU46" s="17" t="n">
        <v>30</v>
      </c>
      <c r="AFV46" s="17" t="n">
        <v>2</v>
      </c>
      <c r="AFW46" s="17" t="n">
        <v>1.09</v>
      </c>
      <c r="AFX46" s="17" t="n">
        <v>4</v>
      </c>
      <c r="AFY46" s="17" t="n">
        <v>30</v>
      </c>
      <c r="AFZ46" s="17" t="n">
        <v>2</v>
      </c>
      <c r="AGA46" s="17" t="n">
        <v>0.27</v>
      </c>
      <c r="AGB46" s="17" t="n">
        <v>2</v>
      </c>
      <c r="AGC46" s="17" t="n">
        <v>34</v>
      </c>
      <c r="AGD46" s="17" t="n">
        <v>1</v>
      </c>
      <c r="AGE46" s="31" t="n">
        <v>1.09</v>
      </c>
      <c r="AGF46" s="17" t="n">
        <v>1</v>
      </c>
      <c r="AGI46" s="31"/>
      <c r="AGM46" s="31"/>
      <c r="AGQ46" s="31"/>
      <c r="AGU46" s="31"/>
      <c r="AIH46" s="15" t="n">
        <v>0</v>
      </c>
      <c r="AII46" s="15" t="n">
        <v>0</v>
      </c>
      <c r="AIS46" s="15" t="n">
        <v>2.59</v>
      </c>
      <c r="AIT46" s="15" t="n">
        <f aca="false">0.27+0.32</f>
        <v>0.59</v>
      </c>
      <c r="AIU46" s="15" t="n">
        <v>0</v>
      </c>
      <c r="AIV46" s="15" t="n">
        <v>0</v>
      </c>
      <c r="AIW46" s="15" t="n">
        <v>0</v>
      </c>
      <c r="AIX46" s="15" t="n">
        <v>0</v>
      </c>
      <c r="AIY46" s="15" t="n">
        <v>1.03</v>
      </c>
      <c r="AIZ46" s="15" t="n">
        <v>0</v>
      </c>
      <c r="AJA46" s="15" t="s">
        <v>389</v>
      </c>
      <c r="AJB46" s="15" t="n">
        <v>10</v>
      </c>
      <c r="AJC46" s="17" t="n">
        <v>46.2</v>
      </c>
      <c r="AJD46" s="17" t="n">
        <v>114</v>
      </c>
      <c r="AJE46" s="17" t="n">
        <v>6.3</v>
      </c>
      <c r="AJF46" s="17" t="n">
        <v>0</v>
      </c>
      <c r="AJG46" s="17" t="n">
        <v>0</v>
      </c>
      <c r="AJH46" s="17" t="n">
        <v>1.91</v>
      </c>
      <c r="AJI46" s="17" t="n">
        <v>0</v>
      </c>
      <c r="AJJ46" s="17" t="n">
        <v>1.91</v>
      </c>
      <c r="AJK46" s="17" t="n">
        <v>0</v>
      </c>
      <c r="AJL46" s="17" t="n">
        <v>0</v>
      </c>
      <c r="AJM46" s="17" t="n">
        <v>0</v>
      </c>
      <c r="AJN46" s="17" t="n">
        <v>0</v>
      </c>
      <c r="AJO46" s="17" t="n">
        <v>0</v>
      </c>
      <c r="AJP46" s="17" t="n">
        <v>0</v>
      </c>
      <c r="AJQ46" s="17" t="n">
        <v>0</v>
      </c>
      <c r="AJR46" s="17" t="n">
        <v>8.85</v>
      </c>
      <c r="AJS46" s="17" t="n">
        <v>4.36</v>
      </c>
      <c r="AJT46" s="17" t="n">
        <v>0</v>
      </c>
      <c r="AJU46" s="17" t="n">
        <v>0</v>
      </c>
      <c r="AJV46" s="17" t="n">
        <v>0</v>
      </c>
      <c r="AKJ46" s="15" t="n">
        <v>0</v>
      </c>
      <c r="AKV46" s="31"/>
      <c r="AKZ46" s="31"/>
      <c r="ALD46" s="31"/>
      <c r="ALH46" s="31"/>
      <c r="ALL46" s="31"/>
      <c r="ALN46" s="15" t="n">
        <v>0</v>
      </c>
    </row>
    <row r="47" customFormat="false" ht="13.8" hidden="false" customHeight="false" outlineLevel="0" collapsed="false">
      <c r="A47" s="1" t="s">
        <v>391</v>
      </c>
      <c r="B47" s="12" t="n">
        <v>42900</v>
      </c>
      <c r="C47" s="0" t="n">
        <v>2</v>
      </c>
      <c r="D47" s="13" t="n">
        <v>35569</v>
      </c>
      <c r="E47" s="12" t="n">
        <v>27955</v>
      </c>
      <c r="F47" s="14" t="n">
        <f aca="false">(B47-E47)/365.25</f>
        <v>40.9171800136893</v>
      </c>
      <c r="G47" s="14" t="n">
        <f aca="false">(B47-D47)/365.25</f>
        <v>20.0711841204654</v>
      </c>
      <c r="H47" s="15" t="s">
        <v>183</v>
      </c>
      <c r="I47" s="15" t="s">
        <v>383</v>
      </c>
      <c r="J47" s="21" t="s">
        <v>181</v>
      </c>
      <c r="K47" s="21" t="n">
        <v>4</v>
      </c>
      <c r="L47" s="19" t="n">
        <v>62</v>
      </c>
      <c r="M47" s="0" t="n">
        <v>1.76</v>
      </c>
      <c r="N47" s="16" t="n">
        <f aca="false">L47/(M47*M47)</f>
        <v>20.0154958677686</v>
      </c>
      <c r="O47" s="19" t="n">
        <v>0</v>
      </c>
      <c r="P47" s="19" t="n">
        <v>0</v>
      </c>
      <c r="Q47" s="19" t="n">
        <v>0</v>
      </c>
      <c r="R47" s="19" t="n">
        <v>0</v>
      </c>
      <c r="S47" s="19" t="n">
        <v>0</v>
      </c>
      <c r="T47" s="19" t="n">
        <v>0</v>
      </c>
      <c r="U47" s="19" t="n">
        <v>0</v>
      </c>
      <c r="V47" s="19" t="n">
        <v>0</v>
      </c>
      <c r="W47" s="19" t="n">
        <v>0</v>
      </c>
      <c r="X47" s="19" t="n">
        <v>0</v>
      </c>
      <c r="Y47" s="19" t="n">
        <v>0</v>
      </c>
      <c r="Z47" s="19" t="n">
        <v>0</v>
      </c>
      <c r="AA47" s="19" t="n">
        <v>0</v>
      </c>
      <c r="AB47" s="19" t="n">
        <v>0</v>
      </c>
      <c r="AC47" s="19" t="n">
        <v>1</v>
      </c>
      <c r="AD47" s="19" t="n">
        <v>15</v>
      </c>
      <c r="AE47" s="19" t="n">
        <v>0</v>
      </c>
      <c r="AF47" s="19" t="n">
        <v>0</v>
      </c>
      <c r="AG47" s="19" t="n">
        <v>0</v>
      </c>
      <c r="AH47" s="19" t="n">
        <v>0</v>
      </c>
      <c r="AI47" s="19" t="n">
        <v>1</v>
      </c>
      <c r="AJ47" s="19" t="n">
        <v>1</v>
      </c>
      <c r="AK47" s="19" t="n">
        <v>0</v>
      </c>
      <c r="AL47" s="19" t="n">
        <v>0</v>
      </c>
      <c r="AM47" s="19" t="n">
        <v>0</v>
      </c>
      <c r="AN47" s="19" t="n">
        <v>1</v>
      </c>
      <c r="AO47" s="19" t="n">
        <v>1</v>
      </c>
      <c r="AP47" s="19"/>
      <c r="AQ47" s="19"/>
      <c r="AR47" s="19"/>
      <c r="AS47" s="19" t="n">
        <v>0</v>
      </c>
      <c r="AT47" s="19" t="n">
        <v>0</v>
      </c>
      <c r="AU47" s="19" t="n">
        <v>0</v>
      </c>
      <c r="AV47" s="19" t="n">
        <v>0</v>
      </c>
      <c r="AW47" s="19" t="n">
        <v>0</v>
      </c>
      <c r="AX47" s="19" t="n">
        <v>0</v>
      </c>
      <c r="AY47" s="19" t="n">
        <v>0</v>
      </c>
      <c r="AZ47" s="19" t="n">
        <v>0</v>
      </c>
      <c r="BA47" s="19" t="n">
        <v>0</v>
      </c>
      <c r="BB47" s="19" t="n">
        <v>1</v>
      </c>
      <c r="BC47" s="19" t="n">
        <v>0</v>
      </c>
      <c r="BD47" s="19" t="n">
        <v>0</v>
      </c>
      <c r="BE47" s="19" t="n">
        <v>0</v>
      </c>
      <c r="BF47" s="19" t="n">
        <v>0</v>
      </c>
      <c r="BG47" s="19" t="n">
        <v>0</v>
      </c>
      <c r="BH47" s="19" t="n">
        <v>0</v>
      </c>
      <c r="BI47" s="19" t="n">
        <v>0</v>
      </c>
      <c r="BJ47" s="19" t="n">
        <v>0</v>
      </c>
      <c r="BK47" s="19" t="n">
        <v>0</v>
      </c>
      <c r="BL47" s="19" t="n">
        <v>0</v>
      </c>
      <c r="BM47" s="19" t="n">
        <v>0</v>
      </c>
      <c r="BN47" s="19" t="n">
        <v>1</v>
      </c>
      <c r="BO47" s="19" t="n">
        <v>1</v>
      </c>
      <c r="BP47" s="19"/>
      <c r="BQ47" s="19"/>
      <c r="BR47" s="19" t="n">
        <v>2</v>
      </c>
      <c r="BS47" s="19" t="n">
        <v>1</v>
      </c>
      <c r="BT47" s="19" t="n">
        <v>2</v>
      </c>
      <c r="BU47" s="19" t="n">
        <v>4</v>
      </c>
      <c r="BV47" s="19" t="n">
        <v>2</v>
      </c>
      <c r="BW47" s="19" t="n">
        <v>2</v>
      </c>
      <c r="BX47" s="19" t="n">
        <v>1</v>
      </c>
      <c r="BY47" s="19" t="n">
        <v>1</v>
      </c>
      <c r="BZ47" s="19" t="n">
        <v>1</v>
      </c>
      <c r="CA47" s="19" t="n">
        <v>2</v>
      </c>
      <c r="CB47" s="19" t="n">
        <v>4</v>
      </c>
      <c r="CC47" s="19" t="n">
        <v>4</v>
      </c>
      <c r="CD47" s="19" t="n">
        <v>1</v>
      </c>
      <c r="CE47" s="19" t="n">
        <v>1</v>
      </c>
      <c r="CF47" s="19" t="n">
        <v>5</v>
      </c>
      <c r="CG47" s="19" t="n">
        <v>4</v>
      </c>
      <c r="CH47" s="19" t="n">
        <v>4</v>
      </c>
      <c r="CI47" s="19" t="n">
        <v>4</v>
      </c>
      <c r="CJ47" s="19" t="n">
        <v>2</v>
      </c>
      <c r="CK47" s="19" t="n">
        <v>8</v>
      </c>
      <c r="CL47" s="30" t="s">
        <v>384</v>
      </c>
      <c r="CM47" s="15" t="n">
        <v>28.5</v>
      </c>
      <c r="CN47" s="17" t="n">
        <v>69.3</v>
      </c>
      <c r="CO47" s="17" t="n">
        <v>114</v>
      </c>
      <c r="CP47" s="17" t="n">
        <v>19.5</v>
      </c>
      <c r="CQ47" s="17" t="n">
        <v>79.15</v>
      </c>
      <c r="CR47" s="17" t="n">
        <v>0</v>
      </c>
      <c r="CS47" s="17" t="n">
        <v>3.87</v>
      </c>
      <c r="CT47" s="17" t="n">
        <v>2.86</v>
      </c>
      <c r="CU47" s="17" t="n">
        <v>14.12</v>
      </c>
      <c r="CV47" s="17" t="n">
        <v>0</v>
      </c>
      <c r="CW47" s="17" t="n">
        <v>0</v>
      </c>
      <c r="CX47" s="17" t="n">
        <v>0</v>
      </c>
      <c r="CY47" s="17" t="n">
        <v>0</v>
      </c>
      <c r="CZ47" s="17" t="n">
        <v>0</v>
      </c>
      <c r="DA47" s="17" t="n">
        <v>0</v>
      </c>
      <c r="DB47" s="17" t="n">
        <v>0.82</v>
      </c>
      <c r="DC47" s="17" t="n">
        <v>11.71</v>
      </c>
      <c r="DD47" s="17" t="n">
        <v>15.43</v>
      </c>
      <c r="DE47" s="17" t="n">
        <v>4.91</v>
      </c>
      <c r="DF47" s="17" t="n">
        <v>0</v>
      </c>
      <c r="DG47" s="17" t="n">
        <v>0</v>
      </c>
      <c r="DH47" s="17" t="n">
        <v>0</v>
      </c>
      <c r="DI47" s="17" t="n">
        <v>0</v>
      </c>
      <c r="DJ47" s="17" t="n">
        <v>0</v>
      </c>
      <c r="DK47" s="17" t="n">
        <v>0</v>
      </c>
      <c r="DL47" s="17" t="n">
        <v>0</v>
      </c>
      <c r="DM47" s="17" t="n">
        <v>0</v>
      </c>
      <c r="DN47" s="17" t="n">
        <v>0</v>
      </c>
      <c r="DO47" s="17" t="n">
        <v>0</v>
      </c>
      <c r="DP47" s="17" t="n">
        <v>0</v>
      </c>
      <c r="DQ47" s="17" t="n">
        <v>0</v>
      </c>
      <c r="DR47" s="17" t="n">
        <v>0</v>
      </c>
      <c r="DS47" s="17" t="n">
        <v>0</v>
      </c>
      <c r="DT47" s="17" t="n">
        <v>0</v>
      </c>
      <c r="DU47" s="17" t="n">
        <v>0</v>
      </c>
      <c r="DV47" s="17" t="n">
        <v>0</v>
      </c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31"/>
      <c r="EH47" s="17"/>
      <c r="EK47" s="31"/>
      <c r="EO47" s="31"/>
      <c r="ES47" s="31"/>
      <c r="EW47" s="31"/>
      <c r="EY47" s="15" t="n">
        <v>0</v>
      </c>
      <c r="GJ47" s="15" t="n">
        <v>0</v>
      </c>
      <c r="GK47" s="15" t="n">
        <v>0</v>
      </c>
      <c r="GU47" s="15" t="n">
        <v>8.7</v>
      </c>
      <c r="GV47" s="15" t="n">
        <f aca="false">3.27*4+1.23+0.08+0.52*2</f>
        <v>15.43</v>
      </c>
      <c r="GW47" s="15" t="n">
        <v>0</v>
      </c>
      <c r="GX47" s="15" t="n">
        <v>0</v>
      </c>
      <c r="GY47" s="15" t="n">
        <v>0</v>
      </c>
      <c r="GZ47" s="15" t="n">
        <v>0</v>
      </c>
      <c r="HA47" s="15" t="n">
        <v>0</v>
      </c>
      <c r="HB47" s="15" t="n">
        <v>0</v>
      </c>
      <c r="HC47" s="15" t="s">
        <v>385</v>
      </c>
      <c r="HD47" s="15" t="n">
        <v>38.5</v>
      </c>
      <c r="HE47" s="17" t="n">
        <v>55</v>
      </c>
      <c r="HF47" s="17" t="n">
        <v>114</v>
      </c>
      <c r="HG47" s="17" t="n">
        <v>7.8</v>
      </c>
      <c r="HH47" s="17" t="n">
        <v>95.15</v>
      </c>
      <c r="HI47" s="17" t="n">
        <v>0</v>
      </c>
      <c r="HJ47" s="17" t="n">
        <v>3.78</v>
      </c>
      <c r="HK47" s="17" t="n">
        <v>0</v>
      </c>
      <c r="HL47" s="17" t="n">
        <v>1.07</v>
      </c>
      <c r="HM47" s="17" t="n">
        <v>0</v>
      </c>
      <c r="HN47" s="17" t="n">
        <v>0</v>
      </c>
      <c r="HO47" s="17" t="n">
        <v>0</v>
      </c>
      <c r="HP47" s="17" t="n">
        <v>0</v>
      </c>
      <c r="HQ47" s="17" t="n">
        <v>0</v>
      </c>
      <c r="HR47" s="17" t="n">
        <v>0</v>
      </c>
      <c r="HS47" s="17" t="n">
        <v>0</v>
      </c>
      <c r="HT47" s="17" t="n">
        <v>15.05</v>
      </c>
      <c r="HU47" s="17" t="n">
        <v>4.58</v>
      </c>
      <c r="HV47" s="17" t="n">
        <v>0.1</v>
      </c>
      <c r="HW47" s="17" t="n">
        <v>0</v>
      </c>
      <c r="HX47" s="17" t="n">
        <v>0</v>
      </c>
      <c r="HY47" s="17" t="n">
        <v>0</v>
      </c>
      <c r="IL47" s="15" t="n">
        <v>22.8</v>
      </c>
      <c r="IM47" s="15" t="n">
        <v>1</v>
      </c>
      <c r="IN47" s="15" t="n">
        <v>38</v>
      </c>
      <c r="IO47" s="15" t="n">
        <v>5</v>
      </c>
      <c r="IP47" s="15" t="n">
        <f aca="false">2.45+1.09</f>
        <v>3.54</v>
      </c>
      <c r="IQ47" s="15" t="n">
        <v>5</v>
      </c>
      <c r="IX47" s="31"/>
      <c r="JB47" s="31"/>
      <c r="JF47" s="31"/>
      <c r="JJ47" s="31"/>
      <c r="JN47" s="31"/>
      <c r="JP47" s="15" t="n">
        <v>0</v>
      </c>
      <c r="LA47" s="15" t="n">
        <v>0</v>
      </c>
      <c r="LB47" s="15" t="n">
        <v>0</v>
      </c>
      <c r="LL47" s="15" t="n">
        <v>7.84</v>
      </c>
      <c r="LM47" s="15" t="n">
        <f aca="false">2.45+1.09</f>
        <v>3.54</v>
      </c>
      <c r="LN47" s="15" t="n">
        <v>0</v>
      </c>
      <c r="LO47" s="15" t="n">
        <v>0</v>
      </c>
      <c r="LP47" s="15" t="n">
        <v>0</v>
      </c>
      <c r="LQ47" s="15" t="n">
        <v>0</v>
      </c>
      <c r="LR47" s="15" t="n">
        <v>0</v>
      </c>
      <c r="LS47" s="15" t="n">
        <v>0</v>
      </c>
      <c r="LT47" s="15" t="s">
        <v>386</v>
      </c>
      <c r="LU47" s="15" t="n">
        <v>38</v>
      </c>
      <c r="LV47" s="17" t="n">
        <v>48.8</v>
      </c>
      <c r="LW47" s="17" t="n">
        <v>114</v>
      </c>
      <c r="LX47" s="17" t="n">
        <v>7.2</v>
      </c>
      <c r="LY47" s="17" t="n">
        <v>96.13</v>
      </c>
      <c r="LZ47" s="17" t="n">
        <v>0</v>
      </c>
      <c r="MA47" s="17" t="n">
        <v>3.78</v>
      </c>
      <c r="MB47" s="17" t="n">
        <v>0</v>
      </c>
      <c r="MC47" s="17" t="n">
        <v>0.1</v>
      </c>
      <c r="MD47" s="17" t="n">
        <v>0</v>
      </c>
      <c r="ME47" s="17" t="n">
        <v>0</v>
      </c>
      <c r="MF47" s="17" t="n">
        <v>0</v>
      </c>
      <c r="MG47" s="17" t="n">
        <v>0</v>
      </c>
      <c r="MH47" s="17" t="n">
        <v>0</v>
      </c>
      <c r="MI47" s="17" t="n">
        <v>0</v>
      </c>
      <c r="MJ47" s="17" t="n">
        <v>0</v>
      </c>
      <c r="MK47" s="17" t="n">
        <v>12.85</v>
      </c>
      <c r="ML47" s="17" t="n">
        <v>4.58</v>
      </c>
      <c r="MM47" s="17" t="n">
        <v>0.1</v>
      </c>
      <c r="MN47" s="17" t="n">
        <v>0</v>
      </c>
      <c r="MO47" s="17" t="n">
        <v>0</v>
      </c>
      <c r="MP47" s="17" t="n">
        <v>0</v>
      </c>
      <c r="NC47" s="15" t="n">
        <v>22.8</v>
      </c>
      <c r="ND47" s="15" t="n">
        <v>1</v>
      </c>
      <c r="NE47" s="15" t="n">
        <v>38</v>
      </c>
      <c r="NF47" s="15" t="n">
        <v>5</v>
      </c>
      <c r="NG47" s="15" t="n">
        <f aca="false">2.45+1.09</f>
        <v>3.54</v>
      </c>
      <c r="NH47" s="15" t="n">
        <v>5</v>
      </c>
      <c r="NI47" s="15" t="n">
        <v>20</v>
      </c>
      <c r="NJ47" s="15" t="n">
        <v>4</v>
      </c>
      <c r="NK47" s="15" t="n">
        <v>0.29</v>
      </c>
      <c r="NL47" s="15" t="n">
        <v>2</v>
      </c>
      <c r="NO47" s="31"/>
      <c r="NS47" s="31"/>
      <c r="NW47" s="31"/>
      <c r="OA47" s="31"/>
      <c r="OE47" s="31"/>
      <c r="OG47" s="15" t="n">
        <v>0</v>
      </c>
      <c r="PR47" s="15" t="n">
        <v>0</v>
      </c>
      <c r="PS47" s="15" t="n">
        <v>0</v>
      </c>
      <c r="QC47" s="15" t="n">
        <v>7.84</v>
      </c>
      <c r="QD47" s="15" t="n">
        <f aca="false">2.45+1.09</f>
        <v>3.54</v>
      </c>
      <c r="QE47" s="15" t="n">
        <v>0</v>
      </c>
      <c r="QF47" s="15" t="n">
        <v>0</v>
      </c>
      <c r="QG47" s="15" t="n">
        <v>0</v>
      </c>
      <c r="QH47" s="15" t="n">
        <v>0</v>
      </c>
      <c r="QI47" s="15" t="n">
        <v>0</v>
      </c>
      <c r="QJ47" s="15" t="n">
        <v>0</v>
      </c>
      <c r="QK47" s="15" t="s">
        <v>387</v>
      </c>
      <c r="QL47" s="15" t="n">
        <v>64</v>
      </c>
      <c r="QM47" s="17" t="n">
        <v>70.6</v>
      </c>
      <c r="QN47" s="17" t="n">
        <v>114</v>
      </c>
      <c r="QO47" s="17" t="n">
        <v>14.9</v>
      </c>
      <c r="QP47" s="17" t="n">
        <v>88.29</v>
      </c>
      <c r="QQ47" s="17" t="n">
        <v>0</v>
      </c>
      <c r="QR47" s="17" t="n">
        <v>9.81</v>
      </c>
      <c r="QS47" s="17" t="n">
        <v>1.64</v>
      </c>
      <c r="QT47" s="17" t="n">
        <v>0.26</v>
      </c>
      <c r="QU47" s="17" t="n">
        <v>0</v>
      </c>
      <c r="QV47" s="17" t="n">
        <v>0</v>
      </c>
      <c r="QW47" s="17" t="n">
        <v>0</v>
      </c>
      <c r="QX47" s="17" t="n">
        <v>0</v>
      </c>
      <c r="QY47" s="17" t="n">
        <v>0</v>
      </c>
      <c r="QZ47" s="17" t="n">
        <v>0</v>
      </c>
      <c r="RA47" s="17" t="n">
        <v>0.55</v>
      </c>
      <c r="RB47" s="17" t="n">
        <v>22.64</v>
      </c>
      <c r="RC47" s="17" t="n">
        <v>2.58</v>
      </c>
      <c r="RD47" s="17" t="n">
        <v>0.13</v>
      </c>
      <c r="RE47" s="17" t="n">
        <v>0</v>
      </c>
      <c r="RF47" s="17" t="n">
        <v>0</v>
      </c>
      <c r="RG47" s="17" t="n">
        <v>0</v>
      </c>
      <c r="RT47" s="15" t="n">
        <v>40.4</v>
      </c>
      <c r="RU47" s="15" t="n">
        <v>1</v>
      </c>
      <c r="RV47" s="15" t="n">
        <v>38</v>
      </c>
      <c r="RW47" s="15" t="n">
        <v>9</v>
      </c>
      <c r="RX47" s="15" t="n">
        <v>5.52</v>
      </c>
      <c r="RY47" s="15" t="n">
        <v>5</v>
      </c>
      <c r="RZ47" s="15" t="n">
        <v>23</v>
      </c>
      <c r="SA47" s="15" t="n">
        <v>1</v>
      </c>
      <c r="SB47" s="15" t="n">
        <v>0.09</v>
      </c>
      <c r="SC47" s="15" t="n">
        <v>3</v>
      </c>
      <c r="SF47" s="31"/>
      <c r="SJ47" s="31"/>
      <c r="SN47" s="31"/>
      <c r="SR47" s="31"/>
      <c r="SV47" s="31"/>
      <c r="SX47" s="15" t="n">
        <v>0</v>
      </c>
      <c r="UI47" s="15" t="n">
        <v>0</v>
      </c>
      <c r="UJ47" s="15" t="n">
        <v>0</v>
      </c>
      <c r="UT47" s="15" t="n">
        <v>8.33</v>
      </c>
      <c r="UU47" s="15" t="n">
        <v>5.52</v>
      </c>
      <c r="UV47" s="15" t="n">
        <v>0</v>
      </c>
      <c r="UW47" s="15" t="n">
        <v>0</v>
      </c>
      <c r="UX47" s="15" t="n">
        <v>0</v>
      </c>
      <c r="UY47" s="15" t="n">
        <v>0</v>
      </c>
      <c r="UZ47" s="15" t="n">
        <v>0</v>
      </c>
      <c r="VA47" s="15" t="n">
        <v>0</v>
      </c>
      <c r="VB47" s="15" t="s">
        <v>388</v>
      </c>
      <c r="VC47" s="15" t="n">
        <v>64</v>
      </c>
      <c r="VD47" s="17" t="n">
        <v>79.5</v>
      </c>
      <c r="VE47" s="17" t="n">
        <v>114</v>
      </c>
      <c r="VF47" s="17" t="n">
        <v>15</v>
      </c>
      <c r="VG47" s="17" t="n">
        <v>88.29</v>
      </c>
      <c r="VH47" s="17" t="n">
        <v>0</v>
      </c>
      <c r="VI47" s="17" t="n">
        <v>9.81</v>
      </c>
      <c r="VJ47" s="17" t="n">
        <v>1.64</v>
      </c>
      <c r="VK47" s="17" t="n">
        <v>0.26</v>
      </c>
      <c r="VL47" s="17" t="n">
        <v>0</v>
      </c>
      <c r="VM47" s="17" t="n">
        <v>0</v>
      </c>
      <c r="VN47" s="17" t="n">
        <v>0</v>
      </c>
      <c r="VO47" s="17" t="n">
        <v>0</v>
      </c>
      <c r="VP47" s="17" t="n">
        <v>0</v>
      </c>
      <c r="VQ47" s="17" t="n">
        <v>0</v>
      </c>
      <c r="VR47" s="17" t="n">
        <v>0.55</v>
      </c>
      <c r="VS47" s="17" t="n">
        <v>24</v>
      </c>
      <c r="VT47" s="17" t="n">
        <v>4.31</v>
      </c>
      <c r="VU47" s="17" t="n">
        <v>0.82</v>
      </c>
      <c r="VV47" s="17" t="n">
        <v>0</v>
      </c>
      <c r="VW47" s="17" t="n">
        <v>0</v>
      </c>
      <c r="VX47" s="17" t="n">
        <v>0</v>
      </c>
      <c r="VY47" s="17"/>
      <c r="WK47" s="15" t="n">
        <v>40.4</v>
      </c>
      <c r="WL47" s="15" t="n">
        <v>1</v>
      </c>
      <c r="WM47" s="15" t="n">
        <v>38</v>
      </c>
      <c r="WN47" s="15" t="n">
        <v>9</v>
      </c>
      <c r="WO47" s="15" t="n">
        <v>5.52</v>
      </c>
      <c r="WP47" s="15" t="n">
        <v>5</v>
      </c>
      <c r="WQ47" s="15" t="n">
        <v>23</v>
      </c>
      <c r="WR47" s="15" t="n">
        <v>1</v>
      </c>
      <c r="WS47" s="15" t="n">
        <v>0.09</v>
      </c>
      <c r="WT47" s="15" t="n">
        <v>3</v>
      </c>
      <c r="WW47" s="31"/>
      <c r="XA47" s="31"/>
      <c r="XE47" s="31"/>
      <c r="XI47" s="31"/>
      <c r="XM47" s="31"/>
      <c r="XO47" s="15" t="n">
        <v>0</v>
      </c>
      <c r="YZ47" s="15" t="n">
        <v>0</v>
      </c>
      <c r="ZA47" s="15" t="n">
        <v>0</v>
      </c>
      <c r="ZK47" s="15" t="n">
        <v>8.33</v>
      </c>
      <c r="ZL47" s="15" t="n">
        <v>5.52</v>
      </c>
      <c r="ZM47" s="15" t="n">
        <v>0</v>
      </c>
      <c r="ZN47" s="15" t="n">
        <v>0</v>
      </c>
      <c r="ZO47" s="15" t="n">
        <v>0</v>
      </c>
      <c r="ZP47" s="15" t="n">
        <v>0</v>
      </c>
      <c r="ZQ47" s="15" t="n">
        <v>0</v>
      </c>
      <c r="ZR47" s="15" t="n">
        <v>0</v>
      </c>
      <c r="ZS47" s="15" t="s">
        <v>196</v>
      </c>
      <c r="ZT47" s="15" t="n">
        <v>24.5</v>
      </c>
      <c r="ZU47" s="17" t="n">
        <v>58.4</v>
      </c>
      <c r="ZV47" s="17" t="n">
        <v>114</v>
      </c>
      <c r="ZW47" s="17" t="n">
        <v>12</v>
      </c>
      <c r="ZX47" s="17" t="n">
        <v>92.09</v>
      </c>
      <c r="ZY47" s="17" t="n">
        <v>0</v>
      </c>
      <c r="ZZ47" s="17" t="n">
        <v>0</v>
      </c>
      <c r="AAA47" s="17" t="n">
        <v>5.57</v>
      </c>
      <c r="AAB47" s="17" t="n">
        <v>2.35</v>
      </c>
      <c r="AAC47" s="17" t="n">
        <v>0</v>
      </c>
      <c r="AAD47" s="17" t="n">
        <v>0</v>
      </c>
      <c r="AAE47" s="17" t="n">
        <v>0</v>
      </c>
      <c r="AAF47" s="17" t="n">
        <v>0</v>
      </c>
      <c r="AAG47" s="17" t="n">
        <v>0</v>
      </c>
      <c r="AAH47" s="17" t="n">
        <v>0</v>
      </c>
      <c r="AAI47" s="17" t="n">
        <v>8.58</v>
      </c>
      <c r="AAJ47" s="17" t="n">
        <v>3.1</v>
      </c>
      <c r="AAK47" s="17" t="n">
        <v>0.55</v>
      </c>
      <c r="AAL47" s="17" t="n">
        <v>0.71</v>
      </c>
      <c r="AAM47" s="17" t="n">
        <v>0</v>
      </c>
      <c r="AAN47" s="17" t="n">
        <v>0</v>
      </c>
      <c r="AAO47" s="17" t="n">
        <v>0</v>
      </c>
      <c r="ABB47" s="15" t="n">
        <v>7.2</v>
      </c>
      <c r="ABC47" s="15" t="n">
        <v>1</v>
      </c>
      <c r="ABD47" s="17" t="n">
        <v>30</v>
      </c>
      <c r="ABE47" s="17" t="n">
        <v>2</v>
      </c>
      <c r="ABF47" s="17" t="n">
        <v>1.09</v>
      </c>
      <c r="ABG47" s="17" t="n">
        <v>4</v>
      </c>
      <c r="ABH47" s="17" t="n">
        <v>30</v>
      </c>
      <c r="ABI47" s="17" t="n">
        <v>2</v>
      </c>
      <c r="ABJ47" s="17" t="n">
        <v>0.27</v>
      </c>
      <c r="ABK47" s="17" t="n">
        <v>2</v>
      </c>
      <c r="ABL47" s="17" t="n">
        <v>34</v>
      </c>
      <c r="ABM47" s="17" t="n">
        <v>1</v>
      </c>
      <c r="ABN47" s="31" t="n">
        <v>1.09</v>
      </c>
      <c r="ABO47" s="17" t="n">
        <v>1</v>
      </c>
      <c r="ABR47" s="31"/>
      <c r="ABV47" s="31"/>
      <c r="ABZ47" s="31"/>
      <c r="ACD47" s="31"/>
      <c r="ACF47" s="15" t="n">
        <v>0</v>
      </c>
      <c r="ADQ47" s="15" t="n">
        <v>0</v>
      </c>
      <c r="ADR47" s="15" t="n">
        <v>0</v>
      </c>
      <c r="AEB47" s="15" t="n">
        <v>5.3</v>
      </c>
      <c r="AEC47" s="15" t="n">
        <f aca="false">0.27+8.58+0.32</f>
        <v>9.17</v>
      </c>
      <c r="AED47" s="15" t="n">
        <v>0</v>
      </c>
      <c r="AEE47" s="15" t="n">
        <v>0</v>
      </c>
      <c r="AEF47" s="15" t="n">
        <v>0</v>
      </c>
      <c r="AEG47" s="15" t="n">
        <v>8.58</v>
      </c>
      <c r="AEH47" s="15" t="n">
        <v>0</v>
      </c>
      <c r="AEI47" s="15" t="n">
        <v>0</v>
      </c>
      <c r="AEJ47" s="15" t="s">
        <v>195</v>
      </c>
      <c r="AEK47" s="15" t="n">
        <v>22</v>
      </c>
      <c r="AEL47" s="17" t="n">
        <v>44.2</v>
      </c>
      <c r="AEM47" s="17" t="n">
        <v>114</v>
      </c>
      <c r="AEN47" s="17" t="n">
        <v>10.9</v>
      </c>
      <c r="AEO47" s="17" t="n">
        <v>92.8</v>
      </c>
      <c r="AEP47" s="17" t="n">
        <v>0</v>
      </c>
      <c r="AEQ47" s="17" t="n">
        <v>0</v>
      </c>
      <c r="AER47" s="17" t="n">
        <v>5.57</v>
      </c>
      <c r="AES47" s="17" t="n">
        <v>1.64</v>
      </c>
      <c r="AET47" s="17" t="n">
        <v>0</v>
      </c>
      <c r="AEU47" s="17" t="n">
        <v>0</v>
      </c>
      <c r="AEV47" s="17" t="n">
        <v>0</v>
      </c>
      <c r="AEW47" s="17" t="n">
        <v>0</v>
      </c>
      <c r="AEX47" s="17" t="n">
        <v>0</v>
      </c>
      <c r="AEY47" s="17" t="n">
        <v>0</v>
      </c>
      <c r="AEZ47" s="17" t="n">
        <v>8.58</v>
      </c>
      <c r="AFA47" s="17" t="n">
        <v>1.57</v>
      </c>
      <c r="AFB47" s="17" t="n">
        <v>0.55</v>
      </c>
      <c r="AFC47" s="17" t="n">
        <v>0</v>
      </c>
      <c r="AFD47" s="17" t="n">
        <v>0</v>
      </c>
      <c r="AFE47" s="17" t="n">
        <v>0</v>
      </c>
      <c r="AFF47" s="17" t="n">
        <v>0</v>
      </c>
      <c r="AFS47" s="15" t="n">
        <v>7.15</v>
      </c>
      <c r="AFT47" s="15" t="n">
        <v>1</v>
      </c>
      <c r="AFU47" s="17" t="n">
        <v>30</v>
      </c>
      <c r="AFV47" s="17" t="n">
        <v>2</v>
      </c>
      <c r="AFW47" s="17" t="n">
        <v>1.09</v>
      </c>
      <c r="AFX47" s="17" t="n">
        <v>4</v>
      </c>
      <c r="AFY47" s="17" t="n">
        <v>30</v>
      </c>
      <c r="AFZ47" s="17" t="n">
        <v>2</v>
      </c>
      <c r="AGA47" s="17" t="n">
        <v>0.27</v>
      </c>
      <c r="AGB47" s="17" t="n">
        <v>2</v>
      </c>
      <c r="AGC47" s="17" t="n">
        <v>34</v>
      </c>
      <c r="AGD47" s="17" t="n">
        <v>1</v>
      </c>
      <c r="AGE47" s="31" t="n">
        <v>1.09</v>
      </c>
      <c r="AGF47" s="17" t="n">
        <v>1</v>
      </c>
      <c r="AGI47" s="31"/>
      <c r="AGM47" s="31"/>
      <c r="AGQ47" s="31"/>
      <c r="AGU47" s="31"/>
      <c r="AIH47" s="15" t="n">
        <v>0</v>
      </c>
      <c r="AII47" s="15" t="n">
        <v>0</v>
      </c>
      <c r="AIS47" s="15" t="n">
        <v>2.59</v>
      </c>
      <c r="AIT47" s="15" t="n">
        <f aca="false">0.27+0.32</f>
        <v>0.59</v>
      </c>
      <c r="AIU47" s="15" t="n">
        <v>0</v>
      </c>
      <c r="AIV47" s="15" t="n">
        <v>0</v>
      </c>
      <c r="AIW47" s="15" t="n">
        <v>0</v>
      </c>
      <c r="AIX47" s="15" t="n">
        <v>0</v>
      </c>
      <c r="AIY47" s="15" t="n">
        <v>1.03</v>
      </c>
      <c r="AIZ47" s="15" t="n">
        <v>0</v>
      </c>
      <c r="AJA47" s="15" t="s">
        <v>389</v>
      </c>
      <c r="AJB47" s="15" t="n">
        <v>10</v>
      </c>
      <c r="AJC47" s="17" t="n">
        <v>46.2</v>
      </c>
      <c r="AJD47" s="17" t="n">
        <v>114</v>
      </c>
      <c r="AJE47" s="17" t="n">
        <v>6.3</v>
      </c>
      <c r="AJF47" s="17" t="n">
        <v>0</v>
      </c>
      <c r="AJG47" s="17" t="n">
        <v>0</v>
      </c>
      <c r="AJH47" s="17" t="n">
        <v>1.91</v>
      </c>
      <c r="AJI47" s="17" t="n">
        <v>0</v>
      </c>
      <c r="AJJ47" s="17" t="n">
        <v>1.91</v>
      </c>
      <c r="AJK47" s="17" t="n">
        <v>0</v>
      </c>
      <c r="AJL47" s="17" t="n">
        <v>0</v>
      </c>
      <c r="AJM47" s="17" t="n">
        <v>0</v>
      </c>
      <c r="AJN47" s="17" t="n">
        <v>0</v>
      </c>
      <c r="AJO47" s="17" t="n">
        <v>0</v>
      </c>
      <c r="AJP47" s="17" t="n">
        <v>0</v>
      </c>
      <c r="AJQ47" s="17" t="n">
        <v>0</v>
      </c>
      <c r="AJR47" s="17" t="n">
        <v>8.85</v>
      </c>
      <c r="AJS47" s="17" t="n">
        <v>4.36</v>
      </c>
      <c r="AJT47" s="17" t="n">
        <v>0</v>
      </c>
      <c r="AJU47" s="17" t="n">
        <v>0</v>
      </c>
      <c r="AJV47" s="17" t="n">
        <v>0</v>
      </c>
      <c r="AKJ47" s="15" t="n">
        <v>0</v>
      </c>
      <c r="AKV47" s="31"/>
      <c r="AKZ47" s="31"/>
      <c r="ALD47" s="31"/>
      <c r="ALH47" s="31"/>
      <c r="ALL47" s="31"/>
      <c r="ALN47" s="15" t="n">
        <v>0</v>
      </c>
    </row>
    <row r="48" customFormat="false" ht="13.8" hidden="false" customHeight="false" outlineLevel="0" collapsed="false">
      <c r="A48" s="1" t="s">
        <v>392</v>
      </c>
      <c r="B48" s="12" t="n">
        <v>42900</v>
      </c>
      <c r="C48" s="0" t="n">
        <v>1</v>
      </c>
      <c r="D48" s="13" t="n">
        <v>34645</v>
      </c>
      <c r="E48" s="12" t="n">
        <v>24913</v>
      </c>
      <c r="F48" s="14" t="n">
        <f aca="false">(B48-E48)/365.25</f>
        <v>49.2457221081451</v>
      </c>
      <c r="G48" s="14" t="n">
        <f aca="false">(B48-D48)/365.25</f>
        <v>22.6009582477755</v>
      </c>
      <c r="H48" s="15" t="s">
        <v>183</v>
      </c>
      <c r="I48" s="15" t="s">
        <v>383</v>
      </c>
      <c r="J48" s="21" t="s">
        <v>181</v>
      </c>
      <c r="K48" s="21" t="n">
        <v>4</v>
      </c>
      <c r="L48" s="19" t="n">
        <v>72</v>
      </c>
      <c r="M48" s="0" t="n">
        <v>1.5</v>
      </c>
      <c r="N48" s="16" t="n">
        <f aca="false">L48/(M48*M48)</f>
        <v>32</v>
      </c>
      <c r="O48" s="19" t="n">
        <v>1</v>
      </c>
      <c r="P48" s="19" t="n">
        <v>1</v>
      </c>
      <c r="Q48" s="19"/>
      <c r="R48" s="19" t="n">
        <v>0</v>
      </c>
      <c r="S48" s="19" t="n">
        <v>0</v>
      </c>
      <c r="T48" s="19" t="n">
        <v>0</v>
      </c>
      <c r="U48" s="19" t="n">
        <v>0</v>
      </c>
      <c r="V48" s="19" t="n">
        <v>0</v>
      </c>
      <c r="W48" s="19" t="n">
        <v>1</v>
      </c>
      <c r="X48" s="19" t="n">
        <v>0</v>
      </c>
      <c r="Y48" s="19" t="n">
        <v>0</v>
      </c>
      <c r="Z48" s="19" t="n">
        <v>0</v>
      </c>
      <c r="AA48" s="19" t="n">
        <v>0</v>
      </c>
      <c r="AB48" s="19" t="n">
        <v>0</v>
      </c>
      <c r="AC48" s="19" t="n">
        <v>1</v>
      </c>
      <c r="AD48" s="19" t="n">
        <v>6</v>
      </c>
      <c r="AE48" s="19" t="n">
        <v>1</v>
      </c>
      <c r="AF48" s="19" t="n">
        <v>1</v>
      </c>
      <c r="AG48" s="19" t="n">
        <v>1</v>
      </c>
      <c r="AH48" s="19"/>
      <c r="AI48" s="19" t="n">
        <v>3</v>
      </c>
      <c r="AJ48" s="19" t="n">
        <v>3</v>
      </c>
      <c r="AK48" s="19" t="n">
        <v>3</v>
      </c>
      <c r="AL48" s="19" t="n">
        <v>9</v>
      </c>
      <c r="AM48" s="19" t="n">
        <v>9</v>
      </c>
      <c r="AN48" s="19" t="n">
        <v>3</v>
      </c>
      <c r="AO48" s="19" t="n">
        <v>3</v>
      </c>
      <c r="AP48" s="19" t="n">
        <v>3</v>
      </c>
      <c r="AQ48" s="19" t="n">
        <v>9</v>
      </c>
      <c r="AR48" s="19" t="n">
        <v>9</v>
      </c>
      <c r="AS48" s="19" t="n">
        <v>3</v>
      </c>
      <c r="AT48" s="19" t="n">
        <v>3</v>
      </c>
      <c r="AU48" s="19" t="n">
        <v>3</v>
      </c>
      <c r="AV48" s="19" t="n">
        <v>9</v>
      </c>
      <c r="AW48" s="19" t="n">
        <v>9</v>
      </c>
      <c r="AX48" s="19" t="n">
        <v>0</v>
      </c>
      <c r="AY48" s="19" t="n">
        <v>0</v>
      </c>
      <c r="AZ48" s="19" t="n">
        <v>0</v>
      </c>
      <c r="BA48" s="19" t="n">
        <v>0</v>
      </c>
      <c r="BB48" s="19" t="n">
        <v>1</v>
      </c>
      <c r="BC48" s="19" t="n">
        <v>1</v>
      </c>
      <c r="BD48" s="19" t="n">
        <v>1</v>
      </c>
      <c r="BE48" s="19" t="n">
        <v>5</v>
      </c>
      <c r="BF48" s="19" t="n">
        <v>0</v>
      </c>
      <c r="BG48" s="19" t="n">
        <v>0</v>
      </c>
      <c r="BH48" s="19" t="n">
        <v>0</v>
      </c>
      <c r="BI48" s="19" t="n">
        <v>0</v>
      </c>
      <c r="BJ48" s="19" t="n">
        <v>0</v>
      </c>
      <c r="BK48" s="19" t="n">
        <v>0</v>
      </c>
      <c r="BL48" s="19" t="n">
        <v>0</v>
      </c>
      <c r="BM48" s="19" t="n">
        <v>0</v>
      </c>
      <c r="BN48" s="19" t="n">
        <v>0</v>
      </c>
      <c r="BO48" s="19" t="n">
        <v>0</v>
      </c>
      <c r="BP48" s="19" t="n">
        <v>0</v>
      </c>
      <c r="BQ48" s="19" t="n">
        <v>0</v>
      </c>
      <c r="BR48" s="19" t="n">
        <v>3</v>
      </c>
      <c r="BS48" s="19" t="n">
        <v>1</v>
      </c>
      <c r="BT48" s="19"/>
      <c r="BU48" s="19" t="n">
        <v>4</v>
      </c>
      <c r="BV48" s="19" t="n">
        <v>1</v>
      </c>
      <c r="BW48" s="19" t="n">
        <v>1</v>
      </c>
      <c r="BX48" s="19" t="n">
        <v>2</v>
      </c>
      <c r="BY48" s="19" t="n">
        <v>3</v>
      </c>
      <c r="BZ48" s="19" t="n">
        <v>2</v>
      </c>
      <c r="CA48" s="19" t="n">
        <v>2</v>
      </c>
      <c r="CB48" s="19" t="n">
        <v>2</v>
      </c>
      <c r="CC48" s="19" t="n">
        <v>5</v>
      </c>
      <c r="CD48" s="19" t="n">
        <v>3</v>
      </c>
      <c r="CE48" s="19" t="n">
        <v>5</v>
      </c>
      <c r="CF48" s="19" t="n">
        <v>5</v>
      </c>
      <c r="CG48" s="19" t="n">
        <v>4</v>
      </c>
      <c r="CH48" s="19" t="n">
        <v>4</v>
      </c>
      <c r="CI48" s="19" t="n">
        <v>4</v>
      </c>
      <c r="CJ48" s="19" t="n">
        <v>4</v>
      </c>
      <c r="CK48" s="19" t="n">
        <v>9</v>
      </c>
      <c r="CL48" s="30" t="s">
        <v>384</v>
      </c>
      <c r="CM48" s="15" t="n">
        <v>28.5</v>
      </c>
      <c r="CN48" s="17" t="n">
        <v>69.3</v>
      </c>
      <c r="CO48" s="17" t="n">
        <v>114</v>
      </c>
      <c r="CP48" s="17" t="n">
        <v>19.5</v>
      </c>
      <c r="CQ48" s="17" t="n">
        <v>79.15</v>
      </c>
      <c r="CR48" s="17" t="n">
        <v>0</v>
      </c>
      <c r="CS48" s="17" t="n">
        <v>3.87</v>
      </c>
      <c r="CT48" s="17" t="n">
        <v>2.86</v>
      </c>
      <c r="CU48" s="17" t="n">
        <v>14.12</v>
      </c>
      <c r="CV48" s="17" t="n">
        <v>0</v>
      </c>
      <c r="CW48" s="17" t="n">
        <v>0</v>
      </c>
      <c r="CX48" s="17" t="n">
        <v>0</v>
      </c>
      <c r="CY48" s="17" t="n">
        <v>0</v>
      </c>
      <c r="CZ48" s="17" t="n">
        <v>0</v>
      </c>
      <c r="DA48" s="17" t="n">
        <v>0</v>
      </c>
      <c r="DB48" s="17" t="n">
        <v>0.82</v>
      </c>
      <c r="DC48" s="17" t="n">
        <v>11.71</v>
      </c>
      <c r="DD48" s="17" t="n">
        <v>15.43</v>
      </c>
      <c r="DE48" s="17" t="n">
        <v>4.91</v>
      </c>
      <c r="DF48" s="17" t="n">
        <v>0</v>
      </c>
      <c r="DG48" s="17" t="n">
        <v>0</v>
      </c>
      <c r="DH48" s="17" t="n">
        <v>0</v>
      </c>
      <c r="DI48" s="17" t="n">
        <v>0</v>
      </c>
      <c r="DJ48" s="17" t="n">
        <v>0</v>
      </c>
      <c r="DK48" s="17" t="n">
        <v>0</v>
      </c>
      <c r="DL48" s="17" t="n">
        <v>0</v>
      </c>
      <c r="DM48" s="17" t="n">
        <v>0</v>
      </c>
      <c r="DN48" s="17" t="n">
        <v>0</v>
      </c>
      <c r="DO48" s="17" t="n">
        <v>0</v>
      </c>
      <c r="DP48" s="17" t="n">
        <v>0</v>
      </c>
      <c r="DQ48" s="17" t="n">
        <v>0</v>
      </c>
      <c r="DR48" s="17" t="n">
        <v>0</v>
      </c>
      <c r="DS48" s="17" t="n">
        <v>0</v>
      </c>
      <c r="DT48" s="17" t="n">
        <v>0</v>
      </c>
      <c r="DU48" s="17" t="n">
        <v>0</v>
      </c>
      <c r="DV48" s="17" t="n">
        <v>0</v>
      </c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31"/>
      <c r="EH48" s="17"/>
      <c r="EK48" s="31"/>
      <c r="EO48" s="31"/>
      <c r="ES48" s="31"/>
      <c r="EW48" s="31"/>
      <c r="EY48" s="15" t="n">
        <v>0</v>
      </c>
      <c r="GJ48" s="15" t="n">
        <v>0</v>
      </c>
      <c r="GK48" s="15" t="n">
        <v>0</v>
      </c>
      <c r="GU48" s="15" t="n">
        <v>8.7</v>
      </c>
      <c r="GV48" s="15" t="n">
        <f aca="false">3.27*4+1.23+0.08+0.52*2</f>
        <v>15.43</v>
      </c>
      <c r="GW48" s="15" t="n">
        <v>0</v>
      </c>
      <c r="GX48" s="15" t="n">
        <v>0</v>
      </c>
      <c r="GY48" s="15" t="n">
        <v>0</v>
      </c>
      <c r="GZ48" s="15" t="n">
        <v>0</v>
      </c>
      <c r="HA48" s="15" t="n">
        <v>0</v>
      </c>
      <c r="HB48" s="15" t="n">
        <v>0</v>
      </c>
      <c r="HC48" s="15" t="s">
        <v>385</v>
      </c>
      <c r="HD48" s="15" t="n">
        <v>38.5</v>
      </c>
      <c r="HE48" s="17" t="n">
        <v>55</v>
      </c>
      <c r="HF48" s="17" t="n">
        <v>114</v>
      </c>
      <c r="HG48" s="17" t="n">
        <v>7.8</v>
      </c>
      <c r="HH48" s="17" t="n">
        <v>95.15</v>
      </c>
      <c r="HI48" s="17" t="n">
        <v>0</v>
      </c>
      <c r="HJ48" s="17" t="n">
        <v>3.78</v>
      </c>
      <c r="HK48" s="17" t="n">
        <v>0</v>
      </c>
      <c r="HL48" s="17" t="n">
        <v>1.07</v>
      </c>
      <c r="HM48" s="17" t="n">
        <v>0</v>
      </c>
      <c r="HN48" s="17" t="n">
        <v>0</v>
      </c>
      <c r="HO48" s="17" t="n">
        <v>0</v>
      </c>
      <c r="HP48" s="17" t="n">
        <v>0</v>
      </c>
      <c r="HQ48" s="17" t="n">
        <v>0</v>
      </c>
      <c r="HR48" s="17" t="n">
        <v>0</v>
      </c>
      <c r="HS48" s="17" t="n">
        <v>0</v>
      </c>
      <c r="HT48" s="17" t="n">
        <v>15.05</v>
      </c>
      <c r="HU48" s="17" t="n">
        <v>4.58</v>
      </c>
      <c r="HV48" s="17" t="n">
        <v>0.1</v>
      </c>
      <c r="HW48" s="17" t="n">
        <v>0</v>
      </c>
      <c r="HX48" s="17" t="n">
        <v>0</v>
      </c>
      <c r="HY48" s="17" t="n">
        <v>0</v>
      </c>
      <c r="IL48" s="15" t="n">
        <v>22.8</v>
      </c>
      <c r="IM48" s="15" t="n">
        <v>1</v>
      </c>
      <c r="IN48" s="15" t="n">
        <v>38</v>
      </c>
      <c r="IO48" s="15" t="n">
        <v>5</v>
      </c>
      <c r="IP48" s="15" t="n">
        <f aca="false">2.45+1.09</f>
        <v>3.54</v>
      </c>
      <c r="IQ48" s="15" t="n">
        <v>5</v>
      </c>
      <c r="IX48" s="31"/>
      <c r="JB48" s="31"/>
      <c r="JF48" s="31"/>
      <c r="JJ48" s="31"/>
      <c r="JN48" s="31"/>
      <c r="JP48" s="15" t="n">
        <v>0</v>
      </c>
      <c r="LA48" s="15" t="n">
        <v>0</v>
      </c>
      <c r="LB48" s="15" t="n">
        <v>0</v>
      </c>
      <c r="LL48" s="15" t="n">
        <v>7.84</v>
      </c>
      <c r="LM48" s="15" t="n">
        <f aca="false">2.45+1.09</f>
        <v>3.54</v>
      </c>
      <c r="LN48" s="15" t="n">
        <v>0</v>
      </c>
      <c r="LO48" s="15" t="n">
        <v>0</v>
      </c>
      <c r="LP48" s="15" t="n">
        <v>0</v>
      </c>
      <c r="LQ48" s="15" t="n">
        <v>0</v>
      </c>
      <c r="LR48" s="15" t="n">
        <v>0</v>
      </c>
      <c r="LS48" s="15" t="n">
        <v>0</v>
      </c>
      <c r="LT48" s="15" t="s">
        <v>386</v>
      </c>
      <c r="LU48" s="15" t="n">
        <v>38</v>
      </c>
      <c r="LV48" s="17" t="n">
        <v>48.8</v>
      </c>
      <c r="LW48" s="17" t="n">
        <v>114</v>
      </c>
      <c r="LX48" s="17" t="n">
        <v>7.2</v>
      </c>
      <c r="LY48" s="17" t="n">
        <v>96.13</v>
      </c>
      <c r="LZ48" s="17" t="n">
        <v>0</v>
      </c>
      <c r="MA48" s="17" t="n">
        <v>3.78</v>
      </c>
      <c r="MB48" s="17" t="n">
        <v>0</v>
      </c>
      <c r="MC48" s="17" t="n">
        <v>0.1</v>
      </c>
      <c r="MD48" s="17" t="n">
        <v>0</v>
      </c>
      <c r="ME48" s="17" t="n">
        <v>0</v>
      </c>
      <c r="MF48" s="17" t="n">
        <v>0</v>
      </c>
      <c r="MG48" s="17" t="n">
        <v>0</v>
      </c>
      <c r="MH48" s="17" t="n">
        <v>0</v>
      </c>
      <c r="MI48" s="17" t="n">
        <v>0</v>
      </c>
      <c r="MJ48" s="17" t="n">
        <v>0</v>
      </c>
      <c r="MK48" s="17" t="n">
        <v>12.85</v>
      </c>
      <c r="ML48" s="17" t="n">
        <v>4.58</v>
      </c>
      <c r="MM48" s="17" t="n">
        <v>0.1</v>
      </c>
      <c r="MN48" s="17" t="n">
        <v>0</v>
      </c>
      <c r="MO48" s="17" t="n">
        <v>0</v>
      </c>
      <c r="MP48" s="17" t="n">
        <v>0</v>
      </c>
      <c r="NC48" s="15" t="n">
        <v>22.8</v>
      </c>
      <c r="ND48" s="15" t="n">
        <v>1</v>
      </c>
      <c r="NE48" s="15" t="n">
        <v>38</v>
      </c>
      <c r="NF48" s="15" t="n">
        <v>5</v>
      </c>
      <c r="NG48" s="15" t="n">
        <f aca="false">2.45+1.09</f>
        <v>3.54</v>
      </c>
      <c r="NH48" s="15" t="n">
        <v>5</v>
      </c>
      <c r="NI48" s="15" t="n">
        <v>20</v>
      </c>
      <c r="NJ48" s="15" t="n">
        <v>4</v>
      </c>
      <c r="NK48" s="15" t="n">
        <v>0.29</v>
      </c>
      <c r="NL48" s="15" t="n">
        <v>2</v>
      </c>
      <c r="NO48" s="31"/>
      <c r="NS48" s="31"/>
      <c r="NW48" s="31"/>
      <c r="OA48" s="31"/>
      <c r="OE48" s="31"/>
      <c r="OG48" s="15" t="n">
        <v>0</v>
      </c>
      <c r="PR48" s="15" t="n">
        <v>0</v>
      </c>
      <c r="PS48" s="15" t="n">
        <v>0</v>
      </c>
      <c r="QC48" s="15" t="n">
        <v>7.84</v>
      </c>
      <c r="QD48" s="15" t="n">
        <f aca="false">2.45+1.09</f>
        <v>3.54</v>
      </c>
      <c r="QE48" s="15" t="n">
        <v>0</v>
      </c>
      <c r="QF48" s="15" t="n">
        <v>0</v>
      </c>
      <c r="QG48" s="15" t="n">
        <v>0</v>
      </c>
      <c r="QH48" s="15" t="n">
        <v>0</v>
      </c>
      <c r="QI48" s="15" t="n">
        <v>0</v>
      </c>
      <c r="QJ48" s="15" t="n">
        <v>0</v>
      </c>
      <c r="QK48" s="15" t="s">
        <v>387</v>
      </c>
      <c r="QL48" s="15" t="n">
        <v>64</v>
      </c>
      <c r="QM48" s="17" t="n">
        <v>70.6</v>
      </c>
      <c r="QN48" s="17" t="n">
        <v>114</v>
      </c>
      <c r="QO48" s="17" t="n">
        <v>14.9</v>
      </c>
      <c r="QP48" s="17" t="n">
        <v>88.29</v>
      </c>
      <c r="QQ48" s="17" t="n">
        <v>0</v>
      </c>
      <c r="QR48" s="17" t="n">
        <v>9.81</v>
      </c>
      <c r="QS48" s="17" t="n">
        <v>1.64</v>
      </c>
      <c r="QT48" s="17" t="n">
        <v>0.26</v>
      </c>
      <c r="QU48" s="17" t="n">
        <v>0</v>
      </c>
      <c r="QV48" s="17" t="n">
        <v>0</v>
      </c>
      <c r="QW48" s="17" t="n">
        <v>0</v>
      </c>
      <c r="QX48" s="17" t="n">
        <v>0</v>
      </c>
      <c r="QY48" s="17" t="n">
        <v>0</v>
      </c>
      <c r="QZ48" s="17" t="n">
        <v>0</v>
      </c>
      <c r="RA48" s="17" t="n">
        <v>0.55</v>
      </c>
      <c r="RB48" s="17" t="n">
        <v>22.64</v>
      </c>
      <c r="RC48" s="17" t="n">
        <v>2.58</v>
      </c>
      <c r="RD48" s="17" t="n">
        <v>0.13</v>
      </c>
      <c r="RE48" s="17" t="n">
        <v>0</v>
      </c>
      <c r="RF48" s="17" t="n">
        <v>0</v>
      </c>
      <c r="RG48" s="17" t="n">
        <v>0</v>
      </c>
      <c r="RT48" s="15" t="n">
        <v>40.4</v>
      </c>
      <c r="RU48" s="15" t="n">
        <v>1</v>
      </c>
      <c r="RV48" s="15" t="n">
        <v>38</v>
      </c>
      <c r="RW48" s="15" t="n">
        <v>9</v>
      </c>
      <c r="RX48" s="15" t="n">
        <v>5.52</v>
      </c>
      <c r="RY48" s="15" t="n">
        <v>5</v>
      </c>
      <c r="RZ48" s="15" t="n">
        <v>23</v>
      </c>
      <c r="SA48" s="15" t="n">
        <v>1</v>
      </c>
      <c r="SB48" s="15" t="n">
        <v>0.09</v>
      </c>
      <c r="SC48" s="15" t="n">
        <v>3</v>
      </c>
      <c r="SF48" s="31"/>
      <c r="SJ48" s="31"/>
      <c r="SN48" s="31"/>
      <c r="SR48" s="31"/>
      <c r="SV48" s="31"/>
      <c r="SX48" s="15" t="n">
        <v>0</v>
      </c>
      <c r="UI48" s="15" t="n">
        <v>0</v>
      </c>
      <c r="UJ48" s="15" t="n">
        <v>0</v>
      </c>
      <c r="UT48" s="15" t="n">
        <v>8.33</v>
      </c>
      <c r="UU48" s="15" t="n">
        <v>5.52</v>
      </c>
      <c r="UV48" s="15" t="n">
        <v>0</v>
      </c>
      <c r="UW48" s="15" t="n">
        <v>0</v>
      </c>
      <c r="UX48" s="15" t="n">
        <v>0</v>
      </c>
      <c r="UY48" s="15" t="n">
        <v>0</v>
      </c>
      <c r="UZ48" s="15" t="n">
        <v>0</v>
      </c>
      <c r="VA48" s="15" t="n">
        <v>0</v>
      </c>
      <c r="VB48" s="15" t="s">
        <v>388</v>
      </c>
      <c r="VC48" s="15" t="n">
        <v>64</v>
      </c>
      <c r="VD48" s="17" t="n">
        <v>79.5</v>
      </c>
      <c r="VE48" s="17" t="n">
        <v>114</v>
      </c>
      <c r="VF48" s="17" t="n">
        <v>15</v>
      </c>
      <c r="VG48" s="17" t="n">
        <v>88.29</v>
      </c>
      <c r="VH48" s="17" t="n">
        <v>0</v>
      </c>
      <c r="VI48" s="17" t="n">
        <v>9.81</v>
      </c>
      <c r="VJ48" s="17" t="n">
        <v>1.64</v>
      </c>
      <c r="VK48" s="17" t="n">
        <v>0.26</v>
      </c>
      <c r="VL48" s="17" t="n">
        <v>0</v>
      </c>
      <c r="VM48" s="17" t="n">
        <v>0</v>
      </c>
      <c r="VN48" s="17" t="n">
        <v>0</v>
      </c>
      <c r="VO48" s="17" t="n">
        <v>0</v>
      </c>
      <c r="VP48" s="17" t="n">
        <v>0</v>
      </c>
      <c r="VQ48" s="17" t="n">
        <v>0</v>
      </c>
      <c r="VR48" s="17" t="n">
        <v>0.55</v>
      </c>
      <c r="VS48" s="17" t="n">
        <v>24</v>
      </c>
      <c r="VT48" s="17" t="n">
        <v>4.31</v>
      </c>
      <c r="VU48" s="17" t="n">
        <v>0.82</v>
      </c>
      <c r="VV48" s="17" t="n">
        <v>0</v>
      </c>
      <c r="VW48" s="17" t="n">
        <v>0</v>
      </c>
      <c r="VX48" s="17" t="n">
        <v>0</v>
      </c>
      <c r="VY48" s="17"/>
      <c r="WK48" s="15" t="n">
        <v>40.4</v>
      </c>
      <c r="WL48" s="15" t="n">
        <v>1</v>
      </c>
      <c r="WM48" s="15" t="n">
        <v>38</v>
      </c>
      <c r="WN48" s="15" t="n">
        <v>9</v>
      </c>
      <c r="WO48" s="15" t="n">
        <v>5.52</v>
      </c>
      <c r="WP48" s="15" t="n">
        <v>5</v>
      </c>
      <c r="WQ48" s="15" t="n">
        <v>23</v>
      </c>
      <c r="WR48" s="15" t="n">
        <v>1</v>
      </c>
      <c r="WS48" s="15" t="n">
        <v>0.09</v>
      </c>
      <c r="WT48" s="15" t="n">
        <v>3</v>
      </c>
      <c r="WW48" s="31"/>
      <c r="XA48" s="31"/>
      <c r="XE48" s="31"/>
      <c r="XI48" s="31"/>
      <c r="XM48" s="31"/>
      <c r="XO48" s="15" t="n">
        <v>0</v>
      </c>
      <c r="YZ48" s="15" t="n">
        <v>0</v>
      </c>
      <c r="ZA48" s="15" t="n">
        <v>0</v>
      </c>
      <c r="ZK48" s="15" t="n">
        <v>8.33</v>
      </c>
      <c r="ZL48" s="15" t="n">
        <v>5.52</v>
      </c>
      <c r="ZM48" s="15" t="n">
        <v>0</v>
      </c>
      <c r="ZN48" s="15" t="n">
        <v>0</v>
      </c>
      <c r="ZO48" s="15" t="n">
        <v>0</v>
      </c>
      <c r="ZP48" s="15" t="n">
        <v>0</v>
      </c>
      <c r="ZQ48" s="15" t="n">
        <v>0</v>
      </c>
      <c r="ZR48" s="15" t="n">
        <v>0</v>
      </c>
      <c r="ZS48" s="15" t="s">
        <v>196</v>
      </c>
      <c r="ZT48" s="15" t="n">
        <v>24.5</v>
      </c>
      <c r="ZU48" s="17" t="n">
        <v>58.4</v>
      </c>
      <c r="ZV48" s="17" t="n">
        <v>114</v>
      </c>
      <c r="ZW48" s="17" t="n">
        <v>12</v>
      </c>
      <c r="ZX48" s="17" t="n">
        <v>92.09</v>
      </c>
      <c r="ZY48" s="17" t="n">
        <v>0</v>
      </c>
      <c r="ZZ48" s="17" t="n">
        <v>0</v>
      </c>
      <c r="AAA48" s="17" t="n">
        <v>5.57</v>
      </c>
      <c r="AAB48" s="17" t="n">
        <v>2.35</v>
      </c>
      <c r="AAC48" s="17" t="n">
        <v>0</v>
      </c>
      <c r="AAD48" s="17" t="n">
        <v>0</v>
      </c>
      <c r="AAE48" s="17" t="n">
        <v>0</v>
      </c>
      <c r="AAF48" s="17" t="n">
        <v>0</v>
      </c>
      <c r="AAG48" s="17" t="n">
        <v>0</v>
      </c>
      <c r="AAH48" s="17" t="n">
        <v>0</v>
      </c>
      <c r="AAI48" s="17" t="n">
        <v>8.58</v>
      </c>
      <c r="AAJ48" s="17" t="n">
        <v>3.1</v>
      </c>
      <c r="AAK48" s="17" t="n">
        <v>0.55</v>
      </c>
      <c r="AAL48" s="17" t="n">
        <v>0.71</v>
      </c>
      <c r="AAM48" s="17" t="n">
        <v>0</v>
      </c>
      <c r="AAN48" s="17" t="n">
        <v>0</v>
      </c>
      <c r="AAO48" s="17" t="n">
        <v>0</v>
      </c>
      <c r="ABB48" s="15" t="n">
        <v>7.2</v>
      </c>
      <c r="ABC48" s="15" t="n">
        <v>1</v>
      </c>
      <c r="ABD48" s="17" t="n">
        <v>30</v>
      </c>
      <c r="ABE48" s="17" t="n">
        <v>2</v>
      </c>
      <c r="ABF48" s="17" t="n">
        <v>1.09</v>
      </c>
      <c r="ABG48" s="17" t="n">
        <v>4</v>
      </c>
      <c r="ABH48" s="17" t="n">
        <v>30</v>
      </c>
      <c r="ABI48" s="17" t="n">
        <v>2</v>
      </c>
      <c r="ABJ48" s="17" t="n">
        <v>0.27</v>
      </c>
      <c r="ABK48" s="17" t="n">
        <v>2</v>
      </c>
      <c r="ABL48" s="17" t="n">
        <v>34</v>
      </c>
      <c r="ABM48" s="17" t="n">
        <v>1</v>
      </c>
      <c r="ABN48" s="31" t="n">
        <v>1.09</v>
      </c>
      <c r="ABO48" s="17" t="n">
        <v>1</v>
      </c>
      <c r="ABR48" s="31"/>
      <c r="ABV48" s="31"/>
      <c r="ABZ48" s="31"/>
      <c r="ACD48" s="31"/>
      <c r="ACF48" s="15" t="n">
        <v>0</v>
      </c>
      <c r="ADQ48" s="15" t="n">
        <v>0</v>
      </c>
      <c r="ADR48" s="15" t="n">
        <v>0</v>
      </c>
      <c r="AEB48" s="15" t="n">
        <v>5.3</v>
      </c>
      <c r="AEC48" s="15" t="n">
        <f aca="false">0.27+8.58+0.32</f>
        <v>9.17</v>
      </c>
      <c r="AED48" s="15" t="n">
        <v>0</v>
      </c>
      <c r="AEE48" s="15" t="n">
        <v>0</v>
      </c>
      <c r="AEF48" s="15" t="n">
        <v>0</v>
      </c>
      <c r="AEG48" s="15" t="n">
        <v>8.58</v>
      </c>
      <c r="AEH48" s="15" t="n">
        <v>0</v>
      </c>
      <c r="AEI48" s="15" t="n">
        <v>0</v>
      </c>
      <c r="AEJ48" s="15" t="s">
        <v>195</v>
      </c>
      <c r="AEK48" s="15" t="n">
        <v>22</v>
      </c>
      <c r="AEL48" s="17" t="n">
        <v>44.2</v>
      </c>
      <c r="AEM48" s="17" t="n">
        <v>114</v>
      </c>
      <c r="AEN48" s="17" t="n">
        <v>10.9</v>
      </c>
      <c r="AEO48" s="17" t="n">
        <v>92.8</v>
      </c>
      <c r="AEP48" s="17" t="n">
        <v>0</v>
      </c>
      <c r="AEQ48" s="17" t="n">
        <v>0</v>
      </c>
      <c r="AER48" s="17" t="n">
        <v>5.57</v>
      </c>
      <c r="AES48" s="17" t="n">
        <v>1.64</v>
      </c>
      <c r="AET48" s="17" t="n">
        <v>0</v>
      </c>
      <c r="AEU48" s="17" t="n">
        <v>0</v>
      </c>
      <c r="AEV48" s="17" t="n">
        <v>0</v>
      </c>
      <c r="AEW48" s="17" t="n">
        <v>0</v>
      </c>
      <c r="AEX48" s="17" t="n">
        <v>0</v>
      </c>
      <c r="AEY48" s="17" t="n">
        <v>0</v>
      </c>
      <c r="AEZ48" s="17" t="n">
        <v>8.58</v>
      </c>
      <c r="AFA48" s="17" t="n">
        <v>1.57</v>
      </c>
      <c r="AFB48" s="17" t="n">
        <v>0.55</v>
      </c>
      <c r="AFC48" s="17" t="n">
        <v>0</v>
      </c>
      <c r="AFD48" s="17" t="n">
        <v>0</v>
      </c>
      <c r="AFE48" s="17" t="n">
        <v>0</v>
      </c>
      <c r="AFF48" s="17" t="n">
        <v>0</v>
      </c>
      <c r="AFS48" s="15" t="n">
        <v>7.15</v>
      </c>
      <c r="AFT48" s="15" t="n">
        <v>1</v>
      </c>
      <c r="AFU48" s="17" t="n">
        <v>30</v>
      </c>
      <c r="AFV48" s="17" t="n">
        <v>2</v>
      </c>
      <c r="AFW48" s="17" t="n">
        <v>1.09</v>
      </c>
      <c r="AFX48" s="17" t="n">
        <v>4</v>
      </c>
      <c r="AFY48" s="17" t="n">
        <v>30</v>
      </c>
      <c r="AFZ48" s="17" t="n">
        <v>2</v>
      </c>
      <c r="AGA48" s="17" t="n">
        <v>0.27</v>
      </c>
      <c r="AGB48" s="17" t="n">
        <v>2</v>
      </c>
      <c r="AGC48" s="17" t="n">
        <v>34</v>
      </c>
      <c r="AGD48" s="17" t="n">
        <v>1</v>
      </c>
      <c r="AGE48" s="31" t="n">
        <v>1.09</v>
      </c>
      <c r="AGF48" s="17" t="n">
        <v>1</v>
      </c>
      <c r="AGI48" s="31"/>
      <c r="AGM48" s="31"/>
      <c r="AGQ48" s="31"/>
      <c r="AGU48" s="31"/>
      <c r="AIH48" s="15" t="n">
        <v>0</v>
      </c>
      <c r="AII48" s="15" t="n">
        <v>0</v>
      </c>
      <c r="AIS48" s="15" t="n">
        <v>2.59</v>
      </c>
      <c r="AIT48" s="15" t="n">
        <f aca="false">0.27+0.32</f>
        <v>0.59</v>
      </c>
      <c r="AIU48" s="15" t="n">
        <v>0</v>
      </c>
      <c r="AIV48" s="15" t="n">
        <v>0</v>
      </c>
      <c r="AIW48" s="15" t="n">
        <v>0</v>
      </c>
      <c r="AIX48" s="15" t="n">
        <v>0</v>
      </c>
      <c r="AIY48" s="15" t="n">
        <v>1.03</v>
      </c>
      <c r="AIZ48" s="15" t="n">
        <v>0</v>
      </c>
      <c r="AJA48" s="15" t="s">
        <v>389</v>
      </c>
      <c r="AJB48" s="15" t="n">
        <v>10</v>
      </c>
      <c r="AJC48" s="17" t="n">
        <v>46.2</v>
      </c>
      <c r="AJD48" s="17" t="n">
        <v>114</v>
      </c>
      <c r="AJE48" s="17" t="n">
        <v>6.3</v>
      </c>
      <c r="AJF48" s="17" t="n">
        <v>0</v>
      </c>
      <c r="AJG48" s="17" t="n">
        <v>0</v>
      </c>
      <c r="AJH48" s="17" t="n">
        <v>1.91</v>
      </c>
      <c r="AJI48" s="17" t="n">
        <v>0</v>
      </c>
      <c r="AJJ48" s="17" t="n">
        <v>1.91</v>
      </c>
      <c r="AJK48" s="17" t="n">
        <v>0</v>
      </c>
      <c r="AJL48" s="17" t="n">
        <v>0</v>
      </c>
      <c r="AJM48" s="17" t="n">
        <v>0</v>
      </c>
      <c r="AJN48" s="17" t="n">
        <v>0</v>
      </c>
      <c r="AJO48" s="17" t="n">
        <v>0</v>
      </c>
      <c r="AJP48" s="17" t="n">
        <v>0</v>
      </c>
      <c r="AJQ48" s="17" t="n">
        <v>0</v>
      </c>
      <c r="AJR48" s="17" t="n">
        <v>8.85</v>
      </c>
      <c r="AJS48" s="17" t="n">
        <v>4.36</v>
      </c>
      <c r="AJT48" s="17" t="n">
        <v>0</v>
      </c>
      <c r="AJU48" s="17" t="n">
        <v>0</v>
      </c>
      <c r="AJV48" s="17" t="n">
        <v>0</v>
      </c>
      <c r="AKJ48" s="15" t="n">
        <v>0</v>
      </c>
      <c r="AKV48" s="31"/>
      <c r="AKZ48" s="31"/>
      <c r="ALD48" s="31"/>
      <c r="ALH48" s="31"/>
      <c r="ALL48" s="31"/>
      <c r="ALN48" s="15" t="n">
        <v>0</v>
      </c>
    </row>
    <row r="49" customFormat="false" ht="13.8" hidden="false" customHeight="false" outlineLevel="0" collapsed="false">
      <c r="A49" s="1" t="s">
        <v>393</v>
      </c>
      <c r="B49" s="12" t="n">
        <v>42900</v>
      </c>
      <c r="C49" s="0" t="n">
        <v>2</v>
      </c>
      <c r="D49" s="13" t="n">
        <v>34624</v>
      </c>
      <c r="E49" s="12" t="n">
        <v>25514</v>
      </c>
      <c r="F49" s="14" t="n">
        <f aca="false">(B49-E49)/365.25</f>
        <v>47.6002737850787</v>
      </c>
      <c r="G49" s="14" t="n">
        <f aca="false">(B49-D49)/365.25</f>
        <v>22.6584531143053</v>
      </c>
      <c r="H49" s="15" t="s">
        <v>183</v>
      </c>
      <c r="I49" s="15" t="s">
        <v>383</v>
      </c>
      <c r="J49" s="21" t="s">
        <v>181</v>
      </c>
      <c r="K49" s="21" t="n">
        <v>4</v>
      </c>
      <c r="L49" s="19" t="n">
        <v>85</v>
      </c>
      <c r="M49" s="0" t="n">
        <v>1.73</v>
      </c>
      <c r="N49" s="16" t="n">
        <f aca="false">L49/(M49*M49)</f>
        <v>28.4005479635136</v>
      </c>
      <c r="O49" s="19" t="n">
        <v>1</v>
      </c>
      <c r="P49" s="19" t="n">
        <v>1</v>
      </c>
      <c r="Q49" s="19" t="s">
        <v>394</v>
      </c>
      <c r="R49" s="19" t="n">
        <v>0</v>
      </c>
      <c r="S49" s="19" t="n">
        <v>0</v>
      </c>
      <c r="T49" s="19" t="n">
        <v>0</v>
      </c>
      <c r="U49" s="19" t="n">
        <v>0</v>
      </c>
      <c r="V49" s="19" t="n">
        <v>0</v>
      </c>
      <c r="W49" s="19" t="n">
        <v>0</v>
      </c>
      <c r="X49" s="19" t="n">
        <v>0</v>
      </c>
      <c r="Y49" s="19" t="n">
        <v>1</v>
      </c>
      <c r="Z49" s="19" t="n">
        <v>1</v>
      </c>
      <c r="AA49" s="19" t="n">
        <v>120</v>
      </c>
      <c r="AB49" s="19" t="s">
        <v>395</v>
      </c>
      <c r="AC49" s="19" t="n">
        <v>0</v>
      </c>
      <c r="AD49" s="19" t="n">
        <v>0</v>
      </c>
      <c r="AE49" s="19" t="n">
        <v>0</v>
      </c>
      <c r="AF49" s="19" t="n">
        <v>0</v>
      </c>
      <c r="AG49" s="19"/>
      <c r="AH49" s="19"/>
      <c r="AI49" s="19" t="n">
        <v>0</v>
      </c>
      <c r="AJ49" s="19" t="n">
        <v>0</v>
      </c>
      <c r="AK49" s="19" t="n">
        <v>0</v>
      </c>
      <c r="AL49" s="19" t="n">
        <v>0</v>
      </c>
      <c r="AM49" s="19" t="n">
        <v>0</v>
      </c>
      <c r="AN49" s="19" t="n">
        <v>0</v>
      </c>
      <c r="AO49" s="19" t="n">
        <v>0</v>
      </c>
      <c r="AP49" s="19" t="n">
        <v>0</v>
      </c>
      <c r="AQ49" s="19" t="n">
        <v>0</v>
      </c>
      <c r="AR49" s="19" t="n">
        <v>0</v>
      </c>
      <c r="AS49" s="19" t="n">
        <v>3</v>
      </c>
      <c r="AT49" s="19"/>
      <c r="AU49" s="19"/>
      <c r="AV49" s="19"/>
      <c r="AW49" s="19"/>
      <c r="AX49" s="19" t="n">
        <v>0</v>
      </c>
      <c r="AY49" s="19" t="n">
        <v>0</v>
      </c>
      <c r="AZ49" s="19" t="n">
        <v>0</v>
      </c>
      <c r="BA49" s="19" t="n">
        <v>0</v>
      </c>
      <c r="BB49" s="19" t="n">
        <v>1</v>
      </c>
      <c r="BC49" s="19"/>
      <c r="BD49" s="19"/>
      <c r="BE49" s="19"/>
      <c r="BF49" s="19" t="n">
        <v>0</v>
      </c>
      <c r="BG49" s="19" t="n">
        <v>0</v>
      </c>
      <c r="BH49" s="19" t="n">
        <v>0</v>
      </c>
      <c r="BI49" s="19" t="n">
        <v>0</v>
      </c>
      <c r="BJ49" s="19"/>
      <c r="BK49" s="19"/>
      <c r="BL49" s="19"/>
      <c r="BM49" s="19"/>
      <c r="BN49" s="19" t="n">
        <v>0</v>
      </c>
      <c r="BO49" s="19" t="n">
        <v>0</v>
      </c>
      <c r="BP49" s="19" t="n">
        <v>0</v>
      </c>
      <c r="BQ49" s="19" t="n">
        <v>0</v>
      </c>
      <c r="BR49" s="19" t="n">
        <v>2</v>
      </c>
      <c r="BS49" s="19" t="n">
        <v>2</v>
      </c>
      <c r="BT49" s="19" t="n">
        <v>4</v>
      </c>
      <c r="BU49" s="19" t="n">
        <v>5</v>
      </c>
      <c r="BV49" s="19" t="n">
        <v>3</v>
      </c>
      <c r="BW49" s="19" t="n">
        <v>3</v>
      </c>
      <c r="BX49" s="19" t="n">
        <v>3</v>
      </c>
      <c r="BY49" s="19" t="n">
        <v>4</v>
      </c>
      <c r="BZ49" s="19" t="n">
        <v>2</v>
      </c>
      <c r="CA49" s="19" t="n">
        <v>3</v>
      </c>
      <c r="CB49" s="19" t="n">
        <v>3</v>
      </c>
      <c r="CC49" s="19" t="n">
        <v>5</v>
      </c>
      <c r="CD49" s="19" t="n">
        <v>4</v>
      </c>
      <c r="CE49" s="19" t="n">
        <v>4</v>
      </c>
      <c r="CF49" s="19" t="n">
        <v>4</v>
      </c>
      <c r="CG49" s="19" t="n">
        <v>5</v>
      </c>
      <c r="CH49" s="19" t="n">
        <v>4</v>
      </c>
      <c r="CI49" s="19" t="n">
        <v>4</v>
      </c>
      <c r="CJ49" s="19" t="n">
        <v>4</v>
      </c>
      <c r="CK49" s="19" t="n">
        <v>9</v>
      </c>
      <c r="CL49" s="30" t="s">
        <v>384</v>
      </c>
      <c r="CM49" s="15" t="n">
        <v>28.5</v>
      </c>
      <c r="CN49" s="17" t="n">
        <v>69.3</v>
      </c>
      <c r="CO49" s="17" t="n">
        <v>114</v>
      </c>
      <c r="CP49" s="17" t="n">
        <v>19.5</v>
      </c>
      <c r="CQ49" s="17" t="n">
        <v>79.15</v>
      </c>
      <c r="CR49" s="17" t="n">
        <v>0</v>
      </c>
      <c r="CS49" s="17" t="n">
        <v>3.87</v>
      </c>
      <c r="CT49" s="17" t="n">
        <v>2.86</v>
      </c>
      <c r="CU49" s="17" t="n">
        <v>14.12</v>
      </c>
      <c r="CV49" s="17" t="n">
        <v>0</v>
      </c>
      <c r="CW49" s="17" t="n">
        <v>0</v>
      </c>
      <c r="CX49" s="17" t="n">
        <v>0</v>
      </c>
      <c r="CY49" s="17" t="n">
        <v>0</v>
      </c>
      <c r="CZ49" s="17" t="n">
        <v>0</v>
      </c>
      <c r="DA49" s="17" t="n">
        <v>0</v>
      </c>
      <c r="DB49" s="17" t="n">
        <v>0.82</v>
      </c>
      <c r="DC49" s="17" t="n">
        <v>11.71</v>
      </c>
      <c r="DD49" s="17" t="n">
        <v>15.43</v>
      </c>
      <c r="DE49" s="17" t="n">
        <v>4.91</v>
      </c>
      <c r="DF49" s="17" t="n">
        <v>0</v>
      </c>
      <c r="DG49" s="17" t="n">
        <v>0</v>
      </c>
      <c r="DH49" s="17" t="n">
        <v>0</v>
      </c>
      <c r="DI49" s="17" t="n">
        <v>0</v>
      </c>
      <c r="DJ49" s="17" t="n">
        <v>0</v>
      </c>
      <c r="DK49" s="17" t="n">
        <v>0</v>
      </c>
      <c r="DL49" s="17" t="n">
        <v>0</v>
      </c>
      <c r="DM49" s="17" t="n">
        <v>0</v>
      </c>
      <c r="DN49" s="17" t="n">
        <v>0</v>
      </c>
      <c r="DO49" s="17" t="n">
        <v>0</v>
      </c>
      <c r="DP49" s="17" t="n">
        <v>0</v>
      </c>
      <c r="DQ49" s="17" t="n">
        <v>0</v>
      </c>
      <c r="DR49" s="17" t="n">
        <v>0</v>
      </c>
      <c r="DS49" s="17" t="n">
        <v>0</v>
      </c>
      <c r="DT49" s="17" t="n">
        <v>0</v>
      </c>
      <c r="DU49" s="17" t="n">
        <v>0</v>
      </c>
      <c r="DV49" s="17" t="n">
        <v>0</v>
      </c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31"/>
      <c r="EH49" s="17"/>
      <c r="EK49" s="31"/>
      <c r="EO49" s="31"/>
      <c r="ES49" s="31"/>
      <c r="EW49" s="31"/>
      <c r="EY49" s="15" t="n">
        <v>0</v>
      </c>
      <c r="GJ49" s="15" t="n">
        <v>0</v>
      </c>
      <c r="GK49" s="15" t="n">
        <v>0</v>
      </c>
      <c r="GU49" s="15" t="n">
        <v>8.7</v>
      </c>
      <c r="GV49" s="15" t="n">
        <f aca="false">3.27*4+1.23+0.08+0.52*2</f>
        <v>15.43</v>
      </c>
      <c r="GW49" s="15" t="n">
        <v>0</v>
      </c>
      <c r="GX49" s="15" t="n">
        <v>0</v>
      </c>
      <c r="GY49" s="15" t="n">
        <v>0</v>
      </c>
      <c r="GZ49" s="15" t="n">
        <v>0</v>
      </c>
      <c r="HA49" s="15" t="n">
        <v>0</v>
      </c>
      <c r="HB49" s="15" t="n">
        <v>0</v>
      </c>
      <c r="HC49" s="15" t="s">
        <v>385</v>
      </c>
      <c r="HD49" s="15" t="n">
        <v>38.5</v>
      </c>
      <c r="HE49" s="17" t="n">
        <v>55</v>
      </c>
      <c r="HF49" s="17" t="n">
        <v>114</v>
      </c>
      <c r="HG49" s="17" t="n">
        <v>7.8</v>
      </c>
      <c r="HH49" s="17" t="n">
        <v>95.15</v>
      </c>
      <c r="HI49" s="17" t="n">
        <v>0</v>
      </c>
      <c r="HJ49" s="17" t="n">
        <v>3.78</v>
      </c>
      <c r="HK49" s="17" t="n">
        <v>0</v>
      </c>
      <c r="HL49" s="17" t="n">
        <v>1.07</v>
      </c>
      <c r="HM49" s="17" t="n">
        <v>0</v>
      </c>
      <c r="HN49" s="17" t="n">
        <v>0</v>
      </c>
      <c r="HO49" s="17" t="n">
        <v>0</v>
      </c>
      <c r="HP49" s="17" t="n">
        <v>0</v>
      </c>
      <c r="HQ49" s="17" t="n">
        <v>0</v>
      </c>
      <c r="HR49" s="17" t="n">
        <v>0</v>
      </c>
      <c r="HS49" s="17" t="n">
        <v>0</v>
      </c>
      <c r="HT49" s="17" t="n">
        <v>15.05</v>
      </c>
      <c r="HU49" s="17" t="n">
        <v>4.58</v>
      </c>
      <c r="HV49" s="17" t="n">
        <v>0.1</v>
      </c>
      <c r="HW49" s="17" t="n">
        <v>0</v>
      </c>
      <c r="HX49" s="17" t="n">
        <v>0</v>
      </c>
      <c r="HY49" s="17" t="n">
        <v>0</v>
      </c>
      <c r="IL49" s="15" t="n">
        <v>22.8</v>
      </c>
      <c r="IM49" s="15" t="n">
        <v>1</v>
      </c>
      <c r="IN49" s="15" t="n">
        <v>38</v>
      </c>
      <c r="IO49" s="15" t="n">
        <v>5</v>
      </c>
      <c r="IP49" s="15" t="n">
        <f aca="false">2.45+1.09</f>
        <v>3.54</v>
      </c>
      <c r="IQ49" s="15" t="n">
        <v>5</v>
      </c>
      <c r="IX49" s="31"/>
      <c r="JB49" s="31"/>
      <c r="JF49" s="31"/>
      <c r="JJ49" s="31"/>
      <c r="JN49" s="31"/>
      <c r="JP49" s="15" t="n">
        <v>0</v>
      </c>
      <c r="LA49" s="15" t="n">
        <v>0</v>
      </c>
      <c r="LB49" s="15" t="n">
        <v>0</v>
      </c>
      <c r="LL49" s="15" t="n">
        <v>7.84</v>
      </c>
      <c r="LM49" s="15" t="n">
        <f aca="false">2.45+1.09</f>
        <v>3.54</v>
      </c>
      <c r="LN49" s="15" t="n">
        <v>0</v>
      </c>
      <c r="LO49" s="15" t="n">
        <v>0</v>
      </c>
      <c r="LP49" s="15" t="n">
        <v>0</v>
      </c>
      <c r="LQ49" s="15" t="n">
        <v>0</v>
      </c>
      <c r="LR49" s="15" t="n">
        <v>0</v>
      </c>
      <c r="LS49" s="15" t="n">
        <v>0</v>
      </c>
      <c r="LT49" s="15" t="s">
        <v>386</v>
      </c>
      <c r="LU49" s="15" t="n">
        <v>38</v>
      </c>
      <c r="LV49" s="17" t="n">
        <v>48.8</v>
      </c>
      <c r="LW49" s="17" t="n">
        <v>114</v>
      </c>
      <c r="LX49" s="17" t="n">
        <v>7.2</v>
      </c>
      <c r="LY49" s="17" t="n">
        <v>96.13</v>
      </c>
      <c r="LZ49" s="17" t="n">
        <v>0</v>
      </c>
      <c r="MA49" s="17" t="n">
        <v>3.78</v>
      </c>
      <c r="MB49" s="17" t="n">
        <v>0</v>
      </c>
      <c r="MC49" s="17" t="n">
        <v>0.1</v>
      </c>
      <c r="MD49" s="17" t="n">
        <v>0</v>
      </c>
      <c r="ME49" s="17" t="n">
        <v>0</v>
      </c>
      <c r="MF49" s="17" t="n">
        <v>0</v>
      </c>
      <c r="MG49" s="17" t="n">
        <v>0</v>
      </c>
      <c r="MH49" s="17" t="n">
        <v>0</v>
      </c>
      <c r="MI49" s="17" t="n">
        <v>0</v>
      </c>
      <c r="MJ49" s="17" t="n">
        <v>0</v>
      </c>
      <c r="MK49" s="17" t="n">
        <v>12.85</v>
      </c>
      <c r="ML49" s="17" t="n">
        <v>4.58</v>
      </c>
      <c r="MM49" s="17" t="n">
        <v>0.1</v>
      </c>
      <c r="MN49" s="17" t="n">
        <v>0</v>
      </c>
      <c r="MO49" s="17" t="n">
        <v>0</v>
      </c>
      <c r="MP49" s="17" t="n">
        <v>0</v>
      </c>
      <c r="NC49" s="15" t="n">
        <v>22.8</v>
      </c>
      <c r="ND49" s="15" t="n">
        <v>1</v>
      </c>
      <c r="NE49" s="15" t="n">
        <v>38</v>
      </c>
      <c r="NF49" s="15" t="n">
        <v>5</v>
      </c>
      <c r="NG49" s="15" t="n">
        <f aca="false">2.45+1.09</f>
        <v>3.54</v>
      </c>
      <c r="NH49" s="15" t="n">
        <v>5</v>
      </c>
      <c r="NI49" s="15" t="n">
        <v>20</v>
      </c>
      <c r="NJ49" s="15" t="n">
        <v>4</v>
      </c>
      <c r="NK49" s="15" t="n">
        <v>0.29</v>
      </c>
      <c r="NL49" s="15" t="n">
        <v>2</v>
      </c>
      <c r="NO49" s="31"/>
      <c r="NS49" s="31"/>
      <c r="NW49" s="31"/>
      <c r="OA49" s="31"/>
      <c r="OE49" s="31"/>
      <c r="OG49" s="15" t="n">
        <v>0</v>
      </c>
      <c r="PR49" s="15" t="n">
        <v>0</v>
      </c>
      <c r="PS49" s="15" t="n">
        <v>0</v>
      </c>
      <c r="QC49" s="15" t="n">
        <v>7.84</v>
      </c>
      <c r="QD49" s="15" t="n">
        <f aca="false">2.45+1.09</f>
        <v>3.54</v>
      </c>
      <c r="QE49" s="15" t="n">
        <v>0</v>
      </c>
      <c r="QF49" s="15" t="n">
        <v>0</v>
      </c>
      <c r="QG49" s="15" t="n">
        <v>0</v>
      </c>
      <c r="QH49" s="15" t="n">
        <v>0</v>
      </c>
      <c r="QI49" s="15" t="n">
        <v>0</v>
      </c>
      <c r="QJ49" s="15" t="n">
        <v>0</v>
      </c>
      <c r="QK49" s="15" t="s">
        <v>387</v>
      </c>
      <c r="QL49" s="15" t="n">
        <v>64</v>
      </c>
      <c r="QM49" s="17" t="n">
        <v>70.6</v>
      </c>
      <c r="QN49" s="17" t="n">
        <v>114</v>
      </c>
      <c r="QO49" s="17" t="n">
        <v>14.9</v>
      </c>
      <c r="QP49" s="17" t="n">
        <v>88.29</v>
      </c>
      <c r="QQ49" s="17" t="n">
        <v>0</v>
      </c>
      <c r="QR49" s="17" t="n">
        <v>9.81</v>
      </c>
      <c r="QS49" s="17" t="n">
        <v>1.64</v>
      </c>
      <c r="QT49" s="17" t="n">
        <v>0.26</v>
      </c>
      <c r="QU49" s="17" t="n">
        <v>0</v>
      </c>
      <c r="QV49" s="17" t="n">
        <v>0</v>
      </c>
      <c r="QW49" s="17" t="n">
        <v>0</v>
      </c>
      <c r="QX49" s="17" t="n">
        <v>0</v>
      </c>
      <c r="QY49" s="17" t="n">
        <v>0</v>
      </c>
      <c r="QZ49" s="17" t="n">
        <v>0</v>
      </c>
      <c r="RA49" s="17" t="n">
        <v>0.55</v>
      </c>
      <c r="RB49" s="17" t="n">
        <v>22.64</v>
      </c>
      <c r="RC49" s="17" t="n">
        <v>2.58</v>
      </c>
      <c r="RD49" s="17" t="n">
        <v>0.13</v>
      </c>
      <c r="RE49" s="17" t="n">
        <v>0</v>
      </c>
      <c r="RF49" s="17" t="n">
        <v>0</v>
      </c>
      <c r="RG49" s="17" t="n">
        <v>0</v>
      </c>
      <c r="RT49" s="15" t="n">
        <v>40.4</v>
      </c>
      <c r="RU49" s="15" t="n">
        <v>1</v>
      </c>
      <c r="RV49" s="15" t="n">
        <v>38</v>
      </c>
      <c r="RW49" s="15" t="n">
        <v>9</v>
      </c>
      <c r="RX49" s="15" t="n">
        <v>5.52</v>
      </c>
      <c r="RY49" s="15" t="n">
        <v>5</v>
      </c>
      <c r="RZ49" s="15" t="n">
        <v>23</v>
      </c>
      <c r="SA49" s="15" t="n">
        <v>1</v>
      </c>
      <c r="SB49" s="15" t="n">
        <v>0.09</v>
      </c>
      <c r="SC49" s="15" t="n">
        <v>3</v>
      </c>
      <c r="SF49" s="31"/>
      <c r="SJ49" s="31"/>
      <c r="SN49" s="31"/>
      <c r="SR49" s="31"/>
      <c r="SV49" s="31"/>
      <c r="SX49" s="15" t="n">
        <v>0</v>
      </c>
      <c r="UI49" s="15" t="n">
        <v>0</v>
      </c>
      <c r="UJ49" s="15" t="n">
        <v>0</v>
      </c>
      <c r="UT49" s="15" t="n">
        <v>8.33</v>
      </c>
      <c r="UU49" s="15" t="n">
        <v>5.52</v>
      </c>
      <c r="UV49" s="15" t="n">
        <v>0</v>
      </c>
      <c r="UW49" s="15" t="n">
        <v>0</v>
      </c>
      <c r="UX49" s="15" t="n">
        <v>0</v>
      </c>
      <c r="UY49" s="15" t="n">
        <v>0</v>
      </c>
      <c r="UZ49" s="15" t="n">
        <v>0</v>
      </c>
      <c r="VA49" s="15" t="n">
        <v>0</v>
      </c>
      <c r="VB49" s="15" t="s">
        <v>388</v>
      </c>
      <c r="VC49" s="15" t="n">
        <v>64</v>
      </c>
      <c r="VD49" s="17" t="n">
        <v>79.5</v>
      </c>
      <c r="VE49" s="17" t="n">
        <v>114</v>
      </c>
      <c r="VF49" s="17" t="n">
        <v>15</v>
      </c>
      <c r="VG49" s="17" t="n">
        <v>88.29</v>
      </c>
      <c r="VH49" s="17" t="n">
        <v>0</v>
      </c>
      <c r="VI49" s="17" t="n">
        <v>9.81</v>
      </c>
      <c r="VJ49" s="17" t="n">
        <v>1.64</v>
      </c>
      <c r="VK49" s="17" t="n">
        <v>0.26</v>
      </c>
      <c r="VL49" s="17" t="n">
        <v>0</v>
      </c>
      <c r="VM49" s="17" t="n">
        <v>0</v>
      </c>
      <c r="VN49" s="17" t="n">
        <v>0</v>
      </c>
      <c r="VO49" s="17" t="n">
        <v>0</v>
      </c>
      <c r="VP49" s="17" t="n">
        <v>0</v>
      </c>
      <c r="VQ49" s="17" t="n">
        <v>0</v>
      </c>
      <c r="VR49" s="17" t="n">
        <v>0.55</v>
      </c>
      <c r="VS49" s="17" t="n">
        <v>24</v>
      </c>
      <c r="VT49" s="17" t="n">
        <v>4.31</v>
      </c>
      <c r="VU49" s="17" t="n">
        <v>0.82</v>
      </c>
      <c r="VV49" s="17" t="n">
        <v>0</v>
      </c>
      <c r="VW49" s="17" t="n">
        <v>0</v>
      </c>
      <c r="VX49" s="17" t="n">
        <v>0</v>
      </c>
      <c r="VY49" s="17"/>
      <c r="WK49" s="15" t="n">
        <v>40.4</v>
      </c>
      <c r="WL49" s="15" t="n">
        <v>1</v>
      </c>
      <c r="WM49" s="15" t="n">
        <v>38</v>
      </c>
      <c r="WN49" s="15" t="n">
        <v>9</v>
      </c>
      <c r="WO49" s="15" t="n">
        <v>5.52</v>
      </c>
      <c r="WP49" s="15" t="n">
        <v>5</v>
      </c>
      <c r="WQ49" s="15" t="n">
        <v>23</v>
      </c>
      <c r="WR49" s="15" t="n">
        <v>1</v>
      </c>
      <c r="WS49" s="15" t="n">
        <v>0.09</v>
      </c>
      <c r="WT49" s="15" t="n">
        <v>3</v>
      </c>
      <c r="WW49" s="31"/>
      <c r="XA49" s="31"/>
      <c r="XE49" s="31"/>
      <c r="XI49" s="31"/>
      <c r="XM49" s="31"/>
      <c r="XO49" s="15" t="n">
        <v>0</v>
      </c>
      <c r="YZ49" s="15" t="n">
        <v>0</v>
      </c>
      <c r="ZA49" s="15" t="n">
        <v>0</v>
      </c>
      <c r="ZK49" s="15" t="n">
        <v>8.33</v>
      </c>
      <c r="ZL49" s="15" t="n">
        <v>5.52</v>
      </c>
      <c r="ZM49" s="15" t="n">
        <v>0</v>
      </c>
      <c r="ZN49" s="15" t="n">
        <v>0</v>
      </c>
      <c r="ZO49" s="15" t="n">
        <v>0</v>
      </c>
      <c r="ZP49" s="15" t="n">
        <v>0</v>
      </c>
      <c r="ZQ49" s="15" t="n">
        <v>0</v>
      </c>
      <c r="ZR49" s="15" t="n">
        <v>0</v>
      </c>
      <c r="ZS49" s="15" t="s">
        <v>196</v>
      </c>
      <c r="ZT49" s="15" t="n">
        <v>24.5</v>
      </c>
      <c r="ZU49" s="17" t="n">
        <v>58.4</v>
      </c>
      <c r="ZV49" s="17" t="n">
        <v>114</v>
      </c>
      <c r="ZW49" s="17" t="n">
        <v>12</v>
      </c>
      <c r="ZX49" s="17" t="n">
        <v>92.09</v>
      </c>
      <c r="ZY49" s="17" t="n">
        <v>0</v>
      </c>
      <c r="ZZ49" s="17" t="n">
        <v>0</v>
      </c>
      <c r="AAA49" s="17" t="n">
        <v>5.57</v>
      </c>
      <c r="AAB49" s="17" t="n">
        <v>2.35</v>
      </c>
      <c r="AAC49" s="17" t="n">
        <v>0</v>
      </c>
      <c r="AAD49" s="17" t="n">
        <v>0</v>
      </c>
      <c r="AAE49" s="17" t="n">
        <v>0</v>
      </c>
      <c r="AAF49" s="17" t="n">
        <v>0</v>
      </c>
      <c r="AAG49" s="17" t="n">
        <v>0</v>
      </c>
      <c r="AAH49" s="17" t="n">
        <v>0</v>
      </c>
      <c r="AAI49" s="17" t="n">
        <v>8.58</v>
      </c>
      <c r="AAJ49" s="17" t="n">
        <v>3.1</v>
      </c>
      <c r="AAK49" s="17" t="n">
        <v>0.55</v>
      </c>
      <c r="AAL49" s="17" t="n">
        <v>0.71</v>
      </c>
      <c r="AAM49" s="17" t="n">
        <v>0</v>
      </c>
      <c r="AAN49" s="17" t="n">
        <v>0</v>
      </c>
      <c r="AAO49" s="17" t="n">
        <v>0</v>
      </c>
      <c r="ABB49" s="15" t="n">
        <v>7.2</v>
      </c>
      <c r="ABC49" s="15" t="n">
        <v>1</v>
      </c>
      <c r="ABD49" s="17" t="n">
        <v>30</v>
      </c>
      <c r="ABE49" s="17" t="n">
        <v>2</v>
      </c>
      <c r="ABF49" s="17" t="n">
        <v>1.09</v>
      </c>
      <c r="ABG49" s="17" t="n">
        <v>4</v>
      </c>
      <c r="ABH49" s="17" t="n">
        <v>30</v>
      </c>
      <c r="ABI49" s="17" t="n">
        <v>2</v>
      </c>
      <c r="ABJ49" s="17" t="n">
        <v>0.27</v>
      </c>
      <c r="ABK49" s="17" t="n">
        <v>2</v>
      </c>
      <c r="ABL49" s="17" t="n">
        <v>34</v>
      </c>
      <c r="ABM49" s="17" t="n">
        <v>1</v>
      </c>
      <c r="ABN49" s="31" t="n">
        <v>1.09</v>
      </c>
      <c r="ABO49" s="17" t="n">
        <v>1</v>
      </c>
      <c r="ABR49" s="31"/>
      <c r="ABV49" s="31"/>
      <c r="ABZ49" s="31"/>
      <c r="ACD49" s="31"/>
      <c r="ACF49" s="15" t="n">
        <v>0</v>
      </c>
      <c r="ADQ49" s="15" t="n">
        <v>0</v>
      </c>
      <c r="ADR49" s="15" t="n">
        <v>0</v>
      </c>
      <c r="AEB49" s="15" t="n">
        <v>5.3</v>
      </c>
      <c r="AEC49" s="15" t="n">
        <f aca="false">0.27+8.58+0.32</f>
        <v>9.17</v>
      </c>
      <c r="AED49" s="15" t="n">
        <v>0</v>
      </c>
      <c r="AEE49" s="15" t="n">
        <v>0</v>
      </c>
      <c r="AEF49" s="15" t="n">
        <v>0</v>
      </c>
      <c r="AEG49" s="15" t="n">
        <v>8.58</v>
      </c>
      <c r="AEH49" s="15" t="n">
        <v>0</v>
      </c>
      <c r="AEI49" s="15" t="n">
        <v>0</v>
      </c>
      <c r="AEJ49" s="15" t="s">
        <v>195</v>
      </c>
      <c r="AEK49" s="15" t="n">
        <v>22</v>
      </c>
      <c r="AEL49" s="17" t="n">
        <v>44.2</v>
      </c>
      <c r="AEM49" s="17" t="n">
        <v>114</v>
      </c>
      <c r="AEN49" s="17" t="n">
        <v>10.9</v>
      </c>
      <c r="AEO49" s="17" t="n">
        <v>92.8</v>
      </c>
      <c r="AEP49" s="17" t="n">
        <v>0</v>
      </c>
      <c r="AEQ49" s="17" t="n">
        <v>0</v>
      </c>
      <c r="AER49" s="17" t="n">
        <v>5.57</v>
      </c>
      <c r="AES49" s="17" t="n">
        <v>1.64</v>
      </c>
      <c r="AET49" s="17" t="n">
        <v>0</v>
      </c>
      <c r="AEU49" s="17" t="n">
        <v>0</v>
      </c>
      <c r="AEV49" s="17" t="n">
        <v>0</v>
      </c>
      <c r="AEW49" s="17" t="n">
        <v>0</v>
      </c>
      <c r="AEX49" s="17" t="n">
        <v>0</v>
      </c>
      <c r="AEY49" s="17" t="n">
        <v>0</v>
      </c>
      <c r="AEZ49" s="17" t="n">
        <v>8.58</v>
      </c>
      <c r="AFA49" s="17" t="n">
        <v>1.57</v>
      </c>
      <c r="AFB49" s="17" t="n">
        <v>0.55</v>
      </c>
      <c r="AFC49" s="17" t="n">
        <v>0</v>
      </c>
      <c r="AFD49" s="17" t="n">
        <v>0</v>
      </c>
      <c r="AFE49" s="17" t="n">
        <v>0</v>
      </c>
      <c r="AFF49" s="17" t="n">
        <v>0</v>
      </c>
      <c r="AFS49" s="15" t="n">
        <v>7.15</v>
      </c>
      <c r="AFT49" s="15" t="n">
        <v>1</v>
      </c>
      <c r="AFU49" s="17" t="n">
        <v>30</v>
      </c>
      <c r="AFV49" s="17" t="n">
        <v>2</v>
      </c>
      <c r="AFW49" s="17" t="n">
        <v>1.09</v>
      </c>
      <c r="AFX49" s="17" t="n">
        <v>4</v>
      </c>
      <c r="AFY49" s="17" t="n">
        <v>30</v>
      </c>
      <c r="AFZ49" s="17" t="n">
        <v>2</v>
      </c>
      <c r="AGA49" s="17" t="n">
        <v>0.27</v>
      </c>
      <c r="AGB49" s="17" t="n">
        <v>2</v>
      </c>
      <c r="AGC49" s="17" t="n">
        <v>34</v>
      </c>
      <c r="AGD49" s="17" t="n">
        <v>1</v>
      </c>
      <c r="AGE49" s="31" t="n">
        <v>1.09</v>
      </c>
      <c r="AGF49" s="17" t="n">
        <v>1</v>
      </c>
      <c r="AGI49" s="31"/>
      <c r="AGM49" s="31"/>
      <c r="AGQ49" s="31"/>
      <c r="AGU49" s="31"/>
      <c r="AIH49" s="15" t="n">
        <v>0</v>
      </c>
      <c r="AII49" s="15" t="n">
        <v>0</v>
      </c>
      <c r="AIS49" s="15" t="n">
        <v>2.59</v>
      </c>
      <c r="AIT49" s="15" t="n">
        <f aca="false">0.27+0.32</f>
        <v>0.59</v>
      </c>
      <c r="AIU49" s="15" t="n">
        <v>0</v>
      </c>
      <c r="AIV49" s="15" t="n">
        <v>0</v>
      </c>
      <c r="AIW49" s="15" t="n">
        <v>0</v>
      </c>
      <c r="AIX49" s="15" t="n">
        <v>0</v>
      </c>
      <c r="AIY49" s="15" t="n">
        <v>1.03</v>
      </c>
      <c r="AIZ49" s="15" t="n">
        <v>0</v>
      </c>
      <c r="AJA49" s="15" t="s">
        <v>389</v>
      </c>
      <c r="AJB49" s="15" t="n">
        <v>10</v>
      </c>
      <c r="AJC49" s="17" t="n">
        <v>46.2</v>
      </c>
      <c r="AJD49" s="17" t="n">
        <v>114</v>
      </c>
      <c r="AJE49" s="17" t="n">
        <v>6.3</v>
      </c>
      <c r="AJF49" s="17" t="n">
        <v>0</v>
      </c>
      <c r="AJG49" s="17" t="n">
        <v>0</v>
      </c>
      <c r="AJH49" s="17" t="n">
        <v>1.91</v>
      </c>
      <c r="AJI49" s="17" t="n">
        <v>0</v>
      </c>
      <c r="AJJ49" s="17" t="n">
        <v>1.91</v>
      </c>
      <c r="AJK49" s="17" t="n">
        <v>0</v>
      </c>
      <c r="AJL49" s="17" t="n">
        <v>0</v>
      </c>
      <c r="AJM49" s="17" t="n">
        <v>0</v>
      </c>
      <c r="AJN49" s="17" t="n">
        <v>0</v>
      </c>
      <c r="AJO49" s="17" t="n">
        <v>0</v>
      </c>
      <c r="AJP49" s="17" t="n">
        <v>0</v>
      </c>
      <c r="AJQ49" s="17" t="n">
        <v>0</v>
      </c>
      <c r="AJR49" s="17" t="n">
        <v>8.85</v>
      </c>
      <c r="AJS49" s="17" t="n">
        <v>4.36</v>
      </c>
      <c r="AJT49" s="17" t="n">
        <v>0</v>
      </c>
      <c r="AJU49" s="17" t="n">
        <v>0</v>
      </c>
      <c r="AJV49" s="17" t="n">
        <v>0</v>
      </c>
      <c r="AKJ49" s="15" t="n">
        <v>0</v>
      </c>
      <c r="AKV49" s="31"/>
      <c r="AKZ49" s="31"/>
      <c r="ALD49" s="31"/>
      <c r="ALH49" s="31"/>
      <c r="ALL49" s="31"/>
      <c r="ALN49" s="15" t="n">
        <v>0</v>
      </c>
    </row>
    <row r="50" customFormat="false" ht="13.8" hidden="false" customHeight="false" outlineLevel="0" collapsed="false">
      <c r="A50" s="1" t="s">
        <v>396</v>
      </c>
      <c r="B50" s="12" t="n">
        <v>42900</v>
      </c>
      <c r="C50" s="0" t="n">
        <v>1</v>
      </c>
      <c r="D50" s="13" t="n">
        <v>35604</v>
      </c>
      <c r="E50" s="12" t="n">
        <v>23672</v>
      </c>
      <c r="F50" s="14" t="n">
        <f aca="false">(B50-E50)/365.25</f>
        <v>52.643394934976</v>
      </c>
      <c r="G50" s="14" t="n">
        <f aca="false">(B50-D50)/365.25</f>
        <v>19.9753593429158</v>
      </c>
      <c r="H50" s="15" t="s">
        <v>183</v>
      </c>
      <c r="I50" s="15" t="s">
        <v>383</v>
      </c>
      <c r="J50" s="21" t="s">
        <v>181</v>
      </c>
      <c r="K50" s="21" t="n">
        <v>4</v>
      </c>
      <c r="L50" s="19"/>
      <c r="N50" s="16" t="e">
        <f aca="false">L50/(M50*M50)</f>
        <v>#DIV/0!</v>
      </c>
      <c r="O50" s="19" t="n">
        <v>0</v>
      </c>
      <c r="P50" s="19" t="n">
        <v>0</v>
      </c>
      <c r="Q50" s="19" t="n">
        <v>0</v>
      </c>
      <c r="R50" s="19" t="n">
        <v>0</v>
      </c>
      <c r="S50" s="19" t="n">
        <v>0</v>
      </c>
      <c r="T50" s="19" t="n">
        <v>0</v>
      </c>
      <c r="U50" s="19" t="n">
        <v>0</v>
      </c>
      <c r="V50" s="19" t="n">
        <v>0</v>
      </c>
      <c r="W50" s="19" t="n">
        <v>0</v>
      </c>
      <c r="X50" s="19" t="n">
        <v>0</v>
      </c>
      <c r="Y50" s="19" t="n">
        <v>1</v>
      </c>
      <c r="Z50" s="19" t="n">
        <v>1</v>
      </c>
      <c r="AA50" s="19" t="n">
        <v>45</v>
      </c>
      <c r="AB50" s="19" t="s">
        <v>397</v>
      </c>
      <c r="AC50" s="19" t="n">
        <v>0</v>
      </c>
      <c r="AD50" s="19" t="n">
        <v>0</v>
      </c>
      <c r="AE50" s="19" t="n">
        <v>1</v>
      </c>
      <c r="AF50" s="19"/>
      <c r="AG50" s="19" t="n">
        <v>1</v>
      </c>
      <c r="AH50" s="19"/>
      <c r="AI50" s="19" t="n">
        <v>3</v>
      </c>
      <c r="AJ50" s="19" t="n">
        <v>3</v>
      </c>
      <c r="AK50" s="19" t="n">
        <v>3</v>
      </c>
      <c r="AL50" s="19" t="n">
        <v>5</v>
      </c>
      <c r="AM50" s="19" t="n">
        <v>5</v>
      </c>
      <c r="AN50" s="19"/>
      <c r="AO50" s="19"/>
      <c r="AP50" s="19"/>
      <c r="AQ50" s="19"/>
      <c r="AR50" s="19"/>
      <c r="AS50" s="19" t="n">
        <v>3</v>
      </c>
      <c r="AT50" s="19" t="n">
        <v>0</v>
      </c>
      <c r="AU50" s="19" t="n">
        <v>0</v>
      </c>
      <c r="AV50" s="19" t="n">
        <v>0</v>
      </c>
      <c r="AW50" s="19" t="n">
        <v>0</v>
      </c>
      <c r="AX50" s="19" t="n">
        <v>1</v>
      </c>
      <c r="AY50" s="19" t="n">
        <v>1</v>
      </c>
      <c r="AZ50" s="19"/>
      <c r="BA50" s="19"/>
      <c r="BB50" s="19" t="n">
        <v>1</v>
      </c>
      <c r="BC50" s="19" t="n">
        <v>0</v>
      </c>
      <c r="BD50" s="19" t="n">
        <v>1</v>
      </c>
      <c r="BE50" s="19" t="n">
        <v>5</v>
      </c>
      <c r="BF50" s="19" t="n">
        <v>1</v>
      </c>
      <c r="BG50" s="19"/>
      <c r="BH50" s="19"/>
      <c r="BI50" s="19"/>
      <c r="BJ50" s="19" t="n">
        <v>1</v>
      </c>
      <c r="BK50" s="19"/>
      <c r="BL50" s="19" t="n">
        <v>1</v>
      </c>
      <c r="BM50" s="19" t="n">
        <v>4</v>
      </c>
      <c r="BN50" s="19" t="n">
        <v>1</v>
      </c>
      <c r="BO50" s="19"/>
      <c r="BP50" s="19" t="n">
        <v>1</v>
      </c>
      <c r="BQ50" s="19" t="n">
        <v>3</v>
      </c>
      <c r="BR50" s="19" t="n">
        <v>2</v>
      </c>
      <c r="BS50" s="19" t="n">
        <v>1</v>
      </c>
      <c r="BT50" s="19" t="n">
        <v>3</v>
      </c>
      <c r="BU50" s="19" t="n">
        <v>2</v>
      </c>
      <c r="BV50" s="19" t="n">
        <v>1</v>
      </c>
      <c r="BW50" s="19" t="n">
        <v>2</v>
      </c>
      <c r="BX50" s="19" t="n">
        <v>2</v>
      </c>
      <c r="BY50" s="19" t="n">
        <v>2</v>
      </c>
      <c r="BZ50" s="19" t="n">
        <v>3</v>
      </c>
      <c r="CA50" s="19" t="n">
        <v>2</v>
      </c>
      <c r="CB50" s="19" t="n">
        <v>3</v>
      </c>
      <c r="CC50" s="19" t="n">
        <v>5</v>
      </c>
      <c r="CD50" s="19" t="n">
        <v>4</v>
      </c>
      <c r="CE50" s="19" t="n">
        <v>5</v>
      </c>
      <c r="CF50" s="19" t="n">
        <v>4</v>
      </c>
      <c r="CG50" s="19" t="n">
        <v>4</v>
      </c>
      <c r="CH50" s="19" t="n">
        <v>4</v>
      </c>
      <c r="CI50" s="19" t="n">
        <v>3</v>
      </c>
      <c r="CJ50" s="19" t="n">
        <v>3</v>
      </c>
      <c r="CK50" s="19" t="n">
        <v>10</v>
      </c>
      <c r="CL50" s="30" t="s">
        <v>384</v>
      </c>
      <c r="CM50" s="15" t="n">
        <v>28.5</v>
      </c>
      <c r="CN50" s="17" t="n">
        <v>69.3</v>
      </c>
      <c r="CO50" s="17" t="n">
        <v>114</v>
      </c>
      <c r="CP50" s="17" t="n">
        <v>19.5</v>
      </c>
      <c r="CQ50" s="17" t="n">
        <v>79.15</v>
      </c>
      <c r="CR50" s="17" t="n">
        <v>0</v>
      </c>
      <c r="CS50" s="17" t="n">
        <v>3.87</v>
      </c>
      <c r="CT50" s="17" t="n">
        <v>2.86</v>
      </c>
      <c r="CU50" s="17" t="n">
        <v>14.12</v>
      </c>
      <c r="CV50" s="17" t="n">
        <v>0</v>
      </c>
      <c r="CW50" s="17" t="n">
        <v>0</v>
      </c>
      <c r="CX50" s="17" t="n">
        <v>0</v>
      </c>
      <c r="CY50" s="17" t="n">
        <v>0</v>
      </c>
      <c r="CZ50" s="17" t="n">
        <v>0</v>
      </c>
      <c r="DA50" s="17" t="n">
        <v>0</v>
      </c>
      <c r="DB50" s="17" t="n">
        <v>0.82</v>
      </c>
      <c r="DC50" s="17" t="n">
        <v>11.71</v>
      </c>
      <c r="DD50" s="17" t="n">
        <v>15.43</v>
      </c>
      <c r="DE50" s="17" t="n">
        <v>4.91</v>
      </c>
      <c r="DF50" s="17" t="n">
        <v>0</v>
      </c>
      <c r="DG50" s="17" t="n">
        <v>0</v>
      </c>
      <c r="DH50" s="17" t="n">
        <v>0</v>
      </c>
      <c r="DI50" s="17" t="n">
        <v>0</v>
      </c>
      <c r="DJ50" s="17" t="n">
        <v>0</v>
      </c>
      <c r="DK50" s="17" t="n">
        <v>0</v>
      </c>
      <c r="DL50" s="17" t="n">
        <v>0</v>
      </c>
      <c r="DM50" s="17" t="n">
        <v>0</v>
      </c>
      <c r="DN50" s="17" t="n">
        <v>0</v>
      </c>
      <c r="DO50" s="17" t="n">
        <v>0</v>
      </c>
      <c r="DP50" s="17" t="n">
        <v>0</v>
      </c>
      <c r="DQ50" s="17" t="n">
        <v>0</v>
      </c>
      <c r="DR50" s="17" t="n">
        <v>0</v>
      </c>
      <c r="DS50" s="17" t="n">
        <v>0</v>
      </c>
      <c r="DT50" s="17" t="n">
        <v>0</v>
      </c>
      <c r="DU50" s="17" t="n">
        <v>0</v>
      </c>
      <c r="DV50" s="17" t="n">
        <v>0</v>
      </c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31"/>
      <c r="EH50" s="17"/>
      <c r="EK50" s="31"/>
      <c r="EO50" s="31"/>
      <c r="ES50" s="31"/>
      <c r="EW50" s="31"/>
      <c r="EY50" s="15" t="n">
        <v>0</v>
      </c>
      <c r="GJ50" s="15" t="n">
        <v>0</v>
      </c>
      <c r="GK50" s="15" t="n">
        <v>0</v>
      </c>
      <c r="GU50" s="15" t="n">
        <v>8.7</v>
      </c>
      <c r="GV50" s="15" t="n">
        <f aca="false">3.27*4+1.23+0.08+0.52*2</f>
        <v>15.43</v>
      </c>
      <c r="GW50" s="15" t="n">
        <v>0</v>
      </c>
      <c r="GX50" s="15" t="n">
        <v>0</v>
      </c>
      <c r="GY50" s="15" t="n">
        <v>0</v>
      </c>
      <c r="GZ50" s="15" t="n">
        <v>0</v>
      </c>
      <c r="HA50" s="15" t="n">
        <v>0</v>
      </c>
      <c r="HB50" s="15" t="n">
        <v>0</v>
      </c>
      <c r="HC50" s="15" t="s">
        <v>385</v>
      </c>
      <c r="HD50" s="15" t="n">
        <v>38.5</v>
      </c>
      <c r="HE50" s="17" t="n">
        <v>55</v>
      </c>
      <c r="HF50" s="17" t="n">
        <v>114</v>
      </c>
      <c r="HG50" s="17" t="n">
        <v>7.8</v>
      </c>
      <c r="HH50" s="17" t="n">
        <v>95.15</v>
      </c>
      <c r="HI50" s="17" t="n">
        <v>0</v>
      </c>
      <c r="HJ50" s="17" t="n">
        <v>3.78</v>
      </c>
      <c r="HK50" s="17" t="n">
        <v>0</v>
      </c>
      <c r="HL50" s="17" t="n">
        <v>1.07</v>
      </c>
      <c r="HM50" s="17" t="n">
        <v>0</v>
      </c>
      <c r="HN50" s="17" t="n">
        <v>0</v>
      </c>
      <c r="HO50" s="17" t="n">
        <v>0</v>
      </c>
      <c r="HP50" s="17" t="n">
        <v>0</v>
      </c>
      <c r="HQ50" s="17" t="n">
        <v>0</v>
      </c>
      <c r="HR50" s="17" t="n">
        <v>0</v>
      </c>
      <c r="HS50" s="17" t="n">
        <v>0</v>
      </c>
      <c r="HT50" s="17" t="n">
        <v>15.05</v>
      </c>
      <c r="HU50" s="17" t="n">
        <v>4.58</v>
      </c>
      <c r="HV50" s="17" t="n">
        <v>0.1</v>
      </c>
      <c r="HW50" s="17" t="n">
        <v>0</v>
      </c>
      <c r="HX50" s="17" t="n">
        <v>0</v>
      </c>
      <c r="HY50" s="17" t="n">
        <v>0</v>
      </c>
      <c r="IL50" s="15" t="n">
        <v>22.8</v>
      </c>
      <c r="IM50" s="15" t="n">
        <v>1</v>
      </c>
      <c r="IN50" s="15" t="n">
        <v>38</v>
      </c>
      <c r="IO50" s="15" t="n">
        <v>5</v>
      </c>
      <c r="IP50" s="15" t="n">
        <f aca="false">2.45+1.09</f>
        <v>3.54</v>
      </c>
      <c r="IQ50" s="15" t="n">
        <v>5</v>
      </c>
      <c r="IX50" s="31"/>
      <c r="JB50" s="31"/>
      <c r="JF50" s="31"/>
      <c r="JJ50" s="31"/>
      <c r="JN50" s="31"/>
      <c r="JP50" s="15" t="n">
        <v>0</v>
      </c>
      <c r="LA50" s="15" t="n">
        <v>0</v>
      </c>
      <c r="LB50" s="15" t="n">
        <v>0</v>
      </c>
      <c r="LL50" s="15" t="n">
        <v>7.84</v>
      </c>
      <c r="LM50" s="15" t="n">
        <f aca="false">2.45+1.09</f>
        <v>3.54</v>
      </c>
      <c r="LN50" s="15" t="n">
        <v>0</v>
      </c>
      <c r="LO50" s="15" t="n">
        <v>0</v>
      </c>
      <c r="LP50" s="15" t="n">
        <v>0</v>
      </c>
      <c r="LQ50" s="15" t="n">
        <v>0</v>
      </c>
      <c r="LR50" s="15" t="n">
        <v>0</v>
      </c>
      <c r="LS50" s="15" t="n">
        <v>0</v>
      </c>
      <c r="LT50" s="15" t="s">
        <v>386</v>
      </c>
      <c r="LU50" s="15" t="n">
        <v>38</v>
      </c>
      <c r="LV50" s="17" t="n">
        <v>48.8</v>
      </c>
      <c r="LW50" s="17" t="n">
        <v>114</v>
      </c>
      <c r="LX50" s="17" t="n">
        <v>7.2</v>
      </c>
      <c r="LY50" s="17" t="n">
        <v>96.13</v>
      </c>
      <c r="LZ50" s="17" t="n">
        <v>0</v>
      </c>
      <c r="MA50" s="17" t="n">
        <v>3.78</v>
      </c>
      <c r="MB50" s="17" t="n">
        <v>0</v>
      </c>
      <c r="MC50" s="17" t="n">
        <v>0.1</v>
      </c>
      <c r="MD50" s="17" t="n">
        <v>0</v>
      </c>
      <c r="ME50" s="17" t="n">
        <v>0</v>
      </c>
      <c r="MF50" s="17" t="n">
        <v>0</v>
      </c>
      <c r="MG50" s="17" t="n">
        <v>0</v>
      </c>
      <c r="MH50" s="17" t="n">
        <v>0</v>
      </c>
      <c r="MI50" s="17" t="n">
        <v>0</v>
      </c>
      <c r="MJ50" s="17" t="n">
        <v>0</v>
      </c>
      <c r="MK50" s="17" t="n">
        <v>12.85</v>
      </c>
      <c r="ML50" s="17" t="n">
        <v>4.58</v>
      </c>
      <c r="MM50" s="17" t="n">
        <v>0.1</v>
      </c>
      <c r="MN50" s="17" t="n">
        <v>0</v>
      </c>
      <c r="MO50" s="17" t="n">
        <v>0</v>
      </c>
      <c r="MP50" s="17" t="n">
        <v>0</v>
      </c>
      <c r="NC50" s="15" t="n">
        <v>22.8</v>
      </c>
      <c r="ND50" s="15" t="n">
        <v>1</v>
      </c>
      <c r="NE50" s="15" t="n">
        <v>38</v>
      </c>
      <c r="NF50" s="15" t="n">
        <v>5</v>
      </c>
      <c r="NG50" s="15" t="n">
        <f aca="false">2.45+1.09</f>
        <v>3.54</v>
      </c>
      <c r="NH50" s="15" t="n">
        <v>5</v>
      </c>
      <c r="NI50" s="15" t="n">
        <v>20</v>
      </c>
      <c r="NJ50" s="15" t="n">
        <v>4</v>
      </c>
      <c r="NK50" s="15" t="n">
        <v>0.29</v>
      </c>
      <c r="NL50" s="15" t="n">
        <v>2</v>
      </c>
      <c r="NO50" s="31"/>
      <c r="NS50" s="31"/>
      <c r="NW50" s="31"/>
      <c r="OA50" s="31"/>
      <c r="OE50" s="31"/>
      <c r="OG50" s="15" t="n">
        <v>0</v>
      </c>
      <c r="PR50" s="15" t="n">
        <v>0</v>
      </c>
      <c r="PS50" s="15" t="n">
        <v>0</v>
      </c>
      <c r="QC50" s="15" t="n">
        <v>7.84</v>
      </c>
      <c r="QD50" s="15" t="n">
        <f aca="false">2.45+1.09</f>
        <v>3.54</v>
      </c>
      <c r="QE50" s="15" t="n">
        <v>0</v>
      </c>
      <c r="QF50" s="15" t="n">
        <v>0</v>
      </c>
      <c r="QG50" s="15" t="n">
        <v>0</v>
      </c>
      <c r="QH50" s="15" t="n">
        <v>0</v>
      </c>
      <c r="QI50" s="15" t="n">
        <v>0</v>
      </c>
      <c r="QJ50" s="15" t="n">
        <v>0</v>
      </c>
      <c r="QK50" s="15" t="s">
        <v>387</v>
      </c>
      <c r="QL50" s="15" t="n">
        <v>64</v>
      </c>
      <c r="QM50" s="17" t="n">
        <v>70.6</v>
      </c>
      <c r="QN50" s="17" t="n">
        <v>114</v>
      </c>
      <c r="QO50" s="17" t="n">
        <v>14.9</v>
      </c>
      <c r="QP50" s="17" t="n">
        <v>88.29</v>
      </c>
      <c r="QQ50" s="17" t="n">
        <v>0</v>
      </c>
      <c r="QR50" s="17" t="n">
        <v>9.81</v>
      </c>
      <c r="QS50" s="17" t="n">
        <v>1.64</v>
      </c>
      <c r="QT50" s="17" t="n">
        <v>0.26</v>
      </c>
      <c r="QU50" s="17" t="n">
        <v>0</v>
      </c>
      <c r="QV50" s="17" t="n">
        <v>0</v>
      </c>
      <c r="QW50" s="17" t="n">
        <v>0</v>
      </c>
      <c r="QX50" s="17" t="n">
        <v>0</v>
      </c>
      <c r="QY50" s="17" t="n">
        <v>0</v>
      </c>
      <c r="QZ50" s="17" t="n">
        <v>0</v>
      </c>
      <c r="RA50" s="17" t="n">
        <v>0.55</v>
      </c>
      <c r="RB50" s="17" t="n">
        <v>22.64</v>
      </c>
      <c r="RC50" s="17" t="n">
        <v>2.58</v>
      </c>
      <c r="RD50" s="17" t="n">
        <v>0.13</v>
      </c>
      <c r="RE50" s="17" t="n">
        <v>0</v>
      </c>
      <c r="RF50" s="17" t="n">
        <v>0</v>
      </c>
      <c r="RG50" s="17" t="n">
        <v>0</v>
      </c>
      <c r="RT50" s="15" t="n">
        <v>40.4</v>
      </c>
      <c r="RU50" s="15" t="n">
        <v>1</v>
      </c>
      <c r="RV50" s="15" t="n">
        <v>38</v>
      </c>
      <c r="RW50" s="15" t="n">
        <v>9</v>
      </c>
      <c r="RX50" s="15" t="n">
        <v>5.52</v>
      </c>
      <c r="RY50" s="15" t="n">
        <v>5</v>
      </c>
      <c r="RZ50" s="15" t="n">
        <v>23</v>
      </c>
      <c r="SA50" s="15" t="n">
        <v>1</v>
      </c>
      <c r="SB50" s="15" t="n">
        <v>0.09</v>
      </c>
      <c r="SC50" s="15" t="n">
        <v>3</v>
      </c>
      <c r="SF50" s="31"/>
      <c r="SJ50" s="31"/>
      <c r="SN50" s="31"/>
      <c r="SR50" s="31"/>
      <c r="SV50" s="31"/>
      <c r="SX50" s="15" t="n">
        <v>0</v>
      </c>
      <c r="UI50" s="15" t="n">
        <v>0</v>
      </c>
      <c r="UJ50" s="15" t="n">
        <v>0</v>
      </c>
      <c r="UT50" s="15" t="n">
        <v>8.33</v>
      </c>
      <c r="UU50" s="15" t="n">
        <v>5.52</v>
      </c>
      <c r="UV50" s="15" t="n">
        <v>0</v>
      </c>
      <c r="UW50" s="15" t="n">
        <v>0</v>
      </c>
      <c r="UX50" s="15" t="n">
        <v>0</v>
      </c>
      <c r="UY50" s="15" t="n">
        <v>0</v>
      </c>
      <c r="UZ50" s="15" t="n">
        <v>0</v>
      </c>
      <c r="VA50" s="15" t="n">
        <v>0</v>
      </c>
      <c r="VB50" s="15" t="s">
        <v>388</v>
      </c>
      <c r="VC50" s="15" t="n">
        <v>64</v>
      </c>
      <c r="VD50" s="17" t="n">
        <v>79.5</v>
      </c>
      <c r="VE50" s="17" t="n">
        <v>114</v>
      </c>
      <c r="VF50" s="17" t="n">
        <v>15</v>
      </c>
      <c r="VG50" s="17" t="n">
        <v>88.29</v>
      </c>
      <c r="VH50" s="17" t="n">
        <v>0</v>
      </c>
      <c r="VI50" s="17" t="n">
        <v>9.81</v>
      </c>
      <c r="VJ50" s="17" t="n">
        <v>1.64</v>
      </c>
      <c r="VK50" s="17" t="n">
        <v>0.26</v>
      </c>
      <c r="VL50" s="17" t="n">
        <v>0</v>
      </c>
      <c r="VM50" s="17" t="n">
        <v>0</v>
      </c>
      <c r="VN50" s="17" t="n">
        <v>0</v>
      </c>
      <c r="VO50" s="17" t="n">
        <v>0</v>
      </c>
      <c r="VP50" s="17" t="n">
        <v>0</v>
      </c>
      <c r="VQ50" s="17" t="n">
        <v>0</v>
      </c>
      <c r="VR50" s="17" t="n">
        <v>0.55</v>
      </c>
      <c r="VS50" s="17" t="n">
        <v>24</v>
      </c>
      <c r="VT50" s="17" t="n">
        <v>4.31</v>
      </c>
      <c r="VU50" s="17" t="n">
        <v>0.82</v>
      </c>
      <c r="VV50" s="17" t="n">
        <v>0</v>
      </c>
      <c r="VW50" s="17" t="n">
        <v>0</v>
      </c>
      <c r="VX50" s="17" t="n">
        <v>0</v>
      </c>
      <c r="VY50" s="17"/>
      <c r="WK50" s="15" t="n">
        <v>40.4</v>
      </c>
      <c r="WL50" s="15" t="n">
        <v>1</v>
      </c>
      <c r="WM50" s="15" t="n">
        <v>38</v>
      </c>
      <c r="WN50" s="15" t="n">
        <v>9</v>
      </c>
      <c r="WO50" s="15" t="n">
        <v>5.52</v>
      </c>
      <c r="WP50" s="15" t="n">
        <v>5</v>
      </c>
      <c r="WQ50" s="15" t="n">
        <v>23</v>
      </c>
      <c r="WR50" s="15" t="n">
        <v>1</v>
      </c>
      <c r="WS50" s="15" t="n">
        <v>0.09</v>
      </c>
      <c r="WT50" s="15" t="n">
        <v>3</v>
      </c>
      <c r="WW50" s="31"/>
      <c r="XA50" s="31"/>
      <c r="XE50" s="31"/>
      <c r="XI50" s="31"/>
      <c r="XM50" s="31"/>
      <c r="XO50" s="15" t="n">
        <v>0</v>
      </c>
      <c r="YZ50" s="15" t="n">
        <v>0</v>
      </c>
      <c r="ZA50" s="15" t="n">
        <v>0</v>
      </c>
      <c r="ZK50" s="15" t="n">
        <v>8.33</v>
      </c>
      <c r="ZL50" s="15" t="n">
        <v>5.52</v>
      </c>
      <c r="ZM50" s="15" t="n">
        <v>0</v>
      </c>
      <c r="ZN50" s="15" t="n">
        <v>0</v>
      </c>
      <c r="ZO50" s="15" t="n">
        <v>0</v>
      </c>
      <c r="ZP50" s="15" t="n">
        <v>0</v>
      </c>
      <c r="ZQ50" s="15" t="n">
        <v>0</v>
      </c>
      <c r="ZR50" s="15" t="n">
        <v>0</v>
      </c>
      <c r="ZS50" s="15" t="s">
        <v>196</v>
      </c>
      <c r="ZT50" s="15" t="n">
        <v>24.5</v>
      </c>
      <c r="ZU50" s="17" t="n">
        <v>58.4</v>
      </c>
      <c r="ZV50" s="17" t="n">
        <v>114</v>
      </c>
      <c r="ZW50" s="17" t="n">
        <v>12</v>
      </c>
      <c r="ZX50" s="17" t="n">
        <v>92.09</v>
      </c>
      <c r="ZY50" s="17" t="n">
        <v>0</v>
      </c>
      <c r="ZZ50" s="17" t="n">
        <v>0</v>
      </c>
      <c r="AAA50" s="17" t="n">
        <v>5.57</v>
      </c>
      <c r="AAB50" s="17" t="n">
        <v>2.35</v>
      </c>
      <c r="AAC50" s="17" t="n">
        <v>0</v>
      </c>
      <c r="AAD50" s="17" t="n">
        <v>0</v>
      </c>
      <c r="AAE50" s="17" t="n">
        <v>0</v>
      </c>
      <c r="AAF50" s="17" t="n">
        <v>0</v>
      </c>
      <c r="AAG50" s="17" t="n">
        <v>0</v>
      </c>
      <c r="AAH50" s="17" t="n">
        <v>0</v>
      </c>
      <c r="AAI50" s="17" t="n">
        <v>8.58</v>
      </c>
      <c r="AAJ50" s="17" t="n">
        <v>3.1</v>
      </c>
      <c r="AAK50" s="17" t="n">
        <v>0.55</v>
      </c>
      <c r="AAL50" s="17" t="n">
        <v>0.71</v>
      </c>
      <c r="AAM50" s="17" t="n">
        <v>0</v>
      </c>
      <c r="AAN50" s="17" t="n">
        <v>0</v>
      </c>
      <c r="AAO50" s="17" t="n">
        <v>0</v>
      </c>
      <c r="ABB50" s="15" t="n">
        <v>7.2</v>
      </c>
      <c r="ABC50" s="15" t="n">
        <v>1</v>
      </c>
      <c r="ABD50" s="17" t="n">
        <v>30</v>
      </c>
      <c r="ABE50" s="17" t="n">
        <v>2</v>
      </c>
      <c r="ABF50" s="17" t="n">
        <v>1.09</v>
      </c>
      <c r="ABG50" s="17" t="n">
        <v>4</v>
      </c>
      <c r="ABH50" s="17" t="n">
        <v>30</v>
      </c>
      <c r="ABI50" s="17" t="n">
        <v>2</v>
      </c>
      <c r="ABJ50" s="17" t="n">
        <v>0.27</v>
      </c>
      <c r="ABK50" s="17" t="n">
        <v>2</v>
      </c>
      <c r="ABL50" s="17" t="n">
        <v>34</v>
      </c>
      <c r="ABM50" s="17" t="n">
        <v>1</v>
      </c>
      <c r="ABN50" s="31" t="n">
        <v>1.09</v>
      </c>
      <c r="ABO50" s="17" t="n">
        <v>1</v>
      </c>
      <c r="ABR50" s="31"/>
      <c r="ABV50" s="31"/>
      <c r="ABZ50" s="31"/>
      <c r="ACD50" s="31"/>
      <c r="ACF50" s="15" t="n">
        <v>0</v>
      </c>
      <c r="ADQ50" s="15" t="n">
        <v>0</v>
      </c>
      <c r="ADR50" s="15" t="n">
        <v>0</v>
      </c>
      <c r="AEB50" s="15" t="n">
        <v>5.3</v>
      </c>
      <c r="AEC50" s="15" t="n">
        <f aca="false">0.27+8.58+0.32</f>
        <v>9.17</v>
      </c>
      <c r="AED50" s="15" t="n">
        <v>0</v>
      </c>
      <c r="AEE50" s="15" t="n">
        <v>0</v>
      </c>
      <c r="AEF50" s="15" t="n">
        <v>0</v>
      </c>
      <c r="AEG50" s="15" t="n">
        <v>8.58</v>
      </c>
      <c r="AEH50" s="15" t="n">
        <v>0</v>
      </c>
      <c r="AEI50" s="15" t="n">
        <v>0</v>
      </c>
      <c r="AEJ50" s="15" t="s">
        <v>195</v>
      </c>
      <c r="AEK50" s="15" t="n">
        <v>22</v>
      </c>
      <c r="AEL50" s="17" t="n">
        <v>44.2</v>
      </c>
      <c r="AEM50" s="17" t="n">
        <v>114</v>
      </c>
      <c r="AEN50" s="17" t="n">
        <v>10.9</v>
      </c>
      <c r="AEO50" s="17" t="n">
        <v>92.8</v>
      </c>
      <c r="AEP50" s="17" t="n">
        <v>0</v>
      </c>
      <c r="AEQ50" s="17" t="n">
        <v>0</v>
      </c>
      <c r="AER50" s="17" t="n">
        <v>5.57</v>
      </c>
      <c r="AES50" s="17" t="n">
        <v>1.64</v>
      </c>
      <c r="AET50" s="17" t="n">
        <v>0</v>
      </c>
      <c r="AEU50" s="17" t="n">
        <v>0</v>
      </c>
      <c r="AEV50" s="17" t="n">
        <v>0</v>
      </c>
      <c r="AEW50" s="17" t="n">
        <v>0</v>
      </c>
      <c r="AEX50" s="17" t="n">
        <v>0</v>
      </c>
      <c r="AEY50" s="17" t="n">
        <v>0</v>
      </c>
      <c r="AEZ50" s="17" t="n">
        <v>8.58</v>
      </c>
      <c r="AFA50" s="17" t="n">
        <v>1.57</v>
      </c>
      <c r="AFB50" s="17" t="n">
        <v>0.55</v>
      </c>
      <c r="AFC50" s="17" t="n">
        <v>0</v>
      </c>
      <c r="AFD50" s="17" t="n">
        <v>0</v>
      </c>
      <c r="AFE50" s="17" t="n">
        <v>0</v>
      </c>
      <c r="AFF50" s="17" t="n">
        <v>0</v>
      </c>
      <c r="AFS50" s="15" t="n">
        <v>7.15</v>
      </c>
      <c r="AFT50" s="15" t="n">
        <v>1</v>
      </c>
      <c r="AFU50" s="17" t="n">
        <v>30</v>
      </c>
      <c r="AFV50" s="17" t="n">
        <v>2</v>
      </c>
      <c r="AFW50" s="17" t="n">
        <v>1.09</v>
      </c>
      <c r="AFX50" s="17" t="n">
        <v>4</v>
      </c>
      <c r="AFY50" s="17" t="n">
        <v>30</v>
      </c>
      <c r="AFZ50" s="17" t="n">
        <v>2</v>
      </c>
      <c r="AGA50" s="17" t="n">
        <v>0.27</v>
      </c>
      <c r="AGB50" s="17" t="n">
        <v>2</v>
      </c>
      <c r="AGC50" s="17" t="n">
        <v>34</v>
      </c>
      <c r="AGD50" s="17" t="n">
        <v>1</v>
      </c>
      <c r="AGE50" s="31" t="n">
        <v>1.09</v>
      </c>
      <c r="AGF50" s="17" t="n">
        <v>1</v>
      </c>
      <c r="AGI50" s="31"/>
      <c r="AGM50" s="31"/>
      <c r="AGQ50" s="31"/>
      <c r="AGU50" s="31"/>
      <c r="AIH50" s="15" t="n">
        <v>0</v>
      </c>
      <c r="AII50" s="15" t="n">
        <v>0</v>
      </c>
      <c r="AIS50" s="15" t="n">
        <v>2.59</v>
      </c>
      <c r="AIT50" s="15" t="n">
        <f aca="false">0.27+0.32</f>
        <v>0.59</v>
      </c>
      <c r="AIU50" s="15" t="n">
        <v>0</v>
      </c>
      <c r="AIV50" s="15" t="n">
        <v>0</v>
      </c>
      <c r="AIW50" s="15" t="n">
        <v>0</v>
      </c>
      <c r="AIX50" s="15" t="n">
        <v>0</v>
      </c>
      <c r="AIY50" s="15" t="n">
        <v>1.03</v>
      </c>
      <c r="AIZ50" s="15" t="n">
        <v>0</v>
      </c>
      <c r="AJA50" s="15" t="s">
        <v>389</v>
      </c>
      <c r="AJB50" s="15" t="n">
        <v>10</v>
      </c>
      <c r="AJC50" s="17" t="n">
        <v>46.2</v>
      </c>
      <c r="AJD50" s="17" t="n">
        <v>114</v>
      </c>
      <c r="AJE50" s="17" t="n">
        <v>6.3</v>
      </c>
      <c r="AJF50" s="17" t="n">
        <v>0</v>
      </c>
      <c r="AJG50" s="17" t="n">
        <v>0</v>
      </c>
      <c r="AJH50" s="17" t="n">
        <v>1.91</v>
      </c>
      <c r="AJI50" s="17" t="n">
        <v>0</v>
      </c>
      <c r="AJJ50" s="17" t="n">
        <v>1.91</v>
      </c>
      <c r="AJK50" s="17" t="n">
        <v>0</v>
      </c>
      <c r="AJL50" s="17" t="n">
        <v>0</v>
      </c>
      <c r="AJM50" s="17" t="n">
        <v>0</v>
      </c>
      <c r="AJN50" s="17" t="n">
        <v>0</v>
      </c>
      <c r="AJO50" s="17" t="n">
        <v>0</v>
      </c>
      <c r="AJP50" s="17" t="n">
        <v>0</v>
      </c>
      <c r="AJQ50" s="17" t="n">
        <v>0</v>
      </c>
      <c r="AJR50" s="17" t="n">
        <v>8.85</v>
      </c>
      <c r="AJS50" s="17" t="n">
        <v>4.36</v>
      </c>
      <c r="AJT50" s="17" t="n">
        <v>0</v>
      </c>
      <c r="AJU50" s="17" t="n">
        <v>0</v>
      </c>
      <c r="AJV50" s="17" t="n">
        <v>0</v>
      </c>
      <c r="AKJ50" s="15" t="n">
        <v>0</v>
      </c>
      <c r="AKV50" s="31"/>
      <c r="AKZ50" s="31"/>
      <c r="ALD50" s="31"/>
      <c r="ALH50" s="31"/>
      <c r="ALL50" s="31"/>
      <c r="ALN50" s="15" t="n">
        <v>0</v>
      </c>
    </row>
    <row r="51" customFormat="false" ht="13.8" hidden="false" customHeight="false" outlineLevel="0" collapsed="false">
      <c r="A51" s="1" t="s">
        <v>398</v>
      </c>
      <c r="B51" s="12" t="n">
        <v>42900</v>
      </c>
      <c r="C51" s="0" t="n">
        <v>2</v>
      </c>
      <c r="D51" s="13" t="n">
        <v>35870</v>
      </c>
      <c r="E51" s="12" t="n">
        <v>27635</v>
      </c>
      <c r="F51" s="14" t="n">
        <f aca="false">(B51-E51)/365.25</f>
        <v>41.7932922655715</v>
      </c>
      <c r="G51" s="14" t="n">
        <f aca="false">(B51-D51)/365.25</f>
        <v>19.2470910335387</v>
      </c>
      <c r="H51" s="15" t="s">
        <v>183</v>
      </c>
      <c r="I51" s="15" t="s">
        <v>383</v>
      </c>
      <c r="J51" s="21" t="s">
        <v>181</v>
      </c>
      <c r="K51" s="21" t="n">
        <v>4</v>
      </c>
      <c r="L51" s="19" t="n">
        <v>120</v>
      </c>
      <c r="M51" s="0" t="n">
        <v>1.8</v>
      </c>
      <c r="N51" s="16" t="n">
        <f aca="false">L51/(M51*M51)</f>
        <v>37.037037037037</v>
      </c>
      <c r="O51" s="19" t="n">
        <v>1</v>
      </c>
      <c r="P51" s="19"/>
      <c r="Q51" s="19"/>
      <c r="R51" s="19" t="n">
        <v>0</v>
      </c>
      <c r="S51" s="19" t="n">
        <v>0</v>
      </c>
      <c r="T51" s="19" t="n">
        <v>0</v>
      </c>
      <c r="U51" s="19" t="n">
        <v>0</v>
      </c>
      <c r="V51" s="19" t="n">
        <v>0</v>
      </c>
      <c r="W51" s="19" t="n">
        <v>1</v>
      </c>
      <c r="X51" s="19" t="n">
        <v>1</v>
      </c>
      <c r="Y51" s="19" t="n">
        <v>0</v>
      </c>
      <c r="Z51" s="19" t="n">
        <v>0</v>
      </c>
      <c r="AA51" s="19" t="n">
        <v>0</v>
      </c>
      <c r="AB51" s="19" t="n">
        <v>0</v>
      </c>
      <c r="AC51" s="19" t="n">
        <v>1</v>
      </c>
      <c r="AD51" s="19" t="n">
        <v>8</v>
      </c>
      <c r="AE51" s="19" t="n">
        <v>1</v>
      </c>
      <c r="AF51" s="19" t="n">
        <v>1</v>
      </c>
      <c r="AG51" s="19" t="n">
        <v>1</v>
      </c>
      <c r="AH51" s="19" t="n">
        <v>8</v>
      </c>
      <c r="AI51" s="19" t="n">
        <v>3</v>
      </c>
      <c r="AJ51" s="19" t="n">
        <v>3</v>
      </c>
      <c r="AK51" s="19" t="n">
        <v>3</v>
      </c>
      <c r="AL51" s="19" t="n">
        <v>8</v>
      </c>
      <c r="AM51" s="19" t="n">
        <v>8</v>
      </c>
      <c r="AN51" s="19" t="n">
        <v>3</v>
      </c>
      <c r="AO51" s="19" t="n">
        <v>3</v>
      </c>
      <c r="AP51" s="19" t="n">
        <v>3</v>
      </c>
      <c r="AQ51" s="19" t="n">
        <v>8</v>
      </c>
      <c r="AR51" s="19" t="n">
        <v>8</v>
      </c>
      <c r="AS51" s="19" t="n">
        <v>3</v>
      </c>
      <c r="AT51" s="19" t="n">
        <v>3</v>
      </c>
      <c r="AU51" s="19" t="n">
        <v>3</v>
      </c>
      <c r="AV51" s="19" t="n">
        <v>8</v>
      </c>
      <c r="AW51" s="19" t="n">
        <v>8</v>
      </c>
      <c r="AX51" s="19" t="n">
        <v>1</v>
      </c>
      <c r="AY51" s="19" t="n">
        <v>1</v>
      </c>
      <c r="AZ51" s="19" t="n">
        <v>1</v>
      </c>
      <c r="BA51" s="19" t="n">
        <v>8</v>
      </c>
      <c r="BB51" s="19" t="n">
        <v>1</v>
      </c>
      <c r="BC51" s="19" t="n">
        <v>1</v>
      </c>
      <c r="BD51" s="19" t="n">
        <v>1</v>
      </c>
      <c r="BE51" s="19" t="n">
        <v>8</v>
      </c>
      <c r="BF51" s="19" t="n">
        <v>1</v>
      </c>
      <c r="BG51" s="19" t="n">
        <v>1</v>
      </c>
      <c r="BH51" s="19" t="n">
        <v>1</v>
      </c>
      <c r="BI51" s="19" t="n">
        <v>8</v>
      </c>
      <c r="BJ51" s="19" t="n">
        <v>1</v>
      </c>
      <c r="BK51" s="19" t="n">
        <v>1</v>
      </c>
      <c r="BL51" s="19" t="n">
        <v>1</v>
      </c>
      <c r="BM51" s="19" t="n">
        <v>8</v>
      </c>
      <c r="BN51" s="19" t="n">
        <v>1</v>
      </c>
      <c r="BO51" s="19" t="n">
        <v>1</v>
      </c>
      <c r="BP51" s="19" t="n">
        <v>1</v>
      </c>
      <c r="BQ51" s="19" t="n">
        <v>8</v>
      </c>
      <c r="BR51" s="19" t="n">
        <v>5</v>
      </c>
      <c r="BS51" s="19" t="n">
        <v>3</v>
      </c>
      <c r="BT51" s="19" t="n">
        <v>5</v>
      </c>
      <c r="BU51" s="19" t="n">
        <v>5</v>
      </c>
      <c r="BV51" s="19" t="n">
        <v>2</v>
      </c>
      <c r="BW51" s="19" t="n">
        <v>5</v>
      </c>
      <c r="BX51" s="19" t="n">
        <v>4</v>
      </c>
      <c r="BY51" s="19" t="n">
        <v>3</v>
      </c>
      <c r="BZ51" s="19" t="n">
        <v>1</v>
      </c>
      <c r="CA51" s="19" t="n">
        <v>1</v>
      </c>
      <c r="CB51" s="19" t="n">
        <v>2</v>
      </c>
      <c r="CC51" s="19" t="n">
        <v>4</v>
      </c>
      <c r="CD51" s="19" t="n">
        <v>1</v>
      </c>
      <c r="CE51" s="19" t="n">
        <v>2</v>
      </c>
      <c r="CF51" s="19" t="n">
        <v>4</v>
      </c>
      <c r="CG51" s="19" t="n">
        <v>5</v>
      </c>
      <c r="CH51" s="19" t="n">
        <v>5</v>
      </c>
      <c r="CI51" s="19" t="n">
        <v>5</v>
      </c>
      <c r="CJ51" s="19" t="n">
        <v>1</v>
      </c>
      <c r="CK51" s="19" t="n">
        <v>5</v>
      </c>
      <c r="CL51" s="30" t="s">
        <v>384</v>
      </c>
      <c r="CM51" s="15" t="n">
        <v>28.5</v>
      </c>
      <c r="CN51" s="17" t="n">
        <v>69.3</v>
      </c>
      <c r="CO51" s="17" t="n">
        <v>114</v>
      </c>
      <c r="CP51" s="17" t="n">
        <v>19.5</v>
      </c>
      <c r="CQ51" s="17" t="n">
        <v>79.15</v>
      </c>
      <c r="CR51" s="17" t="n">
        <v>0</v>
      </c>
      <c r="CS51" s="17" t="n">
        <v>3.87</v>
      </c>
      <c r="CT51" s="17" t="n">
        <v>2.86</v>
      </c>
      <c r="CU51" s="17" t="n">
        <v>14.12</v>
      </c>
      <c r="CV51" s="17" t="n">
        <v>0</v>
      </c>
      <c r="CW51" s="17" t="n">
        <v>0</v>
      </c>
      <c r="CX51" s="17" t="n">
        <v>0</v>
      </c>
      <c r="CY51" s="17" t="n">
        <v>0</v>
      </c>
      <c r="CZ51" s="17" t="n">
        <v>0</v>
      </c>
      <c r="DA51" s="17" t="n">
        <v>0</v>
      </c>
      <c r="DB51" s="17" t="n">
        <v>0.82</v>
      </c>
      <c r="DC51" s="17" t="n">
        <v>11.71</v>
      </c>
      <c r="DD51" s="17" t="n">
        <v>15.43</v>
      </c>
      <c r="DE51" s="17" t="n">
        <v>4.91</v>
      </c>
      <c r="DF51" s="17" t="n">
        <v>0</v>
      </c>
      <c r="DG51" s="17" t="n">
        <v>0</v>
      </c>
      <c r="DH51" s="17" t="n">
        <v>0</v>
      </c>
      <c r="DI51" s="17" t="n">
        <v>0</v>
      </c>
      <c r="DJ51" s="17" t="n">
        <v>0</v>
      </c>
      <c r="DK51" s="17" t="n">
        <v>0</v>
      </c>
      <c r="DL51" s="17" t="n">
        <v>0</v>
      </c>
      <c r="DM51" s="17" t="n">
        <v>0</v>
      </c>
      <c r="DN51" s="17" t="n">
        <v>0</v>
      </c>
      <c r="DO51" s="17" t="n">
        <v>0</v>
      </c>
      <c r="DP51" s="17" t="n">
        <v>0</v>
      </c>
      <c r="DQ51" s="17" t="n">
        <v>0</v>
      </c>
      <c r="DR51" s="17" t="n">
        <v>0</v>
      </c>
      <c r="DS51" s="17" t="n">
        <v>0</v>
      </c>
      <c r="DT51" s="17" t="n">
        <v>0</v>
      </c>
      <c r="DU51" s="17" t="n">
        <v>0</v>
      </c>
      <c r="DV51" s="17" t="n">
        <v>0</v>
      </c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31"/>
      <c r="EH51" s="17"/>
      <c r="EK51" s="31"/>
      <c r="EO51" s="31"/>
      <c r="ES51" s="31"/>
      <c r="EW51" s="31"/>
      <c r="EY51" s="15" t="n">
        <v>0</v>
      </c>
      <c r="GJ51" s="15" t="n">
        <v>0</v>
      </c>
      <c r="GK51" s="15" t="n">
        <v>0</v>
      </c>
      <c r="GU51" s="15" t="n">
        <v>8.7</v>
      </c>
      <c r="GV51" s="15" t="n">
        <f aca="false">3.27*4+1.23+0.08+0.52*2</f>
        <v>15.43</v>
      </c>
      <c r="GW51" s="15" t="n">
        <v>0</v>
      </c>
      <c r="GX51" s="15" t="n">
        <v>0</v>
      </c>
      <c r="GY51" s="15" t="n">
        <v>0</v>
      </c>
      <c r="GZ51" s="15" t="n">
        <v>0</v>
      </c>
      <c r="HA51" s="15" t="n">
        <v>0</v>
      </c>
      <c r="HB51" s="15" t="n">
        <v>0</v>
      </c>
      <c r="HC51" s="15" t="s">
        <v>385</v>
      </c>
      <c r="HD51" s="15" t="n">
        <v>38.5</v>
      </c>
      <c r="HE51" s="17" t="n">
        <v>55</v>
      </c>
      <c r="HF51" s="17" t="n">
        <v>114</v>
      </c>
      <c r="HG51" s="17" t="n">
        <v>7.8</v>
      </c>
      <c r="HH51" s="17" t="n">
        <v>95.15</v>
      </c>
      <c r="HI51" s="17" t="n">
        <v>0</v>
      </c>
      <c r="HJ51" s="17" t="n">
        <v>3.78</v>
      </c>
      <c r="HK51" s="17" t="n">
        <v>0</v>
      </c>
      <c r="HL51" s="17" t="n">
        <v>1.07</v>
      </c>
      <c r="HM51" s="17" t="n">
        <v>0</v>
      </c>
      <c r="HN51" s="17" t="n">
        <v>0</v>
      </c>
      <c r="HO51" s="17" t="n">
        <v>0</v>
      </c>
      <c r="HP51" s="17" t="n">
        <v>0</v>
      </c>
      <c r="HQ51" s="17" t="n">
        <v>0</v>
      </c>
      <c r="HR51" s="17" t="n">
        <v>0</v>
      </c>
      <c r="HS51" s="17" t="n">
        <v>0</v>
      </c>
      <c r="HT51" s="17" t="n">
        <v>15.05</v>
      </c>
      <c r="HU51" s="17" t="n">
        <v>4.58</v>
      </c>
      <c r="HV51" s="17" t="n">
        <v>0.1</v>
      </c>
      <c r="HW51" s="17" t="n">
        <v>0</v>
      </c>
      <c r="HX51" s="17" t="n">
        <v>0</v>
      </c>
      <c r="HY51" s="17" t="n">
        <v>0</v>
      </c>
      <c r="IL51" s="15" t="n">
        <v>22.8</v>
      </c>
      <c r="IM51" s="15" t="n">
        <v>1</v>
      </c>
      <c r="IN51" s="15" t="n">
        <v>38</v>
      </c>
      <c r="IO51" s="15" t="n">
        <v>5</v>
      </c>
      <c r="IP51" s="15" t="n">
        <f aca="false">2.45+1.09</f>
        <v>3.54</v>
      </c>
      <c r="IQ51" s="15" t="n">
        <v>5</v>
      </c>
      <c r="IX51" s="31"/>
      <c r="JB51" s="31"/>
      <c r="JF51" s="31"/>
      <c r="JJ51" s="31"/>
      <c r="JN51" s="31"/>
      <c r="JP51" s="15" t="n">
        <v>0</v>
      </c>
      <c r="LA51" s="15" t="n">
        <v>0</v>
      </c>
      <c r="LB51" s="15" t="n">
        <v>0</v>
      </c>
      <c r="LL51" s="15" t="n">
        <v>7.84</v>
      </c>
      <c r="LM51" s="15" t="n">
        <f aca="false">2.45+1.09</f>
        <v>3.54</v>
      </c>
      <c r="LN51" s="15" t="n">
        <v>0</v>
      </c>
      <c r="LO51" s="15" t="n">
        <v>0</v>
      </c>
      <c r="LP51" s="15" t="n">
        <v>0</v>
      </c>
      <c r="LQ51" s="15" t="n">
        <v>0</v>
      </c>
      <c r="LR51" s="15" t="n">
        <v>0</v>
      </c>
      <c r="LS51" s="15" t="n">
        <v>0</v>
      </c>
      <c r="LT51" s="15" t="s">
        <v>386</v>
      </c>
      <c r="LU51" s="15" t="n">
        <v>38</v>
      </c>
      <c r="LV51" s="17" t="n">
        <v>48.8</v>
      </c>
      <c r="LW51" s="17" t="n">
        <v>114</v>
      </c>
      <c r="LX51" s="17" t="n">
        <v>7.2</v>
      </c>
      <c r="LY51" s="17" t="n">
        <v>96.13</v>
      </c>
      <c r="LZ51" s="17" t="n">
        <v>0</v>
      </c>
      <c r="MA51" s="17" t="n">
        <v>3.78</v>
      </c>
      <c r="MB51" s="17" t="n">
        <v>0</v>
      </c>
      <c r="MC51" s="17" t="n">
        <v>0.1</v>
      </c>
      <c r="MD51" s="17" t="n">
        <v>0</v>
      </c>
      <c r="ME51" s="17" t="n">
        <v>0</v>
      </c>
      <c r="MF51" s="17" t="n">
        <v>0</v>
      </c>
      <c r="MG51" s="17" t="n">
        <v>0</v>
      </c>
      <c r="MH51" s="17" t="n">
        <v>0</v>
      </c>
      <c r="MI51" s="17" t="n">
        <v>0</v>
      </c>
      <c r="MJ51" s="17" t="n">
        <v>0</v>
      </c>
      <c r="MK51" s="17" t="n">
        <v>12.85</v>
      </c>
      <c r="ML51" s="17" t="n">
        <v>4.58</v>
      </c>
      <c r="MM51" s="17" t="n">
        <v>0.1</v>
      </c>
      <c r="MN51" s="17" t="n">
        <v>0</v>
      </c>
      <c r="MO51" s="17" t="n">
        <v>0</v>
      </c>
      <c r="MP51" s="17" t="n">
        <v>0</v>
      </c>
      <c r="NC51" s="15" t="n">
        <v>22.8</v>
      </c>
      <c r="ND51" s="15" t="n">
        <v>1</v>
      </c>
      <c r="NE51" s="15" t="n">
        <v>38</v>
      </c>
      <c r="NF51" s="15" t="n">
        <v>5</v>
      </c>
      <c r="NG51" s="15" t="n">
        <f aca="false">2.45+1.09</f>
        <v>3.54</v>
      </c>
      <c r="NH51" s="15" t="n">
        <v>5</v>
      </c>
      <c r="NI51" s="15" t="n">
        <v>20</v>
      </c>
      <c r="NJ51" s="15" t="n">
        <v>4</v>
      </c>
      <c r="NK51" s="15" t="n">
        <v>0.29</v>
      </c>
      <c r="NL51" s="15" t="n">
        <v>2</v>
      </c>
      <c r="NO51" s="31"/>
      <c r="NS51" s="31"/>
      <c r="NW51" s="31"/>
      <c r="OA51" s="31"/>
      <c r="OE51" s="31"/>
      <c r="OG51" s="15" t="n">
        <v>0</v>
      </c>
      <c r="PR51" s="15" t="n">
        <v>0</v>
      </c>
      <c r="PS51" s="15" t="n">
        <v>0</v>
      </c>
      <c r="QC51" s="15" t="n">
        <v>7.84</v>
      </c>
      <c r="QD51" s="15" t="n">
        <f aca="false">2.45+1.09</f>
        <v>3.54</v>
      </c>
      <c r="QE51" s="15" t="n">
        <v>0</v>
      </c>
      <c r="QF51" s="15" t="n">
        <v>0</v>
      </c>
      <c r="QG51" s="15" t="n">
        <v>0</v>
      </c>
      <c r="QH51" s="15" t="n">
        <v>0</v>
      </c>
      <c r="QI51" s="15" t="n">
        <v>0</v>
      </c>
      <c r="QJ51" s="15" t="n">
        <v>0</v>
      </c>
      <c r="QK51" s="15" t="s">
        <v>387</v>
      </c>
      <c r="QL51" s="15" t="n">
        <v>64</v>
      </c>
      <c r="QM51" s="17" t="n">
        <v>70.6</v>
      </c>
      <c r="QN51" s="17" t="n">
        <v>114</v>
      </c>
      <c r="QO51" s="17" t="n">
        <v>14.9</v>
      </c>
      <c r="QP51" s="17" t="n">
        <v>88.29</v>
      </c>
      <c r="QQ51" s="17" t="n">
        <v>0</v>
      </c>
      <c r="QR51" s="17" t="n">
        <v>9.81</v>
      </c>
      <c r="QS51" s="17" t="n">
        <v>1.64</v>
      </c>
      <c r="QT51" s="17" t="n">
        <v>0.26</v>
      </c>
      <c r="QU51" s="17" t="n">
        <v>0</v>
      </c>
      <c r="QV51" s="17" t="n">
        <v>0</v>
      </c>
      <c r="QW51" s="17" t="n">
        <v>0</v>
      </c>
      <c r="QX51" s="17" t="n">
        <v>0</v>
      </c>
      <c r="QY51" s="17" t="n">
        <v>0</v>
      </c>
      <c r="QZ51" s="17" t="n">
        <v>0</v>
      </c>
      <c r="RA51" s="17" t="n">
        <v>0.55</v>
      </c>
      <c r="RB51" s="17" t="n">
        <v>22.64</v>
      </c>
      <c r="RC51" s="17" t="n">
        <v>2.58</v>
      </c>
      <c r="RD51" s="17" t="n">
        <v>0.13</v>
      </c>
      <c r="RE51" s="17" t="n">
        <v>0</v>
      </c>
      <c r="RF51" s="17" t="n">
        <v>0</v>
      </c>
      <c r="RG51" s="17" t="n">
        <v>0</v>
      </c>
      <c r="RT51" s="15" t="n">
        <v>40.4</v>
      </c>
      <c r="RU51" s="15" t="n">
        <v>1</v>
      </c>
      <c r="RV51" s="15" t="n">
        <v>38</v>
      </c>
      <c r="RW51" s="15" t="n">
        <v>9</v>
      </c>
      <c r="RX51" s="15" t="n">
        <v>5.52</v>
      </c>
      <c r="RY51" s="15" t="n">
        <v>5</v>
      </c>
      <c r="RZ51" s="15" t="n">
        <v>23</v>
      </c>
      <c r="SA51" s="15" t="n">
        <v>1</v>
      </c>
      <c r="SB51" s="15" t="n">
        <v>0.09</v>
      </c>
      <c r="SC51" s="15" t="n">
        <v>3</v>
      </c>
      <c r="SF51" s="31"/>
      <c r="SJ51" s="31"/>
      <c r="SN51" s="31"/>
      <c r="SR51" s="31"/>
      <c r="SV51" s="31"/>
      <c r="SX51" s="15" t="n">
        <v>0</v>
      </c>
      <c r="UI51" s="15" t="n">
        <v>0</v>
      </c>
      <c r="UJ51" s="15" t="n">
        <v>0</v>
      </c>
      <c r="UT51" s="15" t="n">
        <v>8.33</v>
      </c>
      <c r="UU51" s="15" t="n">
        <v>5.52</v>
      </c>
      <c r="UV51" s="15" t="n">
        <v>0</v>
      </c>
      <c r="UW51" s="15" t="n">
        <v>0</v>
      </c>
      <c r="UX51" s="15" t="n">
        <v>0</v>
      </c>
      <c r="UY51" s="15" t="n">
        <v>0</v>
      </c>
      <c r="UZ51" s="15" t="n">
        <v>0</v>
      </c>
      <c r="VA51" s="15" t="n">
        <v>0</v>
      </c>
      <c r="VB51" s="15" t="s">
        <v>388</v>
      </c>
      <c r="VC51" s="15" t="n">
        <v>64</v>
      </c>
      <c r="VD51" s="17" t="n">
        <v>79.5</v>
      </c>
      <c r="VE51" s="17" t="n">
        <v>114</v>
      </c>
      <c r="VF51" s="17" t="n">
        <v>15</v>
      </c>
      <c r="VG51" s="17" t="n">
        <v>88.29</v>
      </c>
      <c r="VH51" s="17" t="n">
        <v>0</v>
      </c>
      <c r="VI51" s="17" t="n">
        <v>9.81</v>
      </c>
      <c r="VJ51" s="17" t="n">
        <v>1.64</v>
      </c>
      <c r="VK51" s="17" t="n">
        <v>0.26</v>
      </c>
      <c r="VL51" s="17" t="n">
        <v>0</v>
      </c>
      <c r="VM51" s="17" t="n">
        <v>0</v>
      </c>
      <c r="VN51" s="17" t="n">
        <v>0</v>
      </c>
      <c r="VO51" s="17" t="n">
        <v>0</v>
      </c>
      <c r="VP51" s="17" t="n">
        <v>0</v>
      </c>
      <c r="VQ51" s="17" t="n">
        <v>0</v>
      </c>
      <c r="VR51" s="17" t="n">
        <v>0.55</v>
      </c>
      <c r="VS51" s="17" t="n">
        <v>24</v>
      </c>
      <c r="VT51" s="17" t="n">
        <v>4.31</v>
      </c>
      <c r="VU51" s="17" t="n">
        <v>0.82</v>
      </c>
      <c r="VV51" s="17" t="n">
        <v>0</v>
      </c>
      <c r="VW51" s="17" t="n">
        <v>0</v>
      </c>
      <c r="VX51" s="17" t="n">
        <v>0</v>
      </c>
      <c r="VY51" s="17"/>
      <c r="WK51" s="15" t="n">
        <v>40.4</v>
      </c>
      <c r="WL51" s="15" t="n">
        <v>1</v>
      </c>
      <c r="WM51" s="15" t="n">
        <v>38</v>
      </c>
      <c r="WN51" s="15" t="n">
        <v>9</v>
      </c>
      <c r="WO51" s="15" t="n">
        <v>5.52</v>
      </c>
      <c r="WP51" s="15" t="n">
        <v>5</v>
      </c>
      <c r="WQ51" s="15" t="n">
        <v>23</v>
      </c>
      <c r="WR51" s="15" t="n">
        <v>1</v>
      </c>
      <c r="WS51" s="15" t="n">
        <v>0.09</v>
      </c>
      <c r="WT51" s="15" t="n">
        <v>3</v>
      </c>
      <c r="WW51" s="31"/>
      <c r="XA51" s="31"/>
      <c r="XE51" s="31"/>
      <c r="XI51" s="31"/>
      <c r="XM51" s="31"/>
      <c r="XO51" s="15" t="n">
        <v>0</v>
      </c>
      <c r="YZ51" s="15" t="n">
        <v>0</v>
      </c>
      <c r="ZA51" s="15" t="n">
        <v>0</v>
      </c>
      <c r="ZK51" s="15" t="n">
        <v>8.33</v>
      </c>
      <c r="ZL51" s="15" t="n">
        <v>5.52</v>
      </c>
      <c r="ZM51" s="15" t="n">
        <v>0</v>
      </c>
      <c r="ZN51" s="15" t="n">
        <v>0</v>
      </c>
      <c r="ZO51" s="15" t="n">
        <v>0</v>
      </c>
      <c r="ZP51" s="15" t="n">
        <v>0</v>
      </c>
      <c r="ZQ51" s="15" t="n">
        <v>0</v>
      </c>
      <c r="ZR51" s="15" t="n">
        <v>0</v>
      </c>
      <c r="ZS51" s="15" t="s">
        <v>196</v>
      </c>
      <c r="ZT51" s="15" t="n">
        <v>24.5</v>
      </c>
      <c r="ZU51" s="17" t="n">
        <v>58.4</v>
      </c>
      <c r="ZV51" s="17" t="n">
        <v>114</v>
      </c>
      <c r="ZW51" s="17" t="n">
        <v>12</v>
      </c>
      <c r="ZX51" s="17" t="n">
        <v>92.09</v>
      </c>
      <c r="ZY51" s="17" t="n">
        <v>0</v>
      </c>
      <c r="ZZ51" s="17" t="n">
        <v>0</v>
      </c>
      <c r="AAA51" s="17" t="n">
        <v>5.57</v>
      </c>
      <c r="AAB51" s="17" t="n">
        <v>2.35</v>
      </c>
      <c r="AAC51" s="17" t="n">
        <v>0</v>
      </c>
      <c r="AAD51" s="17" t="n">
        <v>0</v>
      </c>
      <c r="AAE51" s="17" t="n">
        <v>0</v>
      </c>
      <c r="AAF51" s="17" t="n">
        <v>0</v>
      </c>
      <c r="AAG51" s="17" t="n">
        <v>0</v>
      </c>
      <c r="AAH51" s="17" t="n">
        <v>0</v>
      </c>
      <c r="AAI51" s="17" t="n">
        <v>8.58</v>
      </c>
      <c r="AAJ51" s="17" t="n">
        <v>3.1</v>
      </c>
      <c r="AAK51" s="17" t="n">
        <v>0.55</v>
      </c>
      <c r="AAL51" s="17" t="n">
        <v>0.71</v>
      </c>
      <c r="AAM51" s="17" t="n">
        <v>0</v>
      </c>
      <c r="AAN51" s="17" t="n">
        <v>0</v>
      </c>
      <c r="AAO51" s="17" t="n">
        <v>0</v>
      </c>
      <c r="ABB51" s="15" t="n">
        <v>7.2</v>
      </c>
      <c r="ABC51" s="15" t="n">
        <v>1</v>
      </c>
      <c r="ABD51" s="17" t="n">
        <v>30</v>
      </c>
      <c r="ABE51" s="17" t="n">
        <v>2</v>
      </c>
      <c r="ABF51" s="17" t="n">
        <v>1.09</v>
      </c>
      <c r="ABG51" s="17" t="n">
        <v>4</v>
      </c>
      <c r="ABH51" s="17" t="n">
        <v>30</v>
      </c>
      <c r="ABI51" s="17" t="n">
        <v>2</v>
      </c>
      <c r="ABJ51" s="17" t="n">
        <v>0.27</v>
      </c>
      <c r="ABK51" s="17" t="n">
        <v>2</v>
      </c>
      <c r="ABL51" s="17" t="n">
        <v>34</v>
      </c>
      <c r="ABM51" s="17" t="n">
        <v>1</v>
      </c>
      <c r="ABN51" s="31" t="n">
        <v>1.09</v>
      </c>
      <c r="ABO51" s="17" t="n">
        <v>1</v>
      </c>
      <c r="ABR51" s="31"/>
      <c r="ABV51" s="31"/>
      <c r="ABZ51" s="31"/>
      <c r="ACD51" s="31"/>
      <c r="ACF51" s="15" t="n">
        <v>0</v>
      </c>
      <c r="ADQ51" s="15" t="n">
        <v>0</v>
      </c>
      <c r="ADR51" s="15" t="n">
        <v>0</v>
      </c>
      <c r="AEB51" s="15" t="n">
        <v>5.3</v>
      </c>
      <c r="AEC51" s="15" t="n">
        <f aca="false">0.27+8.58+0.32</f>
        <v>9.17</v>
      </c>
      <c r="AED51" s="15" t="n">
        <v>0</v>
      </c>
      <c r="AEE51" s="15" t="n">
        <v>0</v>
      </c>
      <c r="AEF51" s="15" t="n">
        <v>0</v>
      </c>
      <c r="AEG51" s="15" t="n">
        <v>8.58</v>
      </c>
      <c r="AEH51" s="15" t="n">
        <v>0</v>
      </c>
      <c r="AEI51" s="15" t="n">
        <v>0</v>
      </c>
      <c r="AEJ51" s="15" t="s">
        <v>195</v>
      </c>
      <c r="AEK51" s="15" t="n">
        <v>22</v>
      </c>
      <c r="AEL51" s="17" t="n">
        <v>44.2</v>
      </c>
      <c r="AEM51" s="17" t="n">
        <v>114</v>
      </c>
      <c r="AEN51" s="17" t="n">
        <v>10.9</v>
      </c>
      <c r="AEO51" s="17" t="n">
        <v>92.8</v>
      </c>
      <c r="AEP51" s="17" t="n">
        <v>0</v>
      </c>
      <c r="AEQ51" s="17" t="n">
        <v>0</v>
      </c>
      <c r="AER51" s="17" t="n">
        <v>5.57</v>
      </c>
      <c r="AES51" s="17" t="n">
        <v>1.64</v>
      </c>
      <c r="AET51" s="17" t="n">
        <v>0</v>
      </c>
      <c r="AEU51" s="17" t="n">
        <v>0</v>
      </c>
      <c r="AEV51" s="17" t="n">
        <v>0</v>
      </c>
      <c r="AEW51" s="17" t="n">
        <v>0</v>
      </c>
      <c r="AEX51" s="17" t="n">
        <v>0</v>
      </c>
      <c r="AEY51" s="17" t="n">
        <v>0</v>
      </c>
      <c r="AEZ51" s="17" t="n">
        <v>8.58</v>
      </c>
      <c r="AFA51" s="17" t="n">
        <v>1.57</v>
      </c>
      <c r="AFB51" s="17" t="n">
        <v>0.55</v>
      </c>
      <c r="AFC51" s="17" t="n">
        <v>0</v>
      </c>
      <c r="AFD51" s="17" t="n">
        <v>0</v>
      </c>
      <c r="AFE51" s="17" t="n">
        <v>0</v>
      </c>
      <c r="AFF51" s="17" t="n">
        <v>0</v>
      </c>
      <c r="AFS51" s="15" t="n">
        <v>7.15</v>
      </c>
      <c r="AFT51" s="15" t="n">
        <v>1</v>
      </c>
      <c r="AFU51" s="17" t="n">
        <v>30</v>
      </c>
      <c r="AFV51" s="17" t="n">
        <v>2</v>
      </c>
      <c r="AFW51" s="17" t="n">
        <v>1.09</v>
      </c>
      <c r="AFX51" s="17" t="n">
        <v>4</v>
      </c>
      <c r="AFY51" s="17" t="n">
        <v>30</v>
      </c>
      <c r="AFZ51" s="17" t="n">
        <v>2</v>
      </c>
      <c r="AGA51" s="17" t="n">
        <v>0.27</v>
      </c>
      <c r="AGB51" s="17" t="n">
        <v>2</v>
      </c>
      <c r="AGC51" s="17" t="n">
        <v>34</v>
      </c>
      <c r="AGD51" s="17" t="n">
        <v>1</v>
      </c>
      <c r="AGE51" s="31" t="n">
        <v>1.09</v>
      </c>
      <c r="AGF51" s="17" t="n">
        <v>1</v>
      </c>
      <c r="AGI51" s="31"/>
      <c r="AGM51" s="31"/>
      <c r="AGQ51" s="31"/>
      <c r="AGU51" s="31"/>
      <c r="AIH51" s="15" t="n">
        <v>0</v>
      </c>
      <c r="AII51" s="15" t="n">
        <v>0</v>
      </c>
      <c r="AIS51" s="15" t="n">
        <v>2.59</v>
      </c>
      <c r="AIT51" s="15" t="n">
        <f aca="false">0.27+0.32</f>
        <v>0.59</v>
      </c>
      <c r="AIU51" s="15" t="n">
        <v>0</v>
      </c>
      <c r="AIV51" s="15" t="n">
        <v>0</v>
      </c>
      <c r="AIW51" s="15" t="n">
        <v>0</v>
      </c>
      <c r="AIX51" s="15" t="n">
        <v>0</v>
      </c>
      <c r="AIY51" s="15" t="n">
        <v>1.03</v>
      </c>
      <c r="AIZ51" s="15" t="n">
        <v>0</v>
      </c>
      <c r="AJA51" s="15" t="s">
        <v>389</v>
      </c>
      <c r="AJB51" s="15" t="n">
        <v>10</v>
      </c>
      <c r="AJC51" s="17" t="n">
        <v>46.2</v>
      </c>
      <c r="AJD51" s="17" t="n">
        <v>114</v>
      </c>
      <c r="AJE51" s="17" t="n">
        <v>6.3</v>
      </c>
      <c r="AJF51" s="17" t="n">
        <v>0</v>
      </c>
      <c r="AJG51" s="17" t="n">
        <v>0</v>
      </c>
      <c r="AJH51" s="17" t="n">
        <v>1.91</v>
      </c>
      <c r="AJI51" s="17" t="n">
        <v>0</v>
      </c>
      <c r="AJJ51" s="17" t="n">
        <v>1.91</v>
      </c>
      <c r="AJK51" s="17" t="n">
        <v>0</v>
      </c>
      <c r="AJL51" s="17" t="n">
        <v>0</v>
      </c>
      <c r="AJM51" s="17" t="n">
        <v>0</v>
      </c>
      <c r="AJN51" s="17" t="n">
        <v>0</v>
      </c>
      <c r="AJO51" s="17" t="n">
        <v>0</v>
      </c>
      <c r="AJP51" s="17" t="n">
        <v>0</v>
      </c>
      <c r="AJQ51" s="17" t="n">
        <v>0</v>
      </c>
      <c r="AJR51" s="17" t="n">
        <v>8.85</v>
      </c>
      <c r="AJS51" s="17" t="n">
        <v>4.36</v>
      </c>
      <c r="AJT51" s="17" t="n">
        <v>0</v>
      </c>
      <c r="AJU51" s="17" t="n">
        <v>0</v>
      </c>
      <c r="AJV51" s="17" t="n">
        <v>0</v>
      </c>
      <c r="AKJ51" s="15" t="n">
        <v>0</v>
      </c>
      <c r="AKV51" s="31"/>
      <c r="AKZ51" s="31"/>
      <c r="ALD51" s="31"/>
      <c r="ALH51" s="31"/>
      <c r="ALL51" s="31"/>
      <c r="ALN51" s="15" t="n">
        <v>0</v>
      </c>
    </row>
    <row r="52" customFormat="false" ht="13.8" hidden="false" customHeight="false" outlineLevel="0" collapsed="false">
      <c r="A52" s="1" t="s">
        <v>399</v>
      </c>
      <c r="B52" s="12" t="n">
        <v>42900</v>
      </c>
      <c r="C52" s="0" t="n">
        <v>1</v>
      </c>
      <c r="D52" s="13" t="n">
        <v>39622</v>
      </c>
      <c r="E52" s="12" t="n">
        <v>29791</v>
      </c>
      <c r="F52" s="14" t="n">
        <f aca="false">(B52-E52)/365.25</f>
        <v>35.8904859685147</v>
      </c>
      <c r="G52" s="14" t="n">
        <f aca="false">(B52-D52)/365.25</f>
        <v>8.97467488021903</v>
      </c>
      <c r="H52" s="15" t="s">
        <v>183</v>
      </c>
      <c r="I52" s="15" t="s">
        <v>383</v>
      </c>
      <c r="J52" s="21" t="s">
        <v>181</v>
      </c>
      <c r="K52" s="21" t="n">
        <v>4</v>
      </c>
      <c r="L52" s="19"/>
      <c r="M52" s="0" t="n">
        <v>1.69</v>
      </c>
      <c r="N52" s="16" t="n">
        <f aca="false">L52/(M52*M52)</f>
        <v>0</v>
      </c>
      <c r="O52" s="19" t="n">
        <v>0</v>
      </c>
      <c r="P52" s="19" t="n">
        <v>0</v>
      </c>
      <c r="Q52" s="19" t="n">
        <v>0</v>
      </c>
      <c r="R52" s="19" t="n">
        <v>0</v>
      </c>
      <c r="S52" s="19" t="n">
        <v>0</v>
      </c>
      <c r="T52" s="19" t="n">
        <v>0</v>
      </c>
      <c r="U52" s="19" t="n">
        <v>0</v>
      </c>
      <c r="V52" s="19" t="n">
        <v>0</v>
      </c>
      <c r="W52" s="19" t="n">
        <v>0</v>
      </c>
      <c r="X52" s="19" t="n">
        <v>0</v>
      </c>
      <c r="Y52" s="19" t="n">
        <v>0</v>
      </c>
      <c r="Z52" s="19" t="n">
        <v>0</v>
      </c>
      <c r="AA52" s="19" t="n">
        <v>0</v>
      </c>
      <c r="AB52" s="19" t="n">
        <v>0</v>
      </c>
      <c r="AC52" s="19" t="n">
        <v>0</v>
      </c>
      <c r="AD52" s="19" t="n">
        <v>0</v>
      </c>
      <c r="AE52" s="19" t="n">
        <v>0</v>
      </c>
      <c r="AF52" s="19" t="n">
        <v>0</v>
      </c>
      <c r="AG52" s="19" t="n">
        <v>0</v>
      </c>
      <c r="AH52" s="19" t="n">
        <v>0</v>
      </c>
      <c r="AI52" s="19" t="n">
        <v>0</v>
      </c>
      <c r="AJ52" s="19" t="n">
        <v>0</v>
      </c>
      <c r="AK52" s="19" t="n">
        <v>0</v>
      </c>
      <c r="AL52" s="19" t="n">
        <v>0</v>
      </c>
      <c r="AM52" s="19" t="n">
        <v>0</v>
      </c>
      <c r="AN52" s="19" t="n">
        <v>1</v>
      </c>
      <c r="AO52" s="19" t="n">
        <v>1</v>
      </c>
      <c r="AP52" s="19" t="n">
        <v>1</v>
      </c>
      <c r="AQ52" s="19" t="n">
        <v>5</v>
      </c>
      <c r="AR52" s="19"/>
      <c r="AS52" s="19" t="n">
        <v>1</v>
      </c>
      <c r="AT52" s="19" t="n">
        <v>1</v>
      </c>
      <c r="AU52" s="19" t="n">
        <v>1</v>
      </c>
      <c r="AV52" s="19" t="n">
        <v>2</v>
      </c>
      <c r="AW52" s="19"/>
      <c r="AX52" s="19" t="n">
        <v>0</v>
      </c>
      <c r="AY52" s="19" t="n">
        <v>0</v>
      </c>
      <c r="AZ52" s="19" t="n">
        <v>0</v>
      </c>
      <c r="BA52" s="19" t="n">
        <v>0</v>
      </c>
      <c r="BB52" s="19" t="n">
        <v>0</v>
      </c>
      <c r="BC52" s="19" t="n">
        <v>0</v>
      </c>
      <c r="BD52" s="19" t="n">
        <v>0</v>
      </c>
      <c r="BE52" s="19" t="n">
        <v>0</v>
      </c>
      <c r="BF52" s="19" t="n">
        <v>0</v>
      </c>
      <c r="BG52" s="19" t="n">
        <v>0</v>
      </c>
      <c r="BH52" s="19" t="n">
        <v>0</v>
      </c>
      <c r="BI52" s="19" t="n">
        <v>0</v>
      </c>
      <c r="BJ52" s="19" t="n">
        <v>0</v>
      </c>
      <c r="BK52" s="19" t="n">
        <v>0</v>
      </c>
      <c r="BL52" s="19" t="n">
        <v>0</v>
      </c>
      <c r="BM52" s="19" t="n">
        <v>0</v>
      </c>
      <c r="BN52" s="19" t="n">
        <v>0</v>
      </c>
      <c r="BO52" s="19" t="n">
        <v>0</v>
      </c>
      <c r="BP52" s="19" t="n">
        <v>0</v>
      </c>
      <c r="BQ52" s="19" t="n">
        <v>0</v>
      </c>
      <c r="BR52" s="19" t="n">
        <v>3</v>
      </c>
      <c r="BS52" s="19" t="n">
        <v>1</v>
      </c>
      <c r="BT52" s="19" t="n">
        <v>3</v>
      </c>
      <c r="BU52" s="19" t="n">
        <v>4</v>
      </c>
      <c r="BV52" s="19" t="n">
        <v>1</v>
      </c>
      <c r="BW52" s="19" t="n">
        <v>2</v>
      </c>
      <c r="BX52" s="19" t="n">
        <v>4</v>
      </c>
      <c r="BY52" s="19" t="n">
        <v>2</v>
      </c>
      <c r="BZ52" s="19" t="n">
        <v>3</v>
      </c>
      <c r="CA52" s="19" t="n">
        <v>3</v>
      </c>
      <c r="CB52" s="19" t="n">
        <v>3</v>
      </c>
      <c r="CC52" s="19" t="n">
        <v>5</v>
      </c>
      <c r="CD52" s="19" t="n">
        <v>4</v>
      </c>
      <c r="CE52" s="19" t="n">
        <v>5</v>
      </c>
      <c r="CF52" s="19" t="n">
        <v>5</v>
      </c>
      <c r="CG52" s="19" t="n">
        <v>5</v>
      </c>
      <c r="CH52" s="19" t="n">
        <v>4</v>
      </c>
      <c r="CI52" s="19" t="n">
        <v>4</v>
      </c>
      <c r="CJ52" s="19" t="n">
        <v>4</v>
      </c>
      <c r="CK52" s="19" t="n">
        <v>7</v>
      </c>
      <c r="CL52" s="30" t="s">
        <v>384</v>
      </c>
      <c r="CM52" s="15" t="n">
        <v>28.5</v>
      </c>
      <c r="CN52" s="17" t="n">
        <v>69.3</v>
      </c>
      <c r="CO52" s="17" t="n">
        <v>114</v>
      </c>
      <c r="CP52" s="17" t="n">
        <v>19.5</v>
      </c>
      <c r="CQ52" s="17" t="n">
        <v>79.15</v>
      </c>
      <c r="CR52" s="17" t="n">
        <v>0</v>
      </c>
      <c r="CS52" s="17" t="n">
        <v>3.87</v>
      </c>
      <c r="CT52" s="17" t="n">
        <v>2.86</v>
      </c>
      <c r="CU52" s="17" t="n">
        <v>14.12</v>
      </c>
      <c r="CV52" s="17" t="n">
        <v>0</v>
      </c>
      <c r="CW52" s="17" t="n">
        <v>0</v>
      </c>
      <c r="CX52" s="17" t="n">
        <v>0</v>
      </c>
      <c r="CY52" s="17" t="n">
        <v>0</v>
      </c>
      <c r="CZ52" s="17" t="n">
        <v>0</v>
      </c>
      <c r="DA52" s="17" t="n">
        <v>0</v>
      </c>
      <c r="DB52" s="17" t="n">
        <v>0.82</v>
      </c>
      <c r="DC52" s="17" t="n">
        <v>11.71</v>
      </c>
      <c r="DD52" s="17" t="n">
        <v>15.43</v>
      </c>
      <c r="DE52" s="17" t="n">
        <v>4.91</v>
      </c>
      <c r="DF52" s="17" t="n">
        <v>0</v>
      </c>
      <c r="DG52" s="17" t="n">
        <v>0</v>
      </c>
      <c r="DH52" s="17" t="n">
        <v>0</v>
      </c>
      <c r="DI52" s="17" t="n">
        <v>0</v>
      </c>
      <c r="DJ52" s="17" t="n">
        <v>0</v>
      </c>
      <c r="DK52" s="17" t="n">
        <v>0</v>
      </c>
      <c r="DL52" s="17" t="n">
        <v>0</v>
      </c>
      <c r="DM52" s="17" t="n">
        <v>0</v>
      </c>
      <c r="DN52" s="17" t="n">
        <v>0</v>
      </c>
      <c r="DO52" s="17" t="n">
        <v>0</v>
      </c>
      <c r="DP52" s="17" t="n">
        <v>0</v>
      </c>
      <c r="DQ52" s="17" t="n">
        <v>0</v>
      </c>
      <c r="DR52" s="17" t="n">
        <v>0</v>
      </c>
      <c r="DS52" s="17" t="n">
        <v>0</v>
      </c>
      <c r="DT52" s="17" t="n">
        <v>0</v>
      </c>
      <c r="DU52" s="17" t="n">
        <v>0</v>
      </c>
      <c r="DV52" s="17" t="n">
        <v>0</v>
      </c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31"/>
      <c r="EH52" s="17"/>
      <c r="EK52" s="31"/>
      <c r="EO52" s="31"/>
      <c r="ES52" s="31"/>
      <c r="EW52" s="31"/>
      <c r="EY52" s="15" t="n">
        <v>0</v>
      </c>
      <c r="GJ52" s="15" t="n">
        <v>0</v>
      </c>
      <c r="GK52" s="15" t="n">
        <v>0</v>
      </c>
      <c r="GU52" s="15" t="n">
        <v>8.7</v>
      </c>
      <c r="GV52" s="15" t="n">
        <f aca="false">3.27*4+1.23+0.08+0.52*2</f>
        <v>15.43</v>
      </c>
      <c r="GW52" s="15" t="n">
        <v>0</v>
      </c>
      <c r="GX52" s="15" t="n">
        <v>0</v>
      </c>
      <c r="GY52" s="15" t="n">
        <v>0</v>
      </c>
      <c r="GZ52" s="15" t="n">
        <v>0</v>
      </c>
      <c r="HA52" s="15" t="n">
        <v>0</v>
      </c>
      <c r="HB52" s="15" t="n">
        <v>0</v>
      </c>
      <c r="HC52" s="15" t="s">
        <v>385</v>
      </c>
      <c r="HD52" s="15" t="n">
        <v>38.5</v>
      </c>
      <c r="HE52" s="17" t="n">
        <v>55</v>
      </c>
      <c r="HF52" s="17" t="n">
        <v>114</v>
      </c>
      <c r="HG52" s="17" t="n">
        <v>7.8</v>
      </c>
      <c r="HH52" s="17" t="n">
        <v>95.15</v>
      </c>
      <c r="HI52" s="17" t="n">
        <v>0</v>
      </c>
      <c r="HJ52" s="17" t="n">
        <v>3.78</v>
      </c>
      <c r="HK52" s="17" t="n">
        <v>0</v>
      </c>
      <c r="HL52" s="17" t="n">
        <v>1.07</v>
      </c>
      <c r="HM52" s="17" t="n">
        <v>0</v>
      </c>
      <c r="HN52" s="17" t="n">
        <v>0</v>
      </c>
      <c r="HO52" s="17" t="n">
        <v>0</v>
      </c>
      <c r="HP52" s="17" t="n">
        <v>0</v>
      </c>
      <c r="HQ52" s="17" t="n">
        <v>0</v>
      </c>
      <c r="HR52" s="17" t="n">
        <v>0</v>
      </c>
      <c r="HS52" s="17" t="n">
        <v>0</v>
      </c>
      <c r="HT52" s="17" t="n">
        <v>15.05</v>
      </c>
      <c r="HU52" s="17" t="n">
        <v>4.58</v>
      </c>
      <c r="HV52" s="17" t="n">
        <v>0.1</v>
      </c>
      <c r="HW52" s="17" t="n">
        <v>0</v>
      </c>
      <c r="HX52" s="17" t="n">
        <v>0</v>
      </c>
      <c r="HY52" s="17" t="n">
        <v>0</v>
      </c>
      <c r="IL52" s="15" t="n">
        <v>22.8</v>
      </c>
      <c r="IM52" s="15" t="n">
        <v>1</v>
      </c>
      <c r="IN52" s="15" t="n">
        <v>38</v>
      </c>
      <c r="IO52" s="15" t="n">
        <v>5</v>
      </c>
      <c r="IP52" s="15" t="n">
        <f aca="false">2.45+1.09</f>
        <v>3.54</v>
      </c>
      <c r="IQ52" s="15" t="n">
        <v>5</v>
      </c>
      <c r="IX52" s="31"/>
      <c r="JB52" s="31"/>
      <c r="JF52" s="31"/>
      <c r="JJ52" s="31"/>
      <c r="JN52" s="31"/>
      <c r="JP52" s="15" t="n">
        <v>0</v>
      </c>
      <c r="LA52" s="15" t="n">
        <v>0</v>
      </c>
      <c r="LB52" s="15" t="n">
        <v>0</v>
      </c>
      <c r="LL52" s="15" t="n">
        <v>7.84</v>
      </c>
      <c r="LM52" s="15" t="n">
        <f aca="false">2.45+1.09</f>
        <v>3.54</v>
      </c>
      <c r="LN52" s="15" t="n">
        <v>0</v>
      </c>
      <c r="LO52" s="15" t="n">
        <v>0</v>
      </c>
      <c r="LP52" s="15" t="n">
        <v>0</v>
      </c>
      <c r="LQ52" s="15" t="n">
        <v>0</v>
      </c>
      <c r="LR52" s="15" t="n">
        <v>0</v>
      </c>
      <c r="LS52" s="15" t="n">
        <v>0</v>
      </c>
      <c r="LT52" s="15" t="s">
        <v>386</v>
      </c>
      <c r="LU52" s="15" t="n">
        <v>38</v>
      </c>
      <c r="LV52" s="17" t="n">
        <v>48.8</v>
      </c>
      <c r="LW52" s="17" t="n">
        <v>114</v>
      </c>
      <c r="LX52" s="17" t="n">
        <v>7.2</v>
      </c>
      <c r="LY52" s="17" t="n">
        <v>96.13</v>
      </c>
      <c r="LZ52" s="17" t="n">
        <v>0</v>
      </c>
      <c r="MA52" s="17" t="n">
        <v>3.78</v>
      </c>
      <c r="MB52" s="17" t="n">
        <v>0</v>
      </c>
      <c r="MC52" s="17" t="n">
        <v>0.1</v>
      </c>
      <c r="MD52" s="17" t="n">
        <v>0</v>
      </c>
      <c r="ME52" s="17" t="n">
        <v>0</v>
      </c>
      <c r="MF52" s="17" t="n">
        <v>0</v>
      </c>
      <c r="MG52" s="17" t="n">
        <v>0</v>
      </c>
      <c r="MH52" s="17" t="n">
        <v>0</v>
      </c>
      <c r="MI52" s="17" t="n">
        <v>0</v>
      </c>
      <c r="MJ52" s="17" t="n">
        <v>0</v>
      </c>
      <c r="MK52" s="17" t="n">
        <v>12.85</v>
      </c>
      <c r="ML52" s="17" t="n">
        <v>4.58</v>
      </c>
      <c r="MM52" s="17" t="n">
        <v>0.1</v>
      </c>
      <c r="MN52" s="17" t="n">
        <v>0</v>
      </c>
      <c r="MO52" s="17" t="n">
        <v>0</v>
      </c>
      <c r="MP52" s="17" t="n">
        <v>0</v>
      </c>
      <c r="NC52" s="15" t="n">
        <v>22.8</v>
      </c>
      <c r="ND52" s="15" t="n">
        <v>1</v>
      </c>
      <c r="NE52" s="15" t="n">
        <v>38</v>
      </c>
      <c r="NF52" s="15" t="n">
        <v>5</v>
      </c>
      <c r="NG52" s="15" t="n">
        <f aca="false">2.45+1.09</f>
        <v>3.54</v>
      </c>
      <c r="NH52" s="15" t="n">
        <v>5</v>
      </c>
      <c r="NI52" s="15" t="n">
        <v>20</v>
      </c>
      <c r="NJ52" s="15" t="n">
        <v>4</v>
      </c>
      <c r="NK52" s="15" t="n">
        <v>0.29</v>
      </c>
      <c r="NL52" s="15" t="n">
        <v>2</v>
      </c>
      <c r="NO52" s="31"/>
      <c r="NS52" s="31"/>
      <c r="NW52" s="31"/>
      <c r="OA52" s="31"/>
      <c r="OE52" s="31"/>
      <c r="OG52" s="15" t="n">
        <v>0</v>
      </c>
      <c r="PR52" s="15" t="n">
        <v>0</v>
      </c>
      <c r="PS52" s="15" t="n">
        <v>0</v>
      </c>
      <c r="QC52" s="15" t="n">
        <v>7.84</v>
      </c>
      <c r="QD52" s="15" t="n">
        <f aca="false">2.45+1.09</f>
        <v>3.54</v>
      </c>
      <c r="QE52" s="15" t="n">
        <v>0</v>
      </c>
      <c r="QF52" s="15" t="n">
        <v>0</v>
      </c>
      <c r="QG52" s="15" t="n">
        <v>0</v>
      </c>
      <c r="QH52" s="15" t="n">
        <v>0</v>
      </c>
      <c r="QI52" s="15" t="n">
        <v>0</v>
      </c>
      <c r="QJ52" s="15" t="n">
        <v>0</v>
      </c>
      <c r="QK52" s="15" t="s">
        <v>387</v>
      </c>
      <c r="QL52" s="15" t="n">
        <v>64</v>
      </c>
      <c r="QM52" s="17" t="n">
        <v>70.6</v>
      </c>
      <c r="QN52" s="17" t="n">
        <v>114</v>
      </c>
      <c r="QO52" s="17" t="n">
        <v>14.9</v>
      </c>
      <c r="QP52" s="17" t="n">
        <v>88.29</v>
      </c>
      <c r="QQ52" s="17" t="n">
        <v>0</v>
      </c>
      <c r="QR52" s="17" t="n">
        <v>9.81</v>
      </c>
      <c r="QS52" s="17" t="n">
        <v>1.64</v>
      </c>
      <c r="QT52" s="17" t="n">
        <v>0.26</v>
      </c>
      <c r="QU52" s="17" t="n">
        <v>0</v>
      </c>
      <c r="QV52" s="17" t="n">
        <v>0</v>
      </c>
      <c r="QW52" s="17" t="n">
        <v>0</v>
      </c>
      <c r="QX52" s="17" t="n">
        <v>0</v>
      </c>
      <c r="QY52" s="17" t="n">
        <v>0</v>
      </c>
      <c r="QZ52" s="17" t="n">
        <v>0</v>
      </c>
      <c r="RA52" s="17" t="n">
        <v>0.55</v>
      </c>
      <c r="RB52" s="17" t="n">
        <v>22.64</v>
      </c>
      <c r="RC52" s="17" t="n">
        <v>2.58</v>
      </c>
      <c r="RD52" s="17" t="n">
        <v>0.13</v>
      </c>
      <c r="RE52" s="17" t="n">
        <v>0</v>
      </c>
      <c r="RF52" s="17" t="n">
        <v>0</v>
      </c>
      <c r="RG52" s="17" t="n">
        <v>0</v>
      </c>
      <c r="RT52" s="15" t="n">
        <v>40.4</v>
      </c>
      <c r="RU52" s="15" t="n">
        <v>1</v>
      </c>
      <c r="RV52" s="15" t="n">
        <v>38</v>
      </c>
      <c r="RW52" s="15" t="n">
        <v>9</v>
      </c>
      <c r="RX52" s="15" t="n">
        <v>5.52</v>
      </c>
      <c r="RY52" s="15" t="n">
        <v>5</v>
      </c>
      <c r="RZ52" s="15" t="n">
        <v>23</v>
      </c>
      <c r="SA52" s="15" t="n">
        <v>1</v>
      </c>
      <c r="SB52" s="15" t="n">
        <v>0.09</v>
      </c>
      <c r="SC52" s="15" t="n">
        <v>3</v>
      </c>
      <c r="SF52" s="31"/>
      <c r="SJ52" s="31"/>
      <c r="SN52" s="31"/>
      <c r="SR52" s="31"/>
      <c r="SV52" s="31"/>
      <c r="SX52" s="15" t="n">
        <v>0</v>
      </c>
      <c r="UI52" s="15" t="n">
        <v>0</v>
      </c>
      <c r="UJ52" s="15" t="n">
        <v>0</v>
      </c>
      <c r="UT52" s="15" t="n">
        <v>8.33</v>
      </c>
      <c r="UU52" s="15" t="n">
        <v>5.52</v>
      </c>
      <c r="UV52" s="15" t="n">
        <v>0</v>
      </c>
      <c r="UW52" s="15" t="n">
        <v>0</v>
      </c>
      <c r="UX52" s="15" t="n">
        <v>0</v>
      </c>
      <c r="UY52" s="15" t="n">
        <v>0</v>
      </c>
      <c r="UZ52" s="15" t="n">
        <v>0</v>
      </c>
      <c r="VA52" s="15" t="n">
        <v>0</v>
      </c>
      <c r="VB52" s="15" t="s">
        <v>388</v>
      </c>
      <c r="VC52" s="15" t="n">
        <v>64</v>
      </c>
      <c r="VD52" s="17" t="n">
        <v>79.5</v>
      </c>
      <c r="VE52" s="17" t="n">
        <v>114</v>
      </c>
      <c r="VF52" s="17" t="n">
        <v>15</v>
      </c>
      <c r="VG52" s="17" t="n">
        <v>88.29</v>
      </c>
      <c r="VH52" s="17" t="n">
        <v>0</v>
      </c>
      <c r="VI52" s="17" t="n">
        <v>9.81</v>
      </c>
      <c r="VJ52" s="17" t="n">
        <v>1.64</v>
      </c>
      <c r="VK52" s="17" t="n">
        <v>0.26</v>
      </c>
      <c r="VL52" s="17" t="n">
        <v>0</v>
      </c>
      <c r="VM52" s="17" t="n">
        <v>0</v>
      </c>
      <c r="VN52" s="17" t="n">
        <v>0</v>
      </c>
      <c r="VO52" s="17" t="n">
        <v>0</v>
      </c>
      <c r="VP52" s="17" t="n">
        <v>0</v>
      </c>
      <c r="VQ52" s="17" t="n">
        <v>0</v>
      </c>
      <c r="VR52" s="17" t="n">
        <v>0.55</v>
      </c>
      <c r="VS52" s="17" t="n">
        <v>24</v>
      </c>
      <c r="VT52" s="17" t="n">
        <v>4.31</v>
      </c>
      <c r="VU52" s="17" t="n">
        <v>0.82</v>
      </c>
      <c r="VV52" s="17" t="n">
        <v>0</v>
      </c>
      <c r="VW52" s="17" t="n">
        <v>0</v>
      </c>
      <c r="VX52" s="17" t="n">
        <v>0</v>
      </c>
      <c r="VY52" s="17"/>
      <c r="WK52" s="15" t="n">
        <v>40.4</v>
      </c>
      <c r="WL52" s="15" t="n">
        <v>1</v>
      </c>
      <c r="WM52" s="15" t="n">
        <v>38</v>
      </c>
      <c r="WN52" s="15" t="n">
        <v>9</v>
      </c>
      <c r="WO52" s="15" t="n">
        <v>5.52</v>
      </c>
      <c r="WP52" s="15" t="n">
        <v>5</v>
      </c>
      <c r="WQ52" s="15" t="n">
        <v>23</v>
      </c>
      <c r="WR52" s="15" t="n">
        <v>1</v>
      </c>
      <c r="WS52" s="15" t="n">
        <v>0.09</v>
      </c>
      <c r="WT52" s="15" t="n">
        <v>3</v>
      </c>
      <c r="WW52" s="31"/>
      <c r="XA52" s="31"/>
      <c r="XE52" s="31"/>
      <c r="XI52" s="31"/>
      <c r="XM52" s="31"/>
      <c r="XO52" s="15" t="n">
        <v>0</v>
      </c>
      <c r="YZ52" s="15" t="n">
        <v>0</v>
      </c>
      <c r="ZA52" s="15" t="n">
        <v>0</v>
      </c>
      <c r="ZK52" s="15" t="n">
        <v>8.33</v>
      </c>
      <c r="ZL52" s="15" t="n">
        <v>5.52</v>
      </c>
      <c r="ZM52" s="15" t="n">
        <v>0</v>
      </c>
      <c r="ZN52" s="15" t="n">
        <v>0</v>
      </c>
      <c r="ZO52" s="15" t="n">
        <v>0</v>
      </c>
      <c r="ZP52" s="15" t="n">
        <v>0</v>
      </c>
      <c r="ZQ52" s="15" t="n">
        <v>0</v>
      </c>
      <c r="ZR52" s="15" t="n">
        <v>0</v>
      </c>
      <c r="ZS52" s="15" t="s">
        <v>196</v>
      </c>
      <c r="ZT52" s="15" t="n">
        <v>24.5</v>
      </c>
      <c r="ZU52" s="17" t="n">
        <v>58.4</v>
      </c>
      <c r="ZV52" s="17" t="n">
        <v>114</v>
      </c>
      <c r="ZW52" s="17" t="n">
        <v>12</v>
      </c>
      <c r="ZX52" s="17" t="n">
        <v>92.09</v>
      </c>
      <c r="ZY52" s="17" t="n">
        <v>0</v>
      </c>
      <c r="ZZ52" s="17" t="n">
        <v>0</v>
      </c>
      <c r="AAA52" s="17" t="n">
        <v>5.57</v>
      </c>
      <c r="AAB52" s="17" t="n">
        <v>2.35</v>
      </c>
      <c r="AAC52" s="17" t="n">
        <v>0</v>
      </c>
      <c r="AAD52" s="17" t="n">
        <v>0</v>
      </c>
      <c r="AAE52" s="17" t="n">
        <v>0</v>
      </c>
      <c r="AAF52" s="17" t="n">
        <v>0</v>
      </c>
      <c r="AAG52" s="17" t="n">
        <v>0</v>
      </c>
      <c r="AAH52" s="17" t="n">
        <v>0</v>
      </c>
      <c r="AAI52" s="17" t="n">
        <v>8.58</v>
      </c>
      <c r="AAJ52" s="17" t="n">
        <v>3.1</v>
      </c>
      <c r="AAK52" s="17" t="n">
        <v>0.55</v>
      </c>
      <c r="AAL52" s="17" t="n">
        <v>0.71</v>
      </c>
      <c r="AAM52" s="17" t="n">
        <v>0</v>
      </c>
      <c r="AAN52" s="17" t="n">
        <v>0</v>
      </c>
      <c r="AAO52" s="17" t="n">
        <v>0</v>
      </c>
      <c r="ABB52" s="15" t="n">
        <v>7.2</v>
      </c>
      <c r="ABC52" s="15" t="n">
        <v>1</v>
      </c>
      <c r="ABD52" s="17" t="n">
        <v>30</v>
      </c>
      <c r="ABE52" s="17" t="n">
        <v>2</v>
      </c>
      <c r="ABF52" s="17" t="n">
        <v>1.09</v>
      </c>
      <c r="ABG52" s="17" t="n">
        <v>4</v>
      </c>
      <c r="ABH52" s="17" t="n">
        <v>30</v>
      </c>
      <c r="ABI52" s="17" t="n">
        <v>2</v>
      </c>
      <c r="ABJ52" s="17" t="n">
        <v>0.27</v>
      </c>
      <c r="ABK52" s="17" t="n">
        <v>2</v>
      </c>
      <c r="ABL52" s="17" t="n">
        <v>34</v>
      </c>
      <c r="ABM52" s="17" t="n">
        <v>1</v>
      </c>
      <c r="ABN52" s="31" t="n">
        <v>1.09</v>
      </c>
      <c r="ABO52" s="17" t="n">
        <v>1</v>
      </c>
      <c r="ABR52" s="31"/>
      <c r="ABV52" s="31"/>
      <c r="ABZ52" s="31"/>
      <c r="ACD52" s="31"/>
      <c r="ACF52" s="15" t="n">
        <v>0</v>
      </c>
      <c r="ADQ52" s="15" t="n">
        <v>0</v>
      </c>
      <c r="ADR52" s="15" t="n">
        <v>0</v>
      </c>
      <c r="AEB52" s="15" t="n">
        <v>5.3</v>
      </c>
      <c r="AEC52" s="15" t="n">
        <f aca="false">0.27+8.58+0.32</f>
        <v>9.17</v>
      </c>
      <c r="AED52" s="15" t="n">
        <v>0</v>
      </c>
      <c r="AEE52" s="15" t="n">
        <v>0</v>
      </c>
      <c r="AEF52" s="15" t="n">
        <v>0</v>
      </c>
      <c r="AEG52" s="15" t="n">
        <v>8.58</v>
      </c>
      <c r="AEH52" s="15" t="n">
        <v>0</v>
      </c>
      <c r="AEI52" s="15" t="n">
        <v>0</v>
      </c>
      <c r="AEJ52" s="15" t="s">
        <v>195</v>
      </c>
      <c r="AEK52" s="15" t="n">
        <v>22</v>
      </c>
      <c r="AEL52" s="17" t="n">
        <v>44.2</v>
      </c>
      <c r="AEM52" s="17" t="n">
        <v>114</v>
      </c>
      <c r="AEN52" s="17" t="n">
        <v>10.9</v>
      </c>
      <c r="AEO52" s="17" t="n">
        <v>92.8</v>
      </c>
      <c r="AEP52" s="17" t="n">
        <v>0</v>
      </c>
      <c r="AEQ52" s="17" t="n">
        <v>0</v>
      </c>
      <c r="AER52" s="17" t="n">
        <v>5.57</v>
      </c>
      <c r="AES52" s="17" t="n">
        <v>1.64</v>
      </c>
      <c r="AET52" s="17" t="n">
        <v>0</v>
      </c>
      <c r="AEU52" s="17" t="n">
        <v>0</v>
      </c>
      <c r="AEV52" s="17" t="n">
        <v>0</v>
      </c>
      <c r="AEW52" s="17" t="n">
        <v>0</v>
      </c>
      <c r="AEX52" s="17" t="n">
        <v>0</v>
      </c>
      <c r="AEY52" s="17" t="n">
        <v>0</v>
      </c>
      <c r="AEZ52" s="17" t="n">
        <v>8.58</v>
      </c>
      <c r="AFA52" s="17" t="n">
        <v>1.57</v>
      </c>
      <c r="AFB52" s="17" t="n">
        <v>0.55</v>
      </c>
      <c r="AFC52" s="17" t="n">
        <v>0</v>
      </c>
      <c r="AFD52" s="17" t="n">
        <v>0</v>
      </c>
      <c r="AFE52" s="17" t="n">
        <v>0</v>
      </c>
      <c r="AFF52" s="17" t="n">
        <v>0</v>
      </c>
      <c r="AFS52" s="15" t="n">
        <v>7.15</v>
      </c>
      <c r="AFT52" s="15" t="n">
        <v>1</v>
      </c>
      <c r="AFU52" s="17" t="n">
        <v>30</v>
      </c>
      <c r="AFV52" s="17" t="n">
        <v>2</v>
      </c>
      <c r="AFW52" s="17" t="n">
        <v>1.09</v>
      </c>
      <c r="AFX52" s="17" t="n">
        <v>4</v>
      </c>
      <c r="AFY52" s="17" t="n">
        <v>30</v>
      </c>
      <c r="AFZ52" s="17" t="n">
        <v>2</v>
      </c>
      <c r="AGA52" s="17" t="n">
        <v>0.27</v>
      </c>
      <c r="AGB52" s="17" t="n">
        <v>2</v>
      </c>
      <c r="AGC52" s="17" t="n">
        <v>34</v>
      </c>
      <c r="AGD52" s="17" t="n">
        <v>1</v>
      </c>
      <c r="AGE52" s="31" t="n">
        <v>1.09</v>
      </c>
      <c r="AGF52" s="17" t="n">
        <v>1</v>
      </c>
      <c r="AGI52" s="31"/>
      <c r="AGM52" s="31"/>
      <c r="AGQ52" s="31"/>
      <c r="AGU52" s="31"/>
      <c r="AIH52" s="15" t="n">
        <v>0</v>
      </c>
      <c r="AII52" s="15" t="n">
        <v>0</v>
      </c>
      <c r="AIS52" s="15" t="n">
        <v>2.59</v>
      </c>
      <c r="AIT52" s="15" t="n">
        <f aca="false">0.27+0.32</f>
        <v>0.59</v>
      </c>
      <c r="AIU52" s="15" t="n">
        <v>0</v>
      </c>
      <c r="AIV52" s="15" t="n">
        <v>0</v>
      </c>
      <c r="AIW52" s="15" t="n">
        <v>0</v>
      </c>
      <c r="AIX52" s="15" t="n">
        <v>0</v>
      </c>
      <c r="AIY52" s="15" t="n">
        <v>1.03</v>
      </c>
      <c r="AIZ52" s="15" t="n">
        <v>0</v>
      </c>
      <c r="AJA52" s="15" t="s">
        <v>389</v>
      </c>
      <c r="AJB52" s="15" t="n">
        <v>10</v>
      </c>
      <c r="AJC52" s="17" t="n">
        <v>46.2</v>
      </c>
      <c r="AJD52" s="17" t="n">
        <v>114</v>
      </c>
      <c r="AJE52" s="17" t="n">
        <v>6.3</v>
      </c>
      <c r="AJF52" s="17" t="n">
        <v>0</v>
      </c>
      <c r="AJG52" s="17" t="n">
        <v>0</v>
      </c>
      <c r="AJH52" s="17" t="n">
        <v>1.91</v>
      </c>
      <c r="AJI52" s="17" t="n">
        <v>0</v>
      </c>
      <c r="AJJ52" s="17" t="n">
        <v>1.91</v>
      </c>
      <c r="AJK52" s="17" t="n">
        <v>0</v>
      </c>
      <c r="AJL52" s="17" t="n">
        <v>0</v>
      </c>
      <c r="AJM52" s="17" t="n">
        <v>0</v>
      </c>
      <c r="AJN52" s="17" t="n">
        <v>0</v>
      </c>
      <c r="AJO52" s="17" t="n">
        <v>0</v>
      </c>
      <c r="AJP52" s="17" t="n">
        <v>0</v>
      </c>
      <c r="AJQ52" s="17" t="n">
        <v>0</v>
      </c>
      <c r="AJR52" s="17" t="n">
        <v>8.85</v>
      </c>
      <c r="AJS52" s="17" t="n">
        <v>4.36</v>
      </c>
      <c r="AJT52" s="17" t="n">
        <v>0</v>
      </c>
      <c r="AJU52" s="17" t="n">
        <v>0</v>
      </c>
      <c r="AJV52" s="17" t="n">
        <v>0</v>
      </c>
      <c r="AKJ52" s="15" t="n">
        <v>0</v>
      </c>
      <c r="AKV52" s="31"/>
      <c r="AKZ52" s="31"/>
      <c r="ALD52" s="31"/>
      <c r="ALH52" s="31"/>
      <c r="ALL52" s="31"/>
      <c r="ALN52" s="15" t="n">
        <v>0</v>
      </c>
    </row>
    <row r="53" customFormat="false" ht="13.8" hidden="false" customHeight="false" outlineLevel="0" collapsed="false">
      <c r="A53" s="1" t="s">
        <v>400</v>
      </c>
      <c r="B53" s="12" t="n">
        <v>42900</v>
      </c>
      <c r="C53" s="0" t="n">
        <v>1</v>
      </c>
      <c r="D53" s="13" t="n">
        <v>34736</v>
      </c>
      <c r="E53" s="12" t="n">
        <v>23866</v>
      </c>
      <c r="F53" s="14" t="n">
        <f aca="false">(B53-E53)/365.25</f>
        <v>52.1122518822724</v>
      </c>
      <c r="G53" s="14" t="n">
        <f aca="false">(B53-D53)/365.25</f>
        <v>22.3518138261465</v>
      </c>
      <c r="H53" s="15" t="s">
        <v>183</v>
      </c>
      <c r="I53" s="15" t="s">
        <v>383</v>
      </c>
      <c r="J53" s="21" t="s">
        <v>181</v>
      </c>
      <c r="K53" s="21" t="n">
        <v>4</v>
      </c>
      <c r="L53" s="19" t="n">
        <v>58.7</v>
      </c>
      <c r="M53" s="0" t="n">
        <v>1.6</v>
      </c>
      <c r="N53" s="16" t="n">
        <f aca="false">L53/(M53*M53)</f>
        <v>22.9296875</v>
      </c>
      <c r="O53" s="19" t="n">
        <v>0</v>
      </c>
      <c r="P53" s="19" t="n">
        <v>0</v>
      </c>
      <c r="Q53" s="19" t="n">
        <v>0</v>
      </c>
      <c r="R53" s="19" t="n">
        <v>1</v>
      </c>
      <c r="S53" s="19" t="n">
        <v>0</v>
      </c>
      <c r="T53" s="19" t="n">
        <v>0</v>
      </c>
      <c r="U53" s="19" t="n">
        <v>0</v>
      </c>
      <c r="V53" s="19" t="n">
        <v>0</v>
      </c>
      <c r="W53" s="19" t="n">
        <v>1</v>
      </c>
      <c r="X53" s="19" t="n">
        <v>0</v>
      </c>
      <c r="Y53" s="19" t="n">
        <v>0</v>
      </c>
      <c r="Z53" s="19" t="n">
        <v>0</v>
      </c>
      <c r="AA53" s="19" t="n">
        <v>0</v>
      </c>
      <c r="AB53" s="19" t="n">
        <v>0</v>
      </c>
      <c r="AC53" s="19" t="n">
        <v>1</v>
      </c>
      <c r="AD53" s="19" t="n">
        <v>1</v>
      </c>
      <c r="AE53" s="19" t="n">
        <v>1</v>
      </c>
      <c r="AF53" s="19" t="n">
        <v>1</v>
      </c>
      <c r="AG53" s="19" t="n">
        <v>1</v>
      </c>
      <c r="AH53" s="19" t="n">
        <v>3</v>
      </c>
      <c r="AI53" s="19" t="n">
        <v>3</v>
      </c>
      <c r="AJ53" s="19" t="n">
        <v>3</v>
      </c>
      <c r="AK53" s="19" t="n">
        <v>3</v>
      </c>
      <c r="AL53" s="19" t="n">
        <v>9</v>
      </c>
      <c r="AM53" s="19" t="n">
        <v>3</v>
      </c>
      <c r="AN53" s="19" t="n">
        <v>3</v>
      </c>
      <c r="AO53" s="19" t="n">
        <v>3</v>
      </c>
      <c r="AP53" s="19" t="n">
        <v>3</v>
      </c>
      <c r="AQ53" s="19" t="n">
        <v>7</v>
      </c>
      <c r="AR53" s="19" t="n">
        <v>3</v>
      </c>
      <c r="AS53" s="19" t="n">
        <v>3</v>
      </c>
      <c r="AT53" s="19" t="n">
        <v>3</v>
      </c>
      <c r="AU53" s="19" t="n">
        <v>3</v>
      </c>
      <c r="AV53" s="19" t="n">
        <v>7</v>
      </c>
      <c r="AW53" s="19" t="n">
        <v>7</v>
      </c>
      <c r="AX53" s="19"/>
      <c r="AY53" s="19"/>
      <c r="AZ53" s="19"/>
      <c r="BA53" s="19"/>
      <c r="BB53" s="19" t="n">
        <v>1</v>
      </c>
      <c r="BC53" s="19" t="n">
        <v>1</v>
      </c>
      <c r="BD53" s="19" t="n">
        <v>1</v>
      </c>
      <c r="BE53" s="19" t="n">
        <v>4</v>
      </c>
      <c r="BF53" s="19" t="n">
        <v>0</v>
      </c>
      <c r="BG53" s="19" t="n">
        <v>0</v>
      </c>
      <c r="BH53" s="19" t="n">
        <v>0</v>
      </c>
      <c r="BI53" s="19" t="n">
        <v>0</v>
      </c>
      <c r="BJ53" s="19" t="n">
        <v>1</v>
      </c>
      <c r="BK53" s="19" t="n">
        <v>1</v>
      </c>
      <c r="BL53" s="19" t="n">
        <v>1</v>
      </c>
      <c r="BM53" s="19" t="n">
        <v>6</v>
      </c>
      <c r="BN53" s="19" t="n">
        <v>1</v>
      </c>
      <c r="BO53" s="19" t="n">
        <v>1</v>
      </c>
      <c r="BP53" s="19" t="n">
        <v>1</v>
      </c>
      <c r="BQ53" s="19" t="n">
        <v>5</v>
      </c>
      <c r="BR53" s="19" t="n">
        <v>3</v>
      </c>
      <c r="BS53" s="19" t="n">
        <v>1</v>
      </c>
      <c r="BT53" s="19" t="n">
        <v>2</v>
      </c>
      <c r="BU53" s="19" t="n">
        <v>4</v>
      </c>
      <c r="BV53" s="19" t="n">
        <v>2</v>
      </c>
      <c r="BW53" s="19" t="n">
        <v>3</v>
      </c>
      <c r="BX53" s="19" t="n">
        <v>2</v>
      </c>
      <c r="BY53" s="19" t="n">
        <v>3</v>
      </c>
      <c r="BZ53" s="19" t="n">
        <v>1</v>
      </c>
      <c r="CA53" s="19" t="n">
        <v>1</v>
      </c>
      <c r="CB53" s="19" t="n">
        <v>3</v>
      </c>
      <c r="CC53" s="19" t="n">
        <v>5</v>
      </c>
      <c r="CD53" s="19" t="n">
        <v>3</v>
      </c>
      <c r="CE53" s="19" t="n">
        <v>3</v>
      </c>
      <c r="CF53" s="19" t="n">
        <v>2</v>
      </c>
      <c r="CG53" s="19" t="n">
        <v>3</v>
      </c>
      <c r="CH53" s="19" t="n">
        <v>3</v>
      </c>
      <c r="CI53" s="19" t="n">
        <v>3</v>
      </c>
      <c r="CJ53" s="19" t="n">
        <v>1</v>
      </c>
      <c r="CK53" s="19" t="n">
        <v>5</v>
      </c>
      <c r="CL53" s="30" t="s">
        <v>384</v>
      </c>
      <c r="CM53" s="15" t="n">
        <v>28.5</v>
      </c>
      <c r="CN53" s="17" t="n">
        <v>69.3</v>
      </c>
      <c r="CO53" s="17" t="n">
        <v>114</v>
      </c>
      <c r="CP53" s="17" t="n">
        <v>19.5</v>
      </c>
      <c r="CQ53" s="17" t="n">
        <v>79.15</v>
      </c>
      <c r="CR53" s="17" t="n">
        <v>0</v>
      </c>
      <c r="CS53" s="17" t="n">
        <v>3.87</v>
      </c>
      <c r="CT53" s="17" t="n">
        <v>2.86</v>
      </c>
      <c r="CU53" s="17" t="n">
        <v>14.12</v>
      </c>
      <c r="CV53" s="17" t="n">
        <v>0</v>
      </c>
      <c r="CW53" s="17" t="n">
        <v>0</v>
      </c>
      <c r="CX53" s="17" t="n">
        <v>0</v>
      </c>
      <c r="CY53" s="17" t="n">
        <v>0</v>
      </c>
      <c r="CZ53" s="17" t="n">
        <v>0</v>
      </c>
      <c r="DA53" s="17" t="n">
        <v>0</v>
      </c>
      <c r="DB53" s="17" t="n">
        <v>0.82</v>
      </c>
      <c r="DC53" s="17" t="n">
        <v>11.71</v>
      </c>
      <c r="DD53" s="17" t="n">
        <v>15.43</v>
      </c>
      <c r="DE53" s="17" t="n">
        <v>4.91</v>
      </c>
      <c r="DF53" s="17" t="n">
        <v>0</v>
      </c>
      <c r="DG53" s="17" t="n">
        <v>0</v>
      </c>
      <c r="DH53" s="17" t="n">
        <v>0</v>
      </c>
      <c r="DI53" s="17" t="n">
        <v>0</v>
      </c>
      <c r="DJ53" s="17" t="n">
        <v>0</v>
      </c>
      <c r="DK53" s="17" t="n">
        <v>0</v>
      </c>
      <c r="DL53" s="17" t="n">
        <v>0</v>
      </c>
      <c r="DM53" s="17" t="n">
        <v>0</v>
      </c>
      <c r="DN53" s="17" t="n">
        <v>0</v>
      </c>
      <c r="DO53" s="17" t="n">
        <v>0</v>
      </c>
      <c r="DP53" s="17" t="n">
        <v>0</v>
      </c>
      <c r="DQ53" s="17" t="n">
        <v>0</v>
      </c>
      <c r="DR53" s="17" t="n">
        <v>0</v>
      </c>
      <c r="DS53" s="17" t="n">
        <v>0</v>
      </c>
      <c r="DT53" s="17" t="n">
        <v>0</v>
      </c>
      <c r="DU53" s="17" t="n">
        <v>0</v>
      </c>
      <c r="DV53" s="17" t="n">
        <v>0</v>
      </c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31"/>
      <c r="EH53" s="17"/>
      <c r="EK53" s="31"/>
      <c r="EO53" s="31"/>
      <c r="ES53" s="31"/>
      <c r="EW53" s="31"/>
      <c r="EY53" s="15" t="n">
        <v>0</v>
      </c>
      <c r="GJ53" s="15" t="n">
        <v>0</v>
      </c>
      <c r="GK53" s="15" t="n">
        <v>0</v>
      </c>
      <c r="GU53" s="15" t="n">
        <v>8.7</v>
      </c>
      <c r="GV53" s="15" t="n">
        <f aca="false">3.27*4+1.23+0.08+0.52*2</f>
        <v>15.43</v>
      </c>
      <c r="GW53" s="15" t="n">
        <v>0</v>
      </c>
      <c r="GX53" s="15" t="n">
        <v>0</v>
      </c>
      <c r="GY53" s="15" t="n">
        <v>0</v>
      </c>
      <c r="GZ53" s="15" t="n">
        <v>0</v>
      </c>
      <c r="HA53" s="15" t="n">
        <v>0</v>
      </c>
      <c r="HB53" s="15" t="n">
        <v>0</v>
      </c>
      <c r="HC53" s="15" t="s">
        <v>385</v>
      </c>
      <c r="HD53" s="15" t="n">
        <v>38.5</v>
      </c>
      <c r="HE53" s="17" t="n">
        <v>55</v>
      </c>
      <c r="HF53" s="17" t="n">
        <v>114</v>
      </c>
      <c r="HG53" s="17" t="n">
        <v>7.8</v>
      </c>
      <c r="HH53" s="17" t="n">
        <v>95.15</v>
      </c>
      <c r="HI53" s="17" t="n">
        <v>0</v>
      </c>
      <c r="HJ53" s="17" t="n">
        <v>3.78</v>
      </c>
      <c r="HK53" s="17" t="n">
        <v>0</v>
      </c>
      <c r="HL53" s="17" t="n">
        <v>1.07</v>
      </c>
      <c r="HM53" s="17" t="n">
        <v>0</v>
      </c>
      <c r="HN53" s="17" t="n">
        <v>0</v>
      </c>
      <c r="HO53" s="17" t="n">
        <v>0</v>
      </c>
      <c r="HP53" s="17" t="n">
        <v>0</v>
      </c>
      <c r="HQ53" s="17" t="n">
        <v>0</v>
      </c>
      <c r="HR53" s="17" t="n">
        <v>0</v>
      </c>
      <c r="HS53" s="17" t="n">
        <v>0</v>
      </c>
      <c r="HT53" s="17" t="n">
        <v>15.05</v>
      </c>
      <c r="HU53" s="17" t="n">
        <v>4.58</v>
      </c>
      <c r="HV53" s="17" t="n">
        <v>0.1</v>
      </c>
      <c r="HW53" s="17" t="n">
        <v>0</v>
      </c>
      <c r="HX53" s="17" t="n">
        <v>0</v>
      </c>
      <c r="HY53" s="17" t="n">
        <v>0</v>
      </c>
      <c r="IL53" s="15" t="n">
        <v>22.8</v>
      </c>
      <c r="IM53" s="15" t="n">
        <v>1</v>
      </c>
      <c r="IN53" s="15" t="n">
        <v>38</v>
      </c>
      <c r="IO53" s="15" t="n">
        <v>5</v>
      </c>
      <c r="IP53" s="15" t="n">
        <f aca="false">2.45+1.09</f>
        <v>3.54</v>
      </c>
      <c r="IQ53" s="15" t="n">
        <v>5</v>
      </c>
      <c r="IX53" s="31"/>
      <c r="JB53" s="31"/>
      <c r="JF53" s="31"/>
      <c r="JJ53" s="31"/>
      <c r="JN53" s="31"/>
      <c r="JP53" s="15" t="n">
        <v>0</v>
      </c>
      <c r="LA53" s="15" t="n">
        <v>0</v>
      </c>
      <c r="LB53" s="15" t="n">
        <v>0</v>
      </c>
      <c r="LL53" s="15" t="n">
        <v>7.84</v>
      </c>
      <c r="LM53" s="15" t="n">
        <f aca="false">2.45+1.09</f>
        <v>3.54</v>
      </c>
      <c r="LN53" s="15" t="n">
        <v>0</v>
      </c>
      <c r="LO53" s="15" t="n">
        <v>0</v>
      </c>
      <c r="LP53" s="15" t="n">
        <v>0</v>
      </c>
      <c r="LQ53" s="15" t="n">
        <v>0</v>
      </c>
      <c r="LR53" s="15" t="n">
        <v>0</v>
      </c>
      <c r="LS53" s="15" t="n">
        <v>0</v>
      </c>
      <c r="LT53" s="15" t="s">
        <v>386</v>
      </c>
      <c r="LU53" s="15" t="n">
        <v>38</v>
      </c>
      <c r="LV53" s="17" t="n">
        <v>48.8</v>
      </c>
      <c r="LW53" s="17" t="n">
        <v>114</v>
      </c>
      <c r="LX53" s="17" t="n">
        <v>7.2</v>
      </c>
      <c r="LY53" s="17" t="n">
        <v>96.13</v>
      </c>
      <c r="LZ53" s="17" t="n">
        <v>0</v>
      </c>
      <c r="MA53" s="17" t="n">
        <v>3.78</v>
      </c>
      <c r="MB53" s="17" t="n">
        <v>0</v>
      </c>
      <c r="MC53" s="17" t="n">
        <v>0.1</v>
      </c>
      <c r="MD53" s="17" t="n">
        <v>0</v>
      </c>
      <c r="ME53" s="17" t="n">
        <v>0</v>
      </c>
      <c r="MF53" s="17" t="n">
        <v>0</v>
      </c>
      <c r="MG53" s="17" t="n">
        <v>0</v>
      </c>
      <c r="MH53" s="17" t="n">
        <v>0</v>
      </c>
      <c r="MI53" s="17" t="n">
        <v>0</v>
      </c>
      <c r="MJ53" s="17" t="n">
        <v>0</v>
      </c>
      <c r="MK53" s="17" t="n">
        <v>12.85</v>
      </c>
      <c r="ML53" s="17" t="n">
        <v>4.58</v>
      </c>
      <c r="MM53" s="17" t="n">
        <v>0.1</v>
      </c>
      <c r="MN53" s="17" t="n">
        <v>0</v>
      </c>
      <c r="MO53" s="17" t="n">
        <v>0</v>
      </c>
      <c r="MP53" s="17" t="n">
        <v>0</v>
      </c>
      <c r="NC53" s="15" t="n">
        <v>22.8</v>
      </c>
      <c r="ND53" s="15" t="n">
        <v>1</v>
      </c>
      <c r="NE53" s="15" t="n">
        <v>38</v>
      </c>
      <c r="NF53" s="15" t="n">
        <v>5</v>
      </c>
      <c r="NG53" s="15" t="n">
        <f aca="false">2.45+1.09</f>
        <v>3.54</v>
      </c>
      <c r="NH53" s="15" t="n">
        <v>5</v>
      </c>
      <c r="NI53" s="15" t="n">
        <v>20</v>
      </c>
      <c r="NJ53" s="15" t="n">
        <v>4</v>
      </c>
      <c r="NK53" s="15" t="n">
        <v>0.29</v>
      </c>
      <c r="NL53" s="15" t="n">
        <v>2</v>
      </c>
      <c r="NO53" s="31"/>
      <c r="NS53" s="31"/>
      <c r="NW53" s="31"/>
      <c r="OA53" s="31"/>
      <c r="OE53" s="31"/>
      <c r="OG53" s="15" t="n">
        <v>0</v>
      </c>
      <c r="PR53" s="15" t="n">
        <v>0</v>
      </c>
      <c r="PS53" s="15" t="n">
        <v>0</v>
      </c>
      <c r="QC53" s="15" t="n">
        <v>7.84</v>
      </c>
      <c r="QD53" s="15" t="n">
        <f aca="false">2.45+1.09</f>
        <v>3.54</v>
      </c>
      <c r="QE53" s="15" t="n">
        <v>0</v>
      </c>
      <c r="QF53" s="15" t="n">
        <v>0</v>
      </c>
      <c r="QG53" s="15" t="n">
        <v>0</v>
      </c>
      <c r="QH53" s="15" t="n">
        <v>0</v>
      </c>
      <c r="QI53" s="15" t="n">
        <v>0</v>
      </c>
      <c r="QJ53" s="15" t="n">
        <v>0</v>
      </c>
      <c r="QK53" s="15" t="s">
        <v>387</v>
      </c>
      <c r="QL53" s="15" t="n">
        <v>64</v>
      </c>
      <c r="QM53" s="17" t="n">
        <v>70.6</v>
      </c>
      <c r="QN53" s="17" t="n">
        <v>114</v>
      </c>
      <c r="QO53" s="17" t="n">
        <v>14.9</v>
      </c>
      <c r="QP53" s="17" t="n">
        <v>88.29</v>
      </c>
      <c r="QQ53" s="17" t="n">
        <v>0</v>
      </c>
      <c r="QR53" s="17" t="n">
        <v>9.81</v>
      </c>
      <c r="QS53" s="17" t="n">
        <v>1.64</v>
      </c>
      <c r="QT53" s="17" t="n">
        <v>0.26</v>
      </c>
      <c r="QU53" s="17" t="n">
        <v>0</v>
      </c>
      <c r="QV53" s="17" t="n">
        <v>0</v>
      </c>
      <c r="QW53" s="17" t="n">
        <v>0</v>
      </c>
      <c r="QX53" s="17" t="n">
        <v>0</v>
      </c>
      <c r="QY53" s="17" t="n">
        <v>0</v>
      </c>
      <c r="QZ53" s="17" t="n">
        <v>0</v>
      </c>
      <c r="RA53" s="17" t="n">
        <v>0.55</v>
      </c>
      <c r="RB53" s="17" t="n">
        <v>22.64</v>
      </c>
      <c r="RC53" s="17" t="n">
        <v>2.58</v>
      </c>
      <c r="RD53" s="17" t="n">
        <v>0.13</v>
      </c>
      <c r="RE53" s="17" t="n">
        <v>0</v>
      </c>
      <c r="RF53" s="17" t="n">
        <v>0</v>
      </c>
      <c r="RG53" s="17" t="n">
        <v>0</v>
      </c>
      <c r="RT53" s="15" t="n">
        <v>40.4</v>
      </c>
      <c r="RU53" s="15" t="n">
        <v>1</v>
      </c>
      <c r="RV53" s="15" t="n">
        <v>38</v>
      </c>
      <c r="RW53" s="15" t="n">
        <v>9</v>
      </c>
      <c r="RX53" s="15" t="n">
        <v>5.52</v>
      </c>
      <c r="RY53" s="15" t="n">
        <v>5</v>
      </c>
      <c r="RZ53" s="15" t="n">
        <v>23</v>
      </c>
      <c r="SA53" s="15" t="n">
        <v>1</v>
      </c>
      <c r="SB53" s="15" t="n">
        <v>0.09</v>
      </c>
      <c r="SC53" s="15" t="n">
        <v>3</v>
      </c>
      <c r="SF53" s="31"/>
      <c r="SJ53" s="31"/>
      <c r="SN53" s="31"/>
      <c r="SR53" s="31"/>
      <c r="SV53" s="31"/>
      <c r="SX53" s="15" t="n">
        <v>0</v>
      </c>
      <c r="UI53" s="15" t="n">
        <v>0</v>
      </c>
      <c r="UJ53" s="15" t="n">
        <v>0</v>
      </c>
      <c r="UT53" s="15" t="n">
        <v>8.33</v>
      </c>
      <c r="UU53" s="15" t="n">
        <v>5.52</v>
      </c>
      <c r="UV53" s="15" t="n">
        <v>0</v>
      </c>
      <c r="UW53" s="15" t="n">
        <v>0</v>
      </c>
      <c r="UX53" s="15" t="n">
        <v>0</v>
      </c>
      <c r="UY53" s="15" t="n">
        <v>0</v>
      </c>
      <c r="UZ53" s="15" t="n">
        <v>0</v>
      </c>
      <c r="VA53" s="15" t="n">
        <v>0</v>
      </c>
      <c r="VB53" s="15" t="s">
        <v>388</v>
      </c>
      <c r="VC53" s="15" t="n">
        <v>64</v>
      </c>
      <c r="VD53" s="17" t="n">
        <v>79.5</v>
      </c>
      <c r="VE53" s="17" t="n">
        <v>114</v>
      </c>
      <c r="VF53" s="17" t="n">
        <v>15</v>
      </c>
      <c r="VG53" s="17" t="n">
        <v>88.29</v>
      </c>
      <c r="VH53" s="17" t="n">
        <v>0</v>
      </c>
      <c r="VI53" s="17" t="n">
        <v>9.81</v>
      </c>
      <c r="VJ53" s="17" t="n">
        <v>1.64</v>
      </c>
      <c r="VK53" s="17" t="n">
        <v>0.26</v>
      </c>
      <c r="VL53" s="17" t="n">
        <v>0</v>
      </c>
      <c r="VM53" s="17" t="n">
        <v>0</v>
      </c>
      <c r="VN53" s="17" t="n">
        <v>0</v>
      </c>
      <c r="VO53" s="17" t="n">
        <v>0</v>
      </c>
      <c r="VP53" s="17" t="n">
        <v>0</v>
      </c>
      <c r="VQ53" s="17" t="n">
        <v>0</v>
      </c>
      <c r="VR53" s="17" t="n">
        <v>0.55</v>
      </c>
      <c r="VS53" s="17" t="n">
        <v>24</v>
      </c>
      <c r="VT53" s="17" t="n">
        <v>4.31</v>
      </c>
      <c r="VU53" s="17" t="n">
        <v>0.82</v>
      </c>
      <c r="VV53" s="17" t="n">
        <v>0</v>
      </c>
      <c r="VW53" s="17" t="n">
        <v>0</v>
      </c>
      <c r="VX53" s="17" t="n">
        <v>0</v>
      </c>
      <c r="VY53" s="17"/>
      <c r="WK53" s="15" t="n">
        <v>40.4</v>
      </c>
      <c r="WL53" s="15" t="n">
        <v>1</v>
      </c>
      <c r="WM53" s="15" t="n">
        <v>38</v>
      </c>
      <c r="WN53" s="15" t="n">
        <v>9</v>
      </c>
      <c r="WO53" s="15" t="n">
        <v>5.52</v>
      </c>
      <c r="WP53" s="15" t="n">
        <v>5</v>
      </c>
      <c r="WQ53" s="15" t="n">
        <v>23</v>
      </c>
      <c r="WR53" s="15" t="n">
        <v>1</v>
      </c>
      <c r="WS53" s="15" t="n">
        <v>0.09</v>
      </c>
      <c r="WT53" s="15" t="n">
        <v>3</v>
      </c>
      <c r="WW53" s="31"/>
      <c r="XA53" s="31"/>
      <c r="XE53" s="31"/>
      <c r="XI53" s="31"/>
      <c r="XM53" s="31"/>
      <c r="XO53" s="15" t="n">
        <v>0</v>
      </c>
      <c r="YZ53" s="15" t="n">
        <v>0</v>
      </c>
      <c r="ZA53" s="15" t="n">
        <v>0</v>
      </c>
      <c r="ZK53" s="15" t="n">
        <v>8.33</v>
      </c>
      <c r="ZL53" s="15" t="n">
        <v>5.52</v>
      </c>
      <c r="ZM53" s="15" t="n">
        <v>0</v>
      </c>
      <c r="ZN53" s="15" t="n">
        <v>0</v>
      </c>
      <c r="ZO53" s="15" t="n">
        <v>0</v>
      </c>
      <c r="ZP53" s="15" t="n">
        <v>0</v>
      </c>
      <c r="ZQ53" s="15" t="n">
        <v>0</v>
      </c>
      <c r="ZR53" s="15" t="n">
        <v>0</v>
      </c>
      <c r="ZS53" s="15" t="s">
        <v>196</v>
      </c>
      <c r="ZT53" s="15" t="n">
        <v>24.5</v>
      </c>
      <c r="ZU53" s="17" t="n">
        <v>58.4</v>
      </c>
      <c r="ZV53" s="17" t="n">
        <v>114</v>
      </c>
      <c r="ZW53" s="17" t="n">
        <v>12</v>
      </c>
      <c r="ZX53" s="17" t="n">
        <v>92.09</v>
      </c>
      <c r="ZY53" s="17" t="n">
        <v>0</v>
      </c>
      <c r="ZZ53" s="17" t="n">
        <v>0</v>
      </c>
      <c r="AAA53" s="17" t="n">
        <v>5.57</v>
      </c>
      <c r="AAB53" s="17" t="n">
        <v>2.35</v>
      </c>
      <c r="AAC53" s="17" t="n">
        <v>0</v>
      </c>
      <c r="AAD53" s="17" t="n">
        <v>0</v>
      </c>
      <c r="AAE53" s="17" t="n">
        <v>0</v>
      </c>
      <c r="AAF53" s="17" t="n">
        <v>0</v>
      </c>
      <c r="AAG53" s="17" t="n">
        <v>0</v>
      </c>
      <c r="AAH53" s="17" t="n">
        <v>0</v>
      </c>
      <c r="AAI53" s="17" t="n">
        <v>8.58</v>
      </c>
      <c r="AAJ53" s="17" t="n">
        <v>3.1</v>
      </c>
      <c r="AAK53" s="17" t="n">
        <v>0.55</v>
      </c>
      <c r="AAL53" s="17" t="n">
        <v>0.71</v>
      </c>
      <c r="AAM53" s="17" t="n">
        <v>0</v>
      </c>
      <c r="AAN53" s="17" t="n">
        <v>0</v>
      </c>
      <c r="AAO53" s="17" t="n">
        <v>0</v>
      </c>
      <c r="ABB53" s="15" t="n">
        <v>7.2</v>
      </c>
      <c r="ABC53" s="15" t="n">
        <v>1</v>
      </c>
      <c r="ABD53" s="17" t="n">
        <v>30</v>
      </c>
      <c r="ABE53" s="17" t="n">
        <v>2</v>
      </c>
      <c r="ABF53" s="17" t="n">
        <v>1.09</v>
      </c>
      <c r="ABG53" s="17" t="n">
        <v>4</v>
      </c>
      <c r="ABH53" s="17" t="n">
        <v>30</v>
      </c>
      <c r="ABI53" s="17" t="n">
        <v>2</v>
      </c>
      <c r="ABJ53" s="17" t="n">
        <v>0.27</v>
      </c>
      <c r="ABK53" s="17" t="n">
        <v>2</v>
      </c>
      <c r="ABL53" s="17" t="n">
        <v>34</v>
      </c>
      <c r="ABM53" s="17" t="n">
        <v>1</v>
      </c>
      <c r="ABN53" s="31" t="n">
        <v>1.09</v>
      </c>
      <c r="ABO53" s="17" t="n">
        <v>1</v>
      </c>
      <c r="ABR53" s="31"/>
      <c r="ABV53" s="31"/>
      <c r="ABZ53" s="31"/>
      <c r="ACD53" s="31"/>
      <c r="ACF53" s="15" t="n">
        <v>0</v>
      </c>
      <c r="ADQ53" s="15" t="n">
        <v>0</v>
      </c>
      <c r="ADR53" s="15" t="n">
        <v>0</v>
      </c>
      <c r="AEB53" s="15" t="n">
        <v>5.3</v>
      </c>
      <c r="AEC53" s="15" t="n">
        <f aca="false">0.27+8.58+0.32</f>
        <v>9.17</v>
      </c>
      <c r="AED53" s="15" t="n">
        <v>0</v>
      </c>
      <c r="AEE53" s="15" t="n">
        <v>0</v>
      </c>
      <c r="AEF53" s="15" t="n">
        <v>0</v>
      </c>
      <c r="AEG53" s="15" t="n">
        <v>8.58</v>
      </c>
      <c r="AEH53" s="15" t="n">
        <v>0</v>
      </c>
      <c r="AEI53" s="15" t="n">
        <v>0</v>
      </c>
      <c r="AEJ53" s="15" t="s">
        <v>195</v>
      </c>
      <c r="AEK53" s="15" t="n">
        <v>22</v>
      </c>
      <c r="AEL53" s="17" t="n">
        <v>44.2</v>
      </c>
      <c r="AEM53" s="17" t="n">
        <v>114</v>
      </c>
      <c r="AEN53" s="17" t="n">
        <v>10.9</v>
      </c>
      <c r="AEO53" s="17" t="n">
        <v>92.8</v>
      </c>
      <c r="AEP53" s="17" t="n">
        <v>0</v>
      </c>
      <c r="AEQ53" s="17" t="n">
        <v>0</v>
      </c>
      <c r="AER53" s="17" t="n">
        <v>5.57</v>
      </c>
      <c r="AES53" s="17" t="n">
        <v>1.64</v>
      </c>
      <c r="AET53" s="17" t="n">
        <v>0</v>
      </c>
      <c r="AEU53" s="17" t="n">
        <v>0</v>
      </c>
      <c r="AEV53" s="17" t="n">
        <v>0</v>
      </c>
      <c r="AEW53" s="17" t="n">
        <v>0</v>
      </c>
      <c r="AEX53" s="17" t="n">
        <v>0</v>
      </c>
      <c r="AEY53" s="17" t="n">
        <v>0</v>
      </c>
      <c r="AEZ53" s="17" t="n">
        <v>8.58</v>
      </c>
      <c r="AFA53" s="17" t="n">
        <v>1.57</v>
      </c>
      <c r="AFB53" s="17" t="n">
        <v>0.55</v>
      </c>
      <c r="AFC53" s="17" t="n">
        <v>0</v>
      </c>
      <c r="AFD53" s="17" t="n">
        <v>0</v>
      </c>
      <c r="AFE53" s="17" t="n">
        <v>0</v>
      </c>
      <c r="AFF53" s="17" t="n">
        <v>0</v>
      </c>
      <c r="AFS53" s="15" t="n">
        <v>7.15</v>
      </c>
      <c r="AFT53" s="15" t="n">
        <v>1</v>
      </c>
      <c r="AFU53" s="17" t="n">
        <v>30</v>
      </c>
      <c r="AFV53" s="17" t="n">
        <v>2</v>
      </c>
      <c r="AFW53" s="17" t="n">
        <v>1.09</v>
      </c>
      <c r="AFX53" s="17" t="n">
        <v>4</v>
      </c>
      <c r="AFY53" s="17" t="n">
        <v>30</v>
      </c>
      <c r="AFZ53" s="17" t="n">
        <v>2</v>
      </c>
      <c r="AGA53" s="17" t="n">
        <v>0.27</v>
      </c>
      <c r="AGB53" s="17" t="n">
        <v>2</v>
      </c>
      <c r="AGC53" s="17" t="n">
        <v>34</v>
      </c>
      <c r="AGD53" s="17" t="n">
        <v>1</v>
      </c>
      <c r="AGE53" s="31" t="n">
        <v>1.09</v>
      </c>
      <c r="AGF53" s="17" t="n">
        <v>1</v>
      </c>
      <c r="AGI53" s="31"/>
      <c r="AGM53" s="31"/>
      <c r="AGQ53" s="31"/>
      <c r="AGU53" s="31"/>
      <c r="AIH53" s="15" t="n">
        <v>0</v>
      </c>
      <c r="AII53" s="15" t="n">
        <v>0</v>
      </c>
      <c r="AIS53" s="15" t="n">
        <v>2.59</v>
      </c>
      <c r="AIT53" s="15" t="n">
        <f aca="false">0.27+0.32</f>
        <v>0.59</v>
      </c>
      <c r="AIU53" s="15" t="n">
        <v>0</v>
      </c>
      <c r="AIV53" s="15" t="n">
        <v>0</v>
      </c>
      <c r="AIW53" s="15" t="n">
        <v>0</v>
      </c>
      <c r="AIX53" s="15" t="n">
        <v>0</v>
      </c>
      <c r="AIY53" s="15" t="n">
        <v>1.03</v>
      </c>
      <c r="AIZ53" s="15" t="n">
        <v>0</v>
      </c>
      <c r="AJA53" s="15" t="s">
        <v>389</v>
      </c>
      <c r="AJB53" s="15" t="n">
        <v>10</v>
      </c>
      <c r="AJC53" s="17" t="n">
        <v>46.2</v>
      </c>
      <c r="AJD53" s="17" t="n">
        <v>114</v>
      </c>
      <c r="AJE53" s="17" t="n">
        <v>6.3</v>
      </c>
      <c r="AJF53" s="17" t="n">
        <v>0</v>
      </c>
      <c r="AJG53" s="17" t="n">
        <v>0</v>
      </c>
      <c r="AJH53" s="17" t="n">
        <v>1.91</v>
      </c>
      <c r="AJI53" s="17" t="n">
        <v>0</v>
      </c>
      <c r="AJJ53" s="17" t="n">
        <v>1.91</v>
      </c>
      <c r="AJK53" s="17" t="n">
        <v>0</v>
      </c>
      <c r="AJL53" s="17" t="n">
        <v>0</v>
      </c>
      <c r="AJM53" s="17" t="n">
        <v>0</v>
      </c>
      <c r="AJN53" s="17" t="n">
        <v>0</v>
      </c>
      <c r="AJO53" s="17" t="n">
        <v>0</v>
      </c>
      <c r="AJP53" s="17" t="n">
        <v>0</v>
      </c>
      <c r="AJQ53" s="17" t="n">
        <v>0</v>
      </c>
      <c r="AJR53" s="17" t="n">
        <v>8.85</v>
      </c>
      <c r="AJS53" s="17" t="n">
        <v>4.36</v>
      </c>
      <c r="AJT53" s="17" t="n">
        <v>0</v>
      </c>
      <c r="AJU53" s="17" t="n">
        <v>0</v>
      </c>
      <c r="AJV53" s="17" t="n">
        <v>0</v>
      </c>
      <c r="AKJ53" s="15" t="n">
        <v>0</v>
      </c>
      <c r="AKV53" s="31"/>
      <c r="AKZ53" s="31"/>
      <c r="ALD53" s="31"/>
      <c r="ALH53" s="31"/>
      <c r="ALL53" s="31"/>
      <c r="ALN53" s="15" t="n">
        <v>0</v>
      </c>
    </row>
    <row r="54" customFormat="false" ht="13.8" hidden="false" customHeight="false" outlineLevel="0" collapsed="false">
      <c r="A54" s="1" t="s">
        <v>401</v>
      </c>
      <c r="B54" s="12" t="n">
        <v>42900</v>
      </c>
      <c r="C54" s="0" t="n">
        <v>2</v>
      </c>
      <c r="D54" s="13" t="n">
        <v>42818</v>
      </c>
      <c r="E54" s="12" t="n">
        <v>27981</v>
      </c>
      <c r="F54" s="14" t="n">
        <f aca="false">(B54-E54)/365.25</f>
        <v>40.8459958932238</v>
      </c>
      <c r="G54" s="14" t="n">
        <f aca="false">(B54-D54)/365.25</f>
        <v>0.224503764544832</v>
      </c>
      <c r="H54" s="15" t="s">
        <v>217</v>
      </c>
      <c r="I54" s="15" t="s">
        <v>402</v>
      </c>
      <c r="J54" s="21" t="s">
        <v>181</v>
      </c>
      <c r="K54" s="21" t="n">
        <v>4</v>
      </c>
      <c r="L54" s="19" t="n">
        <v>97</v>
      </c>
      <c r="M54" s="0" t="n">
        <v>1.72</v>
      </c>
      <c r="N54" s="16" t="n">
        <f aca="false">L54/(M54*M54)</f>
        <v>32.7879935100054</v>
      </c>
      <c r="O54" s="19" t="n">
        <v>0</v>
      </c>
      <c r="P54" s="19" t="n">
        <v>0</v>
      </c>
      <c r="Q54" s="19" t="n">
        <v>0</v>
      </c>
      <c r="R54" s="19" t="n">
        <v>0</v>
      </c>
      <c r="S54" s="19" t="n">
        <v>0</v>
      </c>
      <c r="T54" s="19" t="n">
        <v>0</v>
      </c>
      <c r="U54" s="19" t="n">
        <v>0</v>
      </c>
      <c r="V54" s="19" t="n">
        <v>0</v>
      </c>
      <c r="W54" s="19" t="n">
        <v>0</v>
      </c>
      <c r="X54" s="19" t="n">
        <v>0</v>
      </c>
      <c r="Y54" s="19" t="n">
        <v>1</v>
      </c>
      <c r="Z54" s="19" t="n">
        <v>1</v>
      </c>
      <c r="AA54" s="19" t="n">
        <v>60</v>
      </c>
      <c r="AB54" s="19" t="s">
        <v>273</v>
      </c>
      <c r="AC54" s="19" t="n">
        <v>0</v>
      </c>
      <c r="AD54" s="19" t="n">
        <v>0</v>
      </c>
      <c r="AE54" s="19" t="n">
        <v>0</v>
      </c>
      <c r="AF54" s="19" t="n">
        <v>0</v>
      </c>
      <c r="AG54" s="19" t="n">
        <v>0</v>
      </c>
      <c r="AH54" s="19" t="n">
        <v>0</v>
      </c>
      <c r="AI54" s="19" t="n">
        <v>0</v>
      </c>
      <c r="AJ54" s="19" t="n">
        <v>0</v>
      </c>
      <c r="AK54" s="19" t="n">
        <v>0</v>
      </c>
      <c r="AL54" s="19" t="n">
        <v>0</v>
      </c>
      <c r="AM54" s="19" t="n">
        <v>0</v>
      </c>
      <c r="AN54" s="19" t="n">
        <v>0</v>
      </c>
      <c r="AO54" s="19" t="n">
        <v>0</v>
      </c>
      <c r="AP54" s="19" t="n">
        <v>0</v>
      </c>
      <c r="AQ54" s="19" t="n">
        <v>0</v>
      </c>
      <c r="AR54" s="19" t="n">
        <v>0</v>
      </c>
      <c r="AS54" s="19" t="n">
        <v>0</v>
      </c>
      <c r="AT54" s="19" t="n">
        <v>0</v>
      </c>
      <c r="AU54" s="19" t="n">
        <v>0</v>
      </c>
      <c r="AV54" s="19" t="n">
        <v>0</v>
      </c>
      <c r="AW54" s="19" t="n">
        <v>0</v>
      </c>
      <c r="AX54" s="19" t="n">
        <v>0</v>
      </c>
      <c r="AY54" s="19" t="n">
        <v>0</v>
      </c>
      <c r="AZ54" s="19" t="n">
        <v>0</v>
      </c>
      <c r="BA54" s="19" t="n">
        <v>0</v>
      </c>
      <c r="BB54" s="19" t="n">
        <v>0</v>
      </c>
      <c r="BC54" s="19" t="n">
        <v>0</v>
      </c>
      <c r="BD54" s="19" t="n">
        <v>0</v>
      </c>
      <c r="BE54" s="19" t="n">
        <v>0</v>
      </c>
      <c r="BF54" s="19" t="n">
        <v>0</v>
      </c>
      <c r="BG54" s="19" t="n">
        <v>0</v>
      </c>
      <c r="BH54" s="19" t="n">
        <v>0</v>
      </c>
      <c r="BI54" s="19" t="n">
        <v>0</v>
      </c>
      <c r="BJ54" s="19" t="n">
        <v>0</v>
      </c>
      <c r="BK54" s="19" t="n">
        <v>0</v>
      </c>
      <c r="BL54" s="19" t="n">
        <v>0</v>
      </c>
      <c r="BM54" s="19" t="n">
        <v>0</v>
      </c>
      <c r="BN54" s="19" t="n">
        <v>0</v>
      </c>
      <c r="BO54" s="19" t="n">
        <v>0</v>
      </c>
      <c r="BP54" s="19" t="n">
        <v>0</v>
      </c>
      <c r="BQ54" s="19" t="n">
        <v>0</v>
      </c>
      <c r="BR54" s="19" t="n">
        <v>2</v>
      </c>
      <c r="BS54" s="19" t="n">
        <v>2</v>
      </c>
      <c r="BT54" s="19" t="n">
        <v>3</v>
      </c>
      <c r="BU54" s="19" t="n">
        <v>4</v>
      </c>
      <c r="BV54" s="19" t="n">
        <v>3</v>
      </c>
      <c r="BW54" s="19" t="n">
        <v>2</v>
      </c>
      <c r="BX54" s="19" t="n">
        <v>3</v>
      </c>
      <c r="BY54" s="19" t="n">
        <v>3</v>
      </c>
      <c r="BZ54" s="19" t="n">
        <v>3</v>
      </c>
      <c r="CA54" s="19" t="n">
        <v>4</v>
      </c>
      <c r="CB54" s="19" t="n">
        <v>4</v>
      </c>
      <c r="CC54" s="19" t="n">
        <v>5</v>
      </c>
      <c r="CD54" s="19" t="n">
        <v>4</v>
      </c>
      <c r="CE54" s="19" t="n">
        <v>5</v>
      </c>
      <c r="CF54" s="19" t="n">
        <v>5</v>
      </c>
      <c r="CG54" s="19" t="n">
        <v>4</v>
      </c>
      <c r="CH54" s="19" t="n">
        <v>5</v>
      </c>
      <c r="CI54" s="19" t="n">
        <v>5</v>
      </c>
      <c r="CJ54" s="19" t="n">
        <v>4</v>
      </c>
      <c r="CK54" s="19" t="n">
        <v>10</v>
      </c>
      <c r="CL54" s="0" t="s">
        <v>403</v>
      </c>
      <c r="CM54" s="0" t="n">
        <v>21.5</v>
      </c>
      <c r="CN54" s="16" t="n">
        <v>78.4</v>
      </c>
      <c r="CO54" s="16" t="n">
        <v>80.4</v>
      </c>
      <c r="CP54" s="16" t="n">
        <v>9.6</v>
      </c>
      <c r="CQ54" s="0" t="n">
        <v>84.68</v>
      </c>
      <c r="CR54" s="0" t="n">
        <v>14.18</v>
      </c>
      <c r="CS54" s="0" t="n">
        <v>1.12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9.51</v>
      </c>
      <c r="DD54" s="0" t="n">
        <v>25.42</v>
      </c>
      <c r="DE54" s="0" t="n">
        <v>0</v>
      </c>
      <c r="DF54" s="0" t="n">
        <v>0</v>
      </c>
      <c r="DG54" s="0" t="n">
        <v>0</v>
      </c>
      <c r="DH54" s="0" t="n">
        <v>2</v>
      </c>
      <c r="DI54" s="0" t="n">
        <v>5</v>
      </c>
      <c r="DO54" s="0" t="n">
        <v>5</v>
      </c>
      <c r="DU54" s="0" t="n">
        <v>3.2</v>
      </c>
      <c r="DV54" s="0" t="n">
        <v>1</v>
      </c>
      <c r="DW54" s="0" t="n">
        <v>52</v>
      </c>
      <c r="DX54" s="0" t="n">
        <v>3</v>
      </c>
      <c r="DY54" s="0" t="n">
        <f aca="false">0.07+0.76</f>
        <v>0.83</v>
      </c>
      <c r="DZ54" s="0" t="n">
        <v>2</v>
      </c>
      <c r="EA54" s="0" t="n">
        <v>103</v>
      </c>
      <c r="EB54" s="0" t="n">
        <v>3</v>
      </c>
      <c r="EC54" s="0" t="n">
        <f aca="false">0.36+0.34</f>
        <v>0.7</v>
      </c>
      <c r="ED54" s="0" t="n">
        <v>1</v>
      </c>
      <c r="EE54" s="0" t="n">
        <v>68</v>
      </c>
      <c r="EF54" s="0" t="n">
        <v>2</v>
      </c>
      <c r="EG54" s="18" t="n">
        <f aca="false">0.24</f>
        <v>0.24</v>
      </c>
      <c r="EH54" s="0" t="n">
        <v>1</v>
      </c>
      <c r="EI54" s="0" t="n">
        <v>34</v>
      </c>
      <c r="EJ54" s="0" t="n">
        <v>2</v>
      </c>
      <c r="EK54" s="0" t="n">
        <f aca="false">0.24</f>
        <v>0.24</v>
      </c>
      <c r="EL54" s="0" t="n">
        <v>1</v>
      </c>
      <c r="EY54" s="0" t="n">
        <v>0</v>
      </c>
      <c r="GJ54" s="16" t="n">
        <v>0.36</v>
      </c>
      <c r="GK54" s="16" t="n">
        <v>1</v>
      </c>
      <c r="GL54" s="16" t="n">
        <v>1</v>
      </c>
      <c r="GM54" s="16"/>
      <c r="GN54" s="16" t="n">
        <v>1.52</v>
      </c>
      <c r="GO54" s="16"/>
      <c r="GP54" s="16"/>
      <c r="GQ54" s="16"/>
      <c r="GR54" s="16"/>
      <c r="GS54" s="16"/>
      <c r="GT54" s="16"/>
      <c r="GU54" s="16" t="n">
        <v>8.32</v>
      </c>
      <c r="GV54" s="16" t="n">
        <v>8.31</v>
      </c>
      <c r="GW54" s="16"/>
      <c r="GX54" s="16"/>
      <c r="GY54" s="16" t="n">
        <v>0</v>
      </c>
      <c r="GZ54" s="16" t="n">
        <v>0</v>
      </c>
      <c r="HA54" s="16" t="n">
        <v>0</v>
      </c>
      <c r="HB54" s="0" t="n">
        <v>0</v>
      </c>
      <c r="HC54" s="0" t="s">
        <v>404</v>
      </c>
      <c r="HD54" s="0" t="n">
        <v>50.5</v>
      </c>
      <c r="HE54" s="16" t="n">
        <v>95.8</v>
      </c>
      <c r="HF54" s="16" t="n">
        <v>80.4</v>
      </c>
      <c r="HG54" s="16" t="n">
        <v>22.6</v>
      </c>
      <c r="HH54" s="0" t="n">
        <v>70.65</v>
      </c>
      <c r="HI54" s="0" t="n">
        <v>13.02</v>
      </c>
      <c r="HJ54" s="0" t="n">
        <v>16.33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3.81</v>
      </c>
      <c r="HU54" s="0" t="n">
        <v>53.36</v>
      </c>
      <c r="HV54" s="0" t="n">
        <v>0</v>
      </c>
      <c r="HW54" s="0" t="n">
        <v>0</v>
      </c>
      <c r="HX54" s="0" t="n">
        <v>7.8</v>
      </c>
      <c r="HY54" s="0" t="n">
        <v>2</v>
      </c>
      <c r="HZ54" s="0" t="n">
        <v>10</v>
      </c>
      <c r="IA54" s="0" t="n">
        <v>2.69</v>
      </c>
      <c r="IF54" s="0" t="n">
        <v>10</v>
      </c>
      <c r="IG54" s="0" t="n">
        <v>2.69</v>
      </c>
      <c r="IL54" s="0" t="n">
        <v>0</v>
      </c>
      <c r="IM54" s="0" t="n">
        <v>0</v>
      </c>
      <c r="IX54" s="18"/>
      <c r="JP54" s="0" t="n">
        <v>0</v>
      </c>
      <c r="LA54" s="16" t="n">
        <v>10.02</v>
      </c>
      <c r="LB54" s="16" t="n">
        <v>1</v>
      </c>
      <c r="LC54" s="16" t="n">
        <v>2</v>
      </c>
      <c r="LD54" s="16"/>
      <c r="LE54" s="16" t="n">
        <f aca="false">0.05*4+0.33*4+1.5*4+0.76*4+1.14*4</f>
        <v>15.12</v>
      </c>
      <c r="LF54" s="16"/>
      <c r="LG54" s="16"/>
      <c r="LH54" s="16"/>
      <c r="LI54" s="16"/>
      <c r="LJ54" s="16"/>
      <c r="LK54" s="16"/>
      <c r="LL54" s="16" t="n">
        <v>9.92</v>
      </c>
      <c r="LM54" s="16" t="n">
        <v>20.94</v>
      </c>
      <c r="LN54" s="16"/>
      <c r="LO54" s="16"/>
      <c r="LP54" s="16" t="n">
        <v>0</v>
      </c>
      <c r="LQ54" s="16" t="n">
        <v>0</v>
      </c>
      <c r="LR54" s="16" t="n">
        <v>0</v>
      </c>
      <c r="LS54" s="0" t="n">
        <v>0</v>
      </c>
      <c r="LT54" s="0" t="s">
        <v>405</v>
      </c>
      <c r="LU54" s="0" t="n">
        <v>57.5</v>
      </c>
      <c r="LV54" s="16" t="n">
        <v>93.3</v>
      </c>
      <c r="LW54" s="16" t="n">
        <v>80.4</v>
      </c>
      <c r="LX54" s="16" t="n">
        <v>37.2</v>
      </c>
      <c r="LY54" s="0" t="n">
        <v>37.4</v>
      </c>
      <c r="LZ54" s="0" t="n">
        <v>31.73</v>
      </c>
      <c r="MA54" s="0" t="n">
        <v>29.89</v>
      </c>
      <c r="MB54" s="0" t="n">
        <v>0</v>
      </c>
      <c r="MC54" s="0" t="n">
        <v>0.98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21.26</v>
      </c>
      <c r="ML54" s="0" t="n">
        <v>57.4</v>
      </c>
      <c r="MM54" s="0" t="n">
        <v>0</v>
      </c>
      <c r="MN54" s="0" t="n">
        <v>0</v>
      </c>
      <c r="MO54" s="0" t="n">
        <v>0</v>
      </c>
      <c r="MP54" s="0" t="n">
        <v>0</v>
      </c>
      <c r="NC54" s="0" t="n">
        <v>2.3</v>
      </c>
      <c r="ND54" s="0" t="n">
        <v>1</v>
      </c>
      <c r="NE54" s="0" t="n">
        <v>35</v>
      </c>
      <c r="NF54" s="0" t="n">
        <v>1</v>
      </c>
      <c r="NG54" s="0" t="n">
        <v>0.49</v>
      </c>
      <c r="NH54" s="0" t="n">
        <v>3</v>
      </c>
      <c r="NO54" s="18"/>
      <c r="OG54" s="0" t="n">
        <v>0</v>
      </c>
      <c r="PR54" s="16" t="n">
        <v>2.91</v>
      </c>
      <c r="PS54" s="16" t="n">
        <v>1</v>
      </c>
      <c r="PT54" s="16" t="n">
        <v>1</v>
      </c>
      <c r="PU54" s="16"/>
      <c r="PV54" s="16" t="n">
        <f aca="false">2.49+0.21+0.47*2+2.49+0.26+0.53+0.01+4.77+14.32+1.53+3.06+0.13</f>
        <v>30.74</v>
      </c>
      <c r="PW54" s="16"/>
      <c r="PX54" s="16"/>
      <c r="PY54" s="16"/>
      <c r="PZ54" s="16"/>
      <c r="QA54" s="16"/>
      <c r="QB54" s="16"/>
      <c r="QC54" s="16" t="n">
        <v>14.81</v>
      </c>
      <c r="QD54" s="16" t="n">
        <v>52.45</v>
      </c>
      <c r="QE54" s="16"/>
      <c r="QF54" s="16"/>
      <c r="QG54" s="16" t="n">
        <v>0</v>
      </c>
      <c r="QH54" s="16" t="n">
        <v>0</v>
      </c>
      <c r="QI54" s="16" t="n">
        <v>0</v>
      </c>
      <c r="QJ54" s="0" t="n">
        <v>0</v>
      </c>
      <c r="QK54" s="0" t="s">
        <v>406</v>
      </c>
      <c r="QL54" s="0" t="n">
        <v>12.5</v>
      </c>
      <c r="QM54" s="16" t="n">
        <v>69.9</v>
      </c>
      <c r="QN54" s="16" t="n">
        <v>80.4</v>
      </c>
      <c r="QO54" s="16" t="n">
        <v>9</v>
      </c>
      <c r="QP54" s="0" t="n">
        <v>90.9</v>
      </c>
      <c r="QQ54" s="0" t="n">
        <v>7.98</v>
      </c>
      <c r="QR54" s="0" t="n">
        <v>1.12</v>
      </c>
      <c r="QS54" s="0" t="n">
        <v>4.56</v>
      </c>
      <c r="QT54" s="0" t="n">
        <v>17.67</v>
      </c>
      <c r="QU54" s="0" t="n">
        <v>0</v>
      </c>
      <c r="QV54" s="0" t="n">
        <v>0</v>
      </c>
      <c r="QW54" s="0" t="n">
        <v>0</v>
      </c>
      <c r="QX54" s="0" t="n">
        <v>0</v>
      </c>
      <c r="QY54" s="0" t="n">
        <v>0</v>
      </c>
      <c r="QZ54" s="0" t="n">
        <v>0</v>
      </c>
      <c r="RA54" s="0" t="n">
        <v>0</v>
      </c>
      <c r="RB54" s="0" t="n">
        <v>4.56</v>
      </c>
      <c r="RC54" s="0" t="n">
        <v>17.67</v>
      </c>
      <c r="RD54" s="0" t="n">
        <v>0</v>
      </c>
      <c r="RE54" s="0" t="n">
        <v>0</v>
      </c>
      <c r="RF54" s="0" t="n">
        <v>0</v>
      </c>
      <c r="RG54" s="0" t="n">
        <v>0</v>
      </c>
      <c r="RT54" s="0" t="n">
        <v>0</v>
      </c>
      <c r="RU54" s="0" t="n">
        <v>0</v>
      </c>
      <c r="SF54" s="18"/>
      <c r="SX54" s="0" t="n">
        <v>0</v>
      </c>
      <c r="UI54" s="16" t="n">
        <v>0</v>
      </c>
      <c r="UJ54" s="16" t="n">
        <v>0</v>
      </c>
      <c r="UK54" s="16"/>
      <c r="UL54" s="16"/>
      <c r="UM54" s="16"/>
      <c r="UN54" s="16"/>
      <c r="UO54" s="16"/>
      <c r="UP54" s="16"/>
      <c r="UQ54" s="16"/>
      <c r="UR54" s="16"/>
      <c r="US54" s="16"/>
      <c r="UT54" s="16" t="n">
        <v>3.41</v>
      </c>
      <c r="UU54" s="16" t="n">
        <v>3.41</v>
      </c>
      <c r="UV54" s="16"/>
      <c r="UW54" s="16"/>
      <c r="UX54" s="16" t="n">
        <v>0</v>
      </c>
      <c r="UY54" s="16" t="n">
        <v>0</v>
      </c>
      <c r="UZ54" s="16" t="n">
        <v>0</v>
      </c>
      <c r="VA54" s="0" t="n">
        <v>0</v>
      </c>
      <c r="VB54" s="0" t="s">
        <v>407</v>
      </c>
      <c r="VC54" s="0" t="n">
        <v>17</v>
      </c>
      <c r="VD54" s="16" t="n">
        <v>84.3</v>
      </c>
      <c r="VE54" s="16" t="n">
        <v>80.4</v>
      </c>
      <c r="VF54" s="16" t="n">
        <v>9.8</v>
      </c>
      <c r="VG54" s="0" t="n">
        <v>84.81</v>
      </c>
      <c r="VH54" s="0" t="n">
        <v>14.07</v>
      </c>
      <c r="VI54" s="0" t="n">
        <v>1.12</v>
      </c>
      <c r="VJ54" s="0" t="n">
        <v>0</v>
      </c>
      <c r="VK54" s="0" t="n">
        <v>0</v>
      </c>
      <c r="VL54" s="0" t="n">
        <v>0</v>
      </c>
      <c r="VM54" s="0" t="n">
        <v>0</v>
      </c>
      <c r="VN54" s="0" t="n">
        <v>0</v>
      </c>
      <c r="VO54" s="0" t="n">
        <v>0</v>
      </c>
      <c r="VP54" s="0" t="n">
        <v>0</v>
      </c>
      <c r="VQ54" s="0" t="n">
        <v>0</v>
      </c>
      <c r="VR54" s="0" t="n">
        <v>0</v>
      </c>
      <c r="VS54" s="0" t="n">
        <v>7.34</v>
      </c>
      <c r="VT54" s="0" t="n">
        <v>26.23</v>
      </c>
      <c r="VU54" s="0" t="n">
        <v>0</v>
      </c>
      <c r="VV54" s="0" t="n">
        <v>0</v>
      </c>
      <c r="VW54" s="0" t="n">
        <v>0</v>
      </c>
      <c r="VX54" s="0" t="n">
        <v>0</v>
      </c>
      <c r="WK54" s="0" t="n">
        <v>0</v>
      </c>
      <c r="WL54" s="0" t="n">
        <v>0</v>
      </c>
      <c r="WW54" s="18"/>
      <c r="XO54" s="0" t="n">
        <v>0</v>
      </c>
      <c r="YZ54" s="16" t="n">
        <v>1.51</v>
      </c>
      <c r="ZA54" s="16" t="n">
        <v>1</v>
      </c>
      <c r="ZB54" s="16" t="n">
        <v>2</v>
      </c>
      <c r="ZC54" s="16"/>
      <c r="ZD54" s="16" t="n">
        <f aca="false">0.99+4.04</f>
        <v>5.03</v>
      </c>
      <c r="ZE54" s="16"/>
      <c r="ZF54" s="16"/>
      <c r="ZG54" s="16"/>
      <c r="ZH54" s="16"/>
      <c r="ZI54" s="16"/>
      <c r="ZJ54" s="16"/>
      <c r="ZK54" s="16" t="n">
        <v>5.5</v>
      </c>
      <c r="ZL54" s="16" t="n">
        <v>9.84</v>
      </c>
      <c r="ZM54" s="16"/>
      <c r="ZN54" s="16"/>
      <c r="ZO54" s="16" t="n">
        <v>0</v>
      </c>
      <c r="ZP54" s="16" t="n">
        <v>0</v>
      </c>
      <c r="ZQ54" s="16" t="n">
        <v>0</v>
      </c>
      <c r="ZR54" s="0" t="n">
        <v>0</v>
      </c>
      <c r="ZS54" s="0" t="s">
        <v>408</v>
      </c>
      <c r="ZT54" s="0" t="n">
        <v>26</v>
      </c>
      <c r="ZU54" s="16" t="n">
        <v>75.1</v>
      </c>
      <c r="ZV54" s="16" t="n">
        <v>80.4</v>
      </c>
      <c r="ZW54" s="16" t="n">
        <v>10.7</v>
      </c>
      <c r="ZX54" s="0" t="n">
        <v>76.38</v>
      </c>
      <c r="ZY54" s="0" t="n">
        <v>22.5</v>
      </c>
      <c r="ZZ54" s="0" t="n">
        <v>1.12</v>
      </c>
      <c r="AAA54" s="0" t="n">
        <v>0</v>
      </c>
      <c r="AAB54" s="0" t="n">
        <v>0</v>
      </c>
      <c r="AAC54" s="0" t="n">
        <v>0</v>
      </c>
      <c r="AAD54" s="0" t="n">
        <v>0</v>
      </c>
      <c r="AAE54" s="0" t="n">
        <v>0</v>
      </c>
      <c r="AAF54" s="0" t="n">
        <v>0</v>
      </c>
      <c r="AAG54" s="0" t="n">
        <v>0</v>
      </c>
      <c r="AAH54" s="0" t="n">
        <v>0</v>
      </c>
      <c r="AAI54" s="0" t="n">
        <v>0</v>
      </c>
      <c r="AAJ54" s="0" t="n">
        <v>10.84</v>
      </c>
      <c r="AAK54" s="0" t="n">
        <v>26.14</v>
      </c>
      <c r="AAL54" s="0" t="n">
        <v>0</v>
      </c>
      <c r="AAM54" s="0" t="n">
        <v>0</v>
      </c>
      <c r="AAN54" s="0" t="n">
        <v>0</v>
      </c>
      <c r="AAO54" s="0" t="n">
        <v>0</v>
      </c>
      <c r="ABB54" s="0" t="n">
        <v>2.5</v>
      </c>
      <c r="ABC54" s="0" t="n">
        <v>1</v>
      </c>
      <c r="ABD54" s="0" t="n">
        <v>68</v>
      </c>
      <c r="ABE54" s="0" t="n">
        <v>1</v>
      </c>
      <c r="ABF54" s="0" t="n">
        <f aca="false">1.34</f>
        <v>1.34</v>
      </c>
      <c r="ABG54" s="0" t="n">
        <v>1</v>
      </c>
      <c r="ABH54" s="0" t="n">
        <v>52</v>
      </c>
      <c r="ABI54" s="0" t="n">
        <v>2</v>
      </c>
      <c r="ABJ54" s="0" t="n">
        <v>0.45</v>
      </c>
      <c r="ABK54" s="0" t="n">
        <v>2</v>
      </c>
      <c r="ABN54" s="18"/>
      <c r="ACF54" s="0" t="n">
        <v>0</v>
      </c>
      <c r="ADQ54" s="16" t="n">
        <v>1.21</v>
      </c>
      <c r="ADR54" s="16" t="n">
        <v>1</v>
      </c>
      <c r="ADS54" s="16" t="n">
        <v>2</v>
      </c>
      <c r="ADT54" s="16"/>
      <c r="ADU54" s="16" t="n">
        <v>4.04</v>
      </c>
      <c r="ADV54" s="16"/>
      <c r="ADW54" s="16"/>
      <c r="ADX54" s="16"/>
      <c r="ADY54" s="16"/>
      <c r="ADZ54" s="16"/>
      <c r="AEA54" s="16"/>
      <c r="AEB54" s="16" t="n">
        <v>11.17</v>
      </c>
      <c r="AEC54" s="16" t="n">
        <v>19.84</v>
      </c>
      <c r="AED54" s="16"/>
      <c r="AEE54" s="16"/>
      <c r="AEF54" s="16" t="n">
        <v>0</v>
      </c>
      <c r="AEG54" s="16" t="n">
        <v>0</v>
      </c>
      <c r="AEH54" s="16" t="n">
        <v>0</v>
      </c>
      <c r="AEI54" s="0" t="n">
        <v>0</v>
      </c>
      <c r="AEJ54" s="0" t="s">
        <v>409</v>
      </c>
      <c r="AEK54" s="0" t="n">
        <v>23</v>
      </c>
      <c r="AEL54" s="16" t="n">
        <v>90.8</v>
      </c>
      <c r="AEM54" s="16" t="n">
        <v>80.4</v>
      </c>
      <c r="AEN54" s="16" t="n">
        <v>11.6</v>
      </c>
      <c r="AEO54" s="0" t="n">
        <v>71.46</v>
      </c>
      <c r="AEP54" s="0" t="n">
        <v>27.42</v>
      </c>
      <c r="AEQ54" s="0" t="n">
        <v>1.12</v>
      </c>
      <c r="AER54" s="0" t="n">
        <v>0</v>
      </c>
      <c r="AES54" s="0" t="n">
        <v>0</v>
      </c>
      <c r="AET54" s="0" t="n">
        <v>0</v>
      </c>
      <c r="AEU54" s="0" t="n">
        <v>0</v>
      </c>
      <c r="AEV54" s="0" t="n">
        <v>0</v>
      </c>
      <c r="AEW54" s="0" t="n">
        <v>0</v>
      </c>
      <c r="AEX54" s="0" t="n">
        <v>0</v>
      </c>
      <c r="AEY54" s="0" t="n">
        <v>0</v>
      </c>
      <c r="AEZ54" s="0" t="n">
        <v>0</v>
      </c>
      <c r="AFA54" s="0" t="n">
        <v>11.58</v>
      </c>
      <c r="AFB54" s="0" t="n">
        <v>41.25</v>
      </c>
      <c r="AFC54" s="0" t="n">
        <v>0</v>
      </c>
      <c r="AFD54" s="0" t="n">
        <v>0</v>
      </c>
      <c r="AFE54" s="0" t="n">
        <v>0</v>
      </c>
      <c r="AFF54" s="0" t="n">
        <v>0</v>
      </c>
      <c r="AFS54" s="0" t="n">
        <v>1.7</v>
      </c>
      <c r="AFT54" s="0" t="n">
        <v>1</v>
      </c>
      <c r="AFU54" s="0" t="n">
        <v>35</v>
      </c>
      <c r="AFV54" s="0" t="n">
        <v>1</v>
      </c>
      <c r="AFW54" s="0" t="n">
        <v>0.05</v>
      </c>
      <c r="AFX54" s="0" t="n">
        <v>3</v>
      </c>
      <c r="AFY54" s="0" t="n">
        <v>103</v>
      </c>
      <c r="AFZ54" s="0" t="n">
        <v>5</v>
      </c>
      <c r="AGA54" s="0" t="n">
        <v>0.25</v>
      </c>
      <c r="AGB54" s="0" t="n">
        <v>1</v>
      </c>
      <c r="AGC54" s="0" t="n">
        <v>68</v>
      </c>
      <c r="AGD54" s="0" t="n">
        <v>4</v>
      </c>
      <c r="AGE54" s="18" t="n">
        <v>0.26</v>
      </c>
      <c r="AGF54" s="0" t="n">
        <v>1</v>
      </c>
      <c r="AGG54" s="0" t="n">
        <v>52</v>
      </c>
      <c r="AGH54" s="0" t="n">
        <v>4</v>
      </c>
      <c r="AGI54" s="0" t="n">
        <f aca="false">0.09+0.05+0.04</f>
        <v>0.18</v>
      </c>
      <c r="AGJ54" s="0" t="n">
        <v>2</v>
      </c>
      <c r="AGW54" s="0" t="n">
        <v>0</v>
      </c>
      <c r="AIH54" s="16" t="n">
        <v>0.04</v>
      </c>
      <c r="AII54" s="16" t="n">
        <v>1</v>
      </c>
      <c r="AIJ54" s="16" t="n">
        <v>1</v>
      </c>
      <c r="AIK54" s="16"/>
      <c r="AIL54" s="16" t="n">
        <v>0.13</v>
      </c>
      <c r="AIM54" s="16"/>
      <c r="AIN54" s="16"/>
      <c r="AIO54" s="16"/>
      <c r="AIP54" s="16"/>
      <c r="AIQ54" s="16"/>
      <c r="AIR54" s="16"/>
      <c r="AIS54" s="16" t="n">
        <v>9.52</v>
      </c>
      <c r="AIT54" s="16" t="n">
        <v>21.65</v>
      </c>
      <c r="AIU54" s="16"/>
      <c r="AIV54" s="16"/>
      <c r="AIW54" s="16" t="n">
        <v>0</v>
      </c>
      <c r="AIX54" s="16" t="n">
        <v>0</v>
      </c>
      <c r="AIY54" s="16" t="n">
        <v>0</v>
      </c>
      <c r="AIZ54" s="0" t="n">
        <v>0</v>
      </c>
      <c r="AJA54" s="0" t="s">
        <v>410</v>
      </c>
      <c r="AJB54" s="0" t="n">
        <v>24</v>
      </c>
      <c r="AJC54" s="16" t="n">
        <v>82.9</v>
      </c>
      <c r="AJD54" s="16" t="n">
        <v>80.4</v>
      </c>
      <c r="AJE54" s="16" t="n">
        <v>9.6</v>
      </c>
      <c r="AJF54" s="0" t="n">
        <v>86.23</v>
      </c>
      <c r="AJG54" s="0" t="n">
        <v>11.76</v>
      </c>
      <c r="AJH54" s="0" t="n">
        <v>0</v>
      </c>
      <c r="AJI54" s="0" t="n">
        <v>0</v>
      </c>
      <c r="AJJ54" s="0" t="n">
        <v>1.01</v>
      </c>
      <c r="AJK54" s="0" t="n">
        <v>1.01</v>
      </c>
      <c r="AJL54" s="0" t="n">
        <v>0</v>
      </c>
      <c r="AJM54" s="0" t="n">
        <v>0</v>
      </c>
      <c r="AJN54" s="0" t="n">
        <v>0</v>
      </c>
      <c r="AJO54" s="0" t="n">
        <v>0</v>
      </c>
      <c r="AJP54" s="0" t="n">
        <v>0</v>
      </c>
      <c r="AJQ54" s="0" t="n">
        <v>0</v>
      </c>
      <c r="AJR54" s="0" t="n">
        <v>8.84</v>
      </c>
      <c r="AJS54" s="0" t="n">
        <v>23.37</v>
      </c>
      <c r="AJT54" s="0" t="n">
        <v>0</v>
      </c>
      <c r="AJU54" s="0" t="n">
        <v>0</v>
      </c>
      <c r="AJV54" s="0" t="n">
        <v>0</v>
      </c>
      <c r="AJW54" s="0" t="n">
        <v>0</v>
      </c>
      <c r="AKJ54" s="0" t="n">
        <v>0</v>
      </c>
      <c r="AKK54" s="0" t="n">
        <v>1</v>
      </c>
      <c r="AKL54" s="0" t="n">
        <v>52</v>
      </c>
      <c r="AKM54" s="0" t="n">
        <v>1</v>
      </c>
      <c r="AKN54" s="0" t="n">
        <v>0.02</v>
      </c>
      <c r="AKO54" s="0" t="n">
        <v>2</v>
      </c>
      <c r="AKV54" s="18"/>
      <c r="ALN54" s="0" t="n">
        <v>0</v>
      </c>
    </row>
    <row r="55" customFormat="false" ht="13.8" hidden="false" customHeight="false" outlineLevel="0" collapsed="false">
      <c r="A55" s="1" t="s">
        <v>411</v>
      </c>
      <c r="B55" s="12" t="n">
        <v>42902</v>
      </c>
      <c r="C55" s="0" t="n">
        <v>2</v>
      </c>
      <c r="D55" s="13" t="n">
        <v>42797</v>
      </c>
      <c r="E55" s="12" t="n">
        <v>30608</v>
      </c>
      <c r="F55" s="14" t="n">
        <f aca="false">(B55-E55)/365.25</f>
        <v>33.6591375770021</v>
      </c>
      <c r="G55" s="14" t="n">
        <f aca="false">(B55-D55)/365.25</f>
        <v>0.287474332648871</v>
      </c>
      <c r="H55" s="15" t="s">
        <v>217</v>
      </c>
      <c r="I55" s="15" t="s">
        <v>402</v>
      </c>
      <c r="J55" s="21" t="s">
        <v>181</v>
      </c>
      <c r="K55" s="21" t="n">
        <v>8</v>
      </c>
      <c r="L55" s="19" t="n">
        <v>95</v>
      </c>
      <c r="M55" s="0" t="n">
        <v>1.7</v>
      </c>
      <c r="N55" s="16" t="n">
        <f aca="false">L55/(M55*M55)</f>
        <v>32.8719723183391</v>
      </c>
      <c r="O55" s="19" t="n">
        <v>0</v>
      </c>
      <c r="P55" s="19" t="n">
        <v>0</v>
      </c>
      <c r="Q55" s="19" t="n">
        <v>0</v>
      </c>
      <c r="R55" s="19" t="n">
        <v>0</v>
      </c>
      <c r="S55" s="19" t="n">
        <v>0</v>
      </c>
      <c r="T55" s="19" t="n">
        <v>0</v>
      </c>
      <c r="U55" s="19" t="n">
        <v>0</v>
      </c>
      <c r="V55" s="19" t="n">
        <v>0</v>
      </c>
      <c r="W55" s="19" t="n">
        <v>0</v>
      </c>
      <c r="X55" s="19" t="n">
        <v>0</v>
      </c>
      <c r="Y55" s="19" t="n">
        <v>1</v>
      </c>
      <c r="Z55" s="19" t="n">
        <v>1</v>
      </c>
      <c r="AA55" s="19" t="n">
        <v>180</v>
      </c>
      <c r="AB55" s="19" t="s">
        <v>368</v>
      </c>
      <c r="AC55" s="19" t="n">
        <v>0</v>
      </c>
      <c r="AD55" s="19" t="n">
        <v>0</v>
      </c>
      <c r="AE55" s="19" t="n">
        <v>0</v>
      </c>
      <c r="AF55" s="19" t="n">
        <v>0</v>
      </c>
      <c r="AG55" s="19" t="n">
        <v>0</v>
      </c>
      <c r="AH55" s="19" t="n">
        <v>0</v>
      </c>
      <c r="AI55" s="19" t="n">
        <v>0</v>
      </c>
      <c r="AJ55" s="19" t="n">
        <v>0</v>
      </c>
      <c r="AK55" s="19" t="n">
        <v>0</v>
      </c>
      <c r="AL55" s="19" t="n">
        <v>0</v>
      </c>
      <c r="AM55" s="19" t="n">
        <v>0</v>
      </c>
      <c r="AN55" s="19" t="n">
        <v>0</v>
      </c>
      <c r="AO55" s="19" t="n">
        <v>0</v>
      </c>
      <c r="AP55" s="19" t="n">
        <v>0</v>
      </c>
      <c r="AQ55" s="19" t="n">
        <v>0</v>
      </c>
      <c r="AR55" s="19" t="n">
        <v>0</v>
      </c>
      <c r="AS55" s="19" t="n">
        <v>0</v>
      </c>
      <c r="AT55" s="19" t="n">
        <v>0</v>
      </c>
      <c r="AU55" s="19" t="n">
        <v>0</v>
      </c>
      <c r="AV55" s="19" t="n">
        <v>0</v>
      </c>
      <c r="AW55" s="19" t="n">
        <v>0</v>
      </c>
      <c r="AX55" s="19" t="n">
        <v>0</v>
      </c>
      <c r="AY55" s="19" t="n">
        <v>0</v>
      </c>
      <c r="AZ55" s="19" t="n">
        <v>0</v>
      </c>
      <c r="BA55" s="19" t="n">
        <v>0</v>
      </c>
      <c r="BB55" s="19" t="n">
        <v>0</v>
      </c>
      <c r="BC55" s="19" t="n">
        <v>0</v>
      </c>
      <c r="BD55" s="19" t="n">
        <v>0</v>
      </c>
      <c r="BE55" s="19" t="n">
        <v>0</v>
      </c>
      <c r="BF55" s="19" t="n">
        <v>0</v>
      </c>
      <c r="BG55" s="19" t="n">
        <v>0</v>
      </c>
      <c r="BH55" s="19" t="n">
        <v>0</v>
      </c>
      <c r="BI55" s="19" t="n">
        <v>0</v>
      </c>
      <c r="BJ55" s="19" t="n">
        <v>0</v>
      </c>
      <c r="BK55" s="19" t="n">
        <v>0</v>
      </c>
      <c r="BL55" s="19" t="n">
        <v>0</v>
      </c>
      <c r="BM55" s="19" t="n">
        <v>0</v>
      </c>
      <c r="BN55" s="19" t="n">
        <v>0</v>
      </c>
      <c r="BO55" s="19" t="n">
        <v>0</v>
      </c>
      <c r="BP55" s="19" t="n">
        <v>0</v>
      </c>
      <c r="BQ55" s="19" t="n">
        <v>0</v>
      </c>
      <c r="BR55" s="19" t="n">
        <v>1</v>
      </c>
      <c r="BS55" s="19" t="n">
        <v>2</v>
      </c>
      <c r="BT55" s="19" t="n">
        <v>2</v>
      </c>
      <c r="BU55" s="19" t="n">
        <v>2</v>
      </c>
      <c r="BV55" s="19" t="n">
        <v>2</v>
      </c>
      <c r="BW55" s="19" t="n">
        <v>1</v>
      </c>
      <c r="BX55" s="19" t="n">
        <v>2</v>
      </c>
      <c r="BY55" s="19" t="n">
        <v>1</v>
      </c>
      <c r="BZ55" s="19" t="n">
        <v>4</v>
      </c>
      <c r="CA55" s="19" t="n">
        <v>4</v>
      </c>
      <c r="CB55" s="19" t="n">
        <v>4</v>
      </c>
      <c r="CC55" s="19" t="n">
        <v>4</v>
      </c>
      <c r="CD55" s="19" t="n">
        <v>4</v>
      </c>
      <c r="CE55" s="19" t="n">
        <v>4</v>
      </c>
      <c r="CF55" s="19" t="n">
        <v>4</v>
      </c>
      <c r="CG55" s="19" t="n">
        <v>4</v>
      </c>
      <c r="CH55" s="19" t="n">
        <v>4</v>
      </c>
      <c r="CI55" s="19" t="n">
        <v>4</v>
      </c>
      <c r="CJ55" s="19" t="n">
        <v>4</v>
      </c>
      <c r="CK55" s="19" t="n">
        <v>10</v>
      </c>
      <c r="CL55" s="0" t="s">
        <v>403</v>
      </c>
      <c r="CM55" s="0" t="n">
        <v>21.5</v>
      </c>
      <c r="CN55" s="16" t="n">
        <v>78.4</v>
      </c>
      <c r="CO55" s="16" t="n">
        <v>80.4</v>
      </c>
      <c r="CP55" s="16" t="n">
        <v>9.6</v>
      </c>
      <c r="CQ55" s="0" t="n">
        <v>84.68</v>
      </c>
      <c r="CR55" s="0" t="n">
        <v>14.18</v>
      </c>
      <c r="CS55" s="0" t="n">
        <v>1.12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9.51</v>
      </c>
      <c r="DD55" s="0" t="n">
        <v>25.42</v>
      </c>
      <c r="DE55" s="0" t="n">
        <v>0</v>
      </c>
      <c r="DF55" s="0" t="n">
        <v>0</v>
      </c>
      <c r="DG55" s="0" t="n">
        <v>0</v>
      </c>
      <c r="DH55" s="0" t="n">
        <v>2</v>
      </c>
      <c r="DI55" s="0" t="n">
        <v>5</v>
      </c>
      <c r="DO55" s="0" t="n">
        <v>5</v>
      </c>
      <c r="DU55" s="0" t="n">
        <v>3.2</v>
      </c>
      <c r="DV55" s="0" t="n">
        <v>1</v>
      </c>
      <c r="DW55" s="0" t="n">
        <v>52</v>
      </c>
      <c r="DX55" s="0" t="n">
        <v>3</v>
      </c>
      <c r="DY55" s="0" t="n">
        <f aca="false">0.07+0.76</f>
        <v>0.83</v>
      </c>
      <c r="DZ55" s="0" t="n">
        <v>2</v>
      </c>
      <c r="EA55" s="0" t="n">
        <v>103</v>
      </c>
      <c r="EB55" s="0" t="n">
        <v>3</v>
      </c>
      <c r="EC55" s="0" t="n">
        <f aca="false">0.36+0.34</f>
        <v>0.7</v>
      </c>
      <c r="ED55" s="0" t="n">
        <v>1</v>
      </c>
      <c r="EE55" s="0" t="n">
        <v>68</v>
      </c>
      <c r="EF55" s="0" t="n">
        <v>2</v>
      </c>
      <c r="EG55" s="18" t="n">
        <f aca="false">0.24</f>
        <v>0.24</v>
      </c>
      <c r="EH55" s="0" t="n">
        <v>1</v>
      </c>
      <c r="EI55" s="0" t="n">
        <v>34</v>
      </c>
      <c r="EJ55" s="0" t="n">
        <v>2</v>
      </c>
      <c r="EK55" s="0" t="n">
        <f aca="false">0.24</f>
        <v>0.24</v>
      </c>
      <c r="EL55" s="0" t="n">
        <v>1</v>
      </c>
      <c r="EY55" s="0" t="n">
        <v>0</v>
      </c>
      <c r="GJ55" s="16" t="n">
        <v>0.36</v>
      </c>
      <c r="GK55" s="16" t="n">
        <v>1</v>
      </c>
      <c r="GL55" s="16" t="n">
        <v>1</v>
      </c>
      <c r="GM55" s="16"/>
      <c r="GN55" s="16" t="n">
        <v>1.52</v>
      </c>
      <c r="GO55" s="16"/>
      <c r="GP55" s="16"/>
      <c r="GQ55" s="16"/>
      <c r="GR55" s="16"/>
      <c r="GS55" s="16"/>
      <c r="GT55" s="16"/>
      <c r="GU55" s="16" t="n">
        <v>8.32</v>
      </c>
      <c r="GV55" s="16" t="n">
        <v>8.31</v>
      </c>
      <c r="GW55" s="16"/>
      <c r="GX55" s="16"/>
      <c r="GY55" s="16" t="n">
        <v>0</v>
      </c>
      <c r="GZ55" s="16" t="n">
        <v>0</v>
      </c>
      <c r="HA55" s="16" t="n">
        <v>0</v>
      </c>
      <c r="HB55" s="0" t="n">
        <v>0</v>
      </c>
      <c r="HC55" s="0" t="s">
        <v>404</v>
      </c>
      <c r="HD55" s="0" t="n">
        <v>50.5</v>
      </c>
      <c r="HE55" s="16" t="n">
        <v>95.8</v>
      </c>
      <c r="HF55" s="16" t="n">
        <v>80.4</v>
      </c>
      <c r="HG55" s="16" t="n">
        <v>22.6</v>
      </c>
      <c r="HH55" s="0" t="n">
        <v>70.65</v>
      </c>
      <c r="HI55" s="0" t="n">
        <v>13.02</v>
      </c>
      <c r="HJ55" s="0" t="n">
        <v>16.33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3.81</v>
      </c>
      <c r="HU55" s="0" t="n">
        <v>53.36</v>
      </c>
      <c r="HV55" s="0" t="n">
        <v>0</v>
      </c>
      <c r="HW55" s="0" t="n">
        <v>0</v>
      </c>
      <c r="HX55" s="0" t="n">
        <v>7.8</v>
      </c>
      <c r="HY55" s="0" t="n">
        <v>2</v>
      </c>
      <c r="HZ55" s="0" t="n">
        <v>10</v>
      </c>
      <c r="IA55" s="0" t="n">
        <v>2.69</v>
      </c>
      <c r="IF55" s="0" t="n">
        <v>10</v>
      </c>
      <c r="IG55" s="0" t="n">
        <v>2.69</v>
      </c>
      <c r="IL55" s="0" t="n">
        <v>0</v>
      </c>
      <c r="IM55" s="0" t="n">
        <v>0</v>
      </c>
      <c r="IX55" s="18"/>
      <c r="JP55" s="0" t="n">
        <v>0</v>
      </c>
      <c r="LA55" s="16" t="n">
        <v>10.02</v>
      </c>
      <c r="LB55" s="16" t="n">
        <v>1</v>
      </c>
      <c r="LC55" s="16" t="n">
        <v>2</v>
      </c>
      <c r="LD55" s="16"/>
      <c r="LE55" s="16" t="n">
        <f aca="false">0.05*4+0.33*4+1.5*4+0.76*4+1.14*4</f>
        <v>15.12</v>
      </c>
      <c r="LF55" s="16"/>
      <c r="LG55" s="16"/>
      <c r="LH55" s="16"/>
      <c r="LI55" s="16"/>
      <c r="LJ55" s="16"/>
      <c r="LK55" s="16"/>
      <c r="LL55" s="16" t="n">
        <v>9.92</v>
      </c>
      <c r="LM55" s="16" t="n">
        <v>20.94</v>
      </c>
      <c r="LN55" s="16"/>
      <c r="LO55" s="16"/>
      <c r="LP55" s="16" t="n">
        <v>0</v>
      </c>
      <c r="LQ55" s="16" t="n">
        <v>0</v>
      </c>
      <c r="LR55" s="16" t="n">
        <v>0</v>
      </c>
      <c r="LS55" s="0" t="n">
        <v>0</v>
      </c>
      <c r="LT55" s="0" t="s">
        <v>405</v>
      </c>
      <c r="LU55" s="0" t="n">
        <v>57.5</v>
      </c>
      <c r="LV55" s="16" t="n">
        <v>93.3</v>
      </c>
      <c r="LW55" s="16" t="n">
        <v>80.4</v>
      </c>
      <c r="LX55" s="16" t="n">
        <v>37.2</v>
      </c>
      <c r="LY55" s="0" t="n">
        <v>37.4</v>
      </c>
      <c r="LZ55" s="0" t="n">
        <v>31.73</v>
      </c>
      <c r="MA55" s="0" t="n">
        <v>29.89</v>
      </c>
      <c r="MB55" s="0" t="n">
        <v>0</v>
      </c>
      <c r="MC55" s="0" t="n">
        <v>0.98</v>
      </c>
      <c r="MD55" s="0" t="n">
        <v>0</v>
      </c>
      <c r="ME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21.26</v>
      </c>
      <c r="ML55" s="0" t="n">
        <v>57.4</v>
      </c>
      <c r="MM55" s="0" t="n">
        <v>0</v>
      </c>
      <c r="MN55" s="0" t="n">
        <v>0</v>
      </c>
      <c r="MO55" s="0" t="n">
        <v>0</v>
      </c>
      <c r="MP55" s="0" t="n">
        <v>0</v>
      </c>
      <c r="NC55" s="0" t="n">
        <v>2.3</v>
      </c>
      <c r="ND55" s="0" t="n">
        <v>1</v>
      </c>
      <c r="NE55" s="0" t="n">
        <v>35</v>
      </c>
      <c r="NF55" s="0" t="n">
        <v>1</v>
      </c>
      <c r="NG55" s="0" t="n">
        <v>0.49</v>
      </c>
      <c r="NH55" s="0" t="n">
        <v>3</v>
      </c>
      <c r="NO55" s="18"/>
      <c r="OG55" s="0" t="n">
        <v>0</v>
      </c>
      <c r="PR55" s="16" t="n">
        <v>2.91</v>
      </c>
      <c r="PS55" s="16" t="n">
        <v>1</v>
      </c>
      <c r="PT55" s="16" t="n">
        <v>1</v>
      </c>
      <c r="PU55" s="16"/>
      <c r="PV55" s="16" t="n">
        <f aca="false">2.49+0.21+0.47*2+2.49+0.26+0.53+0.01+4.77+14.32+1.53+3.06+0.13</f>
        <v>30.74</v>
      </c>
      <c r="PW55" s="16"/>
      <c r="PX55" s="16"/>
      <c r="PY55" s="16"/>
      <c r="PZ55" s="16"/>
      <c r="QA55" s="16"/>
      <c r="QB55" s="16"/>
      <c r="QC55" s="16" t="n">
        <v>14.81</v>
      </c>
      <c r="QD55" s="16" t="n">
        <v>52.45</v>
      </c>
      <c r="QE55" s="16"/>
      <c r="QF55" s="16"/>
      <c r="QG55" s="16" t="n">
        <v>0</v>
      </c>
      <c r="QH55" s="16" t="n">
        <v>0</v>
      </c>
      <c r="QI55" s="16" t="n">
        <v>0</v>
      </c>
      <c r="QJ55" s="0" t="n">
        <v>0</v>
      </c>
      <c r="QK55" s="0" t="s">
        <v>406</v>
      </c>
      <c r="QL55" s="0" t="n">
        <v>12.5</v>
      </c>
      <c r="QM55" s="16" t="n">
        <v>69.9</v>
      </c>
      <c r="QN55" s="16" t="n">
        <v>80.4</v>
      </c>
      <c r="QO55" s="16" t="n">
        <v>9</v>
      </c>
      <c r="QP55" s="0" t="n">
        <v>90.9</v>
      </c>
      <c r="QQ55" s="0" t="n">
        <v>7.98</v>
      </c>
      <c r="QR55" s="0" t="n">
        <v>1.12</v>
      </c>
      <c r="QS55" s="0" t="n">
        <v>4.56</v>
      </c>
      <c r="QT55" s="0" t="n">
        <v>17.67</v>
      </c>
      <c r="QU55" s="0" t="n">
        <v>0</v>
      </c>
      <c r="QV55" s="0" t="n">
        <v>0</v>
      </c>
      <c r="QW55" s="0" t="n">
        <v>0</v>
      </c>
      <c r="QX55" s="0" t="n">
        <v>0</v>
      </c>
      <c r="QY55" s="0" t="n">
        <v>0</v>
      </c>
      <c r="QZ55" s="0" t="n">
        <v>0</v>
      </c>
      <c r="RA55" s="0" t="n">
        <v>0</v>
      </c>
      <c r="RB55" s="0" t="n">
        <v>4.56</v>
      </c>
      <c r="RC55" s="0" t="n">
        <v>17.67</v>
      </c>
      <c r="RD55" s="0" t="n">
        <v>0</v>
      </c>
      <c r="RE55" s="0" t="n">
        <v>0</v>
      </c>
      <c r="RF55" s="0" t="n">
        <v>0</v>
      </c>
      <c r="RG55" s="0" t="n">
        <v>0</v>
      </c>
      <c r="RT55" s="0" t="n">
        <v>0</v>
      </c>
      <c r="RU55" s="0" t="n">
        <v>0</v>
      </c>
      <c r="SF55" s="18"/>
      <c r="SX55" s="0" t="n">
        <v>0</v>
      </c>
      <c r="UI55" s="16" t="n">
        <v>0</v>
      </c>
      <c r="UJ55" s="16" t="n">
        <v>0</v>
      </c>
      <c r="UK55" s="16"/>
      <c r="UL55" s="16"/>
      <c r="UM55" s="16"/>
      <c r="UN55" s="16"/>
      <c r="UO55" s="16"/>
      <c r="UP55" s="16"/>
      <c r="UQ55" s="16"/>
      <c r="UR55" s="16"/>
      <c r="US55" s="16"/>
      <c r="UT55" s="16" t="n">
        <v>3.41</v>
      </c>
      <c r="UU55" s="16" t="n">
        <v>3.41</v>
      </c>
      <c r="UV55" s="16"/>
      <c r="UW55" s="16"/>
      <c r="UX55" s="16" t="n">
        <v>0</v>
      </c>
      <c r="UY55" s="16" t="n">
        <v>0</v>
      </c>
      <c r="UZ55" s="16" t="n">
        <v>0</v>
      </c>
      <c r="VA55" s="0" t="n">
        <v>0</v>
      </c>
      <c r="VB55" s="0" t="s">
        <v>407</v>
      </c>
      <c r="VC55" s="0" t="n">
        <v>17</v>
      </c>
      <c r="VD55" s="16" t="n">
        <v>84.3</v>
      </c>
      <c r="VE55" s="16" t="n">
        <v>80.4</v>
      </c>
      <c r="VF55" s="16" t="n">
        <v>9.8</v>
      </c>
      <c r="VG55" s="0" t="n">
        <v>84.81</v>
      </c>
      <c r="VH55" s="0" t="n">
        <v>14.07</v>
      </c>
      <c r="VI55" s="0" t="n">
        <v>1.12</v>
      </c>
      <c r="VJ55" s="0" t="n">
        <v>0</v>
      </c>
      <c r="VK55" s="0" t="n">
        <v>0</v>
      </c>
      <c r="VL55" s="0" t="n">
        <v>0</v>
      </c>
      <c r="VM55" s="0" t="n">
        <v>0</v>
      </c>
      <c r="VN55" s="0" t="n">
        <v>0</v>
      </c>
      <c r="VO55" s="0" t="n">
        <v>0</v>
      </c>
      <c r="VP55" s="0" t="n">
        <v>0</v>
      </c>
      <c r="VQ55" s="0" t="n">
        <v>0</v>
      </c>
      <c r="VR55" s="0" t="n">
        <v>0</v>
      </c>
      <c r="VS55" s="0" t="n">
        <v>7.34</v>
      </c>
      <c r="VT55" s="0" t="n">
        <v>26.23</v>
      </c>
      <c r="VU55" s="0" t="n">
        <v>0</v>
      </c>
      <c r="VV55" s="0" t="n">
        <v>0</v>
      </c>
      <c r="VW55" s="0" t="n">
        <v>0</v>
      </c>
      <c r="VX55" s="0" t="n">
        <v>0</v>
      </c>
      <c r="WK55" s="0" t="n">
        <v>0</v>
      </c>
      <c r="WL55" s="0" t="n">
        <v>0</v>
      </c>
      <c r="WW55" s="18"/>
      <c r="XO55" s="0" t="n">
        <v>0</v>
      </c>
      <c r="YZ55" s="16" t="n">
        <v>1.51</v>
      </c>
      <c r="ZA55" s="16" t="n">
        <v>1</v>
      </c>
      <c r="ZB55" s="16" t="n">
        <v>2</v>
      </c>
      <c r="ZC55" s="16"/>
      <c r="ZD55" s="16" t="n">
        <f aca="false">0.99+4.04</f>
        <v>5.03</v>
      </c>
      <c r="ZE55" s="16"/>
      <c r="ZF55" s="16"/>
      <c r="ZG55" s="16"/>
      <c r="ZH55" s="16"/>
      <c r="ZI55" s="16"/>
      <c r="ZJ55" s="16"/>
      <c r="ZK55" s="16" t="n">
        <v>5.5</v>
      </c>
      <c r="ZL55" s="16" t="n">
        <v>9.84</v>
      </c>
      <c r="ZM55" s="16"/>
      <c r="ZN55" s="16"/>
      <c r="ZO55" s="16" t="n">
        <v>0</v>
      </c>
      <c r="ZP55" s="16" t="n">
        <v>0</v>
      </c>
      <c r="ZQ55" s="16" t="n">
        <v>0</v>
      </c>
      <c r="ZR55" s="0" t="n">
        <v>0</v>
      </c>
      <c r="ZS55" s="0" t="s">
        <v>408</v>
      </c>
      <c r="ZT55" s="0" t="n">
        <v>26</v>
      </c>
      <c r="ZU55" s="16" t="n">
        <v>75.1</v>
      </c>
      <c r="ZV55" s="16" t="n">
        <v>80.4</v>
      </c>
      <c r="ZW55" s="16" t="n">
        <v>10.7</v>
      </c>
      <c r="ZX55" s="0" t="n">
        <v>76.38</v>
      </c>
      <c r="ZY55" s="0" t="n">
        <v>22.5</v>
      </c>
      <c r="ZZ55" s="0" t="n">
        <v>1.12</v>
      </c>
      <c r="AAA55" s="0" t="n">
        <v>0</v>
      </c>
      <c r="AAB55" s="0" t="n">
        <v>0</v>
      </c>
      <c r="AAC55" s="0" t="n">
        <v>0</v>
      </c>
      <c r="AAD55" s="0" t="n">
        <v>0</v>
      </c>
      <c r="AAE55" s="0" t="n">
        <v>0</v>
      </c>
      <c r="AAF55" s="0" t="n">
        <v>0</v>
      </c>
      <c r="AAG55" s="0" t="n">
        <v>0</v>
      </c>
      <c r="AAH55" s="0" t="n">
        <v>0</v>
      </c>
      <c r="AAI55" s="0" t="n">
        <v>0</v>
      </c>
      <c r="AAJ55" s="0" t="n">
        <v>10.84</v>
      </c>
      <c r="AAK55" s="0" t="n">
        <v>26.14</v>
      </c>
      <c r="AAL55" s="0" t="n">
        <v>0</v>
      </c>
      <c r="AAM55" s="0" t="n">
        <v>0</v>
      </c>
      <c r="AAN55" s="0" t="n">
        <v>0</v>
      </c>
      <c r="AAO55" s="0" t="n">
        <v>0</v>
      </c>
      <c r="ABB55" s="0" t="n">
        <v>2.5</v>
      </c>
      <c r="ABC55" s="0" t="n">
        <v>1</v>
      </c>
      <c r="ABD55" s="0" t="n">
        <v>68</v>
      </c>
      <c r="ABE55" s="0" t="n">
        <v>1</v>
      </c>
      <c r="ABF55" s="0" t="n">
        <f aca="false">1.34</f>
        <v>1.34</v>
      </c>
      <c r="ABG55" s="0" t="n">
        <v>1</v>
      </c>
      <c r="ABH55" s="0" t="n">
        <v>52</v>
      </c>
      <c r="ABI55" s="0" t="n">
        <v>2</v>
      </c>
      <c r="ABJ55" s="0" t="n">
        <v>0.45</v>
      </c>
      <c r="ABK55" s="0" t="n">
        <v>2</v>
      </c>
      <c r="ABN55" s="18"/>
      <c r="ACF55" s="0" t="n">
        <v>0</v>
      </c>
      <c r="ADQ55" s="16" t="n">
        <v>1.21</v>
      </c>
      <c r="ADR55" s="16" t="n">
        <v>1</v>
      </c>
      <c r="ADS55" s="16" t="n">
        <v>2</v>
      </c>
      <c r="ADT55" s="16"/>
      <c r="ADU55" s="16" t="n">
        <v>4.04</v>
      </c>
      <c r="ADV55" s="16"/>
      <c r="ADW55" s="16"/>
      <c r="ADX55" s="16"/>
      <c r="ADY55" s="16"/>
      <c r="ADZ55" s="16"/>
      <c r="AEA55" s="16"/>
      <c r="AEB55" s="16" t="n">
        <v>11.17</v>
      </c>
      <c r="AEC55" s="16" t="n">
        <v>19.84</v>
      </c>
      <c r="AED55" s="16"/>
      <c r="AEE55" s="16"/>
      <c r="AEF55" s="16" t="n">
        <v>0</v>
      </c>
      <c r="AEG55" s="16" t="n">
        <v>0</v>
      </c>
      <c r="AEH55" s="16" t="n">
        <v>0</v>
      </c>
      <c r="AEI55" s="0" t="n">
        <v>0</v>
      </c>
      <c r="AEJ55" s="0" t="s">
        <v>409</v>
      </c>
      <c r="AEK55" s="0" t="n">
        <v>23</v>
      </c>
      <c r="AEL55" s="16" t="n">
        <v>90.8</v>
      </c>
      <c r="AEM55" s="16" t="n">
        <v>80.4</v>
      </c>
      <c r="AEN55" s="16" t="n">
        <v>11.6</v>
      </c>
      <c r="AEO55" s="0" t="n">
        <v>71.46</v>
      </c>
      <c r="AEP55" s="0" t="n">
        <v>27.42</v>
      </c>
      <c r="AEQ55" s="0" t="n">
        <v>1.12</v>
      </c>
      <c r="AER55" s="0" t="n">
        <v>0</v>
      </c>
      <c r="AES55" s="0" t="n">
        <v>0</v>
      </c>
      <c r="AET55" s="0" t="n">
        <v>0</v>
      </c>
      <c r="AEU55" s="0" t="n">
        <v>0</v>
      </c>
      <c r="AEV55" s="0" t="n">
        <v>0</v>
      </c>
      <c r="AEW55" s="0" t="n">
        <v>0</v>
      </c>
      <c r="AEX55" s="0" t="n">
        <v>0</v>
      </c>
      <c r="AEY55" s="0" t="n">
        <v>0</v>
      </c>
      <c r="AEZ55" s="0" t="n">
        <v>0</v>
      </c>
      <c r="AFA55" s="0" t="n">
        <v>11.58</v>
      </c>
      <c r="AFB55" s="0" t="n">
        <v>41.25</v>
      </c>
      <c r="AFC55" s="0" t="n">
        <v>0</v>
      </c>
      <c r="AFD55" s="0" t="n">
        <v>0</v>
      </c>
      <c r="AFE55" s="0" t="n">
        <v>0</v>
      </c>
      <c r="AFF55" s="0" t="n">
        <v>0</v>
      </c>
      <c r="AFS55" s="0" t="n">
        <v>1.7</v>
      </c>
      <c r="AFT55" s="0" t="n">
        <v>1</v>
      </c>
      <c r="AFU55" s="0" t="n">
        <v>35</v>
      </c>
      <c r="AFV55" s="0" t="n">
        <v>1</v>
      </c>
      <c r="AFW55" s="0" t="n">
        <v>0.05</v>
      </c>
      <c r="AFX55" s="0" t="n">
        <v>3</v>
      </c>
      <c r="AFY55" s="0" t="n">
        <v>103</v>
      </c>
      <c r="AFZ55" s="0" t="n">
        <v>5</v>
      </c>
      <c r="AGA55" s="0" t="n">
        <v>0.25</v>
      </c>
      <c r="AGB55" s="0" t="n">
        <v>1</v>
      </c>
      <c r="AGC55" s="0" t="n">
        <v>68</v>
      </c>
      <c r="AGD55" s="0" t="n">
        <v>4</v>
      </c>
      <c r="AGE55" s="18" t="n">
        <v>0.26</v>
      </c>
      <c r="AGF55" s="0" t="n">
        <v>1</v>
      </c>
      <c r="AGG55" s="0" t="n">
        <v>52</v>
      </c>
      <c r="AGH55" s="0" t="n">
        <v>4</v>
      </c>
      <c r="AGI55" s="0" t="n">
        <f aca="false">0.09+0.05+0.04</f>
        <v>0.18</v>
      </c>
      <c r="AGJ55" s="0" t="n">
        <v>2</v>
      </c>
      <c r="AGW55" s="0" t="n">
        <v>0</v>
      </c>
      <c r="AIH55" s="16" t="n">
        <v>0.04</v>
      </c>
      <c r="AII55" s="16" t="n">
        <v>1</v>
      </c>
      <c r="AIJ55" s="16" t="n">
        <v>1</v>
      </c>
      <c r="AIK55" s="16"/>
      <c r="AIL55" s="16" t="n">
        <v>0.13</v>
      </c>
      <c r="AIM55" s="16"/>
      <c r="AIN55" s="16"/>
      <c r="AIO55" s="16"/>
      <c r="AIP55" s="16"/>
      <c r="AIQ55" s="16"/>
      <c r="AIR55" s="16"/>
      <c r="AIS55" s="16" t="n">
        <v>9.52</v>
      </c>
      <c r="AIT55" s="16" t="n">
        <v>21.65</v>
      </c>
      <c r="AIU55" s="16"/>
      <c r="AIV55" s="16"/>
      <c r="AIW55" s="16" t="n">
        <v>0</v>
      </c>
      <c r="AIX55" s="16" t="n">
        <v>0</v>
      </c>
      <c r="AIY55" s="16" t="n">
        <v>0</v>
      </c>
      <c r="AIZ55" s="0" t="n">
        <v>0</v>
      </c>
      <c r="AJA55" s="0" t="s">
        <v>410</v>
      </c>
      <c r="AJB55" s="0" t="n">
        <v>24</v>
      </c>
      <c r="AJC55" s="16" t="n">
        <v>82.9</v>
      </c>
      <c r="AJD55" s="16" t="n">
        <v>80.4</v>
      </c>
      <c r="AJE55" s="16" t="n">
        <v>9.6</v>
      </c>
      <c r="AJF55" s="0" t="n">
        <v>86.23</v>
      </c>
      <c r="AJG55" s="0" t="n">
        <v>11.76</v>
      </c>
      <c r="AJH55" s="0" t="n">
        <v>0</v>
      </c>
      <c r="AJI55" s="0" t="n">
        <v>0</v>
      </c>
      <c r="AJJ55" s="0" t="n">
        <v>1.01</v>
      </c>
      <c r="AJK55" s="0" t="n">
        <v>1.01</v>
      </c>
      <c r="AJL55" s="0" t="n">
        <v>0</v>
      </c>
      <c r="AJM55" s="0" t="n">
        <v>0</v>
      </c>
      <c r="AJN55" s="0" t="n">
        <v>0</v>
      </c>
      <c r="AJO55" s="0" t="n">
        <v>0</v>
      </c>
      <c r="AJP55" s="0" t="n">
        <v>0</v>
      </c>
      <c r="AJQ55" s="0" t="n">
        <v>0</v>
      </c>
      <c r="AJR55" s="0" t="n">
        <v>8.84</v>
      </c>
      <c r="AJS55" s="0" t="n">
        <v>23.37</v>
      </c>
      <c r="AJT55" s="0" t="n">
        <v>0</v>
      </c>
      <c r="AJU55" s="0" t="n">
        <v>0</v>
      </c>
      <c r="AJV55" s="0" t="n">
        <v>0</v>
      </c>
      <c r="AJW55" s="0" t="n">
        <v>0</v>
      </c>
      <c r="AKJ55" s="0" t="n">
        <v>0</v>
      </c>
      <c r="AKK55" s="0" t="n">
        <v>1</v>
      </c>
      <c r="AKL55" s="0" t="n">
        <v>52</v>
      </c>
      <c r="AKM55" s="0" t="n">
        <v>1</v>
      </c>
      <c r="AKN55" s="0" t="n">
        <v>0.02</v>
      </c>
      <c r="AKO55" s="0" t="n">
        <v>2</v>
      </c>
      <c r="AKV55" s="18"/>
      <c r="ALN55" s="0" t="n">
        <v>0</v>
      </c>
    </row>
    <row r="56" customFormat="false" ht="13.8" hidden="false" customHeight="false" outlineLevel="0" collapsed="false">
      <c r="A56" s="1" t="s">
        <v>412</v>
      </c>
      <c r="B56" s="12" t="n">
        <v>42900</v>
      </c>
      <c r="C56" s="0" t="n">
        <v>2</v>
      </c>
      <c r="D56" s="13" t="n">
        <v>42811</v>
      </c>
      <c r="E56" s="12" t="n">
        <v>34190</v>
      </c>
      <c r="F56" s="14" t="n">
        <f aca="false">(B56-E56)/365.25</f>
        <v>23.8466803559206</v>
      </c>
      <c r="G56" s="14" t="n">
        <f aca="false">(B56-D56)/365.25</f>
        <v>0.243668720054757</v>
      </c>
      <c r="H56" s="15" t="s">
        <v>217</v>
      </c>
      <c r="I56" s="15" t="s">
        <v>402</v>
      </c>
      <c r="J56" s="21" t="s">
        <v>181</v>
      </c>
      <c r="K56" s="21" t="n">
        <v>4</v>
      </c>
      <c r="L56" s="19" t="n">
        <v>95</v>
      </c>
      <c r="M56" s="0" t="n">
        <v>1.72</v>
      </c>
      <c r="N56" s="16" t="n">
        <f aca="false">L56/(M56*M56)</f>
        <v>32.1119524067063</v>
      </c>
      <c r="O56" s="19" t="n">
        <v>0</v>
      </c>
      <c r="P56" s="19" t="n">
        <v>0</v>
      </c>
      <c r="Q56" s="19" t="n">
        <v>0</v>
      </c>
      <c r="R56" s="19" t="n">
        <v>0</v>
      </c>
      <c r="S56" s="19" t="n">
        <v>0</v>
      </c>
      <c r="T56" s="19" t="n">
        <v>0</v>
      </c>
      <c r="U56" s="19" t="n">
        <v>0</v>
      </c>
      <c r="V56" s="19" t="n">
        <v>0</v>
      </c>
      <c r="W56" s="19" t="n">
        <v>0</v>
      </c>
      <c r="X56" s="19" t="n">
        <v>0</v>
      </c>
      <c r="Y56" s="19" t="n">
        <v>1</v>
      </c>
      <c r="Z56" s="19" t="n">
        <v>1</v>
      </c>
      <c r="AA56" s="19" t="n">
        <v>60</v>
      </c>
      <c r="AB56" s="19" t="s">
        <v>368</v>
      </c>
      <c r="AC56" s="19" t="n">
        <v>0</v>
      </c>
      <c r="AD56" s="19" t="n">
        <v>0</v>
      </c>
      <c r="AE56" s="19" t="n">
        <v>0</v>
      </c>
      <c r="AF56" s="19" t="n">
        <v>0</v>
      </c>
      <c r="AG56" s="19" t="n">
        <v>0</v>
      </c>
      <c r="AH56" s="19" t="n">
        <v>0</v>
      </c>
      <c r="AI56" s="19" t="n">
        <v>0</v>
      </c>
      <c r="AJ56" s="19" t="n">
        <v>0</v>
      </c>
      <c r="AK56" s="19" t="n">
        <v>0</v>
      </c>
      <c r="AL56" s="19" t="n">
        <v>0</v>
      </c>
      <c r="AM56" s="19" t="n">
        <v>0</v>
      </c>
      <c r="AN56" s="19" t="n">
        <v>0</v>
      </c>
      <c r="AO56" s="19" t="n">
        <v>0</v>
      </c>
      <c r="AP56" s="19" t="n">
        <v>0</v>
      </c>
      <c r="AQ56" s="19" t="n">
        <v>0</v>
      </c>
      <c r="AR56" s="19" t="n">
        <v>0</v>
      </c>
      <c r="AS56" s="19" t="n">
        <v>0</v>
      </c>
      <c r="AT56" s="19" t="n">
        <v>0</v>
      </c>
      <c r="AU56" s="19" t="n">
        <v>0</v>
      </c>
      <c r="AV56" s="19" t="n">
        <v>0</v>
      </c>
      <c r="AW56" s="19" t="n">
        <v>0</v>
      </c>
      <c r="AX56" s="19" t="n">
        <v>0</v>
      </c>
      <c r="AY56" s="19" t="n">
        <v>0</v>
      </c>
      <c r="AZ56" s="19" t="n">
        <v>0</v>
      </c>
      <c r="BA56" s="19" t="n">
        <v>0</v>
      </c>
      <c r="BB56" s="19" t="n">
        <v>0</v>
      </c>
      <c r="BC56" s="19" t="n">
        <v>0</v>
      </c>
      <c r="BD56" s="19" t="n">
        <v>0</v>
      </c>
      <c r="BE56" s="19" t="n">
        <v>0</v>
      </c>
      <c r="BF56" s="19" t="n">
        <v>0</v>
      </c>
      <c r="BG56" s="19" t="n">
        <v>0</v>
      </c>
      <c r="BH56" s="19" t="n">
        <v>0</v>
      </c>
      <c r="BI56" s="19" t="n">
        <v>0</v>
      </c>
      <c r="BJ56" s="19" t="n">
        <v>0</v>
      </c>
      <c r="BK56" s="19" t="n">
        <v>0</v>
      </c>
      <c r="BL56" s="19" t="n">
        <v>0</v>
      </c>
      <c r="BM56" s="19" t="n">
        <v>0</v>
      </c>
      <c r="BN56" s="19" t="n">
        <v>0</v>
      </c>
      <c r="BO56" s="19" t="n">
        <v>0</v>
      </c>
      <c r="BP56" s="19" t="n">
        <v>0</v>
      </c>
      <c r="BQ56" s="19" t="n">
        <v>0</v>
      </c>
      <c r="BR56" s="19" t="n">
        <v>2</v>
      </c>
      <c r="BS56" s="19" t="n">
        <v>2</v>
      </c>
      <c r="BT56" s="19" t="n">
        <v>2</v>
      </c>
      <c r="BU56" s="19" t="n">
        <v>5</v>
      </c>
      <c r="BV56" s="19" t="n">
        <v>2</v>
      </c>
      <c r="BW56" s="19" t="n">
        <v>2</v>
      </c>
      <c r="BX56" s="19" t="n">
        <v>2</v>
      </c>
      <c r="BY56" s="19" t="n">
        <v>4</v>
      </c>
      <c r="BZ56" s="19" t="n">
        <v>4</v>
      </c>
      <c r="CA56" s="19" t="n">
        <v>4</v>
      </c>
      <c r="CB56" s="19" t="n">
        <v>5</v>
      </c>
      <c r="CC56" s="19" t="n">
        <v>5</v>
      </c>
      <c r="CD56" s="19" t="n">
        <v>3</v>
      </c>
      <c r="CE56" s="19" t="n">
        <v>5</v>
      </c>
      <c r="CF56" s="19" t="n">
        <v>5</v>
      </c>
      <c r="CG56" s="19" t="n">
        <v>4</v>
      </c>
      <c r="CH56" s="19" t="n">
        <v>5</v>
      </c>
      <c r="CI56" s="19" t="n">
        <v>5</v>
      </c>
      <c r="CJ56" s="19" t="n">
        <v>5</v>
      </c>
      <c r="CK56" s="19" t="n">
        <v>10</v>
      </c>
      <c r="CL56" s="0" t="s">
        <v>403</v>
      </c>
      <c r="CM56" s="0" t="n">
        <v>21.5</v>
      </c>
      <c r="CN56" s="16" t="n">
        <v>78.4</v>
      </c>
      <c r="CO56" s="16" t="n">
        <v>80.4</v>
      </c>
      <c r="CP56" s="16" t="n">
        <v>9.6</v>
      </c>
      <c r="CQ56" s="0" t="n">
        <v>84.68</v>
      </c>
      <c r="CR56" s="0" t="n">
        <v>14.18</v>
      </c>
      <c r="CS56" s="0" t="n">
        <v>1.12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9.51</v>
      </c>
      <c r="DD56" s="0" t="n">
        <v>25.42</v>
      </c>
      <c r="DE56" s="0" t="n">
        <v>0</v>
      </c>
      <c r="DF56" s="0" t="n">
        <v>0</v>
      </c>
      <c r="DG56" s="0" t="n">
        <v>0</v>
      </c>
      <c r="DH56" s="0" t="n">
        <v>2</v>
      </c>
      <c r="DI56" s="0" t="n">
        <v>5</v>
      </c>
      <c r="DO56" s="0" t="n">
        <v>5</v>
      </c>
      <c r="DU56" s="0" t="n">
        <v>3.2</v>
      </c>
      <c r="DV56" s="0" t="n">
        <v>1</v>
      </c>
      <c r="DW56" s="0" t="n">
        <v>52</v>
      </c>
      <c r="DX56" s="0" t="n">
        <v>3</v>
      </c>
      <c r="DY56" s="0" t="n">
        <f aca="false">0.07+0.76</f>
        <v>0.83</v>
      </c>
      <c r="DZ56" s="0" t="n">
        <v>2</v>
      </c>
      <c r="EA56" s="0" t="n">
        <v>103</v>
      </c>
      <c r="EB56" s="0" t="n">
        <v>3</v>
      </c>
      <c r="EC56" s="0" t="n">
        <f aca="false">0.36+0.34</f>
        <v>0.7</v>
      </c>
      <c r="ED56" s="0" t="n">
        <v>1</v>
      </c>
      <c r="EE56" s="0" t="n">
        <v>68</v>
      </c>
      <c r="EF56" s="0" t="n">
        <v>2</v>
      </c>
      <c r="EG56" s="18" t="n">
        <f aca="false">0.24</f>
        <v>0.24</v>
      </c>
      <c r="EH56" s="0" t="n">
        <v>1</v>
      </c>
      <c r="EI56" s="0" t="n">
        <v>34</v>
      </c>
      <c r="EJ56" s="0" t="n">
        <v>2</v>
      </c>
      <c r="EK56" s="0" t="n">
        <f aca="false">0.24</f>
        <v>0.24</v>
      </c>
      <c r="EL56" s="0" t="n">
        <v>1</v>
      </c>
      <c r="EY56" s="0" t="n">
        <v>0</v>
      </c>
      <c r="GJ56" s="16" t="n">
        <v>0.36</v>
      </c>
      <c r="GK56" s="16" t="n">
        <v>1</v>
      </c>
      <c r="GL56" s="16" t="n">
        <v>1</v>
      </c>
      <c r="GM56" s="16"/>
      <c r="GN56" s="16" t="n">
        <v>1.52</v>
      </c>
      <c r="GO56" s="16"/>
      <c r="GP56" s="16"/>
      <c r="GQ56" s="16"/>
      <c r="GR56" s="16"/>
      <c r="GS56" s="16"/>
      <c r="GT56" s="16"/>
      <c r="GU56" s="16" t="n">
        <v>8.32</v>
      </c>
      <c r="GV56" s="16" t="n">
        <v>8.31</v>
      </c>
      <c r="GW56" s="16"/>
      <c r="GX56" s="16"/>
      <c r="GY56" s="16" t="n">
        <v>0</v>
      </c>
      <c r="GZ56" s="16" t="n">
        <v>0</v>
      </c>
      <c r="HA56" s="16" t="n">
        <v>0</v>
      </c>
      <c r="HB56" s="0" t="n">
        <v>0</v>
      </c>
      <c r="HC56" s="0" t="s">
        <v>404</v>
      </c>
      <c r="HD56" s="0" t="n">
        <v>50.5</v>
      </c>
      <c r="HE56" s="16" t="n">
        <v>95.8</v>
      </c>
      <c r="HF56" s="16" t="n">
        <v>80.4</v>
      </c>
      <c r="HG56" s="16" t="n">
        <v>22.6</v>
      </c>
      <c r="HH56" s="0" t="n">
        <v>70.65</v>
      </c>
      <c r="HI56" s="0" t="n">
        <v>13.02</v>
      </c>
      <c r="HJ56" s="0" t="n">
        <v>16.33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3.81</v>
      </c>
      <c r="HU56" s="0" t="n">
        <v>53.36</v>
      </c>
      <c r="HV56" s="0" t="n">
        <v>0</v>
      </c>
      <c r="HW56" s="0" t="n">
        <v>0</v>
      </c>
      <c r="HX56" s="0" t="n">
        <v>7.8</v>
      </c>
      <c r="HY56" s="0" t="n">
        <v>2</v>
      </c>
      <c r="HZ56" s="0" t="n">
        <v>10</v>
      </c>
      <c r="IA56" s="0" t="n">
        <v>2.69</v>
      </c>
      <c r="IF56" s="0" t="n">
        <v>10</v>
      </c>
      <c r="IG56" s="0" t="n">
        <v>2.69</v>
      </c>
      <c r="IL56" s="0" t="n">
        <v>0</v>
      </c>
      <c r="IM56" s="0" t="n">
        <v>0</v>
      </c>
      <c r="IX56" s="18"/>
      <c r="JP56" s="0" t="n">
        <v>0</v>
      </c>
      <c r="LA56" s="16" t="n">
        <v>10.02</v>
      </c>
      <c r="LB56" s="16" t="n">
        <v>1</v>
      </c>
      <c r="LC56" s="16" t="n">
        <v>2</v>
      </c>
      <c r="LD56" s="16"/>
      <c r="LE56" s="16" t="n">
        <f aca="false">0.05*4+0.33*4+1.5*4+0.76*4+1.14*4</f>
        <v>15.12</v>
      </c>
      <c r="LF56" s="16"/>
      <c r="LG56" s="16"/>
      <c r="LH56" s="16"/>
      <c r="LI56" s="16"/>
      <c r="LJ56" s="16"/>
      <c r="LK56" s="16"/>
      <c r="LL56" s="16" t="n">
        <v>9.92</v>
      </c>
      <c r="LM56" s="16" t="n">
        <v>20.94</v>
      </c>
      <c r="LN56" s="16"/>
      <c r="LO56" s="16"/>
      <c r="LP56" s="16" t="n">
        <v>0</v>
      </c>
      <c r="LQ56" s="16" t="n">
        <v>0</v>
      </c>
      <c r="LR56" s="16" t="n">
        <v>0</v>
      </c>
      <c r="LS56" s="0" t="n">
        <v>0</v>
      </c>
      <c r="LT56" s="0" t="s">
        <v>405</v>
      </c>
      <c r="LU56" s="0" t="n">
        <v>57.5</v>
      </c>
      <c r="LV56" s="16" t="n">
        <v>93.3</v>
      </c>
      <c r="LW56" s="16" t="n">
        <v>80.4</v>
      </c>
      <c r="LX56" s="16" t="n">
        <v>37.2</v>
      </c>
      <c r="LY56" s="0" t="n">
        <v>37.4</v>
      </c>
      <c r="LZ56" s="0" t="n">
        <v>31.73</v>
      </c>
      <c r="MA56" s="0" t="n">
        <v>29.89</v>
      </c>
      <c r="MB56" s="0" t="n">
        <v>0</v>
      </c>
      <c r="MC56" s="0" t="n">
        <v>0.98</v>
      </c>
      <c r="MD56" s="0" t="n">
        <v>0</v>
      </c>
      <c r="ME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21.26</v>
      </c>
      <c r="ML56" s="0" t="n">
        <v>57.4</v>
      </c>
      <c r="MM56" s="0" t="n">
        <v>0</v>
      </c>
      <c r="MN56" s="0" t="n">
        <v>0</v>
      </c>
      <c r="MO56" s="0" t="n">
        <v>0</v>
      </c>
      <c r="MP56" s="0" t="n">
        <v>0</v>
      </c>
      <c r="NC56" s="0" t="n">
        <v>2.3</v>
      </c>
      <c r="ND56" s="0" t="n">
        <v>1</v>
      </c>
      <c r="NE56" s="0" t="n">
        <v>35</v>
      </c>
      <c r="NF56" s="0" t="n">
        <v>1</v>
      </c>
      <c r="NG56" s="0" t="n">
        <v>0.49</v>
      </c>
      <c r="NH56" s="0" t="n">
        <v>3</v>
      </c>
      <c r="NO56" s="18"/>
      <c r="OG56" s="0" t="n">
        <v>0</v>
      </c>
      <c r="PR56" s="16" t="n">
        <v>2.91</v>
      </c>
      <c r="PS56" s="16" t="n">
        <v>1</v>
      </c>
      <c r="PT56" s="16" t="n">
        <v>1</v>
      </c>
      <c r="PU56" s="16"/>
      <c r="PV56" s="16" t="n">
        <f aca="false">2.49+0.21+0.47*2+2.49+0.26+0.53+0.01+4.77+14.32+1.53+3.06+0.13</f>
        <v>30.74</v>
      </c>
      <c r="PW56" s="16"/>
      <c r="PX56" s="16"/>
      <c r="PY56" s="16"/>
      <c r="PZ56" s="16"/>
      <c r="QA56" s="16"/>
      <c r="QB56" s="16"/>
      <c r="QC56" s="16" t="n">
        <v>14.81</v>
      </c>
      <c r="QD56" s="16" t="n">
        <v>52.45</v>
      </c>
      <c r="QE56" s="16"/>
      <c r="QF56" s="16"/>
      <c r="QG56" s="16" t="n">
        <v>0</v>
      </c>
      <c r="QH56" s="16" t="n">
        <v>0</v>
      </c>
      <c r="QI56" s="16" t="n">
        <v>0</v>
      </c>
      <c r="QJ56" s="0" t="n">
        <v>0</v>
      </c>
      <c r="QK56" s="0" t="s">
        <v>406</v>
      </c>
      <c r="QL56" s="0" t="n">
        <v>12.5</v>
      </c>
      <c r="QM56" s="16" t="n">
        <v>69.9</v>
      </c>
      <c r="QN56" s="16" t="n">
        <v>80.4</v>
      </c>
      <c r="QO56" s="16" t="n">
        <v>9</v>
      </c>
      <c r="QP56" s="0" t="n">
        <v>90.9</v>
      </c>
      <c r="QQ56" s="0" t="n">
        <v>7.98</v>
      </c>
      <c r="QR56" s="0" t="n">
        <v>1.12</v>
      </c>
      <c r="QS56" s="0" t="n">
        <v>4.56</v>
      </c>
      <c r="QT56" s="0" t="n">
        <v>17.67</v>
      </c>
      <c r="QU56" s="0" t="n">
        <v>0</v>
      </c>
      <c r="QV56" s="0" t="n">
        <v>0</v>
      </c>
      <c r="QW56" s="0" t="n">
        <v>0</v>
      </c>
      <c r="QX56" s="0" t="n">
        <v>0</v>
      </c>
      <c r="QY56" s="0" t="n">
        <v>0</v>
      </c>
      <c r="QZ56" s="0" t="n">
        <v>0</v>
      </c>
      <c r="RA56" s="0" t="n">
        <v>0</v>
      </c>
      <c r="RB56" s="0" t="n">
        <v>4.56</v>
      </c>
      <c r="RC56" s="0" t="n">
        <v>17.67</v>
      </c>
      <c r="RD56" s="0" t="n">
        <v>0</v>
      </c>
      <c r="RE56" s="0" t="n">
        <v>0</v>
      </c>
      <c r="RF56" s="0" t="n">
        <v>0</v>
      </c>
      <c r="RG56" s="0" t="n">
        <v>0</v>
      </c>
      <c r="RT56" s="0" t="n">
        <v>0</v>
      </c>
      <c r="RU56" s="0" t="n">
        <v>0</v>
      </c>
      <c r="SF56" s="18"/>
      <c r="SX56" s="0" t="n">
        <v>0</v>
      </c>
      <c r="UI56" s="16" t="n">
        <v>0</v>
      </c>
      <c r="UJ56" s="16" t="n">
        <v>0</v>
      </c>
      <c r="UK56" s="16"/>
      <c r="UL56" s="16"/>
      <c r="UM56" s="16"/>
      <c r="UN56" s="16"/>
      <c r="UO56" s="16"/>
      <c r="UP56" s="16"/>
      <c r="UQ56" s="16"/>
      <c r="UR56" s="16"/>
      <c r="US56" s="16"/>
      <c r="UT56" s="16" t="n">
        <v>3.41</v>
      </c>
      <c r="UU56" s="16" t="n">
        <v>3.41</v>
      </c>
      <c r="UV56" s="16"/>
      <c r="UW56" s="16"/>
      <c r="UX56" s="16" t="n">
        <v>0</v>
      </c>
      <c r="UY56" s="16" t="n">
        <v>0</v>
      </c>
      <c r="UZ56" s="16" t="n">
        <v>0</v>
      </c>
      <c r="VA56" s="0" t="n">
        <v>0</v>
      </c>
      <c r="VB56" s="0" t="s">
        <v>407</v>
      </c>
      <c r="VC56" s="0" t="n">
        <v>17</v>
      </c>
      <c r="VD56" s="16" t="n">
        <v>84.3</v>
      </c>
      <c r="VE56" s="16" t="n">
        <v>80.4</v>
      </c>
      <c r="VF56" s="16" t="n">
        <v>9.8</v>
      </c>
      <c r="VG56" s="0" t="n">
        <v>84.81</v>
      </c>
      <c r="VH56" s="0" t="n">
        <v>14.07</v>
      </c>
      <c r="VI56" s="0" t="n">
        <v>1.12</v>
      </c>
      <c r="VJ56" s="0" t="n">
        <v>0</v>
      </c>
      <c r="VK56" s="0" t="n">
        <v>0</v>
      </c>
      <c r="VL56" s="0" t="n">
        <v>0</v>
      </c>
      <c r="VM56" s="0" t="n">
        <v>0</v>
      </c>
      <c r="VN56" s="0" t="n">
        <v>0</v>
      </c>
      <c r="VO56" s="0" t="n">
        <v>0</v>
      </c>
      <c r="VP56" s="0" t="n">
        <v>0</v>
      </c>
      <c r="VQ56" s="0" t="n">
        <v>0</v>
      </c>
      <c r="VR56" s="0" t="n">
        <v>0</v>
      </c>
      <c r="VS56" s="0" t="n">
        <v>7.34</v>
      </c>
      <c r="VT56" s="0" t="n">
        <v>26.23</v>
      </c>
      <c r="VU56" s="0" t="n">
        <v>0</v>
      </c>
      <c r="VV56" s="0" t="n">
        <v>0</v>
      </c>
      <c r="VW56" s="0" t="n">
        <v>0</v>
      </c>
      <c r="VX56" s="0" t="n">
        <v>0</v>
      </c>
      <c r="WK56" s="0" t="n">
        <v>0</v>
      </c>
      <c r="WL56" s="0" t="n">
        <v>0</v>
      </c>
      <c r="WW56" s="18"/>
      <c r="XO56" s="0" t="n">
        <v>0</v>
      </c>
      <c r="YZ56" s="16" t="n">
        <v>1.51</v>
      </c>
      <c r="ZA56" s="16" t="n">
        <v>1</v>
      </c>
      <c r="ZB56" s="16" t="n">
        <v>2</v>
      </c>
      <c r="ZC56" s="16"/>
      <c r="ZD56" s="16" t="n">
        <f aca="false">0.99+4.04</f>
        <v>5.03</v>
      </c>
      <c r="ZE56" s="16"/>
      <c r="ZF56" s="16"/>
      <c r="ZG56" s="16"/>
      <c r="ZH56" s="16"/>
      <c r="ZI56" s="16"/>
      <c r="ZJ56" s="16"/>
      <c r="ZK56" s="16" t="n">
        <v>5.5</v>
      </c>
      <c r="ZL56" s="16" t="n">
        <v>9.84</v>
      </c>
      <c r="ZM56" s="16"/>
      <c r="ZN56" s="16"/>
      <c r="ZO56" s="16" t="n">
        <v>0</v>
      </c>
      <c r="ZP56" s="16" t="n">
        <v>0</v>
      </c>
      <c r="ZQ56" s="16" t="n">
        <v>0</v>
      </c>
      <c r="ZR56" s="0" t="n">
        <v>0</v>
      </c>
      <c r="ZS56" s="0" t="s">
        <v>408</v>
      </c>
      <c r="ZT56" s="0" t="n">
        <v>26</v>
      </c>
      <c r="ZU56" s="16" t="n">
        <v>75.1</v>
      </c>
      <c r="ZV56" s="16" t="n">
        <v>80.4</v>
      </c>
      <c r="ZW56" s="16" t="n">
        <v>10.7</v>
      </c>
      <c r="ZX56" s="0" t="n">
        <v>76.38</v>
      </c>
      <c r="ZY56" s="0" t="n">
        <v>22.5</v>
      </c>
      <c r="ZZ56" s="0" t="n">
        <v>1.12</v>
      </c>
      <c r="AAA56" s="0" t="n">
        <v>0</v>
      </c>
      <c r="AAB56" s="0" t="n">
        <v>0</v>
      </c>
      <c r="AAC56" s="0" t="n">
        <v>0</v>
      </c>
      <c r="AAD56" s="0" t="n">
        <v>0</v>
      </c>
      <c r="AAE56" s="0" t="n">
        <v>0</v>
      </c>
      <c r="AAF56" s="0" t="n">
        <v>0</v>
      </c>
      <c r="AAG56" s="0" t="n">
        <v>0</v>
      </c>
      <c r="AAH56" s="0" t="n">
        <v>0</v>
      </c>
      <c r="AAI56" s="0" t="n">
        <v>0</v>
      </c>
      <c r="AAJ56" s="0" t="n">
        <v>10.84</v>
      </c>
      <c r="AAK56" s="0" t="n">
        <v>26.14</v>
      </c>
      <c r="AAL56" s="0" t="n">
        <v>0</v>
      </c>
      <c r="AAM56" s="0" t="n">
        <v>0</v>
      </c>
      <c r="AAN56" s="0" t="n">
        <v>0</v>
      </c>
      <c r="AAO56" s="0" t="n">
        <v>0</v>
      </c>
      <c r="ABB56" s="0" t="n">
        <v>2.5</v>
      </c>
      <c r="ABC56" s="0" t="n">
        <v>1</v>
      </c>
      <c r="ABD56" s="0" t="n">
        <v>68</v>
      </c>
      <c r="ABE56" s="0" t="n">
        <v>1</v>
      </c>
      <c r="ABF56" s="0" t="n">
        <f aca="false">1.34</f>
        <v>1.34</v>
      </c>
      <c r="ABG56" s="0" t="n">
        <v>1</v>
      </c>
      <c r="ABH56" s="0" t="n">
        <v>52</v>
      </c>
      <c r="ABI56" s="0" t="n">
        <v>2</v>
      </c>
      <c r="ABJ56" s="0" t="n">
        <v>0.45</v>
      </c>
      <c r="ABK56" s="0" t="n">
        <v>2</v>
      </c>
      <c r="ABN56" s="18"/>
      <c r="ACF56" s="0" t="n">
        <v>0</v>
      </c>
      <c r="ADQ56" s="16" t="n">
        <v>1.21</v>
      </c>
      <c r="ADR56" s="16" t="n">
        <v>1</v>
      </c>
      <c r="ADS56" s="16" t="n">
        <v>2</v>
      </c>
      <c r="ADT56" s="16"/>
      <c r="ADU56" s="16" t="n">
        <v>4.04</v>
      </c>
      <c r="ADV56" s="16"/>
      <c r="ADW56" s="16"/>
      <c r="ADX56" s="16"/>
      <c r="ADY56" s="16"/>
      <c r="ADZ56" s="16"/>
      <c r="AEA56" s="16"/>
      <c r="AEB56" s="16" t="n">
        <v>11.17</v>
      </c>
      <c r="AEC56" s="16" t="n">
        <v>19.84</v>
      </c>
      <c r="AED56" s="16"/>
      <c r="AEE56" s="16"/>
      <c r="AEF56" s="16" t="n">
        <v>0</v>
      </c>
      <c r="AEG56" s="16" t="n">
        <v>0</v>
      </c>
      <c r="AEH56" s="16" t="n">
        <v>0</v>
      </c>
      <c r="AEI56" s="0" t="n">
        <v>0</v>
      </c>
      <c r="AEJ56" s="0" t="s">
        <v>409</v>
      </c>
      <c r="AEK56" s="0" t="n">
        <v>23</v>
      </c>
      <c r="AEL56" s="16" t="n">
        <v>90.8</v>
      </c>
      <c r="AEM56" s="16" t="n">
        <v>80.4</v>
      </c>
      <c r="AEN56" s="16" t="n">
        <v>11.6</v>
      </c>
      <c r="AEO56" s="0" t="n">
        <v>71.46</v>
      </c>
      <c r="AEP56" s="0" t="n">
        <v>27.42</v>
      </c>
      <c r="AEQ56" s="0" t="n">
        <v>1.12</v>
      </c>
      <c r="AER56" s="0" t="n">
        <v>0</v>
      </c>
      <c r="AES56" s="0" t="n">
        <v>0</v>
      </c>
      <c r="AET56" s="0" t="n">
        <v>0</v>
      </c>
      <c r="AEU56" s="0" t="n">
        <v>0</v>
      </c>
      <c r="AEV56" s="0" t="n">
        <v>0</v>
      </c>
      <c r="AEW56" s="0" t="n">
        <v>0</v>
      </c>
      <c r="AEX56" s="0" t="n">
        <v>0</v>
      </c>
      <c r="AEY56" s="0" t="n">
        <v>0</v>
      </c>
      <c r="AEZ56" s="0" t="n">
        <v>0</v>
      </c>
      <c r="AFA56" s="0" t="n">
        <v>11.58</v>
      </c>
      <c r="AFB56" s="0" t="n">
        <v>41.25</v>
      </c>
      <c r="AFC56" s="0" t="n">
        <v>0</v>
      </c>
      <c r="AFD56" s="0" t="n">
        <v>0</v>
      </c>
      <c r="AFE56" s="0" t="n">
        <v>0</v>
      </c>
      <c r="AFF56" s="0" t="n">
        <v>0</v>
      </c>
      <c r="AFS56" s="0" t="n">
        <v>1.7</v>
      </c>
      <c r="AFT56" s="0" t="n">
        <v>1</v>
      </c>
      <c r="AFU56" s="0" t="n">
        <v>35</v>
      </c>
      <c r="AFV56" s="0" t="n">
        <v>1</v>
      </c>
      <c r="AFW56" s="0" t="n">
        <v>0.05</v>
      </c>
      <c r="AFX56" s="0" t="n">
        <v>3</v>
      </c>
      <c r="AFY56" s="0" t="n">
        <v>103</v>
      </c>
      <c r="AFZ56" s="0" t="n">
        <v>5</v>
      </c>
      <c r="AGA56" s="0" t="n">
        <v>0.25</v>
      </c>
      <c r="AGB56" s="0" t="n">
        <v>1</v>
      </c>
      <c r="AGC56" s="0" t="n">
        <v>68</v>
      </c>
      <c r="AGD56" s="0" t="n">
        <v>4</v>
      </c>
      <c r="AGE56" s="18" t="n">
        <v>0.26</v>
      </c>
      <c r="AGF56" s="0" t="n">
        <v>1</v>
      </c>
      <c r="AGG56" s="0" t="n">
        <v>52</v>
      </c>
      <c r="AGH56" s="0" t="n">
        <v>4</v>
      </c>
      <c r="AGI56" s="0" t="n">
        <f aca="false">0.09+0.05+0.04</f>
        <v>0.18</v>
      </c>
      <c r="AGJ56" s="0" t="n">
        <v>2</v>
      </c>
      <c r="AGW56" s="0" t="n">
        <v>0</v>
      </c>
      <c r="AIH56" s="16" t="n">
        <v>0.04</v>
      </c>
      <c r="AII56" s="16" t="n">
        <v>1</v>
      </c>
      <c r="AIJ56" s="16" t="n">
        <v>1</v>
      </c>
      <c r="AIK56" s="16"/>
      <c r="AIL56" s="16" t="n">
        <v>0.13</v>
      </c>
      <c r="AIM56" s="16"/>
      <c r="AIN56" s="16"/>
      <c r="AIO56" s="16"/>
      <c r="AIP56" s="16"/>
      <c r="AIQ56" s="16"/>
      <c r="AIR56" s="16"/>
      <c r="AIS56" s="16" t="n">
        <v>9.52</v>
      </c>
      <c r="AIT56" s="16" t="n">
        <v>21.65</v>
      </c>
      <c r="AIU56" s="16"/>
      <c r="AIV56" s="16"/>
      <c r="AIW56" s="16" t="n">
        <v>0</v>
      </c>
      <c r="AIX56" s="16" t="n">
        <v>0</v>
      </c>
      <c r="AIY56" s="16" t="n">
        <v>0</v>
      </c>
      <c r="AIZ56" s="0" t="n">
        <v>0</v>
      </c>
      <c r="AJA56" s="15"/>
      <c r="AJB56" s="15"/>
      <c r="AJI56" s="15"/>
      <c r="AJJ56" s="15"/>
      <c r="AJQ56" s="15"/>
      <c r="AJR56" s="15"/>
      <c r="AJY56" s="15"/>
      <c r="AJZ56" s="15"/>
      <c r="AKG56" s="15"/>
      <c r="AKH56" s="15"/>
      <c r="AKO56" s="15"/>
      <c r="AKP56" s="15"/>
      <c r="AKW56" s="15"/>
      <c r="AKX56" s="15"/>
      <c r="ALE56" s="15"/>
      <c r="ALF56" s="15"/>
      <c r="ALM56" s="15"/>
      <c r="ALN56" s="15"/>
      <c r="ALU56" s="15"/>
      <c r="ALV56" s="15"/>
      <c r="AMC56" s="15"/>
      <c r="AMD56" s="15"/>
    </row>
    <row r="57" customFormat="false" ht="13.8" hidden="false" customHeight="false" outlineLevel="0" collapsed="false">
      <c r="A57" s="1" t="s">
        <v>413</v>
      </c>
      <c r="B57" s="12" t="n">
        <v>42902</v>
      </c>
      <c r="C57" s="0" t="n">
        <v>1</v>
      </c>
      <c r="D57" s="13" t="n">
        <v>40513</v>
      </c>
      <c r="E57" s="12" t="n">
        <v>25531</v>
      </c>
      <c r="F57" s="14" t="n">
        <f aca="false">(B57-E57)/365.25</f>
        <v>47.5592060232717</v>
      </c>
      <c r="G57" s="14" t="n">
        <f aca="false">(B57-D57)/365.25</f>
        <v>6.54072553045859</v>
      </c>
      <c r="H57" s="15" t="s">
        <v>217</v>
      </c>
      <c r="I57" s="15" t="s">
        <v>402</v>
      </c>
      <c r="J57" s="21" t="s">
        <v>181</v>
      </c>
      <c r="K57" s="21" t="n">
        <v>8</v>
      </c>
      <c r="L57" s="19" t="n">
        <v>75</v>
      </c>
      <c r="M57" s="0" t="n">
        <v>1.68</v>
      </c>
      <c r="N57" s="16" t="n">
        <f aca="false">L57/(M57*M57)</f>
        <v>26.5731292517007</v>
      </c>
      <c r="O57" s="19" t="n">
        <v>0</v>
      </c>
      <c r="P57" s="19" t="n">
        <v>0</v>
      </c>
      <c r="Q57" s="19" t="n">
        <v>0</v>
      </c>
      <c r="R57" s="19" t="n">
        <v>0</v>
      </c>
      <c r="S57" s="19" t="n">
        <v>0</v>
      </c>
      <c r="T57" s="19" t="n">
        <v>0</v>
      </c>
      <c r="U57" s="19" t="n">
        <v>0</v>
      </c>
      <c r="V57" s="19" t="n">
        <v>0</v>
      </c>
      <c r="W57" s="19" t="n">
        <v>1</v>
      </c>
      <c r="X57" s="19" t="n">
        <v>0</v>
      </c>
      <c r="Y57" s="19" t="n">
        <v>1</v>
      </c>
      <c r="Z57" s="19" t="n">
        <v>2</v>
      </c>
      <c r="AA57" s="19" t="n">
        <v>120</v>
      </c>
      <c r="AB57" s="19" t="s">
        <v>308</v>
      </c>
      <c r="AC57" s="19" t="n">
        <v>0</v>
      </c>
      <c r="AD57" s="19" t="n">
        <v>0</v>
      </c>
      <c r="AE57" s="19" t="n">
        <v>0</v>
      </c>
      <c r="AF57" s="19" t="n">
        <v>0</v>
      </c>
      <c r="AG57" s="19" t="n">
        <v>0</v>
      </c>
      <c r="AH57" s="19" t="n">
        <v>0</v>
      </c>
      <c r="AI57" s="19" t="n">
        <v>0</v>
      </c>
      <c r="AJ57" s="19" t="n">
        <v>0</v>
      </c>
      <c r="AK57" s="19" t="n">
        <v>0</v>
      </c>
      <c r="AL57" s="19" t="n">
        <v>0</v>
      </c>
      <c r="AM57" s="19" t="n">
        <v>0</v>
      </c>
      <c r="AN57" s="19" t="n">
        <v>3</v>
      </c>
      <c r="AO57" s="19" t="n">
        <v>3</v>
      </c>
      <c r="AP57" s="19" t="n">
        <v>3</v>
      </c>
      <c r="AQ57" s="19" t="n">
        <v>10</v>
      </c>
      <c r="AR57" s="19" t="n">
        <v>7</v>
      </c>
      <c r="AS57" s="19" t="n">
        <v>0</v>
      </c>
      <c r="AT57" s="19" t="n">
        <v>0</v>
      </c>
      <c r="AU57" s="19" t="n">
        <v>0</v>
      </c>
      <c r="AV57" s="19" t="n">
        <v>0</v>
      </c>
      <c r="AW57" s="19" t="n">
        <v>0</v>
      </c>
      <c r="AX57" s="19" t="n">
        <v>0</v>
      </c>
      <c r="AY57" s="19" t="n">
        <v>0</v>
      </c>
      <c r="AZ57" s="19" t="n">
        <v>0</v>
      </c>
      <c r="BA57" s="19" t="n">
        <v>0</v>
      </c>
      <c r="BB57" s="19" t="n">
        <v>1</v>
      </c>
      <c r="BC57" s="19" t="n">
        <v>1</v>
      </c>
      <c r="BD57" s="19" t="n">
        <v>0</v>
      </c>
      <c r="BE57" s="19" t="n">
        <v>0</v>
      </c>
      <c r="BF57" s="19" t="n">
        <v>1</v>
      </c>
      <c r="BG57" s="19" t="n">
        <v>1</v>
      </c>
      <c r="BH57" s="19" t="n">
        <v>0</v>
      </c>
      <c r="BI57" s="19" t="n">
        <v>0</v>
      </c>
      <c r="BJ57" s="19" t="n">
        <v>1</v>
      </c>
      <c r="BK57" s="19" t="n">
        <v>1</v>
      </c>
      <c r="BL57" s="19" t="n">
        <v>1</v>
      </c>
      <c r="BM57" s="19" t="n">
        <v>5</v>
      </c>
      <c r="BN57" s="19" t="n">
        <v>0</v>
      </c>
      <c r="BO57" s="19" t="n">
        <v>0</v>
      </c>
      <c r="BP57" s="19" t="n">
        <v>0</v>
      </c>
      <c r="BQ57" s="19" t="n">
        <v>0</v>
      </c>
      <c r="BR57" s="19" t="n">
        <v>2</v>
      </c>
      <c r="BS57" s="19" t="n">
        <v>1</v>
      </c>
      <c r="BT57" s="19" t="n">
        <v>5</v>
      </c>
      <c r="BU57" s="19" t="n">
        <v>5</v>
      </c>
      <c r="BV57" s="19" t="n">
        <v>3</v>
      </c>
      <c r="BW57" s="19" t="n">
        <v>4</v>
      </c>
      <c r="BX57" s="19" t="n">
        <v>4</v>
      </c>
      <c r="BY57" s="19" t="n">
        <v>3</v>
      </c>
      <c r="BZ57" s="19" t="n">
        <v>3</v>
      </c>
      <c r="CA57" s="19" t="n">
        <v>3</v>
      </c>
      <c r="CB57" s="19" t="n">
        <v>4</v>
      </c>
      <c r="CC57" s="19" t="n">
        <v>5</v>
      </c>
      <c r="CD57" s="19" t="n">
        <v>3</v>
      </c>
      <c r="CE57" s="19" t="n">
        <v>4</v>
      </c>
      <c r="CF57" s="19" t="n">
        <v>3</v>
      </c>
      <c r="CG57" s="19" t="n">
        <v>5</v>
      </c>
      <c r="CH57" s="19" t="n">
        <v>3</v>
      </c>
      <c r="CI57" s="19" t="n">
        <v>4</v>
      </c>
      <c r="CJ57" s="19" t="n">
        <v>4</v>
      </c>
      <c r="CK57" s="19" t="n">
        <v>10</v>
      </c>
      <c r="CL57" s="0" t="s">
        <v>414</v>
      </c>
      <c r="CM57" s="0" t="n">
        <v>21.5</v>
      </c>
      <c r="CN57" s="16" t="n">
        <v>78.4</v>
      </c>
      <c r="CO57" s="16" t="n">
        <v>80.4</v>
      </c>
      <c r="CP57" s="16" t="n">
        <v>9.6</v>
      </c>
      <c r="CQ57" s="0" t="n">
        <v>84.68</v>
      </c>
      <c r="CR57" s="0" t="n">
        <v>14.18</v>
      </c>
      <c r="CS57" s="0" t="n">
        <v>1.12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9.51</v>
      </c>
      <c r="DD57" s="0" t="n">
        <v>25.42</v>
      </c>
      <c r="DE57" s="0" t="n">
        <v>0</v>
      </c>
      <c r="DF57" s="0" t="n">
        <v>0</v>
      </c>
      <c r="DG57" s="0" t="n">
        <v>0</v>
      </c>
      <c r="DH57" s="0" t="n">
        <v>2</v>
      </c>
      <c r="DI57" s="0" t="n">
        <v>5</v>
      </c>
      <c r="DO57" s="0" t="n">
        <v>5</v>
      </c>
      <c r="DU57" s="0" t="n">
        <v>3.2</v>
      </c>
      <c r="DV57" s="0" t="n">
        <v>1</v>
      </c>
      <c r="DW57" s="0" t="n">
        <v>52</v>
      </c>
      <c r="DX57" s="0" t="n">
        <v>3</v>
      </c>
      <c r="DY57" s="0" t="n">
        <f aca="false">0.07+0.76</f>
        <v>0.83</v>
      </c>
      <c r="DZ57" s="0" t="n">
        <v>2</v>
      </c>
      <c r="EA57" s="0" t="n">
        <v>103</v>
      </c>
      <c r="EB57" s="0" t="n">
        <v>3</v>
      </c>
      <c r="EC57" s="0" t="n">
        <f aca="false">0.36+0.34</f>
        <v>0.7</v>
      </c>
      <c r="ED57" s="0" t="n">
        <v>1</v>
      </c>
      <c r="EE57" s="0" t="n">
        <v>68</v>
      </c>
      <c r="EF57" s="0" t="n">
        <v>2</v>
      </c>
      <c r="EG57" s="18" t="n">
        <f aca="false">0.24</f>
        <v>0.24</v>
      </c>
      <c r="EH57" s="0" t="n">
        <v>1</v>
      </c>
      <c r="EI57" s="0" t="n">
        <v>34</v>
      </c>
      <c r="EJ57" s="0" t="n">
        <v>2</v>
      </c>
      <c r="EK57" s="0" t="n">
        <f aca="false">0.24</f>
        <v>0.24</v>
      </c>
      <c r="EL57" s="0" t="n">
        <v>1</v>
      </c>
      <c r="EY57" s="0" t="n">
        <v>0</v>
      </c>
      <c r="GJ57" s="16" t="n">
        <v>0.36</v>
      </c>
      <c r="GK57" s="16" t="n">
        <v>1</v>
      </c>
      <c r="GL57" s="16" t="n">
        <v>1</v>
      </c>
      <c r="GM57" s="16"/>
      <c r="GN57" s="16" t="n">
        <v>1.52</v>
      </c>
      <c r="GO57" s="16"/>
      <c r="GP57" s="16"/>
      <c r="GQ57" s="16"/>
      <c r="GR57" s="16"/>
      <c r="GS57" s="16"/>
      <c r="GT57" s="16"/>
      <c r="GU57" s="16" t="n">
        <v>8.32</v>
      </c>
      <c r="GV57" s="16" t="n">
        <v>8.31</v>
      </c>
      <c r="GW57" s="16"/>
      <c r="GX57" s="16"/>
      <c r="GY57" s="16" t="n">
        <v>0</v>
      </c>
      <c r="GZ57" s="16" t="n">
        <v>0</v>
      </c>
      <c r="HA57" s="16" t="n">
        <v>0</v>
      </c>
      <c r="HB57" s="0" t="n">
        <v>0</v>
      </c>
      <c r="HC57" s="0" t="s">
        <v>404</v>
      </c>
      <c r="HD57" s="0" t="n">
        <v>50.5</v>
      </c>
      <c r="HE57" s="16" t="n">
        <v>95.8</v>
      </c>
      <c r="HF57" s="16" t="n">
        <v>80.4</v>
      </c>
      <c r="HG57" s="16" t="n">
        <v>22.6</v>
      </c>
      <c r="HH57" s="0" t="n">
        <v>70.65</v>
      </c>
      <c r="HI57" s="0" t="n">
        <v>13.02</v>
      </c>
      <c r="HJ57" s="0" t="n">
        <v>16.33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3.81</v>
      </c>
      <c r="HU57" s="0" t="n">
        <v>53.36</v>
      </c>
      <c r="HV57" s="0" t="n">
        <v>0</v>
      </c>
      <c r="HW57" s="0" t="n">
        <v>0</v>
      </c>
      <c r="HX57" s="0" t="n">
        <v>7.8</v>
      </c>
      <c r="HY57" s="0" t="n">
        <v>2</v>
      </c>
      <c r="HZ57" s="0" t="n">
        <v>10</v>
      </c>
      <c r="IA57" s="0" t="n">
        <v>2.69</v>
      </c>
      <c r="IF57" s="0" t="n">
        <v>10</v>
      </c>
      <c r="IG57" s="0" t="n">
        <v>2.69</v>
      </c>
      <c r="IL57" s="0" t="n">
        <v>0</v>
      </c>
      <c r="IM57" s="0" t="n">
        <v>0</v>
      </c>
      <c r="IX57" s="18"/>
      <c r="JP57" s="0" t="n">
        <v>0</v>
      </c>
      <c r="LA57" s="16" t="n">
        <v>10.02</v>
      </c>
      <c r="LB57" s="16" t="n">
        <v>1</v>
      </c>
      <c r="LC57" s="16" t="n">
        <v>2</v>
      </c>
      <c r="LD57" s="16"/>
      <c r="LE57" s="16" t="n">
        <f aca="false">0.05*4+0.33*4+1.5*4+0.76*4+1.14*4</f>
        <v>15.12</v>
      </c>
      <c r="LF57" s="16"/>
      <c r="LG57" s="16"/>
      <c r="LH57" s="16"/>
      <c r="LI57" s="16"/>
      <c r="LJ57" s="16"/>
      <c r="LK57" s="16"/>
      <c r="LL57" s="16" t="n">
        <v>9.92</v>
      </c>
      <c r="LM57" s="16" t="n">
        <v>20.94</v>
      </c>
      <c r="LN57" s="16"/>
      <c r="LO57" s="16"/>
      <c r="LP57" s="16" t="n">
        <v>0</v>
      </c>
      <c r="LQ57" s="16" t="n">
        <v>0</v>
      </c>
      <c r="LR57" s="16" t="n">
        <v>0</v>
      </c>
      <c r="LS57" s="0" t="n">
        <v>0</v>
      </c>
      <c r="LT57" s="0" t="s">
        <v>415</v>
      </c>
      <c r="LU57" s="0" t="n">
        <v>57.5</v>
      </c>
      <c r="LV57" s="16" t="n">
        <v>93.3</v>
      </c>
      <c r="LW57" s="16" t="n">
        <v>80.4</v>
      </c>
      <c r="LX57" s="16" t="n">
        <v>37.2</v>
      </c>
      <c r="LY57" s="0" t="n">
        <v>37.4</v>
      </c>
      <c r="LZ57" s="0" t="n">
        <v>31.73</v>
      </c>
      <c r="MA57" s="0" t="n">
        <v>29.89</v>
      </c>
      <c r="MB57" s="0" t="n">
        <v>0</v>
      </c>
      <c r="MC57" s="0" t="n">
        <v>0.98</v>
      </c>
      <c r="MD57" s="0" t="n">
        <v>0</v>
      </c>
      <c r="ME57" s="0" t="n">
        <v>0</v>
      </c>
      <c r="MF57" s="0" t="n">
        <v>0</v>
      </c>
      <c r="MG57" s="0" t="n">
        <v>0</v>
      </c>
      <c r="MH57" s="0" t="n">
        <v>0</v>
      </c>
      <c r="MI57" s="0" t="n">
        <v>0</v>
      </c>
      <c r="MJ57" s="0" t="n">
        <v>0</v>
      </c>
      <c r="MK57" s="0" t="n">
        <v>21.26</v>
      </c>
      <c r="ML57" s="0" t="n">
        <v>57.4</v>
      </c>
      <c r="MM57" s="0" t="n">
        <v>0</v>
      </c>
      <c r="MN57" s="0" t="n">
        <v>0</v>
      </c>
      <c r="MO57" s="0" t="n">
        <v>0</v>
      </c>
      <c r="MP57" s="0" t="n">
        <v>0</v>
      </c>
      <c r="NC57" s="0" t="n">
        <v>2.3</v>
      </c>
      <c r="ND57" s="0" t="n">
        <v>1</v>
      </c>
      <c r="NE57" s="0" t="n">
        <v>35</v>
      </c>
      <c r="NF57" s="0" t="n">
        <v>1</v>
      </c>
      <c r="NG57" s="0" t="n">
        <v>0.49</v>
      </c>
      <c r="NH57" s="0" t="n">
        <v>3</v>
      </c>
      <c r="NO57" s="18"/>
      <c r="OG57" s="0" t="n">
        <v>0</v>
      </c>
      <c r="PR57" s="16" t="n">
        <v>2.91</v>
      </c>
      <c r="PS57" s="16" t="n">
        <v>1</v>
      </c>
      <c r="PT57" s="16" t="n">
        <v>1</v>
      </c>
      <c r="PU57" s="16"/>
      <c r="PV57" s="16" t="n">
        <f aca="false">2.49+0.21+0.47*2+2.49+0.26+0.53+0.01+4.77+14.32+1.53+3.06+0.13</f>
        <v>30.74</v>
      </c>
      <c r="PW57" s="16"/>
      <c r="PX57" s="16"/>
      <c r="PY57" s="16"/>
      <c r="PZ57" s="16"/>
      <c r="QA57" s="16"/>
      <c r="QB57" s="16"/>
      <c r="QC57" s="16" t="n">
        <v>14.81</v>
      </c>
      <c r="QD57" s="16" t="n">
        <v>52.45</v>
      </c>
      <c r="QE57" s="16"/>
      <c r="QF57" s="16"/>
      <c r="QG57" s="16" t="n">
        <v>0</v>
      </c>
      <c r="QH57" s="16" t="n">
        <v>0</v>
      </c>
      <c r="QI57" s="16" t="n">
        <v>0</v>
      </c>
      <c r="QJ57" s="0" t="n">
        <v>0</v>
      </c>
      <c r="QK57" s="0" t="s">
        <v>406</v>
      </c>
      <c r="QL57" s="0" t="n">
        <v>12.5</v>
      </c>
      <c r="QM57" s="16" t="n">
        <v>69.9</v>
      </c>
      <c r="QN57" s="16" t="n">
        <v>80.4</v>
      </c>
      <c r="QO57" s="16" t="n">
        <v>9</v>
      </c>
      <c r="QP57" s="0" t="n">
        <v>90.9</v>
      </c>
      <c r="QQ57" s="0" t="n">
        <v>7.98</v>
      </c>
      <c r="QR57" s="0" t="n">
        <v>1.12</v>
      </c>
      <c r="QS57" s="0" t="n">
        <v>4.56</v>
      </c>
      <c r="QT57" s="0" t="n">
        <v>17.67</v>
      </c>
      <c r="QU57" s="0" t="n">
        <v>0</v>
      </c>
      <c r="QV57" s="0" t="n">
        <v>0</v>
      </c>
      <c r="QW57" s="0" t="n">
        <v>0</v>
      </c>
      <c r="QX57" s="0" t="n">
        <v>0</v>
      </c>
      <c r="QY57" s="0" t="n">
        <v>0</v>
      </c>
      <c r="QZ57" s="0" t="n">
        <v>0</v>
      </c>
      <c r="RA57" s="0" t="n">
        <v>0</v>
      </c>
      <c r="RB57" s="0" t="n">
        <v>4.56</v>
      </c>
      <c r="RC57" s="0" t="n">
        <v>17.67</v>
      </c>
      <c r="RD57" s="0" t="n">
        <v>0</v>
      </c>
      <c r="RE57" s="0" t="n">
        <v>0</v>
      </c>
      <c r="RF57" s="0" t="n">
        <v>0</v>
      </c>
      <c r="RG57" s="0" t="n">
        <v>0</v>
      </c>
      <c r="RT57" s="0" t="n">
        <v>0</v>
      </c>
      <c r="RU57" s="0" t="n">
        <v>0</v>
      </c>
      <c r="SF57" s="18"/>
      <c r="SX57" s="0" t="n">
        <v>0</v>
      </c>
      <c r="UI57" s="16" t="n">
        <v>0</v>
      </c>
      <c r="UJ57" s="16" t="n">
        <v>0</v>
      </c>
      <c r="UK57" s="16"/>
      <c r="UL57" s="16"/>
      <c r="UM57" s="16"/>
      <c r="UN57" s="16"/>
      <c r="UO57" s="16"/>
      <c r="UP57" s="16"/>
      <c r="UQ57" s="16"/>
      <c r="UR57" s="16"/>
      <c r="US57" s="16"/>
      <c r="UT57" s="16" t="n">
        <v>3.41</v>
      </c>
      <c r="UU57" s="16" t="n">
        <v>3.41</v>
      </c>
      <c r="UV57" s="16"/>
      <c r="UW57" s="16"/>
      <c r="UX57" s="16" t="n">
        <v>0</v>
      </c>
      <c r="UY57" s="16" t="n">
        <v>0</v>
      </c>
      <c r="UZ57" s="16" t="n">
        <v>0</v>
      </c>
      <c r="VA57" s="0" t="n">
        <v>0</v>
      </c>
      <c r="VB57" s="0" t="s">
        <v>407</v>
      </c>
      <c r="VC57" s="0" t="n">
        <v>17</v>
      </c>
      <c r="VD57" s="16" t="n">
        <v>84.3</v>
      </c>
      <c r="VE57" s="16" t="n">
        <v>80.4</v>
      </c>
      <c r="VF57" s="16" t="n">
        <v>9.8</v>
      </c>
      <c r="VG57" s="0" t="n">
        <v>84.81</v>
      </c>
      <c r="VH57" s="0" t="n">
        <v>14.07</v>
      </c>
      <c r="VI57" s="0" t="n">
        <v>1.12</v>
      </c>
      <c r="VJ57" s="0" t="n">
        <v>0</v>
      </c>
      <c r="VK57" s="0" t="n">
        <v>0</v>
      </c>
      <c r="VL57" s="0" t="n">
        <v>0</v>
      </c>
      <c r="VM57" s="0" t="n">
        <v>0</v>
      </c>
      <c r="VN57" s="0" t="n">
        <v>0</v>
      </c>
      <c r="VO57" s="0" t="n">
        <v>0</v>
      </c>
      <c r="VP57" s="0" t="n">
        <v>0</v>
      </c>
      <c r="VQ57" s="0" t="n">
        <v>0</v>
      </c>
      <c r="VR57" s="0" t="n">
        <v>0</v>
      </c>
      <c r="VS57" s="0" t="n">
        <v>7.34</v>
      </c>
      <c r="VT57" s="0" t="n">
        <v>26.23</v>
      </c>
      <c r="VU57" s="0" t="n">
        <v>0</v>
      </c>
      <c r="VV57" s="0" t="n">
        <v>0</v>
      </c>
      <c r="VW57" s="0" t="n">
        <v>0</v>
      </c>
      <c r="VX57" s="0" t="n">
        <v>0</v>
      </c>
      <c r="WK57" s="0" t="n">
        <v>0</v>
      </c>
      <c r="WL57" s="0" t="n">
        <v>0</v>
      </c>
      <c r="WW57" s="18"/>
      <c r="XO57" s="0" t="n">
        <v>0</v>
      </c>
      <c r="YZ57" s="16" t="n">
        <v>1.51</v>
      </c>
      <c r="ZA57" s="16" t="n">
        <v>1</v>
      </c>
      <c r="ZB57" s="16" t="n">
        <v>2</v>
      </c>
      <c r="ZC57" s="16"/>
      <c r="ZD57" s="16" t="n">
        <f aca="false">0.99+4.04</f>
        <v>5.03</v>
      </c>
      <c r="ZE57" s="16"/>
      <c r="ZF57" s="16"/>
      <c r="ZG57" s="16"/>
      <c r="ZH57" s="16"/>
      <c r="ZI57" s="16"/>
      <c r="ZJ57" s="16"/>
      <c r="ZK57" s="16" t="n">
        <v>5.5</v>
      </c>
      <c r="ZL57" s="16" t="n">
        <v>9.84</v>
      </c>
      <c r="ZM57" s="16"/>
      <c r="ZN57" s="16"/>
      <c r="ZO57" s="16" t="n">
        <v>0</v>
      </c>
      <c r="ZP57" s="16" t="n">
        <v>0</v>
      </c>
      <c r="ZQ57" s="16" t="n">
        <v>0</v>
      </c>
      <c r="ZR57" s="0" t="n">
        <v>0</v>
      </c>
      <c r="ZS57" s="0" t="s">
        <v>416</v>
      </c>
      <c r="ZT57" s="0" t="n">
        <v>26</v>
      </c>
      <c r="ZU57" s="16" t="n">
        <v>75.1</v>
      </c>
      <c r="ZV57" s="16" t="n">
        <v>80.4</v>
      </c>
      <c r="ZW57" s="16" t="n">
        <v>10.7</v>
      </c>
      <c r="ZX57" s="0" t="n">
        <v>76.38</v>
      </c>
      <c r="ZY57" s="0" t="n">
        <v>22.5</v>
      </c>
      <c r="ZZ57" s="0" t="n">
        <v>1.12</v>
      </c>
      <c r="AAA57" s="0" t="n">
        <v>0</v>
      </c>
      <c r="AAB57" s="0" t="n">
        <v>0</v>
      </c>
      <c r="AAC57" s="0" t="n">
        <v>0</v>
      </c>
      <c r="AAD57" s="0" t="n">
        <v>0</v>
      </c>
      <c r="AAE57" s="0" t="n">
        <v>0</v>
      </c>
      <c r="AAF57" s="0" t="n">
        <v>0</v>
      </c>
      <c r="AAG57" s="0" t="n">
        <v>0</v>
      </c>
      <c r="AAH57" s="0" t="n">
        <v>0</v>
      </c>
      <c r="AAI57" s="0" t="n">
        <v>0</v>
      </c>
      <c r="AAJ57" s="0" t="n">
        <v>10.84</v>
      </c>
      <c r="AAK57" s="0" t="n">
        <v>26.14</v>
      </c>
      <c r="AAL57" s="0" t="n">
        <v>0</v>
      </c>
      <c r="AAM57" s="0" t="n">
        <v>0</v>
      </c>
      <c r="AAN57" s="0" t="n">
        <v>0</v>
      </c>
      <c r="AAO57" s="0" t="n">
        <v>0</v>
      </c>
      <c r="ABB57" s="0" t="n">
        <v>2.5</v>
      </c>
      <c r="ABC57" s="0" t="n">
        <v>1</v>
      </c>
      <c r="ABD57" s="0" t="n">
        <v>68</v>
      </c>
      <c r="ABE57" s="0" t="n">
        <v>1</v>
      </c>
      <c r="ABF57" s="0" t="n">
        <f aca="false">1.34</f>
        <v>1.34</v>
      </c>
      <c r="ABG57" s="0" t="n">
        <v>1</v>
      </c>
      <c r="ABH57" s="0" t="n">
        <v>52</v>
      </c>
      <c r="ABI57" s="0" t="n">
        <v>2</v>
      </c>
      <c r="ABJ57" s="0" t="n">
        <v>0.45</v>
      </c>
      <c r="ABK57" s="0" t="n">
        <v>2</v>
      </c>
      <c r="ABN57" s="18"/>
      <c r="ACF57" s="0" t="n">
        <v>0</v>
      </c>
      <c r="ADQ57" s="16" t="n">
        <v>1.21</v>
      </c>
      <c r="ADR57" s="16" t="n">
        <v>1</v>
      </c>
      <c r="ADS57" s="16" t="n">
        <v>2</v>
      </c>
      <c r="ADT57" s="16"/>
      <c r="ADU57" s="16" t="n">
        <v>4.04</v>
      </c>
      <c r="ADV57" s="16"/>
      <c r="ADW57" s="16"/>
      <c r="ADX57" s="16"/>
      <c r="ADY57" s="16"/>
      <c r="ADZ57" s="16"/>
      <c r="AEA57" s="16"/>
      <c r="AEB57" s="16" t="n">
        <v>11.17</v>
      </c>
      <c r="AEC57" s="16" t="n">
        <v>19.84</v>
      </c>
      <c r="AED57" s="16"/>
      <c r="AEE57" s="16"/>
      <c r="AEF57" s="16" t="n">
        <v>0</v>
      </c>
      <c r="AEG57" s="16" t="n">
        <v>0</v>
      </c>
      <c r="AEH57" s="16" t="n">
        <v>0</v>
      </c>
      <c r="AEI57" s="0" t="n">
        <v>0</v>
      </c>
      <c r="AEJ57" s="0" t="s">
        <v>409</v>
      </c>
      <c r="AEK57" s="0" t="n">
        <v>23</v>
      </c>
      <c r="AEL57" s="16" t="n">
        <v>90.8</v>
      </c>
      <c r="AEM57" s="16" t="n">
        <v>80.4</v>
      </c>
      <c r="AEN57" s="16" t="n">
        <v>11.6</v>
      </c>
      <c r="AEO57" s="0" t="n">
        <v>71.46</v>
      </c>
      <c r="AEP57" s="0" t="n">
        <v>27.42</v>
      </c>
      <c r="AEQ57" s="0" t="n">
        <v>1.12</v>
      </c>
      <c r="AER57" s="0" t="n">
        <v>0</v>
      </c>
      <c r="AES57" s="0" t="n">
        <v>0</v>
      </c>
      <c r="AET57" s="0" t="n">
        <v>0</v>
      </c>
      <c r="AEU57" s="0" t="n">
        <v>0</v>
      </c>
      <c r="AEV57" s="0" t="n">
        <v>0</v>
      </c>
      <c r="AEW57" s="0" t="n">
        <v>0</v>
      </c>
      <c r="AEX57" s="0" t="n">
        <v>0</v>
      </c>
      <c r="AEY57" s="0" t="n">
        <v>0</v>
      </c>
      <c r="AEZ57" s="0" t="n">
        <v>0</v>
      </c>
      <c r="AFA57" s="0" t="n">
        <v>11.58</v>
      </c>
      <c r="AFB57" s="0" t="n">
        <v>41.25</v>
      </c>
      <c r="AFC57" s="0" t="n">
        <v>0</v>
      </c>
      <c r="AFD57" s="0" t="n">
        <v>0</v>
      </c>
      <c r="AFE57" s="0" t="n">
        <v>0</v>
      </c>
      <c r="AFF57" s="0" t="n">
        <v>0</v>
      </c>
      <c r="AFS57" s="0" t="n">
        <v>1.7</v>
      </c>
      <c r="AFT57" s="0" t="n">
        <v>1</v>
      </c>
      <c r="AFU57" s="0" t="n">
        <v>35</v>
      </c>
      <c r="AFV57" s="0" t="n">
        <v>1</v>
      </c>
      <c r="AFW57" s="0" t="n">
        <v>0.05</v>
      </c>
      <c r="AFX57" s="0" t="n">
        <v>3</v>
      </c>
      <c r="AFY57" s="0" t="n">
        <v>103</v>
      </c>
      <c r="AFZ57" s="0" t="n">
        <v>5</v>
      </c>
      <c r="AGA57" s="0" t="n">
        <v>0.25</v>
      </c>
      <c r="AGB57" s="0" t="n">
        <v>1</v>
      </c>
      <c r="AGC57" s="0" t="n">
        <v>68</v>
      </c>
      <c r="AGD57" s="0" t="n">
        <v>4</v>
      </c>
      <c r="AGE57" s="18" t="n">
        <v>0.26</v>
      </c>
      <c r="AGF57" s="0" t="n">
        <v>1</v>
      </c>
      <c r="AGG57" s="0" t="n">
        <v>52</v>
      </c>
      <c r="AGH57" s="0" t="n">
        <v>4</v>
      </c>
      <c r="AGI57" s="0" t="n">
        <f aca="false">0.09+0.05+0.04</f>
        <v>0.18</v>
      </c>
      <c r="AGJ57" s="0" t="n">
        <v>2</v>
      </c>
      <c r="AGW57" s="0" t="n">
        <v>0</v>
      </c>
      <c r="AIH57" s="16" t="n">
        <v>0.04</v>
      </c>
      <c r="AII57" s="16" t="n">
        <v>1</v>
      </c>
      <c r="AIJ57" s="16" t="n">
        <v>1</v>
      </c>
      <c r="AIK57" s="16"/>
      <c r="AIL57" s="16" t="n">
        <v>0.13</v>
      </c>
      <c r="AIM57" s="16"/>
      <c r="AIN57" s="16"/>
      <c r="AIO57" s="16"/>
      <c r="AIP57" s="16"/>
      <c r="AIQ57" s="16"/>
      <c r="AIR57" s="16"/>
      <c r="AIS57" s="16" t="n">
        <v>9.52</v>
      </c>
      <c r="AIT57" s="16" t="n">
        <v>21.65</v>
      </c>
      <c r="AIU57" s="16"/>
      <c r="AIV57" s="16"/>
      <c r="AIW57" s="16" t="n">
        <v>0</v>
      </c>
      <c r="AIX57" s="16" t="n">
        <v>0</v>
      </c>
      <c r="AIY57" s="16" t="n">
        <v>0</v>
      </c>
      <c r="AIZ57" s="0" t="n">
        <v>0</v>
      </c>
      <c r="AJA57" s="0" t="s">
        <v>410</v>
      </c>
      <c r="AJB57" s="0" t="n">
        <v>24</v>
      </c>
      <c r="AJC57" s="16" t="n">
        <v>82.9</v>
      </c>
      <c r="AJD57" s="16" t="n">
        <v>80.4</v>
      </c>
      <c r="AJE57" s="16" t="n">
        <v>9.6</v>
      </c>
      <c r="AJF57" s="0" t="n">
        <v>86.23</v>
      </c>
      <c r="AJG57" s="0" t="n">
        <v>11.76</v>
      </c>
      <c r="AJH57" s="0" t="n">
        <v>0</v>
      </c>
      <c r="AJI57" s="0" t="n">
        <v>0</v>
      </c>
      <c r="AJJ57" s="0" t="n">
        <v>1.01</v>
      </c>
      <c r="AJK57" s="0" t="n">
        <v>1.01</v>
      </c>
      <c r="AJL57" s="0" t="n">
        <v>0</v>
      </c>
      <c r="AJM57" s="0" t="n">
        <v>0</v>
      </c>
      <c r="AJN57" s="0" t="n">
        <v>0</v>
      </c>
      <c r="AJO57" s="0" t="n">
        <v>0</v>
      </c>
      <c r="AJP57" s="0" t="n">
        <v>0</v>
      </c>
      <c r="AJQ57" s="0" t="n">
        <v>0</v>
      </c>
      <c r="AJR57" s="0" t="n">
        <v>8.84</v>
      </c>
      <c r="AJS57" s="0" t="n">
        <v>23.37</v>
      </c>
      <c r="AJT57" s="0" t="n">
        <v>0</v>
      </c>
      <c r="AJU57" s="0" t="n">
        <v>0</v>
      </c>
      <c r="AJV57" s="0" t="n">
        <v>0</v>
      </c>
      <c r="AJW57" s="0" t="n">
        <v>0</v>
      </c>
      <c r="AKJ57" s="0" t="n">
        <v>0</v>
      </c>
      <c r="AKK57" s="0" t="n">
        <v>1</v>
      </c>
      <c r="AKL57" s="0" t="n">
        <v>52</v>
      </c>
      <c r="AKM57" s="0" t="n">
        <v>1</v>
      </c>
      <c r="AKN57" s="0" t="n">
        <v>0.02</v>
      </c>
      <c r="AKO57" s="0" t="n">
        <v>2</v>
      </c>
      <c r="AKV57" s="18"/>
      <c r="ALN57" s="0" t="n">
        <v>0</v>
      </c>
    </row>
    <row r="58" customFormat="false" ht="13.8" hidden="false" customHeight="false" outlineLevel="0" collapsed="false">
      <c r="A58" s="1" t="s">
        <v>417</v>
      </c>
      <c r="B58" s="12" t="n">
        <v>42902</v>
      </c>
      <c r="C58" s="0" t="n">
        <v>2</v>
      </c>
      <c r="D58" s="13" t="n">
        <v>35009</v>
      </c>
      <c r="E58" s="12" t="n">
        <v>27524</v>
      </c>
      <c r="F58" s="14" t="n">
        <f aca="false">(B58-E58)/365.25</f>
        <v>42.1026694045175</v>
      </c>
      <c r="G58" s="14" t="n">
        <f aca="false">(B58-D58)/365.25</f>
        <v>21.6098562628337</v>
      </c>
      <c r="H58" s="15" t="s">
        <v>217</v>
      </c>
      <c r="I58" s="15" t="s">
        <v>402</v>
      </c>
      <c r="J58" s="21" t="s">
        <v>181</v>
      </c>
      <c r="K58" s="21" t="n">
        <v>8</v>
      </c>
      <c r="L58" s="19" t="n">
        <v>64</v>
      </c>
      <c r="M58" s="0" t="n">
        <v>1.8</v>
      </c>
      <c r="N58" s="16" t="n">
        <f aca="false">L58/(M58*M58)</f>
        <v>19.7530864197531</v>
      </c>
      <c r="O58" s="19" t="n">
        <v>0</v>
      </c>
      <c r="P58" s="19" t="n">
        <v>0</v>
      </c>
      <c r="Q58" s="19" t="n">
        <v>0</v>
      </c>
      <c r="R58" s="19" t="n">
        <v>0</v>
      </c>
      <c r="S58" s="19" t="n">
        <v>0</v>
      </c>
      <c r="T58" s="19" t="n">
        <v>0</v>
      </c>
      <c r="U58" s="19" t="n">
        <v>0</v>
      </c>
      <c r="V58" s="19" t="n">
        <v>0</v>
      </c>
      <c r="W58" s="19" t="n">
        <v>1</v>
      </c>
      <c r="X58" s="19" t="n">
        <v>1</v>
      </c>
      <c r="Y58" s="19" t="n">
        <v>0</v>
      </c>
      <c r="Z58" s="19" t="n">
        <v>0</v>
      </c>
      <c r="AA58" s="19" t="n">
        <v>0</v>
      </c>
      <c r="AB58" s="19" t="n">
        <v>0</v>
      </c>
      <c r="AC58" s="19" t="n">
        <v>0</v>
      </c>
      <c r="AD58" s="19" t="n">
        <v>0</v>
      </c>
      <c r="AE58" s="19" t="n">
        <v>1</v>
      </c>
      <c r="AF58" s="19" t="n">
        <v>0</v>
      </c>
      <c r="AG58" s="19" t="n">
        <v>1</v>
      </c>
      <c r="AH58" s="19" t="n">
        <v>4</v>
      </c>
      <c r="AI58" s="19" t="n">
        <v>3</v>
      </c>
      <c r="AJ58" s="19" t="n">
        <v>0</v>
      </c>
      <c r="AK58" s="19" t="n">
        <v>3</v>
      </c>
      <c r="AL58" s="19" t="n">
        <v>4</v>
      </c>
      <c r="AM58" s="19" t="n">
        <v>4</v>
      </c>
      <c r="AN58" s="19" t="n">
        <v>0</v>
      </c>
      <c r="AO58" s="19" t="n">
        <v>0</v>
      </c>
      <c r="AP58" s="19" t="n">
        <v>0</v>
      </c>
      <c r="AQ58" s="19" t="n">
        <v>0</v>
      </c>
      <c r="AR58" s="19" t="n">
        <v>0</v>
      </c>
      <c r="AS58" s="19" t="n">
        <v>3</v>
      </c>
      <c r="AT58" s="19" t="n">
        <v>3</v>
      </c>
      <c r="AU58" s="19" t="n">
        <v>1</v>
      </c>
      <c r="AV58" s="19" t="n">
        <v>6</v>
      </c>
      <c r="AW58" s="19"/>
      <c r="AX58" s="19" t="n">
        <v>0</v>
      </c>
      <c r="AY58" s="19" t="n">
        <v>0</v>
      </c>
      <c r="AZ58" s="19" t="n">
        <v>0</v>
      </c>
      <c r="BA58" s="19" t="n">
        <v>0</v>
      </c>
      <c r="BB58" s="19" t="n">
        <v>1</v>
      </c>
      <c r="BC58" s="19" t="n">
        <v>1</v>
      </c>
      <c r="BD58" s="19" t="n">
        <v>1</v>
      </c>
      <c r="BE58" s="19" t="n">
        <v>9</v>
      </c>
      <c r="BF58" s="19" t="n">
        <v>0</v>
      </c>
      <c r="BG58" s="19" t="n">
        <v>0</v>
      </c>
      <c r="BH58" s="19" t="n">
        <v>0</v>
      </c>
      <c r="BI58" s="19" t="n">
        <v>0</v>
      </c>
      <c r="BJ58" s="19" t="n">
        <v>1</v>
      </c>
      <c r="BK58" s="19" t="n">
        <v>1</v>
      </c>
      <c r="BL58" s="19" t="n">
        <v>1</v>
      </c>
      <c r="BM58" s="19" t="n">
        <v>7</v>
      </c>
      <c r="BN58" s="19" t="n">
        <v>1</v>
      </c>
      <c r="BO58" s="19" t="n">
        <v>0</v>
      </c>
      <c r="BP58" s="19" t="n">
        <v>0</v>
      </c>
      <c r="BQ58" s="19" t="n">
        <v>0</v>
      </c>
      <c r="BR58" s="19" t="n">
        <v>3</v>
      </c>
      <c r="BS58" s="19" t="n">
        <v>3</v>
      </c>
      <c r="BT58" s="19" t="n">
        <v>4</v>
      </c>
      <c r="BU58" s="19" t="n">
        <v>5</v>
      </c>
      <c r="BV58" s="19" t="n">
        <v>3</v>
      </c>
      <c r="BW58" s="19" t="n">
        <v>2</v>
      </c>
      <c r="BX58" s="19" t="n">
        <v>2</v>
      </c>
      <c r="BY58" s="19" t="n">
        <v>2</v>
      </c>
      <c r="BZ58" s="19" t="n">
        <v>3</v>
      </c>
      <c r="CA58" s="19" t="n">
        <v>3</v>
      </c>
      <c r="CB58" s="19" t="n">
        <v>4</v>
      </c>
      <c r="CC58" s="19" t="n">
        <v>4</v>
      </c>
      <c r="CD58" s="19" t="n">
        <v>3</v>
      </c>
      <c r="CE58" s="19" t="n">
        <v>3</v>
      </c>
      <c r="CF58" s="19" t="n">
        <v>4</v>
      </c>
      <c r="CG58" s="19" t="n">
        <v>4</v>
      </c>
      <c r="CH58" s="19" t="n">
        <v>4</v>
      </c>
      <c r="CI58" s="19" t="n">
        <v>4</v>
      </c>
      <c r="CJ58" s="19" t="n">
        <v>2</v>
      </c>
      <c r="CK58" s="19" t="n">
        <v>8</v>
      </c>
      <c r="CL58" s="0" t="s">
        <v>403</v>
      </c>
      <c r="CM58" s="0" t="n">
        <v>21.5</v>
      </c>
      <c r="CN58" s="16" t="n">
        <v>78.4</v>
      </c>
      <c r="CO58" s="16" t="n">
        <v>80.4</v>
      </c>
      <c r="CP58" s="16" t="n">
        <v>9.6</v>
      </c>
      <c r="CQ58" s="0" t="n">
        <v>84.68</v>
      </c>
      <c r="CR58" s="0" t="n">
        <v>14.18</v>
      </c>
      <c r="CS58" s="0" t="n">
        <v>1.12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9.51</v>
      </c>
      <c r="DD58" s="0" t="n">
        <v>25.42</v>
      </c>
      <c r="DE58" s="0" t="n">
        <v>0</v>
      </c>
      <c r="DF58" s="0" t="n">
        <v>0</v>
      </c>
      <c r="DG58" s="0" t="n">
        <v>0</v>
      </c>
      <c r="DH58" s="0" t="n">
        <v>2</v>
      </c>
      <c r="DI58" s="0" t="n">
        <v>5</v>
      </c>
      <c r="DO58" s="0" t="n">
        <v>5</v>
      </c>
      <c r="DU58" s="0" t="n">
        <v>3.2</v>
      </c>
      <c r="DV58" s="0" t="n">
        <v>1</v>
      </c>
      <c r="DW58" s="0" t="n">
        <v>52</v>
      </c>
      <c r="DX58" s="0" t="n">
        <v>3</v>
      </c>
      <c r="DY58" s="0" t="n">
        <f aca="false">0.07+0.76</f>
        <v>0.83</v>
      </c>
      <c r="DZ58" s="0" t="n">
        <v>2</v>
      </c>
      <c r="EA58" s="0" t="n">
        <v>103</v>
      </c>
      <c r="EB58" s="0" t="n">
        <v>3</v>
      </c>
      <c r="EC58" s="0" t="n">
        <f aca="false">0.36+0.34</f>
        <v>0.7</v>
      </c>
      <c r="ED58" s="0" t="n">
        <v>1</v>
      </c>
      <c r="EE58" s="0" t="n">
        <v>68</v>
      </c>
      <c r="EF58" s="0" t="n">
        <v>2</v>
      </c>
      <c r="EG58" s="18" t="n">
        <f aca="false">0.24</f>
        <v>0.24</v>
      </c>
      <c r="EH58" s="0" t="n">
        <v>1</v>
      </c>
      <c r="EI58" s="0" t="n">
        <v>34</v>
      </c>
      <c r="EJ58" s="0" t="n">
        <v>2</v>
      </c>
      <c r="EK58" s="0" t="n">
        <f aca="false">0.24</f>
        <v>0.24</v>
      </c>
      <c r="EL58" s="0" t="n">
        <v>1</v>
      </c>
      <c r="EY58" s="0" t="n">
        <v>0</v>
      </c>
      <c r="GJ58" s="16" t="n">
        <v>0.36</v>
      </c>
      <c r="GK58" s="16" t="n">
        <v>1</v>
      </c>
      <c r="GL58" s="16" t="n">
        <v>1</v>
      </c>
      <c r="GM58" s="16"/>
      <c r="GN58" s="16" t="n">
        <v>1.52</v>
      </c>
      <c r="GO58" s="16"/>
      <c r="GP58" s="16"/>
      <c r="GQ58" s="16"/>
      <c r="GR58" s="16"/>
      <c r="GS58" s="16"/>
      <c r="GT58" s="16"/>
      <c r="GU58" s="16" t="n">
        <v>8.32</v>
      </c>
      <c r="GV58" s="16" t="n">
        <v>8.31</v>
      </c>
      <c r="GW58" s="16"/>
      <c r="GX58" s="16"/>
      <c r="GY58" s="16" t="n">
        <v>0</v>
      </c>
      <c r="GZ58" s="16" t="n">
        <v>0</v>
      </c>
      <c r="HA58" s="16" t="n">
        <v>0</v>
      </c>
      <c r="HB58" s="0" t="n">
        <v>0</v>
      </c>
      <c r="HC58" s="0" t="s">
        <v>404</v>
      </c>
      <c r="HD58" s="0" t="n">
        <v>50.5</v>
      </c>
      <c r="HE58" s="16" t="n">
        <v>95.8</v>
      </c>
      <c r="HF58" s="16" t="n">
        <v>80.4</v>
      </c>
      <c r="HG58" s="16" t="n">
        <v>22.6</v>
      </c>
      <c r="HH58" s="0" t="n">
        <v>70.65</v>
      </c>
      <c r="HI58" s="0" t="n">
        <v>13.02</v>
      </c>
      <c r="HJ58" s="0" t="n">
        <v>16.33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3.81</v>
      </c>
      <c r="HU58" s="0" t="n">
        <v>53.36</v>
      </c>
      <c r="HV58" s="0" t="n">
        <v>0</v>
      </c>
      <c r="HW58" s="0" t="n">
        <v>0</v>
      </c>
      <c r="HX58" s="0" t="n">
        <v>7.8</v>
      </c>
      <c r="HY58" s="0" t="n">
        <v>2</v>
      </c>
      <c r="HZ58" s="0" t="n">
        <v>10</v>
      </c>
      <c r="IA58" s="0" t="n">
        <v>2.69</v>
      </c>
      <c r="IF58" s="0" t="n">
        <v>10</v>
      </c>
      <c r="IG58" s="0" t="n">
        <v>2.69</v>
      </c>
      <c r="IL58" s="0" t="n">
        <v>0</v>
      </c>
      <c r="IM58" s="0" t="n">
        <v>0</v>
      </c>
      <c r="IX58" s="18"/>
      <c r="JP58" s="0" t="n">
        <v>0</v>
      </c>
      <c r="LA58" s="16" t="n">
        <v>10.02</v>
      </c>
      <c r="LB58" s="16" t="n">
        <v>1</v>
      </c>
      <c r="LC58" s="16" t="n">
        <v>2</v>
      </c>
      <c r="LD58" s="16"/>
      <c r="LE58" s="16" t="n">
        <f aca="false">0.05*4+0.33*4+1.5*4+0.76*4+1.14*4</f>
        <v>15.12</v>
      </c>
      <c r="LF58" s="16"/>
      <c r="LG58" s="16"/>
      <c r="LH58" s="16"/>
      <c r="LI58" s="16"/>
      <c r="LJ58" s="16"/>
      <c r="LK58" s="16"/>
      <c r="LL58" s="16" t="n">
        <v>9.92</v>
      </c>
      <c r="LM58" s="16" t="n">
        <v>20.94</v>
      </c>
      <c r="LN58" s="16"/>
      <c r="LO58" s="16"/>
      <c r="LP58" s="16" t="n">
        <v>0</v>
      </c>
      <c r="LQ58" s="16" t="n">
        <v>0</v>
      </c>
      <c r="LR58" s="16" t="n">
        <v>0</v>
      </c>
      <c r="LS58" s="0" t="n">
        <v>0</v>
      </c>
      <c r="LT58" s="0" t="s">
        <v>405</v>
      </c>
      <c r="LU58" s="0" t="n">
        <v>57.5</v>
      </c>
      <c r="LV58" s="16" t="n">
        <v>93.3</v>
      </c>
      <c r="LW58" s="16" t="n">
        <v>80.4</v>
      </c>
      <c r="LX58" s="16" t="n">
        <v>37.2</v>
      </c>
      <c r="LY58" s="0" t="n">
        <v>37.4</v>
      </c>
      <c r="LZ58" s="0" t="n">
        <v>31.73</v>
      </c>
      <c r="MA58" s="0" t="n">
        <v>29.89</v>
      </c>
      <c r="MB58" s="0" t="n">
        <v>0</v>
      </c>
      <c r="MC58" s="0" t="n">
        <v>0.98</v>
      </c>
      <c r="MD58" s="0" t="n">
        <v>0</v>
      </c>
      <c r="ME58" s="0" t="n">
        <v>0</v>
      </c>
      <c r="MF58" s="0" t="n">
        <v>0</v>
      </c>
      <c r="MG58" s="0" t="n">
        <v>0</v>
      </c>
      <c r="MH58" s="0" t="n">
        <v>0</v>
      </c>
      <c r="MI58" s="0" t="n">
        <v>0</v>
      </c>
      <c r="MJ58" s="0" t="n">
        <v>0</v>
      </c>
      <c r="MK58" s="0" t="n">
        <v>21.26</v>
      </c>
      <c r="ML58" s="0" t="n">
        <v>57.4</v>
      </c>
      <c r="MM58" s="0" t="n">
        <v>0</v>
      </c>
      <c r="MN58" s="0" t="n">
        <v>0</v>
      </c>
      <c r="MO58" s="0" t="n">
        <v>0</v>
      </c>
      <c r="MP58" s="0" t="n">
        <v>0</v>
      </c>
      <c r="NC58" s="0" t="n">
        <v>2.3</v>
      </c>
      <c r="ND58" s="0" t="n">
        <v>1</v>
      </c>
      <c r="NE58" s="0" t="n">
        <v>35</v>
      </c>
      <c r="NF58" s="0" t="n">
        <v>1</v>
      </c>
      <c r="NG58" s="0" t="n">
        <v>0.49</v>
      </c>
      <c r="NH58" s="0" t="n">
        <v>3</v>
      </c>
      <c r="NO58" s="18"/>
      <c r="OG58" s="0" t="n">
        <v>0</v>
      </c>
      <c r="PR58" s="16" t="n">
        <v>2.91</v>
      </c>
      <c r="PS58" s="16" t="n">
        <v>1</v>
      </c>
      <c r="PT58" s="16" t="n">
        <v>1</v>
      </c>
      <c r="PU58" s="16"/>
      <c r="PV58" s="16" t="n">
        <f aca="false">2.49+0.21+0.47*2+2.49+0.26+0.53+0.01+4.77+14.32+1.53+3.06+0.13</f>
        <v>30.74</v>
      </c>
      <c r="PW58" s="16"/>
      <c r="PX58" s="16"/>
      <c r="PY58" s="16"/>
      <c r="PZ58" s="16"/>
      <c r="QA58" s="16"/>
      <c r="QB58" s="16"/>
      <c r="QC58" s="16" t="n">
        <v>14.81</v>
      </c>
      <c r="QD58" s="16" t="n">
        <v>52.45</v>
      </c>
      <c r="QE58" s="16"/>
      <c r="QF58" s="16"/>
      <c r="QG58" s="16" t="n">
        <v>0</v>
      </c>
      <c r="QH58" s="16" t="n">
        <v>0</v>
      </c>
      <c r="QI58" s="16" t="n">
        <v>0</v>
      </c>
      <c r="QJ58" s="0" t="n">
        <v>0</v>
      </c>
      <c r="QK58" s="0" t="s">
        <v>406</v>
      </c>
      <c r="QL58" s="0" t="n">
        <v>12.5</v>
      </c>
      <c r="QM58" s="16" t="n">
        <v>69.9</v>
      </c>
      <c r="QN58" s="16" t="n">
        <v>80.4</v>
      </c>
      <c r="QO58" s="16" t="n">
        <v>9</v>
      </c>
      <c r="QP58" s="0" t="n">
        <v>90.9</v>
      </c>
      <c r="QQ58" s="0" t="n">
        <v>7.98</v>
      </c>
      <c r="QR58" s="0" t="n">
        <v>1.12</v>
      </c>
      <c r="QS58" s="0" t="n">
        <v>4.56</v>
      </c>
      <c r="QT58" s="0" t="n">
        <v>17.67</v>
      </c>
      <c r="QU58" s="0" t="n">
        <v>0</v>
      </c>
      <c r="QV58" s="0" t="n">
        <v>0</v>
      </c>
      <c r="QW58" s="0" t="n">
        <v>0</v>
      </c>
      <c r="QX58" s="0" t="n">
        <v>0</v>
      </c>
      <c r="QY58" s="0" t="n">
        <v>0</v>
      </c>
      <c r="QZ58" s="0" t="n">
        <v>0</v>
      </c>
      <c r="RA58" s="0" t="n">
        <v>0</v>
      </c>
      <c r="RB58" s="0" t="n">
        <v>4.56</v>
      </c>
      <c r="RC58" s="0" t="n">
        <v>17.67</v>
      </c>
      <c r="RD58" s="0" t="n">
        <v>0</v>
      </c>
      <c r="RE58" s="0" t="n">
        <v>0</v>
      </c>
      <c r="RF58" s="0" t="n">
        <v>0</v>
      </c>
      <c r="RG58" s="0" t="n">
        <v>0</v>
      </c>
      <c r="RT58" s="0" t="n">
        <v>0</v>
      </c>
      <c r="RU58" s="0" t="n">
        <v>0</v>
      </c>
      <c r="SF58" s="18"/>
      <c r="SX58" s="0" t="n">
        <v>0</v>
      </c>
      <c r="UI58" s="16" t="n">
        <v>0</v>
      </c>
      <c r="UJ58" s="16" t="n">
        <v>0</v>
      </c>
      <c r="UK58" s="16"/>
      <c r="UL58" s="16"/>
      <c r="UM58" s="16"/>
      <c r="UN58" s="16"/>
      <c r="UO58" s="16"/>
      <c r="UP58" s="16"/>
      <c r="UQ58" s="16"/>
      <c r="UR58" s="16"/>
      <c r="US58" s="16"/>
      <c r="UT58" s="16" t="n">
        <v>3.41</v>
      </c>
      <c r="UU58" s="16" t="n">
        <v>3.41</v>
      </c>
      <c r="UV58" s="16"/>
      <c r="UW58" s="16"/>
      <c r="UX58" s="16" t="n">
        <v>0</v>
      </c>
      <c r="UY58" s="16" t="n">
        <v>0</v>
      </c>
      <c r="UZ58" s="16" t="n">
        <v>0</v>
      </c>
      <c r="VA58" s="0" t="n">
        <v>0</v>
      </c>
      <c r="VB58" s="0" t="s">
        <v>407</v>
      </c>
      <c r="VC58" s="0" t="n">
        <v>17</v>
      </c>
      <c r="VD58" s="16" t="n">
        <v>84.3</v>
      </c>
      <c r="VE58" s="16" t="n">
        <v>80.4</v>
      </c>
      <c r="VF58" s="16" t="n">
        <v>9.8</v>
      </c>
      <c r="VG58" s="0" t="n">
        <v>84.81</v>
      </c>
      <c r="VH58" s="0" t="n">
        <v>14.07</v>
      </c>
      <c r="VI58" s="0" t="n">
        <v>1.12</v>
      </c>
      <c r="VJ58" s="0" t="n">
        <v>0</v>
      </c>
      <c r="VK58" s="0" t="n">
        <v>0</v>
      </c>
      <c r="VL58" s="0" t="n">
        <v>0</v>
      </c>
      <c r="VM58" s="0" t="n">
        <v>0</v>
      </c>
      <c r="VN58" s="0" t="n">
        <v>0</v>
      </c>
      <c r="VO58" s="0" t="n">
        <v>0</v>
      </c>
      <c r="VP58" s="0" t="n">
        <v>0</v>
      </c>
      <c r="VQ58" s="0" t="n">
        <v>0</v>
      </c>
      <c r="VR58" s="0" t="n">
        <v>0</v>
      </c>
      <c r="VS58" s="0" t="n">
        <v>7.34</v>
      </c>
      <c r="VT58" s="0" t="n">
        <v>26.23</v>
      </c>
      <c r="VU58" s="0" t="n">
        <v>0</v>
      </c>
      <c r="VV58" s="0" t="n">
        <v>0</v>
      </c>
      <c r="VW58" s="0" t="n">
        <v>0</v>
      </c>
      <c r="VX58" s="0" t="n">
        <v>0</v>
      </c>
      <c r="WK58" s="0" t="n">
        <v>0</v>
      </c>
      <c r="WL58" s="0" t="n">
        <v>0</v>
      </c>
      <c r="WW58" s="18"/>
      <c r="XO58" s="0" t="n">
        <v>0</v>
      </c>
      <c r="YZ58" s="16" t="n">
        <v>1.51</v>
      </c>
      <c r="ZA58" s="16" t="n">
        <v>1</v>
      </c>
      <c r="ZB58" s="16" t="n">
        <v>2</v>
      </c>
      <c r="ZC58" s="16"/>
      <c r="ZD58" s="16" t="n">
        <f aca="false">0.99+4.04</f>
        <v>5.03</v>
      </c>
      <c r="ZE58" s="16"/>
      <c r="ZF58" s="16"/>
      <c r="ZG58" s="16"/>
      <c r="ZH58" s="16"/>
      <c r="ZI58" s="16"/>
      <c r="ZJ58" s="16"/>
      <c r="ZK58" s="16" t="n">
        <v>5.5</v>
      </c>
      <c r="ZL58" s="16" t="n">
        <v>9.84</v>
      </c>
      <c r="ZM58" s="16"/>
      <c r="ZN58" s="16"/>
      <c r="ZO58" s="16" t="n">
        <v>0</v>
      </c>
      <c r="ZP58" s="16" t="n">
        <v>0</v>
      </c>
      <c r="ZQ58" s="16" t="n">
        <v>0</v>
      </c>
      <c r="ZR58" s="0" t="n">
        <v>0</v>
      </c>
      <c r="ZS58" s="0" t="s">
        <v>408</v>
      </c>
      <c r="ZT58" s="0" t="n">
        <v>26</v>
      </c>
      <c r="ZU58" s="16" t="n">
        <v>75.1</v>
      </c>
      <c r="ZV58" s="16" t="n">
        <v>80.4</v>
      </c>
      <c r="ZW58" s="16" t="n">
        <v>10.7</v>
      </c>
      <c r="ZX58" s="0" t="n">
        <v>76.38</v>
      </c>
      <c r="ZY58" s="0" t="n">
        <v>22.5</v>
      </c>
      <c r="ZZ58" s="0" t="n">
        <v>1.12</v>
      </c>
      <c r="AAA58" s="0" t="n">
        <v>0</v>
      </c>
      <c r="AAB58" s="0" t="n">
        <v>0</v>
      </c>
      <c r="AAC58" s="0" t="n">
        <v>0</v>
      </c>
      <c r="AAD58" s="0" t="n">
        <v>0</v>
      </c>
      <c r="AAE58" s="0" t="n">
        <v>0</v>
      </c>
      <c r="AAF58" s="0" t="n">
        <v>0</v>
      </c>
      <c r="AAG58" s="0" t="n">
        <v>0</v>
      </c>
      <c r="AAH58" s="0" t="n">
        <v>0</v>
      </c>
      <c r="AAI58" s="0" t="n">
        <v>0</v>
      </c>
      <c r="AAJ58" s="0" t="n">
        <v>10.84</v>
      </c>
      <c r="AAK58" s="0" t="n">
        <v>26.14</v>
      </c>
      <c r="AAL58" s="0" t="n">
        <v>0</v>
      </c>
      <c r="AAM58" s="0" t="n">
        <v>0</v>
      </c>
      <c r="AAN58" s="0" t="n">
        <v>0</v>
      </c>
      <c r="AAO58" s="0" t="n">
        <v>0</v>
      </c>
      <c r="ABB58" s="0" t="n">
        <v>2.5</v>
      </c>
      <c r="ABC58" s="0" t="n">
        <v>1</v>
      </c>
      <c r="ABD58" s="0" t="n">
        <v>68</v>
      </c>
      <c r="ABE58" s="0" t="n">
        <v>1</v>
      </c>
      <c r="ABF58" s="0" t="n">
        <f aca="false">1.34</f>
        <v>1.34</v>
      </c>
      <c r="ABG58" s="0" t="n">
        <v>1</v>
      </c>
      <c r="ABH58" s="0" t="n">
        <v>52</v>
      </c>
      <c r="ABI58" s="0" t="n">
        <v>2</v>
      </c>
      <c r="ABJ58" s="0" t="n">
        <v>0.45</v>
      </c>
      <c r="ABK58" s="0" t="n">
        <v>2</v>
      </c>
      <c r="ABN58" s="18"/>
      <c r="ACF58" s="0" t="n">
        <v>0</v>
      </c>
      <c r="ADQ58" s="16" t="n">
        <v>1.21</v>
      </c>
      <c r="ADR58" s="16" t="n">
        <v>1</v>
      </c>
      <c r="ADS58" s="16" t="n">
        <v>2</v>
      </c>
      <c r="ADT58" s="16"/>
      <c r="ADU58" s="16" t="n">
        <v>4.04</v>
      </c>
      <c r="ADV58" s="16"/>
      <c r="ADW58" s="16"/>
      <c r="ADX58" s="16"/>
      <c r="ADY58" s="16"/>
      <c r="ADZ58" s="16"/>
      <c r="AEA58" s="16"/>
      <c r="AEB58" s="16" t="n">
        <v>11.17</v>
      </c>
      <c r="AEC58" s="16" t="n">
        <v>19.84</v>
      </c>
      <c r="AED58" s="16"/>
      <c r="AEE58" s="16"/>
      <c r="AEF58" s="16" t="n">
        <v>0</v>
      </c>
      <c r="AEG58" s="16" t="n">
        <v>0</v>
      </c>
      <c r="AEH58" s="16" t="n">
        <v>0</v>
      </c>
      <c r="AEI58" s="0" t="n">
        <v>0</v>
      </c>
      <c r="AEJ58" s="0" t="s">
        <v>409</v>
      </c>
      <c r="AEK58" s="0" t="n">
        <v>23</v>
      </c>
      <c r="AEL58" s="16" t="n">
        <v>90.8</v>
      </c>
      <c r="AEM58" s="16" t="n">
        <v>80.4</v>
      </c>
      <c r="AEN58" s="16" t="n">
        <v>11.6</v>
      </c>
      <c r="AEO58" s="0" t="n">
        <v>71.46</v>
      </c>
      <c r="AEP58" s="0" t="n">
        <v>27.42</v>
      </c>
      <c r="AEQ58" s="0" t="n">
        <v>1.12</v>
      </c>
      <c r="AER58" s="0" t="n">
        <v>0</v>
      </c>
      <c r="AES58" s="0" t="n">
        <v>0</v>
      </c>
      <c r="AET58" s="0" t="n">
        <v>0</v>
      </c>
      <c r="AEU58" s="0" t="n">
        <v>0</v>
      </c>
      <c r="AEV58" s="0" t="n">
        <v>0</v>
      </c>
      <c r="AEW58" s="0" t="n">
        <v>0</v>
      </c>
      <c r="AEX58" s="0" t="n">
        <v>0</v>
      </c>
      <c r="AEY58" s="0" t="n">
        <v>0</v>
      </c>
      <c r="AEZ58" s="0" t="n">
        <v>0</v>
      </c>
      <c r="AFA58" s="0" t="n">
        <v>11.58</v>
      </c>
      <c r="AFB58" s="0" t="n">
        <v>41.25</v>
      </c>
      <c r="AFC58" s="0" t="n">
        <v>0</v>
      </c>
      <c r="AFD58" s="0" t="n">
        <v>0</v>
      </c>
      <c r="AFE58" s="0" t="n">
        <v>0</v>
      </c>
      <c r="AFF58" s="0" t="n">
        <v>0</v>
      </c>
      <c r="AFS58" s="0" t="n">
        <v>1.7</v>
      </c>
      <c r="AFT58" s="0" t="n">
        <v>1</v>
      </c>
      <c r="AFU58" s="0" t="n">
        <v>35</v>
      </c>
      <c r="AFV58" s="0" t="n">
        <v>1</v>
      </c>
      <c r="AFW58" s="0" t="n">
        <v>0.05</v>
      </c>
      <c r="AFX58" s="0" t="n">
        <v>3</v>
      </c>
      <c r="AFY58" s="0" t="n">
        <v>103</v>
      </c>
      <c r="AFZ58" s="0" t="n">
        <v>5</v>
      </c>
      <c r="AGA58" s="0" t="n">
        <v>0.25</v>
      </c>
      <c r="AGB58" s="0" t="n">
        <v>1</v>
      </c>
      <c r="AGC58" s="0" t="n">
        <v>68</v>
      </c>
      <c r="AGD58" s="0" t="n">
        <v>4</v>
      </c>
      <c r="AGE58" s="18" t="n">
        <v>0.26</v>
      </c>
      <c r="AGF58" s="0" t="n">
        <v>1</v>
      </c>
      <c r="AGG58" s="0" t="n">
        <v>52</v>
      </c>
      <c r="AGH58" s="0" t="n">
        <v>4</v>
      </c>
      <c r="AGI58" s="0" t="n">
        <f aca="false">0.09+0.05+0.04</f>
        <v>0.18</v>
      </c>
      <c r="AGJ58" s="0" t="n">
        <v>2</v>
      </c>
      <c r="AGW58" s="0" t="n">
        <v>0</v>
      </c>
      <c r="AIH58" s="16" t="n">
        <v>0.04</v>
      </c>
      <c r="AII58" s="16" t="n">
        <v>1</v>
      </c>
      <c r="AIJ58" s="16" t="n">
        <v>1</v>
      </c>
      <c r="AIK58" s="16"/>
      <c r="AIL58" s="16" t="n">
        <v>0.13</v>
      </c>
      <c r="AIM58" s="16"/>
      <c r="AIN58" s="16"/>
      <c r="AIO58" s="16"/>
      <c r="AIP58" s="16"/>
      <c r="AIQ58" s="16"/>
      <c r="AIR58" s="16"/>
      <c r="AIS58" s="16" t="n">
        <v>9.52</v>
      </c>
      <c r="AIT58" s="16" t="n">
        <v>21.65</v>
      </c>
      <c r="AIU58" s="16"/>
      <c r="AIV58" s="16"/>
      <c r="AIW58" s="16" t="n">
        <v>0</v>
      </c>
      <c r="AIX58" s="16" t="n">
        <v>0</v>
      </c>
      <c r="AIY58" s="16" t="n">
        <v>0</v>
      </c>
      <c r="AIZ58" s="0" t="n">
        <v>0</v>
      </c>
      <c r="AJA58" s="0" t="s">
        <v>410</v>
      </c>
      <c r="AJB58" s="0" t="n">
        <v>24</v>
      </c>
      <c r="AJC58" s="16" t="n">
        <v>82.9</v>
      </c>
      <c r="AJD58" s="16" t="n">
        <v>80.4</v>
      </c>
      <c r="AJE58" s="16" t="n">
        <v>9.6</v>
      </c>
      <c r="AJF58" s="0" t="n">
        <v>86.23</v>
      </c>
      <c r="AJG58" s="0" t="n">
        <v>11.76</v>
      </c>
      <c r="AJH58" s="0" t="n">
        <v>0</v>
      </c>
      <c r="AJI58" s="0" t="n">
        <v>0</v>
      </c>
      <c r="AJJ58" s="0" t="n">
        <v>1.01</v>
      </c>
      <c r="AJK58" s="0" t="n">
        <v>1.01</v>
      </c>
      <c r="AJL58" s="0" t="n">
        <v>0</v>
      </c>
      <c r="AJM58" s="0" t="n">
        <v>0</v>
      </c>
      <c r="AJN58" s="0" t="n">
        <v>0</v>
      </c>
      <c r="AJO58" s="0" t="n">
        <v>0</v>
      </c>
      <c r="AJP58" s="0" t="n">
        <v>0</v>
      </c>
      <c r="AJQ58" s="0" t="n">
        <v>0</v>
      </c>
      <c r="AJR58" s="0" t="n">
        <v>8.84</v>
      </c>
      <c r="AJS58" s="0" t="n">
        <v>23.37</v>
      </c>
      <c r="AJT58" s="0" t="n">
        <v>0</v>
      </c>
      <c r="AJU58" s="0" t="n">
        <v>0</v>
      </c>
      <c r="AJV58" s="0" t="n">
        <v>0</v>
      </c>
      <c r="AJW58" s="0" t="n">
        <v>0</v>
      </c>
      <c r="AKJ58" s="0" t="n">
        <v>0</v>
      </c>
      <c r="AKK58" s="0" t="n">
        <v>1</v>
      </c>
      <c r="AKL58" s="0" t="n">
        <v>52</v>
      </c>
      <c r="AKM58" s="0" t="n">
        <v>1</v>
      </c>
      <c r="AKN58" s="0" t="n">
        <v>0.02</v>
      </c>
      <c r="AKO58" s="0" t="n">
        <v>2</v>
      </c>
      <c r="AKV58" s="18"/>
      <c r="ALN58" s="0" t="n">
        <v>0</v>
      </c>
    </row>
    <row r="59" customFormat="false" ht="13.8" hidden="false" customHeight="false" outlineLevel="0" collapsed="false">
      <c r="A59" s="1" t="s">
        <v>418</v>
      </c>
      <c r="B59" s="12" t="n">
        <v>42900</v>
      </c>
      <c r="C59" s="0" t="n">
        <v>2</v>
      </c>
      <c r="D59" s="13" t="n">
        <v>42807</v>
      </c>
      <c r="E59" s="12" t="n">
        <v>34938</v>
      </c>
      <c r="F59" s="14" t="n">
        <f aca="false">(B59-E59)/365.25</f>
        <v>21.7987679671458</v>
      </c>
      <c r="G59" s="14" t="n">
        <f aca="false">(B59-D59)/365.25</f>
        <v>0.254620123203285</v>
      </c>
      <c r="H59" s="15" t="s">
        <v>217</v>
      </c>
      <c r="I59" s="15" t="s">
        <v>402</v>
      </c>
      <c r="J59" s="15" t="s">
        <v>181</v>
      </c>
      <c r="K59" s="21" t="n">
        <v>4</v>
      </c>
      <c r="L59" s="19" t="n">
        <v>70</v>
      </c>
      <c r="M59" s="0" t="n">
        <v>1.7</v>
      </c>
      <c r="N59" s="16" t="n">
        <f aca="false">L59/(M59*M59)</f>
        <v>24.2214532871972</v>
      </c>
      <c r="O59" s="19" t="n">
        <v>0</v>
      </c>
      <c r="P59" s="19" t="n">
        <v>0</v>
      </c>
      <c r="Q59" s="19" t="n">
        <v>0</v>
      </c>
      <c r="R59" s="19" t="n">
        <v>0</v>
      </c>
      <c r="S59" s="19" t="n">
        <v>0</v>
      </c>
      <c r="T59" s="19" t="n">
        <v>0</v>
      </c>
      <c r="U59" s="19" t="n">
        <v>0</v>
      </c>
      <c r="V59" s="19" t="n">
        <v>0</v>
      </c>
      <c r="W59" s="19" t="n">
        <v>0</v>
      </c>
      <c r="X59" s="19" t="n">
        <v>0</v>
      </c>
      <c r="Y59" s="19" t="n">
        <v>1</v>
      </c>
      <c r="Z59" s="19" t="n">
        <v>1</v>
      </c>
      <c r="AA59" s="19" t="n">
        <v>120</v>
      </c>
      <c r="AB59" s="19" t="s">
        <v>308</v>
      </c>
      <c r="AC59" s="19" t="n">
        <v>0</v>
      </c>
      <c r="AD59" s="19" t="n">
        <v>0</v>
      </c>
      <c r="AE59" s="19" t="n">
        <v>0</v>
      </c>
      <c r="AF59" s="19" t="n">
        <v>0</v>
      </c>
      <c r="AG59" s="19" t="n">
        <v>0</v>
      </c>
      <c r="AH59" s="19" t="n">
        <v>0</v>
      </c>
      <c r="AI59" s="19" t="n">
        <v>0</v>
      </c>
      <c r="AJ59" s="19" t="n">
        <v>0</v>
      </c>
      <c r="AK59" s="19" t="n">
        <v>0</v>
      </c>
      <c r="AL59" s="19" t="n">
        <v>0</v>
      </c>
      <c r="AM59" s="19" t="n">
        <v>0</v>
      </c>
      <c r="AN59" s="19" t="n">
        <v>0</v>
      </c>
      <c r="AO59" s="19" t="n">
        <v>0</v>
      </c>
      <c r="AP59" s="19" t="n">
        <v>0</v>
      </c>
      <c r="AQ59" s="19" t="n">
        <v>0</v>
      </c>
      <c r="AR59" s="19" t="n">
        <v>0</v>
      </c>
      <c r="AS59" s="19" t="n">
        <v>0</v>
      </c>
      <c r="AT59" s="19" t="n">
        <v>0</v>
      </c>
      <c r="AU59" s="19" t="n">
        <v>0</v>
      </c>
      <c r="AV59" s="19" t="n">
        <v>0</v>
      </c>
      <c r="AW59" s="19" t="n">
        <v>0</v>
      </c>
      <c r="AX59" s="19" t="n">
        <v>0</v>
      </c>
      <c r="AY59" s="19" t="n">
        <v>0</v>
      </c>
      <c r="AZ59" s="19" t="n">
        <v>0</v>
      </c>
      <c r="BA59" s="19" t="n">
        <v>0</v>
      </c>
      <c r="BB59" s="19" t="n">
        <v>0</v>
      </c>
      <c r="BC59" s="19" t="n">
        <v>0</v>
      </c>
      <c r="BD59" s="19" t="n">
        <v>0</v>
      </c>
      <c r="BE59" s="19" t="n">
        <v>0</v>
      </c>
      <c r="BF59" s="19" t="n">
        <v>0</v>
      </c>
      <c r="BG59" s="19" t="n">
        <v>0</v>
      </c>
      <c r="BH59" s="19" t="n">
        <v>0</v>
      </c>
      <c r="BI59" s="19" t="n">
        <v>0</v>
      </c>
      <c r="BJ59" s="19" t="n">
        <v>0</v>
      </c>
      <c r="BK59" s="19" t="n">
        <v>0</v>
      </c>
      <c r="BL59" s="19" t="n">
        <v>0</v>
      </c>
      <c r="BM59" s="19" t="n">
        <v>0</v>
      </c>
      <c r="BN59" s="19" t="n">
        <v>0</v>
      </c>
      <c r="BO59" s="19" t="n">
        <v>0</v>
      </c>
      <c r="BP59" s="19" t="n">
        <v>0</v>
      </c>
      <c r="BQ59" s="19" t="n">
        <v>0</v>
      </c>
      <c r="BR59" s="19" t="n">
        <v>2</v>
      </c>
      <c r="BS59" s="19" t="n">
        <v>1</v>
      </c>
      <c r="BT59" s="19" t="n">
        <v>4</v>
      </c>
      <c r="BU59" s="19" t="n">
        <v>5</v>
      </c>
      <c r="BV59" s="19" t="n">
        <v>2</v>
      </c>
      <c r="BW59" s="19" t="n">
        <v>3</v>
      </c>
      <c r="BX59" s="19" t="n">
        <v>3</v>
      </c>
      <c r="BY59" s="19" t="n">
        <v>3</v>
      </c>
      <c r="BZ59" s="19" t="n">
        <v>3</v>
      </c>
      <c r="CA59" s="19" t="n">
        <v>4</v>
      </c>
      <c r="CB59" s="19" t="n">
        <v>4</v>
      </c>
      <c r="CC59" s="19" t="n">
        <v>5</v>
      </c>
      <c r="CD59" s="19" t="n">
        <v>3</v>
      </c>
      <c r="CE59" s="19" t="n">
        <v>3</v>
      </c>
      <c r="CF59" s="19" t="n">
        <v>4</v>
      </c>
      <c r="CG59" s="19" t="n">
        <v>3</v>
      </c>
      <c r="CH59" s="19" t="n">
        <v>2</v>
      </c>
      <c r="CI59" s="19" t="n">
        <v>3</v>
      </c>
      <c r="CJ59" s="19" t="n">
        <v>4</v>
      </c>
      <c r="CK59" s="19" t="n">
        <v>8</v>
      </c>
      <c r="CL59" s="0" t="s">
        <v>403</v>
      </c>
      <c r="CM59" s="0" t="n">
        <v>21.5</v>
      </c>
      <c r="CN59" s="16" t="n">
        <v>78.4</v>
      </c>
      <c r="CO59" s="16" t="n">
        <v>80.4</v>
      </c>
      <c r="CP59" s="16" t="n">
        <v>9.6</v>
      </c>
      <c r="CQ59" s="0" t="n">
        <v>84.68</v>
      </c>
      <c r="CR59" s="0" t="n">
        <v>14.18</v>
      </c>
      <c r="CS59" s="0" t="n">
        <v>1.12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9.51</v>
      </c>
      <c r="DD59" s="0" t="n">
        <v>25.42</v>
      </c>
      <c r="DE59" s="0" t="n">
        <v>0</v>
      </c>
      <c r="DF59" s="0" t="n">
        <v>0</v>
      </c>
      <c r="DG59" s="0" t="n">
        <v>0</v>
      </c>
      <c r="DH59" s="0" t="n">
        <v>2</v>
      </c>
      <c r="DI59" s="0" t="n">
        <v>5</v>
      </c>
      <c r="DO59" s="0" t="n">
        <v>5</v>
      </c>
      <c r="DU59" s="0" t="n">
        <v>3.2</v>
      </c>
      <c r="DV59" s="0" t="n">
        <v>1</v>
      </c>
      <c r="DW59" s="0" t="n">
        <v>52</v>
      </c>
      <c r="DX59" s="0" t="n">
        <v>3</v>
      </c>
      <c r="DY59" s="0" t="n">
        <f aca="false">0.07+0.76</f>
        <v>0.83</v>
      </c>
      <c r="DZ59" s="0" t="n">
        <v>2</v>
      </c>
      <c r="EA59" s="0" t="n">
        <v>103</v>
      </c>
      <c r="EB59" s="0" t="n">
        <v>3</v>
      </c>
      <c r="EC59" s="0" t="n">
        <f aca="false">0.36+0.34</f>
        <v>0.7</v>
      </c>
      <c r="ED59" s="0" t="n">
        <v>1</v>
      </c>
      <c r="EE59" s="0" t="n">
        <v>68</v>
      </c>
      <c r="EF59" s="0" t="n">
        <v>2</v>
      </c>
      <c r="EG59" s="18" t="n">
        <f aca="false">0.24</f>
        <v>0.24</v>
      </c>
      <c r="EH59" s="0" t="n">
        <v>1</v>
      </c>
      <c r="EI59" s="0" t="n">
        <v>34</v>
      </c>
      <c r="EJ59" s="0" t="n">
        <v>2</v>
      </c>
      <c r="EK59" s="0" t="n">
        <f aca="false">0.24</f>
        <v>0.24</v>
      </c>
      <c r="EL59" s="0" t="n">
        <v>1</v>
      </c>
      <c r="EY59" s="0" t="n">
        <v>0</v>
      </c>
      <c r="GJ59" s="16" t="n">
        <v>0.36</v>
      </c>
      <c r="GK59" s="16" t="n">
        <v>1</v>
      </c>
      <c r="GL59" s="16" t="n">
        <v>1</v>
      </c>
      <c r="GM59" s="16"/>
      <c r="GN59" s="16" t="n">
        <v>1.52</v>
      </c>
      <c r="GO59" s="16"/>
      <c r="GP59" s="16"/>
      <c r="GQ59" s="16"/>
      <c r="GR59" s="16"/>
      <c r="GS59" s="16"/>
      <c r="GT59" s="16"/>
      <c r="GU59" s="16" t="n">
        <v>8.32</v>
      </c>
      <c r="GV59" s="16" t="n">
        <v>8.31</v>
      </c>
      <c r="GW59" s="16"/>
      <c r="GX59" s="16"/>
      <c r="GY59" s="16" t="n">
        <v>0</v>
      </c>
      <c r="GZ59" s="16" t="n">
        <v>0</v>
      </c>
      <c r="HA59" s="16" t="n">
        <v>0</v>
      </c>
      <c r="HB59" s="0" t="n">
        <v>0</v>
      </c>
      <c r="HC59" s="0" t="s">
        <v>404</v>
      </c>
      <c r="HD59" s="0" t="n">
        <v>50.5</v>
      </c>
      <c r="HE59" s="16" t="n">
        <v>95.8</v>
      </c>
      <c r="HF59" s="16" t="n">
        <v>80.4</v>
      </c>
      <c r="HG59" s="16" t="n">
        <v>22.6</v>
      </c>
      <c r="HH59" s="0" t="n">
        <v>70.65</v>
      </c>
      <c r="HI59" s="0" t="n">
        <v>13.02</v>
      </c>
      <c r="HJ59" s="0" t="n">
        <v>16.33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3.81</v>
      </c>
      <c r="HU59" s="0" t="n">
        <v>53.36</v>
      </c>
      <c r="HV59" s="0" t="n">
        <v>0</v>
      </c>
      <c r="HW59" s="0" t="n">
        <v>0</v>
      </c>
      <c r="HX59" s="0" t="n">
        <v>7.8</v>
      </c>
      <c r="HY59" s="0" t="n">
        <v>2</v>
      </c>
      <c r="HZ59" s="0" t="n">
        <v>10</v>
      </c>
      <c r="IA59" s="0" t="n">
        <v>2.69</v>
      </c>
      <c r="IF59" s="0" t="n">
        <v>10</v>
      </c>
      <c r="IG59" s="0" t="n">
        <v>2.69</v>
      </c>
      <c r="IL59" s="0" t="n">
        <v>0</v>
      </c>
      <c r="IM59" s="0" t="n">
        <v>0</v>
      </c>
      <c r="IX59" s="18"/>
      <c r="JP59" s="0" t="n">
        <v>0</v>
      </c>
      <c r="LA59" s="16" t="n">
        <v>10.02</v>
      </c>
      <c r="LB59" s="16" t="n">
        <v>1</v>
      </c>
      <c r="LC59" s="16" t="n">
        <v>2</v>
      </c>
      <c r="LD59" s="16"/>
      <c r="LE59" s="16" t="n">
        <f aca="false">0.05*4+0.33*4+1.5*4+0.76*4+1.14*4</f>
        <v>15.12</v>
      </c>
      <c r="LF59" s="16"/>
      <c r="LG59" s="16"/>
      <c r="LH59" s="16"/>
      <c r="LI59" s="16"/>
      <c r="LJ59" s="16"/>
      <c r="LK59" s="16"/>
      <c r="LL59" s="16" t="n">
        <v>9.92</v>
      </c>
      <c r="LM59" s="16" t="n">
        <v>20.94</v>
      </c>
      <c r="LN59" s="16"/>
      <c r="LO59" s="16"/>
      <c r="LP59" s="16" t="n">
        <v>0</v>
      </c>
      <c r="LQ59" s="16" t="n">
        <v>0</v>
      </c>
      <c r="LR59" s="16" t="n">
        <v>0</v>
      </c>
      <c r="LS59" s="0" t="n">
        <v>0</v>
      </c>
      <c r="LT59" s="0" t="s">
        <v>405</v>
      </c>
      <c r="LU59" s="0" t="n">
        <v>57.5</v>
      </c>
      <c r="LV59" s="16" t="n">
        <v>93.3</v>
      </c>
      <c r="LW59" s="16" t="n">
        <v>80.4</v>
      </c>
      <c r="LX59" s="16" t="n">
        <v>37.2</v>
      </c>
      <c r="LY59" s="0" t="n">
        <v>37.4</v>
      </c>
      <c r="LZ59" s="0" t="n">
        <v>31.73</v>
      </c>
      <c r="MA59" s="0" t="n">
        <v>29.89</v>
      </c>
      <c r="MB59" s="0" t="n">
        <v>0</v>
      </c>
      <c r="MC59" s="0" t="n">
        <v>0.98</v>
      </c>
      <c r="MD59" s="0" t="n">
        <v>0</v>
      </c>
      <c r="ME59" s="0" t="n">
        <v>0</v>
      </c>
      <c r="MF59" s="0" t="n">
        <v>0</v>
      </c>
      <c r="MG59" s="0" t="n">
        <v>0</v>
      </c>
      <c r="MH59" s="0" t="n">
        <v>0</v>
      </c>
      <c r="MI59" s="0" t="n">
        <v>0</v>
      </c>
      <c r="MJ59" s="0" t="n">
        <v>0</v>
      </c>
      <c r="MK59" s="0" t="n">
        <v>21.26</v>
      </c>
      <c r="ML59" s="0" t="n">
        <v>57.4</v>
      </c>
      <c r="MM59" s="0" t="n">
        <v>0</v>
      </c>
      <c r="MN59" s="0" t="n">
        <v>0</v>
      </c>
      <c r="MO59" s="0" t="n">
        <v>0</v>
      </c>
      <c r="MP59" s="0" t="n">
        <v>0</v>
      </c>
      <c r="NC59" s="0" t="n">
        <v>2.3</v>
      </c>
      <c r="ND59" s="0" t="n">
        <v>1</v>
      </c>
      <c r="NE59" s="0" t="n">
        <v>35</v>
      </c>
      <c r="NF59" s="0" t="n">
        <v>1</v>
      </c>
      <c r="NG59" s="0" t="n">
        <v>0.49</v>
      </c>
      <c r="NH59" s="0" t="n">
        <v>3</v>
      </c>
      <c r="NO59" s="18"/>
      <c r="OG59" s="0" t="n">
        <v>0</v>
      </c>
      <c r="PR59" s="16" t="n">
        <v>2.91</v>
      </c>
      <c r="PS59" s="16" t="n">
        <v>1</v>
      </c>
      <c r="PT59" s="16" t="n">
        <v>1</v>
      </c>
      <c r="PU59" s="16"/>
      <c r="PV59" s="16" t="n">
        <f aca="false">2.49+0.21+0.47*2+2.49+0.26+0.53+0.01+4.77+14.32+1.53+3.06+0.13</f>
        <v>30.74</v>
      </c>
      <c r="PW59" s="16"/>
      <c r="PX59" s="16"/>
      <c r="PY59" s="16"/>
      <c r="PZ59" s="16"/>
      <c r="QA59" s="16"/>
      <c r="QB59" s="16"/>
      <c r="QC59" s="16" t="n">
        <v>14.81</v>
      </c>
      <c r="QD59" s="16" t="n">
        <v>52.45</v>
      </c>
      <c r="QE59" s="16"/>
      <c r="QF59" s="16"/>
      <c r="QG59" s="16" t="n">
        <v>0</v>
      </c>
      <c r="QH59" s="16" t="n">
        <v>0</v>
      </c>
      <c r="QI59" s="16" t="n">
        <v>0</v>
      </c>
      <c r="QJ59" s="0" t="n">
        <v>0</v>
      </c>
      <c r="QK59" s="0" t="s">
        <v>406</v>
      </c>
      <c r="QL59" s="0" t="n">
        <v>12.5</v>
      </c>
      <c r="QM59" s="16" t="n">
        <v>69.9</v>
      </c>
      <c r="QN59" s="16" t="n">
        <v>80.4</v>
      </c>
      <c r="QO59" s="16" t="n">
        <v>9</v>
      </c>
      <c r="QP59" s="0" t="n">
        <v>90.9</v>
      </c>
      <c r="QQ59" s="0" t="n">
        <v>7.98</v>
      </c>
      <c r="QR59" s="0" t="n">
        <v>1.12</v>
      </c>
      <c r="QS59" s="0" t="n">
        <v>4.56</v>
      </c>
      <c r="QT59" s="0" t="n">
        <v>17.67</v>
      </c>
      <c r="QU59" s="0" t="n">
        <v>0</v>
      </c>
      <c r="QV59" s="0" t="n">
        <v>0</v>
      </c>
      <c r="QW59" s="0" t="n">
        <v>0</v>
      </c>
      <c r="QX59" s="0" t="n">
        <v>0</v>
      </c>
      <c r="QY59" s="0" t="n">
        <v>0</v>
      </c>
      <c r="QZ59" s="0" t="n">
        <v>0</v>
      </c>
      <c r="RA59" s="0" t="n">
        <v>0</v>
      </c>
      <c r="RB59" s="0" t="n">
        <v>4.56</v>
      </c>
      <c r="RC59" s="0" t="n">
        <v>17.67</v>
      </c>
      <c r="RD59" s="0" t="n">
        <v>0</v>
      </c>
      <c r="RE59" s="0" t="n">
        <v>0</v>
      </c>
      <c r="RF59" s="0" t="n">
        <v>0</v>
      </c>
      <c r="RG59" s="0" t="n">
        <v>0</v>
      </c>
      <c r="RT59" s="0" t="n">
        <v>0</v>
      </c>
      <c r="RU59" s="0" t="n">
        <v>0</v>
      </c>
      <c r="SF59" s="18"/>
      <c r="SX59" s="0" t="n">
        <v>0</v>
      </c>
      <c r="UI59" s="16" t="n">
        <v>0</v>
      </c>
      <c r="UJ59" s="16" t="n">
        <v>0</v>
      </c>
      <c r="UK59" s="16"/>
      <c r="UL59" s="16"/>
      <c r="UM59" s="16"/>
      <c r="UN59" s="16"/>
      <c r="UO59" s="16"/>
      <c r="UP59" s="16"/>
      <c r="UQ59" s="16"/>
      <c r="UR59" s="16"/>
      <c r="US59" s="16"/>
      <c r="UT59" s="16" t="n">
        <v>3.41</v>
      </c>
      <c r="UU59" s="16" t="n">
        <v>3.41</v>
      </c>
      <c r="UV59" s="16"/>
      <c r="UW59" s="16"/>
      <c r="UX59" s="16" t="n">
        <v>0</v>
      </c>
      <c r="UY59" s="16" t="n">
        <v>0</v>
      </c>
      <c r="UZ59" s="16" t="n">
        <v>0</v>
      </c>
      <c r="VA59" s="0" t="n">
        <v>0</v>
      </c>
      <c r="VB59" s="0" t="s">
        <v>407</v>
      </c>
      <c r="VC59" s="0" t="n">
        <v>17</v>
      </c>
      <c r="VD59" s="16" t="n">
        <v>84.3</v>
      </c>
      <c r="VE59" s="16" t="n">
        <v>80.4</v>
      </c>
      <c r="VF59" s="16" t="n">
        <v>9.8</v>
      </c>
      <c r="VG59" s="0" t="n">
        <v>84.81</v>
      </c>
      <c r="VH59" s="0" t="n">
        <v>14.07</v>
      </c>
      <c r="VI59" s="0" t="n">
        <v>1.12</v>
      </c>
      <c r="VJ59" s="0" t="n">
        <v>0</v>
      </c>
      <c r="VK59" s="0" t="n">
        <v>0</v>
      </c>
      <c r="VL59" s="0" t="n">
        <v>0</v>
      </c>
      <c r="VM59" s="0" t="n">
        <v>0</v>
      </c>
      <c r="VN59" s="0" t="n">
        <v>0</v>
      </c>
      <c r="VO59" s="0" t="n">
        <v>0</v>
      </c>
      <c r="VP59" s="0" t="n">
        <v>0</v>
      </c>
      <c r="VQ59" s="0" t="n">
        <v>0</v>
      </c>
      <c r="VR59" s="0" t="n">
        <v>0</v>
      </c>
      <c r="VS59" s="0" t="n">
        <v>7.34</v>
      </c>
      <c r="VT59" s="0" t="n">
        <v>26.23</v>
      </c>
      <c r="VU59" s="0" t="n">
        <v>0</v>
      </c>
      <c r="VV59" s="0" t="n">
        <v>0</v>
      </c>
      <c r="VW59" s="0" t="n">
        <v>0</v>
      </c>
      <c r="VX59" s="0" t="n">
        <v>0</v>
      </c>
      <c r="WK59" s="0" t="n">
        <v>0</v>
      </c>
      <c r="WL59" s="0" t="n">
        <v>0</v>
      </c>
      <c r="WW59" s="18"/>
      <c r="XO59" s="0" t="n">
        <v>0</v>
      </c>
      <c r="YZ59" s="16" t="n">
        <v>1.51</v>
      </c>
      <c r="ZA59" s="16" t="n">
        <v>1</v>
      </c>
      <c r="ZB59" s="16" t="n">
        <v>2</v>
      </c>
      <c r="ZC59" s="16"/>
      <c r="ZD59" s="16" t="n">
        <f aca="false">0.99+4.04</f>
        <v>5.03</v>
      </c>
      <c r="ZE59" s="16"/>
      <c r="ZF59" s="16"/>
      <c r="ZG59" s="16"/>
      <c r="ZH59" s="16"/>
      <c r="ZI59" s="16"/>
      <c r="ZJ59" s="16"/>
      <c r="ZK59" s="16" t="n">
        <v>5.5</v>
      </c>
      <c r="ZL59" s="16" t="n">
        <v>9.84</v>
      </c>
      <c r="ZM59" s="16"/>
      <c r="ZN59" s="16"/>
      <c r="ZO59" s="16" t="n">
        <v>0</v>
      </c>
      <c r="ZP59" s="16" t="n">
        <v>0</v>
      </c>
      <c r="ZQ59" s="16" t="n">
        <v>0</v>
      </c>
      <c r="ZR59" s="0" t="n">
        <v>0</v>
      </c>
      <c r="ZS59" s="0" t="s">
        <v>408</v>
      </c>
      <c r="ZT59" s="0" t="n">
        <v>26</v>
      </c>
      <c r="ZU59" s="16" t="n">
        <v>75.1</v>
      </c>
      <c r="ZV59" s="16" t="n">
        <v>80.4</v>
      </c>
      <c r="ZW59" s="16" t="n">
        <v>10.7</v>
      </c>
      <c r="ZX59" s="0" t="n">
        <v>76.38</v>
      </c>
      <c r="ZY59" s="0" t="n">
        <v>22.5</v>
      </c>
      <c r="ZZ59" s="0" t="n">
        <v>1.12</v>
      </c>
      <c r="AAA59" s="0" t="n">
        <v>0</v>
      </c>
      <c r="AAB59" s="0" t="n">
        <v>0</v>
      </c>
      <c r="AAC59" s="0" t="n">
        <v>0</v>
      </c>
      <c r="AAD59" s="0" t="n">
        <v>0</v>
      </c>
      <c r="AAE59" s="0" t="n">
        <v>0</v>
      </c>
      <c r="AAF59" s="0" t="n">
        <v>0</v>
      </c>
      <c r="AAG59" s="0" t="n">
        <v>0</v>
      </c>
      <c r="AAH59" s="0" t="n">
        <v>0</v>
      </c>
      <c r="AAI59" s="0" t="n">
        <v>0</v>
      </c>
      <c r="AAJ59" s="0" t="n">
        <v>10.84</v>
      </c>
      <c r="AAK59" s="0" t="n">
        <v>26.14</v>
      </c>
      <c r="AAL59" s="0" t="n">
        <v>0</v>
      </c>
      <c r="AAM59" s="0" t="n">
        <v>0</v>
      </c>
      <c r="AAN59" s="0" t="n">
        <v>0</v>
      </c>
      <c r="AAO59" s="0" t="n">
        <v>0</v>
      </c>
      <c r="ABB59" s="0" t="n">
        <v>2.5</v>
      </c>
      <c r="ABC59" s="0" t="n">
        <v>1</v>
      </c>
      <c r="ABD59" s="0" t="n">
        <v>68</v>
      </c>
      <c r="ABE59" s="0" t="n">
        <v>1</v>
      </c>
      <c r="ABF59" s="0" t="n">
        <f aca="false">1.34</f>
        <v>1.34</v>
      </c>
      <c r="ABG59" s="0" t="n">
        <v>1</v>
      </c>
      <c r="ABH59" s="0" t="n">
        <v>52</v>
      </c>
      <c r="ABI59" s="0" t="n">
        <v>2</v>
      </c>
      <c r="ABJ59" s="0" t="n">
        <v>0.45</v>
      </c>
      <c r="ABK59" s="0" t="n">
        <v>2</v>
      </c>
      <c r="ABN59" s="18"/>
      <c r="ACF59" s="0" t="n">
        <v>0</v>
      </c>
      <c r="ADQ59" s="16" t="n">
        <v>1.21</v>
      </c>
      <c r="ADR59" s="16" t="n">
        <v>1</v>
      </c>
      <c r="ADS59" s="16" t="n">
        <v>2</v>
      </c>
      <c r="ADT59" s="16"/>
      <c r="ADU59" s="16" t="n">
        <v>4.04</v>
      </c>
      <c r="ADV59" s="16"/>
      <c r="ADW59" s="16"/>
      <c r="ADX59" s="16"/>
      <c r="ADY59" s="16"/>
      <c r="ADZ59" s="16"/>
      <c r="AEA59" s="16"/>
      <c r="AEB59" s="16" t="n">
        <v>11.17</v>
      </c>
      <c r="AEC59" s="16" t="n">
        <v>19.84</v>
      </c>
      <c r="AED59" s="16"/>
      <c r="AEE59" s="16"/>
      <c r="AEF59" s="16" t="n">
        <v>0</v>
      </c>
      <c r="AEG59" s="16" t="n">
        <v>0</v>
      </c>
      <c r="AEH59" s="16" t="n">
        <v>0</v>
      </c>
      <c r="AEI59" s="0" t="n">
        <v>0</v>
      </c>
      <c r="AEJ59" s="0" t="s">
        <v>409</v>
      </c>
      <c r="AEK59" s="0" t="n">
        <v>23</v>
      </c>
      <c r="AEL59" s="16" t="n">
        <v>90.8</v>
      </c>
      <c r="AEM59" s="16" t="n">
        <v>80.4</v>
      </c>
      <c r="AEN59" s="16" t="n">
        <v>11.6</v>
      </c>
      <c r="AEO59" s="0" t="n">
        <v>71.46</v>
      </c>
      <c r="AEP59" s="0" t="n">
        <v>27.42</v>
      </c>
      <c r="AEQ59" s="0" t="n">
        <v>1.12</v>
      </c>
      <c r="AER59" s="0" t="n">
        <v>0</v>
      </c>
      <c r="AES59" s="0" t="n">
        <v>0</v>
      </c>
      <c r="AET59" s="0" t="n">
        <v>0</v>
      </c>
      <c r="AEU59" s="0" t="n">
        <v>0</v>
      </c>
      <c r="AEV59" s="0" t="n">
        <v>0</v>
      </c>
      <c r="AEW59" s="0" t="n">
        <v>0</v>
      </c>
      <c r="AEX59" s="0" t="n">
        <v>0</v>
      </c>
      <c r="AEY59" s="0" t="n">
        <v>0</v>
      </c>
      <c r="AEZ59" s="0" t="n">
        <v>0</v>
      </c>
      <c r="AFA59" s="0" t="n">
        <v>11.58</v>
      </c>
      <c r="AFB59" s="0" t="n">
        <v>41.25</v>
      </c>
      <c r="AFC59" s="0" t="n">
        <v>0</v>
      </c>
      <c r="AFD59" s="0" t="n">
        <v>0</v>
      </c>
      <c r="AFE59" s="0" t="n">
        <v>0</v>
      </c>
      <c r="AFF59" s="0" t="n">
        <v>0</v>
      </c>
      <c r="AFS59" s="0" t="n">
        <v>1.7</v>
      </c>
      <c r="AFT59" s="0" t="n">
        <v>1</v>
      </c>
      <c r="AFU59" s="0" t="n">
        <v>35</v>
      </c>
      <c r="AFV59" s="0" t="n">
        <v>1</v>
      </c>
      <c r="AFW59" s="0" t="n">
        <v>0.05</v>
      </c>
      <c r="AFX59" s="0" t="n">
        <v>3</v>
      </c>
      <c r="AFY59" s="0" t="n">
        <v>103</v>
      </c>
      <c r="AFZ59" s="0" t="n">
        <v>5</v>
      </c>
      <c r="AGA59" s="0" t="n">
        <v>0.25</v>
      </c>
      <c r="AGB59" s="0" t="n">
        <v>1</v>
      </c>
      <c r="AGC59" s="0" t="n">
        <v>68</v>
      </c>
      <c r="AGD59" s="0" t="n">
        <v>4</v>
      </c>
      <c r="AGE59" s="18" t="n">
        <v>0.26</v>
      </c>
      <c r="AGF59" s="0" t="n">
        <v>1</v>
      </c>
      <c r="AGG59" s="0" t="n">
        <v>52</v>
      </c>
      <c r="AGH59" s="0" t="n">
        <v>4</v>
      </c>
      <c r="AGI59" s="0" t="n">
        <f aca="false">0.09+0.05+0.04</f>
        <v>0.18</v>
      </c>
      <c r="AGJ59" s="0" t="n">
        <v>2</v>
      </c>
      <c r="AGW59" s="0" t="n">
        <v>0</v>
      </c>
      <c r="AIH59" s="16" t="n">
        <v>0.04</v>
      </c>
      <c r="AII59" s="16" t="n">
        <v>1</v>
      </c>
      <c r="AIJ59" s="16" t="n">
        <v>1</v>
      </c>
      <c r="AIK59" s="16"/>
      <c r="AIL59" s="16" t="n">
        <v>0.13</v>
      </c>
      <c r="AIM59" s="16"/>
      <c r="AIN59" s="16"/>
      <c r="AIO59" s="16"/>
      <c r="AIP59" s="16"/>
      <c r="AIQ59" s="16"/>
      <c r="AIR59" s="16"/>
      <c r="AIS59" s="16" t="n">
        <v>9.52</v>
      </c>
      <c r="AIT59" s="16" t="n">
        <v>21.65</v>
      </c>
      <c r="AIU59" s="16"/>
      <c r="AIV59" s="16"/>
      <c r="AIW59" s="16" t="n">
        <v>0</v>
      </c>
      <c r="AIX59" s="16" t="n">
        <v>0</v>
      </c>
      <c r="AIY59" s="16" t="n">
        <v>0</v>
      </c>
      <c r="AIZ59" s="0" t="n">
        <v>0</v>
      </c>
      <c r="AJA59" s="0" t="s">
        <v>410</v>
      </c>
      <c r="AJB59" s="0" t="n">
        <v>24</v>
      </c>
      <c r="AJC59" s="16" t="n">
        <v>82.9</v>
      </c>
      <c r="AJD59" s="16" t="n">
        <v>80.4</v>
      </c>
      <c r="AJE59" s="16" t="n">
        <v>9.6</v>
      </c>
      <c r="AJF59" s="0" t="n">
        <v>86.23</v>
      </c>
      <c r="AJG59" s="0" t="n">
        <v>11.76</v>
      </c>
      <c r="AJH59" s="0" t="n">
        <v>0</v>
      </c>
      <c r="AJI59" s="0" t="n">
        <v>0</v>
      </c>
      <c r="AJJ59" s="0" t="n">
        <v>1.01</v>
      </c>
      <c r="AJK59" s="0" t="n">
        <v>1.01</v>
      </c>
      <c r="AJL59" s="0" t="n">
        <v>0</v>
      </c>
      <c r="AJM59" s="0" t="n">
        <v>0</v>
      </c>
      <c r="AJN59" s="0" t="n">
        <v>0</v>
      </c>
      <c r="AJO59" s="0" t="n">
        <v>0</v>
      </c>
      <c r="AJP59" s="0" t="n">
        <v>0</v>
      </c>
      <c r="AJQ59" s="0" t="n">
        <v>0</v>
      </c>
      <c r="AJR59" s="0" t="n">
        <v>8.84</v>
      </c>
      <c r="AJS59" s="0" t="n">
        <v>23.37</v>
      </c>
      <c r="AJT59" s="0" t="n">
        <v>0</v>
      </c>
      <c r="AJU59" s="0" t="n">
        <v>0</v>
      </c>
      <c r="AJV59" s="0" t="n">
        <v>0</v>
      </c>
      <c r="AJW59" s="0" t="n">
        <v>0</v>
      </c>
      <c r="AKJ59" s="0" t="n">
        <v>0</v>
      </c>
      <c r="AKK59" s="0" t="n">
        <v>1</v>
      </c>
      <c r="AKL59" s="0" t="n">
        <v>52</v>
      </c>
      <c r="AKM59" s="0" t="n">
        <v>1</v>
      </c>
      <c r="AKN59" s="0" t="n">
        <v>0.02</v>
      </c>
      <c r="AKO59" s="0" t="n">
        <v>2</v>
      </c>
      <c r="AKV59" s="18"/>
      <c r="ALN59" s="0" t="n">
        <v>0</v>
      </c>
    </row>
    <row r="60" customFormat="false" ht="13.8" hidden="false" customHeight="false" outlineLevel="0" collapsed="false">
      <c r="A60" s="1" t="s">
        <v>419</v>
      </c>
      <c r="B60" s="12" t="n">
        <v>42900</v>
      </c>
      <c r="C60" s="0" t="n">
        <v>2</v>
      </c>
      <c r="D60" s="13" t="n">
        <v>37147</v>
      </c>
      <c r="E60" s="12" t="n">
        <v>26227</v>
      </c>
      <c r="F60" s="14" t="n">
        <f aca="false">(B60-E60)/365.25</f>
        <v>45.6481861738535</v>
      </c>
      <c r="G60" s="14" t="n">
        <f aca="false">(B60-D60)/365.25</f>
        <v>15.750855578371</v>
      </c>
      <c r="H60" s="15" t="s">
        <v>217</v>
      </c>
      <c r="I60" s="15" t="s">
        <v>402</v>
      </c>
      <c r="J60" s="15" t="s">
        <v>181</v>
      </c>
      <c r="K60" s="21" t="n">
        <v>4</v>
      </c>
      <c r="L60" s="19" t="n">
        <v>77</v>
      </c>
      <c r="M60" s="0" t="n">
        <v>1.7</v>
      </c>
      <c r="N60" s="16" t="n">
        <f aca="false">L60/(M60*M60)</f>
        <v>26.6435986159169</v>
      </c>
      <c r="O60" s="19" t="n">
        <v>0</v>
      </c>
      <c r="P60" s="19" t="n">
        <v>0</v>
      </c>
      <c r="Q60" s="19" t="n">
        <v>0</v>
      </c>
      <c r="R60" s="19" t="n">
        <v>0</v>
      </c>
      <c r="S60" s="19" t="n">
        <v>0</v>
      </c>
      <c r="T60" s="19" t="n">
        <v>0</v>
      </c>
      <c r="U60" s="19" t="n">
        <v>0</v>
      </c>
      <c r="V60" s="19" t="n">
        <v>0</v>
      </c>
      <c r="W60" s="19" t="n">
        <v>1</v>
      </c>
      <c r="X60" s="19" t="n">
        <v>0</v>
      </c>
      <c r="Y60" s="19" t="n">
        <v>1</v>
      </c>
      <c r="Z60" s="19" t="n">
        <v>2</v>
      </c>
      <c r="AA60" s="19" t="n">
        <v>60</v>
      </c>
      <c r="AB60" s="19" t="s">
        <v>420</v>
      </c>
      <c r="AC60" s="19" t="n">
        <v>0</v>
      </c>
      <c r="AD60" s="19" t="n">
        <v>0</v>
      </c>
      <c r="AE60" s="19" t="n">
        <v>0</v>
      </c>
      <c r="AF60" s="19" t="n">
        <v>0</v>
      </c>
      <c r="AG60" s="19" t="n">
        <v>0</v>
      </c>
      <c r="AH60" s="19" t="n">
        <v>0</v>
      </c>
      <c r="AI60" s="19" t="n">
        <v>3</v>
      </c>
      <c r="AJ60" s="19" t="n">
        <v>3</v>
      </c>
      <c r="AK60" s="19" t="n">
        <v>3</v>
      </c>
      <c r="AL60" s="19" t="n">
        <v>9</v>
      </c>
      <c r="AM60" s="19" t="n">
        <v>9</v>
      </c>
      <c r="AN60" s="19" t="n">
        <v>0</v>
      </c>
      <c r="AO60" s="19" t="n">
        <v>0</v>
      </c>
      <c r="AP60" s="19" t="n">
        <v>0</v>
      </c>
      <c r="AQ60" s="19" t="n">
        <v>0</v>
      </c>
      <c r="AR60" s="19" t="n">
        <v>0</v>
      </c>
      <c r="AS60" s="19" t="n">
        <v>3</v>
      </c>
      <c r="AT60" s="19" t="n">
        <v>3</v>
      </c>
      <c r="AU60" s="19" t="n">
        <v>3</v>
      </c>
      <c r="AV60" s="19" t="n">
        <v>9</v>
      </c>
      <c r="AW60" s="19" t="n">
        <v>5</v>
      </c>
      <c r="AX60" s="19" t="n">
        <v>0</v>
      </c>
      <c r="AY60" s="19" t="n">
        <v>0</v>
      </c>
      <c r="AZ60" s="19" t="n">
        <v>0</v>
      </c>
      <c r="BA60" s="19" t="n">
        <v>0</v>
      </c>
      <c r="BB60" s="19" t="n">
        <v>1</v>
      </c>
      <c r="BC60" s="19" t="n">
        <v>1</v>
      </c>
      <c r="BD60" s="19" t="n">
        <v>0</v>
      </c>
      <c r="BE60" s="19" t="n">
        <v>0</v>
      </c>
      <c r="BF60" s="19" t="n">
        <v>0</v>
      </c>
      <c r="BG60" s="19" t="n">
        <v>0</v>
      </c>
      <c r="BH60" s="19" t="n">
        <v>0</v>
      </c>
      <c r="BI60" s="19" t="n">
        <v>0</v>
      </c>
      <c r="BJ60" s="19" t="n">
        <v>0</v>
      </c>
      <c r="BK60" s="19" t="n">
        <v>0</v>
      </c>
      <c r="BL60" s="19" t="n">
        <v>0</v>
      </c>
      <c r="BM60" s="19" t="n">
        <v>0</v>
      </c>
      <c r="BN60" s="19" t="n">
        <v>0</v>
      </c>
      <c r="BO60" s="19" t="n">
        <v>0</v>
      </c>
      <c r="BP60" s="19" t="n">
        <v>0</v>
      </c>
      <c r="BQ60" s="19" t="n">
        <v>0</v>
      </c>
      <c r="BR60" s="19" t="n">
        <v>5</v>
      </c>
      <c r="BS60" s="19" t="n">
        <v>3</v>
      </c>
      <c r="BT60" s="19" t="n">
        <v>5</v>
      </c>
      <c r="BU60" s="19" t="n">
        <v>5</v>
      </c>
      <c r="BV60" s="19" t="n">
        <v>3</v>
      </c>
      <c r="BW60" s="19" t="n">
        <v>2</v>
      </c>
      <c r="BX60" s="19" t="n">
        <v>3</v>
      </c>
      <c r="BY60" s="19" t="n">
        <v>4</v>
      </c>
      <c r="BZ60" s="19" t="n">
        <v>5</v>
      </c>
      <c r="CA60" s="19" t="n">
        <v>2</v>
      </c>
      <c r="CB60" s="19" t="n">
        <v>1</v>
      </c>
      <c r="CC60" s="19" t="n">
        <v>5</v>
      </c>
      <c r="CD60" s="19" t="n">
        <v>3</v>
      </c>
      <c r="CE60" s="19" t="n">
        <v>3</v>
      </c>
      <c r="CF60" s="19" t="n">
        <v>4</v>
      </c>
      <c r="CG60" s="19" t="n">
        <v>4</v>
      </c>
      <c r="CH60" s="19" t="n">
        <v>4</v>
      </c>
      <c r="CI60" s="19" t="n">
        <v>3</v>
      </c>
      <c r="CJ60" s="19" t="n">
        <v>3</v>
      </c>
      <c r="CK60" s="19" t="n">
        <v>7</v>
      </c>
      <c r="CL60" s="0" t="s">
        <v>414</v>
      </c>
      <c r="CM60" s="0" t="n">
        <v>21.5</v>
      </c>
      <c r="CN60" s="16" t="n">
        <v>78.4</v>
      </c>
      <c r="CO60" s="16" t="n">
        <v>80.4</v>
      </c>
      <c r="CP60" s="16" t="n">
        <v>9.6</v>
      </c>
      <c r="CQ60" s="0" t="n">
        <v>84.68</v>
      </c>
      <c r="CR60" s="0" t="n">
        <v>14.18</v>
      </c>
      <c r="CS60" s="0" t="n">
        <v>1.12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9.51</v>
      </c>
      <c r="DD60" s="0" t="n">
        <v>25.42</v>
      </c>
      <c r="DE60" s="0" t="n">
        <v>0</v>
      </c>
      <c r="DF60" s="0" t="n">
        <v>0</v>
      </c>
      <c r="DG60" s="0" t="n">
        <v>0</v>
      </c>
      <c r="DH60" s="0" t="n">
        <v>2</v>
      </c>
      <c r="DI60" s="0" t="n">
        <v>5</v>
      </c>
      <c r="DO60" s="0" t="n">
        <v>5</v>
      </c>
      <c r="DU60" s="0" t="n">
        <v>3.2</v>
      </c>
      <c r="DV60" s="0" t="n">
        <v>1</v>
      </c>
      <c r="DW60" s="0" t="n">
        <v>52</v>
      </c>
      <c r="DX60" s="0" t="n">
        <v>3</v>
      </c>
      <c r="DY60" s="0" t="n">
        <f aca="false">0.07+0.76</f>
        <v>0.83</v>
      </c>
      <c r="DZ60" s="0" t="n">
        <v>2</v>
      </c>
      <c r="EA60" s="0" t="n">
        <v>103</v>
      </c>
      <c r="EB60" s="0" t="n">
        <v>3</v>
      </c>
      <c r="EC60" s="0" t="n">
        <f aca="false">0.36+0.34</f>
        <v>0.7</v>
      </c>
      <c r="ED60" s="0" t="n">
        <v>1</v>
      </c>
      <c r="EE60" s="0" t="n">
        <v>68</v>
      </c>
      <c r="EF60" s="0" t="n">
        <v>2</v>
      </c>
      <c r="EG60" s="18" t="n">
        <f aca="false">0.24</f>
        <v>0.24</v>
      </c>
      <c r="EH60" s="0" t="n">
        <v>1</v>
      </c>
      <c r="EI60" s="0" t="n">
        <v>34</v>
      </c>
      <c r="EJ60" s="0" t="n">
        <v>2</v>
      </c>
      <c r="EK60" s="0" t="n">
        <f aca="false">0.24</f>
        <v>0.24</v>
      </c>
      <c r="EL60" s="0" t="n">
        <v>1</v>
      </c>
      <c r="EY60" s="0" t="n">
        <v>0</v>
      </c>
      <c r="GJ60" s="16" t="n">
        <v>0.36</v>
      </c>
      <c r="GK60" s="16" t="n">
        <v>1</v>
      </c>
      <c r="GL60" s="16" t="n">
        <v>1</v>
      </c>
      <c r="GM60" s="16"/>
      <c r="GN60" s="16" t="n">
        <v>1.52</v>
      </c>
      <c r="GO60" s="16"/>
      <c r="GP60" s="16"/>
      <c r="GQ60" s="16"/>
      <c r="GR60" s="16"/>
      <c r="GS60" s="16"/>
      <c r="GT60" s="16"/>
      <c r="GU60" s="16" t="n">
        <v>8.32</v>
      </c>
      <c r="GV60" s="16" t="n">
        <v>8.31</v>
      </c>
      <c r="GW60" s="16"/>
      <c r="GX60" s="16"/>
      <c r="GY60" s="16" t="n">
        <v>0</v>
      </c>
      <c r="GZ60" s="16" t="n">
        <v>0</v>
      </c>
      <c r="HA60" s="16" t="n">
        <v>0</v>
      </c>
      <c r="HB60" s="0" t="n">
        <v>0</v>
      </c>
      <c r="HC60" s="0" t="s">
        <v>404</v>
      </c>
      <c r="HD60" s="0" t="n">
        <v>50.5</v>
      </c>
      <c r="HE60" s="16" t="n">
        <v>95.8</v>
      </c>
      <c r="HF60" s="16" t="n">
        <v>80.4</v>
      </c>
      <c r="HG60" s="16" t="n">
        <v>22.6</v>
      </c>
      <c r="HH60" s="0" t="n">
        <v>70.65</v>
      </c>
      <c r="HI60" s="0" t="n">
        <v>13.02</v>
      </c>
      <c r="HJ60" s="0" t="n">
        <v>16.33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3.81</v>
      </c>
      <c r="HU60" s="0" t="n">
        <v>53.36</v>
      </c>
      <c r="HV60" s="0" t="n">
        <v>0</v>
      </c>
      <c r="HW60" s="0" t="n">
        <v>0</v>
      </c>
      <c r="HX60" s="0" t="n">
        <v>7.8</v>
      </c>
      <c r="HY60" s="0" t="n">
        <v>2</v>
      </c>
      <c r="HZ60" s="0" t="n">
        <v>10</v>
      </c>
      <c r="IA60" s="0" t="n">
        <v>2.69</v>
      </c>
      <c r="IF60" s="0" t="n">
        <v>10</v>
      </c>
      <c r="IG60" s="0" t="n">
        <v>2.69</v>
      </c>
      <c r="IL60" s="0" t="n">
        <v>0</v>
      </c>
      <c r="IM60" s="0" t="n">
        <v>0</v>
      </c>
      <c r="IX60" s="18"/>
      <c r="JP60" s="0" t="n">
        <v>0</v>
      </c>
      <c r="LA60" s="16" t="n">
        <v>10.02</v>
      </c>
      <c r="LB60" s="16" t="n">
        <v>1</v>
      </c>
      <c r="LC60" s="16" t="n">
        <v>2</v>
      </c>
      <c r="LD60" s="16"/>
      <c r="LE60" s="16" t="n">
        <f aca="false">0.05*4+0.33*4+1.5*4+0.76*4+1.14*4</f>
        <v>15.12</v>
      </c>
      <c r="LF60" s="16"/>
      <c r="LG60" s="16"/>
      <c r="LH60" s="16"/>
      <c r="LI60" s="16"/>
      <c r="LJ60" s="16"/>
      <c r="LK60" s="16"/>
      <c r="LL60" s="16" t="n">
        <v>9.92</v>
      </c>
      <c r="LM60" s="16" t="n">
        <v>20.94</v>
      </c>
      <c r="LN60" s="16"/>
      <c r="LO60" s="16"/>
      <c r="LP60" s="16" t="n">
        <v>0</v>
      </c>
      <c r="LQ60" s="16" t="n">
        <v>0</v>
      </c>
      <c r="LR60" s="16" t="n">
        <v>0</v>
      </c>
      <c r="LS60" s="0" t="n">
        <v>0</v>
      </c>
      <c r="LT60" s="0" t="s">
        <v>415</v>
      </c>
      <c r="LU60" s="0" t="n">
        <v>57.5</v>
      </c>
      <c r="LV60" s="16" t="n">
        <v>93.3</v>
      </c>
      <c r="LW60" s="16" t="n">
        <v>80.4</v>
      </c>
      <c r="LX60" s="16" t="n">
        <v>37.2</v>
      </c>
      <c r="LY60" s="0" t="n">
        <v>37.4</v>
      </c>
      <c r="LZ60" s="0" t="n">
        <v>31.73</v>
      </c>
      <c r="MA60" s="0" t="n">
        <v>29.89</v>
      </c>
      <c r="MB60" s="0" t="n">
        <v>0</v>
      </c>
      <c r="MC60" s="0" t="n">
        <v>0.98</v>
      </c>
      <c r="MD60" s="0" t="n">
        <v>0</v>
      </c>
      <c r="ME60" s="0" t="n">
        <v>0</v>
      </c>
      <c r="MF60" s="0" t="n">
        <v>0</v>
      </c>
      <c r="MG60" s="0" t="n">
        <v>0</v>
      </c>
      <c r="MH60" s="0" t="n">
        <v>0</v>
      </c>
      <c r="MI60" s="0" t="n">
        <v>0</v>
      </c>
      <c r="MJ60" s="0" t="n">
        <v>0</v>
      </c>
      <c r="MK60" s="0" t="n">
        <v>21.26</v>
      </c>
      <c r="ML60" s="0" t="n">
        <v>57.4</v>
      </c>
      <c r="MM60" s="0" t="n">
        <v>0</v>
      </c>
      <c r="MN60" s="0" t="n">
        <v>0</v>
      </c>
      <c r="MO60" s="0" t="n">
        <v>0</v>
      </c>
      <c r="MP60" s="0" t="n">
        <v>0</v>
      </c>
      <c r="NC60" s="0" t="n">
        <v>2.3</v>
      </c>
      <c r="ND60" s="0" t="n">
        <v>1</v>
      </c>
      <c r="NE60" s="0" t="n">
        <v>35</v>
      </c>
      <c r="NF60" s="0" t="n">
        <v>1</v>
      </c>
      <c r="NG60" s="0" t="n">
        <v>0.49</v>
      </c>
      <c r="NH60" s="0" t="n">
        <v>3</v>
      </c>
      <c r="NO60" s="18"/>
      <c r="OG60" s="0" t="n">
        <v>0</v>
      </c>
      <c r="PR60" s="16" t="n">
        <v>2.91</v>
      </c>
      <c r="PS60" s="16" t="n">
        <v>1</v>
      </c>
      <c r="PT60" s="16" t="n">
        <v>1</v>
      </c>
      <c r="PU60" s="16"/>
      <c r="PV60" s="16" t="n">
        <f aca="false">2.49+0.21+0.47*2+2.49+0.26+0.53+0.01+4.77+14.32+1.53+3.06+0.13</f>
        <v>30.74</v>
      </c>
      <c r="PW60" s="16"/>
      <c r="PX60" s="16"/>
      <c r="PY60" s="16"/>
      <c r="PZ60" s="16"/>
      <c r="QA60" s="16"/>
      <c r="QB60" s="16"/>
      <c r="QC60" s="16" t="n">
        <v>14.81</v>
      </c>
      <c r="QD60" s="16" t="n">
        <v>52.45</v>
      </c>
      <c r="QE60" s="16"/>
      <c r="QF60" s="16"/>
      <c r="QG60" s="16" t="n">
        <v>0</v>
      </c>
      <c r="QH60" s="16" t="n">
        <v>0</v>
      </c>
      <c r="QI60" s="16" t="n">
        <v>0</v>
      </c>
      <c r="QJ60" s="0" t="n">
        <v>0</v>
      </c>
      <c r="QK60" s="0" t="s">
        <v>406</v>
      </c>
      <c r="QL60" s="0" t="n">
        <v>12.5</v>
      </c>
      <c r="QM60" s="16" t="n">
        <v>69.9</v>
      </c>
      <c r="QN60" s="16" t="n">
        <v>80.4</v>
      </c>
      <c r="QO60" s="16" t="n">
        <v>9</v>
      </c>
      <c r="QP60" s="0" t="n">
        <v>90.9</v>
      </c>
      <c r="QQ60" s="0" t="n">
        <v>7.98</v>
      </c>
      <c r="QR60" s="0" t="n">
        <v>1.12</v>
      </c>
      <c r="QS60" s="0" t="n">
        <v>4.56</v>
      </c>
      <c r="QT60" s="0" t="n">
        <v>17.67</v>
      </c>
      <c r="QU60" s="0" t="n">
        <v>0</v>
      </c>
      <c r="QV60" s="0" t="n">
        <v>0</v>
      </c>
      <c r="QW60" s="0" t="n">
        <v>0</v>
      </c>
      <c r="QX60" s="0" t="n">
        <v>0</v>
      </c>
      <c r="QY60" s="0" t="n">
        <v>0</v>
      </c>
      <c r="QZ60" s="0" t="n">
        <v>0</v>
      </c>
      <c r="RA60" s="0" t="n">
        <v>0</v>
      </c>
      <c r="RB60" s="0" t="n">
        <v>4.56</v>
      </c>
      <c r="RC60" s="0" t="n">
        <v>17.67</v>
      </c>
      <c r="RD60" s="0" t="n">
        <v>0</v>
      </c>
      <c r="RE60" s="0" t="n">
        <v>0</v>
      </c>
      <c r="RF60" s="0" t="n">
        <v>0</v>
      </c>
      <c r="RG60" s="0" t="n">
        <v>0</v>
      </c>
      <c r="RT60" s="0" t="n">
        <v>0</v>
      </c>
      <c r="RU60" s="0" t="n">
        <v>0</v>
      </c>
      <c r="SF60" s="18"/>
      <c r="SX60" s="0" t="n">
        <v>0</v>
      </c>
      <c r="UI60" s="16" t="n">
        <v>0</v>
      </c>
      <c r="UJ60" s="16" t="n">
        <v>0</v>
      </c>
      <c r="UK60" s="16"/>
      <c r="UL60" s="16"/>
      <c r="UM60" s="16"/>
      <c r="UN60" s="16"/>
      <c r="UO60" s="16"/>
      <c r="UP60" s="16"/>
      <c r="UQ60" s="16"/>
      <c r="UR60" s="16"/>
      <c r="US60" s="16"/>
      <c r="UT60" s="16" t="n">
        <v>3.41</v>
      </c>
      <c r="UU60" s="16" t="n">
        <v>3.41</v>
      </c>
      <c r="UV60" s="16"/>
      <c r="UW60" s="16"/>
      <c r="UX60" s="16" t="n">
        <v>0</v>
      </c>
      <c r="UY60" s="16" t="n">
        <v>0</v>
      </c>
      <c r="UZ60" s="16" t="n">
        <v>0</v>
      </c>
      <c r="VA60" s="0" t="n">
        <v>0</v>
      </c>
      <c r="VB60" s="0" t="s">
        <v>407</v>
      </c>
      <c r="VC60" s="0" t="n">
        <v>17</v>
      </c>
      <c r="VD60" s="16" t="n">
        <v>84.3</v>
      </c>
      <c r="VE60" s="16" t="n">
        <v>80.4</v>
      </c>
      <c r="VF60" s="16" t="n">
        <v>9.8</v>
      </c>
      <c r="VG60" s="0" t="n">
        <v>84.81</v>
      </c>
      <c r="VH60" s="0" t="n">
        <v>14.07</v>
      </c>
      <c r="VI60" s="0" t="n">
        <v>1.12</v>
      </c>
      <c r="VJ60" s="0" t="n">
        <v>0</v>
      </c>
      <c r="VK60" s="0" t="n">
        <v>0</v>
      </c>
      <c r="VL60" s="0" t="n">
        <v>0</v>
      </c>
      <c r="VM60" s="0" t="n">
        <v>0</v>
      </c>
      <c r="VN60" s="0" t="n">
        <v>0</v>
      </c>
      <c r="VO60" s="0" t="n">
        <v>0</v>
      </c>
      <c r="VP60" s="0" t="n">
        <v>0</v>
      </c>
      <c r="VQ60" s="0" t="n">
        <v>0</v>
      </c>
      <c r="VR60" s="0" t="n">
        <v>0</v>
      </c>
      <c r="VS60" s="0" t="n">
        <v>7.34</v>
      </c>
      <c r="VT60" s="0" t="n">
        <v>26.23</v>
      </c>
      <c r="VU60" s="0" t="n">
        <v>0</v>
      </c>
      <c r="VV60" s="0" t="n">
        <v>0</v>
      </c>
      <c r="VW60" s="0" t="n">
        <v>0</v>
      </c>
      <c r="VX60" s="0" t="n">
        <v>0</v>
      </c>
      <c r="WK60" s="0" t="n">
        <v>0</v>
      </c>
      <c r="WL60" s="0" t="n">
        <v>0</v>
      </c>
      <c r="WW60" s="18"/>
      <c r="XO60" s="0" t="n">
        <v>0</v>
      </c>
      <c r="YZ60" s="16" t="n">
        <v>1.51</v>
      </c>
      <c r="ZA60" s="16" t="n">
        <v>1</v>
      </c>
      <c r="ZB60" s="16" t="n">
        <v>2</v>
      </c>
      <c r="ZC60" s="16"/>
      <c r="ZD60" s="16" t="n">
        <f aca="false">0.99+4.04</f>
        <v>5.03</v>
      </c>
      <c r="ZE60" s="16"/>
      <c r="ZF60" s="16"/>
      <c r="ZG60" s="16"/>
      <c r="ZH60" s="16"/>
      <c r="ZI60" s="16"/>
      <c r="ZJ60" s="16"/>
      <c r="ZK60" s="16" t="n">
        <v>5.5</v>
      </c>
      <c r="ZL60" s="16" t="n">
        <v>9.84</v>
      </c>
      <c r="ZM60" s="16"/>
      <c r="ZN60" s="16"/>
      <c r="ZO60" s="16" t="n">
        <v>0</v>
      </c>
      <c r="ZP60" s="16" t="n">
        <v>0</v>
      </c>
      <c r="ZQ60" s="16" t="n">
        <v>0</v>
      </c>
      <c r="ZR60" s="0" t="n">
        <v>0</v>
      </c>
      <c r="ZS60" s="0" t="s">
        <v>416</v>
      </c>
      <c r="ZT60" s="0" t="n">
        <v>26</v>
      </c>
      <c r="ZU60" s="16" t="n">
        <v>75.1</v>
      </c>
      <c r="ZV60" s="16" t="n">
        <v>80.4</v>
      </c>
      <c r="ZW60" s="16" t="n">
        <v>10.7</v>
      </c>
      <c r="ZX60" s="0" t="n">
        <v>76.38</v>
      </c>
      <c r="ZY60" s="0" t="n">
        <v>22.5</v>
      </c>
      <c r="ZZ60" s="0" t="n">
        <v>1.12</v>
      </c>
      <c r="AAA60" s="0" t="n">
        <v>0</v>
      </c>
      <c r="AAB60" s="0" t="n">
        <v>0</v>
      </c>
      <c r="AAC60" s="0" t="n">
        <v>0</v>
      </c>
      <c r="AAD60" s="0" t="n">
        <v>0</v>
      </c>
      <c r="AAE60" s="0" t="n">
        <v>0</v>
      </c>
      <c r="AAF60" s="0" t="n">
        <v>0</v>
      </c>
      <c r="AAG60" s="0" t="n">
        <v>0</v>
      </c>
      <c r="AAH60" s="0" t="n">
        <v>0</v>
      </c>
      <c r="AAI60" s="0" t="n">
        <v>0</v>
      </c>
      <c r="AAJ60" s="0" t="n">
        <v>10.84</v>
      </c>
      <c r="AAK60" s="0" t="n">
        <v>26.14</v>
      </c>
      <c r="AAL60" s="0" t="n">
        <v>0</v>
      </c>
      <c r="AAM60" s="0" t="n">
        <v>0</v>
      </c>
      <c r="AAN60" s="0" t="n">
        <v>0</v>
      </c>
      <c r="AAO60" s="0" t="n">
        <v>0</v>
      </c>
      <c r="ABB60" s="0" t="n">
        <v>2.5</v>
      </c>
      <c r="ABC60" s="0" t="n">
        <v>1</v>
      </c>
      <c r="ABD60" s="0" t="n">
        <v>68</v>
      </c>
      <c r="ABE60" s="0" t="n">
        <v>1</v>
      </c>
      <c r="ABF60" s="0" t="n">
        <f aca="false">1.34</f>
        <v>1.34</v>
      </c>
      <c r="ABG60" s="0" t="n">
        <v>1</v>
      </c>
      <c r="ABH60" s="0" t="n">
        <v>52</v>
      </c>
      <c r="ABI60" s="0" t="n">
        <v>2</v>
      </c>
      <c r="ABJ60" s="0" t="n">
        <v>0.45</v>
      </c>
      <c r="ABK60" s="0" t="n">
        <v>2</v>
      </c>
      <c r="ABN60" s="18"/>
      <c r="ACF60" s="0" t="n">
        <v>0</v>
      </c>
      <c r="ADQ60" s="16" t="n">
        <v>1.21</v>
      </c>
      <c r="ADR60" s="16" t="n">
        <v>1</v>
      </c>
      <c r="ADS60" s="16" t="n">
        <v>2</v>
      </c>
      <c r="ADT60" s="16"/>
      <c r="ADU60" s="16" t="n">
        <v>4.04</v>
      </c>
      <c r="ADV60" s="16"/>
      <c r="ADW60" s="16"/>
      <c r="ADX60" s="16"/>
      <c r="ADY60" s="16"/>
      <c r="ADZ60" s="16"/>
      <c r="AEA60" s="16"/>
      <c r="AEB60" s="16" t="n">
        <v>11.17</v>
      </c>
      <c r="AEC60" s="16" t="n">
        <v>19.84</v>
      </c>
      <c r="AED60" s="16"/>
      <c r="AEE60" s="16"/>
      <c r="AEF60" s="16" t="n">
        <v>0</v>
      </c>
      <c r="AEG60" s="16" t="n">
        <v>0</v>
      </c>
      <c r="AEH60" s="16" t="n">
        <v>0</v>
      </c>
      <c r="AEI60" s="0" t="n">
        <v>0</v>
      </c>
      <c r="AEJ60" s="0" t="s">
        <v>409</v>
      </c>
      <c r="AEK60" s="0" t="n">
        <v>23</v>
      </c>
      <c r="AEL60" s="16" t="n">
        <v>90.8</v>
      </c>
      <c r="AEM60" s="16" t="n">
        <v>80.4</v>
      </c>
      <c r="AEN60" s="16" t="n">
        <v>11.6</v>
      </c>
      <c r="AEO60" s="0" t="n">
        <v>71.46</v>
      </c>
      <c r="AEP60" s="0" t="n">
        <v>27.42</v>
      </c>
      <c r="AEQ60" s="0" t="n">
        <v>1.12</v>
      </c>
      <c r="AER60" s="0" t="n">
        <v>0</v>
      </c>
      <c r="AES60" s="0" t="n">
        <v>0</v>
      </c>
      <c r="AET60" s="0" t="n">
        <v>0</v>
      </c>
      <c r="AEU60" s="0" t="n">
        <v>0</v>
      </c>
      <c r="AEV60" s="0" t="n">
        <v>0</v>
      </c>
      <c r="AEW60" s="0" t="n">
        <v>0</v>
      </c>
      <c r="AEX60" s="0" t="n">
        <v>0</v>
      </c>
      <c r="AEY60" s="0" t="n">
        <v>0</v>
      </c>
      <c r="AEZ60" s="0" t="n">
        <v>0</v>
      </c>
      <c r="AFA60" s="0" t="n">
        <v>11.58</v>
      </c>
      <c r="AFB60" s="0" t="n">
        <v>41.25</v>
      </c>
      <c r="AFC60" s="0" t="n">
        <v>0</v>
      </c>
      <c r="AFD60" s="0" t="n">
        <v>0</v>
      </c>
      <c r="AFE60" s="0" t="n">
        <v>0</v>
      </c>
      <c r="AFF60" s="0" t="n">
        <v>0</v>
      </c>
      <c r="AFS60" s="0" t="n">
        <v>1.7</v>
      </c>
      <c r="AFT60" s="0" t="n">
        <v>1</v>
      </c>
      <c r="AFU60" s="0" t="n">
        <v>35</v>
      </c>
      <c r="AFV60" s="0" t="n">
        <v>1</v>
      </c>
      <c r="AFW60" s="0" t="n">
        <v>0.05</v>
      </c>
      <c r="AFX60" s="0" t="n">
        <v>3</v>
      </c>
      <c r="AFY60" s="0" t="n">
        <v>103</v>
      </c>
      <c r="AFZ60" s="0" t="n">
        <v>5</v>
      </c>
      <c r="AGA60" s="0" t="n">
        <v>0.25</v>
      </c>
      <c r="AGB60" s="0" t="n">
        <v>1</v>
      </c>
      <c r="AGC60" s="0" t="n">
        <v>68</v>
      </c>
      <c r="AGD60" s="0" t="n">
        <v>4</v>
      </c>
      <c r="AGE60" s="18" t="n">
        <v>0.26</v>
      </c>
      <c r="AGF60" s="0" t="n">
        <v>1</v>
      </c>
      <c r="AGG60" s="0" t="n">
        <v>52</v>
      </c>
      <c r="AGH60" s="0" t="n">
        <v>4</v>
      </c>
      <c r="AGI60" s="0" t="n">
        <f aca="false">0.09+0.05+0.04</f>
        <v>0.18</v>
      </c>
      <c r="AGJ60" s="0" t="n">
        <v>2</v>
      </c>
      <c r="AGW60" s="0" t="n">
        <v>0</v>
      </c>
      <c r="AIH60" s="16" t="n">
        <v>0.04</v>
      </c>
      <c r="AII60" s="16" t="n">
        <v>1</v>
      </c>
      <c r="AIJ60" s="16" t="n">
        <v>1</v>
      </c>
      <c r="AIK60" s="16"/>
      <c r="AIL60" s="16" t="n">
        <v>0.13</v>
      </c>
      <c r="AIM60" s="16"/>
      <c r="AIN60" s="16"/>
      <c r="AIO60" s="16"/>
      <c r="AIP60" s="16"/>
      <c r="AIQ60" s="16"/>
      <c r="AIR60" s="16"/>
      <c r="AIS60" s="16" t="n">
        <v>9.52</v>
      </c>
      <c r="AIT60" s="16" t="n">
        <v>21.65</v>
      </c>
      <c r="AIU60" s="16"/>
      <c r="AIV60" s="16"/>
      <c r="AIW60" s="16" t="n">
        <v>0</v>
      </c>
      <c r="AIX60" s="16" t="n">
        <v>0</v>
      </c>
      <c r="AIY60" s="16" t="n">
        <v>0</v>
      </c>
      <c r="AIZ60" s="0" t="n">
        <v>0</v>
      </c>
      <c r="AJA60" s="0" t="s">
        <v>410</v>
      </c>
      <c r="AJB60" s="0" t="n">
        <v>24</v>
      </c>
      <c r="AJC60" s="16" t="n">
        <v>82.9</v>
      </c>
      <c r="AJD60" s="16" t="n">
        <v>80.4</v>
      </c>
      <c r="AJE60" s="16" t="n">
        <v>9.6</v>
      </c>
      <c r="AJF60" s="0" t="n">
        <v>86.23</v>
      </c>
      <c r="AJG60" s="0" t="n">
        <v>11.76</v>
      </c>
      <c r="AJH60" s="0" t="n">
        <v>0</v>
      </c>
      <c r="AJI60" s="0" t="n">
        <v>0</v>
      </c>
      <c r="AJJ60" s="0" t="n">
        <v>1.01</v>
      </c>
      <c r="AJK60" s="0" t="n">
        <v>1.01</v>
      </c>
      <c r="AJL60" s="0" t="n">
        <v>0</v>
      </c>
      <c r="AJM60" s="0" t="n">
        <v>0</v>
      </c>
      <c r="AJN60" s="0" t="n">
        <v>0</v>
      </c>
      <c r="AJO60" s="0" t="n">
        <v>0</v>
      </c>
      <c r="AJP60" s="0" t="n">
        <v>0</v>
      </c>
      <c r="AJQ60" s="0" t="n">
        <v>0</v>
      </c>
      <c r="AJR60" s="0" t="n">
        <v>8.84</v>
      </c>
      <c r="AJS60" s="0" t="n">
        <v>23.37</v>
      </c>
      <c r="AJT60" s="0" t="n">
        <v>0</v>
      </c>
      <c r="AJU60" s="0" t="n">
        <v>0</v>
      </c>
      <c r="AJV60" s="0" t="n">
        <v>0</v>
      </c>
      <c r="AJW60" s="0" t="n">
        <v>0</v>
      </c>
      <c r="AKJ60" s="0" t="n">
        <v>0</v>
      </c>
      <c r="AKK60" s="0" t="n">
        <v>1</v>
      </c>
      <c r="AKL60" s="0" t="n">
        <v>52</v>
      </c>
      <c r="AKM60" s="0" t="n">
        <v>1</v>
      </c>
      <c r="AKN60" s="0" t="n">
        <v>0.02</v>
      </c>
      <c r="AKO60" s="0" t="n">
        <v>2</v>
      </c>
      <c r="AKV60" s="18"/>
      <c r="ALN60" s="0" t="n">
        <v>0</v>
      </c>
    </row>
    <row r="61" s="24" customFormat="true" ht="13.8" hidden="false" customHeight="false" outlineLevel="0" collapsed="false">
      <c r="A61" s="22" t="s">
        <v>421</v>
      </c>
      <c r="B61" s="23" t="n">
        <v>42888</v>
      </c>
      <c r="C61" s="24" t="n">
        <v>2</v>
      </c>
      <c r="D61" s="25" t="n">
        <v>42821</v>
      </c>
      <c r="E61" s="23" t="n">
        <v>32207</v>
      </c>
      <c r="F61" s="14" t="n">
        <f aca="false">(B61-E61)/365.25</f>
        <v>29.242984257358</v>
      </c>
      <c r="G61" s="14" t="n">
        <f aca="false">(B61-D61)/365.25</f>
        <v>0.183436002737851</v>
      </c>
      <c r="H61" s="21" t="s">
        <v>228</v>
      </c>
      <c r="I61" s="21" t="s">
        <v>240</v>
      </c>
      <c r="J61" s="21" t="s">
        <v>181</v>
      </c>
      <c r="K61" s="21" t="n">
        <v>8</v>
      </c>
      <c r="L61" s="26" t="n">
        <v>68</v>
      </c>
      <c r="M61" s="24" t="n">
        <v>1.72</v>
      </c>
      <c r="N61" s="27" t="n">
        <f aca="false">L61/(M61*M61)</f>
        <v>22.9853975121687</v>
      </c>
      <c r="O61" s="26" t="n">
        <v>0</v>
      </c>
      <c r="P61" s="26" t="n">
        <v>0</v>
      </c>
      <c r="Q61" s="26" t="n">
        <v>0</v>
      </c>
      <c r="R61" s="26" t="n">
        <v>0</v>
      </c>
      <c r="S61" s="26" t="n">
        <v>0</v>
      </c>
      <c r="T61" s="26" t="n">
        <v>0</v>
      </c>
      <c r="U61" s="26" t="n">
        <v>0</v>
      </c>
      <c r="V61" s="26" t="n">
        <v>0</v>
      </c>
      <c r="W61" s="26" t="n">
        <v>0</v>
      </c>
      <c r="X61" s="26" t="n">
        <v>0</v>
      </c>
      <c r="Y61" s="26" t="n">
        <v>1</v>
      </c>
      <c r="Z61" s="26" t="n">
        <v>1</v>
      </c>
      <c r="AA61" s="26" t="n">
        <v>30</v>
      </c>
      <c r="AB61" s="26" t="s">
        <v>284</v>
      </c>
      <c r="AC61" s="26" t="n">
        <v>0</v>
      </c>
      <c r="AD61" s="26" t="n">
        <v>0</v>
      </c>
      <c r="AE61" s="26" t="n">
        <v>1</v>
      </c>
      <c r="AF61" s="26" t="n">
        <v>0</v>
      </c>
      <c r="AG61" s="26" t="n">
        <v>0</v>
      </c>
      <c r="AH61" s="26" t="n">
        <v>0</v>
      </c>
      <c r="AI61" s="26" t="n">
        <v>0</v>
      </c>
      <c r="AJ61" s="26" t="n">
        <v>0</v>
      </c>
      <c r="AK61" s="26" t="n">
        <v>0</v>
      </c>
      <c r="AL61" s="19" t="n">
        <v>0</v>
      </c>
      <c r="AM61" s="19" t="n">
        <v>0</v>
      </c>
      <c r="AN61" s="26" t="n">
        <v>1</v>
      </c>
      <c r="AO61" s="26" t="n">
        <v>0</v>
      </c>
      <c r="AP61" s="26" t="n">
        <v>1</v>
      </c>
      <c r="AQ61" s="26" t="n">
        <v>4</v>
      </c>
      <c r="AR61" s="26" t="n">
        <v>0</v>
      </c>
      <c r="AS61" s="26" t="n">
        <v>3</v>
      </c>
      <c r="AT61" s="26" t="n">
        <v>0</v>
      </c>
      <c r="AU61" s="26" t="n">
        <v>2</v>
      </c>
      <c r="AV61" s="26" t="n">
        <v>0</v>
      </c>
      <c r="AW61" s="26" t="n">
        <v>3</v>
      </c>
      <c r="AX61" s="26" t="n">
        <v>0</v>
      </c>
      <c r="AY61" s="26" t="n">
        <v>0</v>
      </c>
      <c r="AZ61" s="26" t="n">
        <v>0</v>
      </c>
      <c r="BA61" s="26" t="n">
        <v>0</v>
      </c>
      <c r="BB61" s="26" t="n">
        <v>0</v>
      </c>
      <c r="BC61" s="26" t="n">
        <v>0</v>
      </c>
      <c r="BD61" s="26" t="n">
        <v>0</v>
      </c>
      <c r="BE61" s="26" t="n">
        <v>0</v>
      </c>
      <c r="BF61" s="26" t="n">
        <v>0</v>
      </c>
      <c r="BG61" s="26" t="n">
        <v>0</v>
      </c>
      <c r="BH61" s="26" t="n">
        <v>0</v>
      </c>
      <c r="BI61" s="26" t="n">
        <v>0</v>
      </c>
      <c r="BJ61" s="26" t="n">
        <v>0</v>
      </c>
      <c r="BK61" s="26" t="n">
        <v>0</v>
      </c>
      <c r="BL61" s="26" t="n">
        <v>0</v>
      </c>
      <c r="BM61" s="26" t="n">
        <v>0</v>
      </c>
      <c r="BN61" s="26" t="n">
        <v>0</v>
      </c>
      <c r="BO61" s="26" t="n">
        <v>0</v>
      </c>
      <c r="BP61" s="26" t="n">
        <v>0</v>
      </c>
      <c r="BQ61" s="26" t="n">
        <v>0</v>
      </c>
      <c r="BR61" s="26" t="n">
        <v>3</v>
      </c>
      <c r="BS61" s="26" t="n">
        <v>2</v>
      </c>
      <c r="BT61" s="26" t="n">
        <v>3</v>
      </c>
      <c r="BU61" s="26" t="n">
        <v>5</v>
      </c>
      <c r="BV61" s="26" t="n">
        <v>3</v>
      </c>
      <c r="BW61" s="26" t="n">
        <v>1</v>
      </c>
      <c r="BX61" s="26" t="n">
        <v>4</v>
      </c>
      <c r="BY61" s="26" t="n">
        <v>5</v>
      </c>
      <c r="BZ61" s="26" t="n">
        <v>5</v>
      </c>
      <c r="CA61" s="26" t="n">
        <v>5</v>
      </c>
      <c r="CB61" s="26" t="n">
        <v>3</v>
      </c>
      <c r="CC61" s="26" t="n">
        <v>4</v>
      </c>
      <c r="CD61" s="26" t="n">
        <v>2</v>
      </c>
      <c r="CE61" s="26" t="n">
        <v>5</v>
      </c>
      <c r="CF61" s="26" t="n">
        <v>5</v>
      </c>
      <c r="CG61" s="26" t="n">
        <v>5</v>
      </c>
      <c r="CH61" s="26" t="n">
        <v>4</v>
      </c>
      <c r="CI61" s="26" t="n">
        <v>5</v>
      </c>
      <c r="CJ61" s="26" t="n">
        <v>5</v>
      </c>
      <c r="CK61" s="26" t="n">
        <v>10</v>
      </c>
      <c r="CL61" s="24" t="s">
        <v>242</v>
      </c>
      <c r="CM61" s="24" t="n">
        <v>36.5</v>
      </c>
      <c r="CN61" s="27" t="n">
        <v>88.3</v>
      </c>
      <c r="CO61" s="27" t="n">
        <v>80.4</v>
      </c>
      <c r="CP61" s="27" t="n">
        <v>28.2</v>
      </c>
      <c r="CQ61" s="24" t="n">
        <v>73.82</v>
      </c>
      <c r="CR61" s="24" t="n">
        <v>0</v>
      </c>
      <c r="CS61" s="24" t="n">
        <v>25.61</v>
      </c>
      <c r="CT61" s="24" t="n">
        <v>0</v>
      </c>
      <c r="CU61" s="24" t="n">
        <v>0.57</v>
      </c>
      <c r="CV61" s="24" t="n">
        <v>0</v>
      </c>
      <c r="CW61" s="24" t="n">
        <v>0</v>
      </c>
      <c r="CX61" s="24" t="n">
        <v>0</v>
      </c>
      <c r="CY61" s="24" t="n">
        <v>0</v>
      </c>
      <c r="CZ61" s="24" t="n">
        <v>0</v>
      </c>
      <c r="DA61" s="24" t="n">
        <v>0</v>
      </c>
      <c r="DB61" s="24" t="n">
        <v>1.17</v>
      </c>
      <c r="DC61" s="24" t="n">
        <v>31.76</v>
      </c>
      <c r="DD61" s="24" t="n">
        <v>23.3</v>
      </c>
      <c r="DE61" s="24" t="n">
        <v>26.08</v>
      </c>
      <c r="DF61" s="24" t="n">
        <v>0</v>
      </c>
      <c r="DG61" s="24" t="n">
        <v>0</v>
      </c>
      <c r="DH61" s="24" t="n">
        <v>0</v>
      </c>
      <c r="DU61" s="24" t="n">
        <v>2.1</v>
      </c>
      <c r="DV61" s="24" t="n">
        <v>1</v>
      </c>
      <c r="DW61" s="24" t="n">
        <v>47</v>
      </c>
      <c r="DX61" s="24" t="n">
        <v>2</v>
      </c>
      <c r="DY61" s="24" t="n">
        <v>0.27</v>
      </c>
      <c r="DZ61" s="24" t="n">
        <v>3</v>
      </c>
      <c r="EG61" s="28"/>
      <c r="EY61" s="24" t="n">
        <v>0</v>
      </c>
      <c r="GJ61" s="27" t="n">
        <v>1.9</v>
      </c>
      <c r="GK61" s="27" t="n">
        <v>1</v>
      </c>
      <c r="GL61" s="27" t="n">
        <v>1</v>
      </c>
      <c r="GM61" s="27"/>
      <c r="GN61" s="27" t="n">
        <f aca="false">5.29*3</f>
        <v>15.87</v>
      </c>
      <c r="GO61" s="27"/>
      <c r="GP61" s="27"/>
      <c r="GQ61" s="27"/>
      <c r="GR61" s="27"/>
      <c r="GS61" s="27"/>
      <c r="GT61" s="27"/>
      <c r="GU61" s="27" t="n">
        <v>0.57</v>
      </c>
      <c r="GV61" s="27" t="n">
        <v>0.56</v>
      </c>
      <c r="GW61" s="27"/>
      <c r="GX61" s="27"/>
      <c r="GY61" s="27" t="n">
        <v>0</v>
      </c>
      <c r="GZ61" s="27" t="n">
        <v>0</v>
      </c>
      <c r="HA61" s="27" t="n">
        <v>0</v>
      </c>
      <c r="HB61" s="24" t="n">
        <v>0</v>
      </c>
      <c r="HC61" s="24" t="s">
        <v>243</v>
      </c>
      <c r="HD61" s="24" t="n">
        <v>38</v>
      </c>
      <c r="HE61" s="27" t="n">
        <v>87.8</v>
      </c>
      <c r="HF61" s="27" t="n">
        <v>80.4</v>
      </c>
      <c r="HG61" s="27" t="n">
        <v>29.1</v>
      </c>
      <c r="HH61" s="24" t="n">
        <v>71.17</v>
      </c>
      <c r="HI61" s="24" t="n">
        <v>0</v>
      </c>
      <c r="HJ61" s="24" t="n">
        <v>25.61</v>
      </c>
      <c r="HK61" s="24" t="n">
        <v>0</v>
      </c>
      <c r="HL61" s="24" t="n">
        <v>3.22</v>
      </c>
      <c r="HM61" s="24" t="n">
        <v>0</v>
      </c>
      <c r="HN61" s="24" t="n">
        <v>0</v>
      </c>
      <c r="HO61" s="24" t="n">
        <v>0</v>
      </c>
      <c r="HP61" s="24" t="n">
        <v>0</v>
      </c>
      <c r="HQ61" s="24" t="n">
        <v>0</v>
      </c>
      <c r="HR61" s="24" t="n">
        <v>0</v>
      </c>
      <c r="HS61" s="24" t="n">
        <v>1.08</v>
      </c>
      <c r="HT61" s="24" t="n">
        <v>31.76</v>
      </c>
      <c r="HU61" s="24" t="n">
        <v>22.19</v>
      </c>
      <c r="HV61" s="24" t="n">
        <v>26.38</v>
      </c>
      <c r="HW61" s="24" t="n">
        <v>0</v>
      </c>
      <c r="HX61" s="24" t="n">
        <v>0</v>
      </c>
      <c r="HY61" s="24" t="n">
        <v>0</v>
      </c>
      <c r="IL61" s="24" t="n">
        <v>2.1</v>
      </c>
      <c r="IM61" s="24" t="n">
        <v>1</v>
      </c>
      <c r="IN61" s="24" t="n">
        <v>47</v>
      </c>
      <c r="IO61" s="24" t="n">
        <v>2</v>
      </c>
      <c r="IP61" s="24" t="n">
        <v>0.27</v>
      </c>
      <c r="IQ61" s="24" t="n">
        <v>3</v>
      </c>
      <c r="IX61" s="28"/>
      <c r="JP61" s="24" t="n">
        <v>0</v>
      </c>
      <c r="LA61" s="27" t="n">
        <v>1.9</v>
      </c>
      <c r="LB61" s="27" t="n">
        <v>1</v>
      </c>
      <c r="LC61" s="27" t="n">
        <v>1</v>
      </c>
      <c r="LD61" s="27"/>
      <c r="LE61" s="27" t="n">
        <f aca="false">5.29*3</f>
        <v>15.87</v>
      </c>
      <c r="LF61" s="27"/>
      <c r="LG61" s="27"/>
      <c r="LH61" s="27"/>
      <c r="LI61" s="27"/>
      <c r="LJ61" s="27"/>
      <c r="LK61" s="27"/>
      <c r="LL61" s="27" t="n">
        <v>1.12</v>
      </c>
      <c r="LM61" s="27" t="n">
        <v>0.27</v>
      </c>
      <c r="LN61" s="27"/>
      <c r="LO61" s="27"/>
      <c r="LP61" s="27" t="n">
        <v>0</v>
      </c>
      <c r="LQ61" s="27" t="n">
        <v>0</v>
      </c>
      <c r="LR61" s="27" t="n">
        <v>0</v>
      </c>
      <c r="LS61" s="24" t="n">
        <v>0</v>
      </c>
      <c r="LT61" s="24" t="s">
        <v>244</v>
      </c>
      <c r="LU61" s="24" t="n">
        <v>24.5</v>
      </c>
      <c r="LV61" s="27" t="n">
        <v>84.2</v>
      </c>
      <c r="LW61" s="27" t="n">
        <v>80.4</v>
      </c>
      <c r="LX61" s="27" t="n">
        <v>11.9</v>
      </c>
      <c r="LY61" s="24" t="n">
        <v>97.51</v>
      </c>
      <c r="LZ61" s="24" t="n">
        <v>0</v>
      </c>
      <c r="MA61" s="24" t="n">
        <v>2.49</v>
      </c>
      <c r="MB61" s="24" t="n">
        <v>0</v>
      </c>
      <c r="MC61" s="24" t="n">
        <v>0</v>
      </c>
      <c r="MD61" s="24" t="n">
        <v>0</v>
      </c>
      <c r="ME61" s="24" t="n">
        <v>0</v>
      </c>
      <c r="MF61" s="24" t="n">
        <v>0</v>
      </c>
      <c r="MG61" s="24" t="n">
        <v>0</v>
      </c>
      <c r="MH61" s="24" t="n">
        <v>0</v>
      </c>
      <c r="MI61" s="24" t="n">
        <v>0</v>
      </c>
      <c r="MJ61" s="24" t="n">
        <v>0</v>
      </c>
      <c r="MK61" s="24" t="n">
        <v>3.13</v>
      </c>
      <c r="ML61" s="24" t="n">
        <v>26.34</v>
      </c>
      <c r="MM61" s="24" t="n">
        <v>45.74</v>
      </c>
      <c r="MN61" s="24" t="n">
        <v>0</v>
      </c>
      <c r="MO61" s="24" t="n">
        <v>0</v>
      </c>
      <c r="MP61" s="24" t="n">
        <v>0</v>
      </c>
      <c r="NC61" s="24" t="n">
        <v>0</v>
      </c>
      <c r="ND61" s="24" t="n">
        <v>0</v>
      </c>
      <c r="NO61" s="28"/>
      <c r="OG61" s="24" t="n">
        <v>0</v>
      </c>
      <c r="PR61" s="27" t="n">
        <v>6.4</v>
      </c>
      <c r="PS61" s="27" t="n">
        <v>1</v>
      </c>
      <c r="PT61" s="27" t="n">
        <v>2</v>
      </c>
      <c r="PU61" s="27"/>
      <c r="PV61" s="27" t="n">
        <f aca="false">1.24*2</f>
        <v>2.48</v>
      </c>
      <c r="PW61" s="27" t="n">
        <v>1</v>
      </c>
      <c r="PX61" s="27"/>
      <c r="PY61" s="27" t="n">
        <f aca="false">1.24*3+0.62+0.93+3.18+1.59+3.73+7.46</f>
        <v>21.23</v>
      </c>
      <c r="PZ61" s="27"/>
      <c r="QA61" s="27"/>
      <c r="QB61" s="27"/>
      <c r="QC61" s="27" t="n">
        <v>1.61</v>
      </c>
      <c r="QD61" s="27" t="n">
        <v>1.46</v>
      </c>
      <c r="QE61" s="27"/>
      <c r="QF61" s="27"/>
      <c r="QG61" s="27" t="n">
        <v>0</v>
      </c>
      <c r="QH61" s="27" t="n">
        <v>0</v>
      </c>
      <c r="QI61" s="27" t="n">
        <v>0</v>
      </c>
      <c r="QJ61" s="24" t="n">
        <v>0</v>
      </c>
      <c r="QK61" s="24" t="s">
        <v>245</v>
      </c>
      <c r="QL61" s="24" t="n">
        <v>19.5</v>
      </c>
      <c r="QM61" s="27" t="n">
        <v>76</v>
      </c>
      <c r="QN61" s="27" t="n">
        <v>80.4</v>
      </c>
      <c r="QO61" s="27" t="n">
        <v>10.9</v>
      </c>
      <c r="QP61" s="24" t="n">
        <v>99.87</v>
      </c>
      <c r="QQ61" s="24" t="n">
        <v>0</v>
      </c>
      <c r="QR61" s="24" t="n">
        <v>0</v>
      </c>
      <c r="QS61" s="24" t="n">
        <v>0</v>
      </c>
      <c r="QT61" s="24" t="n">
        <v>0.13</v>
      </c>
      <c r="QU61" s="24" t="n">
        <v>0</v>
      </c>
      <c r="QV61" s="24" t="n">
        <v>0</v>
      </c>
      <c r="QW61" s="24" t="n">
        <v>0</v>
      </c>
      <c r="QX61" s="24" t="n">
        <v>0</v>
      </c>
      <c r="QY61" s="24" t="n">
        <v>0</v>
      </c>
      <c r="QZ61" s="24" t="n">
        <v>0</v>
      </c>
      <c r="RA61" s="24" t="n">
        <v>0.1</v>
      </c>
      <c r="RB61" s="24" t="n">
        <v>0</v>
      </c>
      <c r="RC61" s="24" t="n">
        <v>17.25</v>
      </c>
      <c r="RD61" s="24" t="n">
        <v>40.01</v>
      </c>
      <c r="RE61" s="24" t="n">
        <v>0</v>
      </c>
      <c r="RF61" s="24" t="n">
        <v>0</v>
      </c>
      <c r="RG61" s="24" t="n">
        <v>0</v>
      </c>
      <c r="RT61" s="24" t="n">
        <v>4.5</v>
      </c>
      <c r="RU61" s="24" t="n">
        <v>1</v>
      </c>
      <c r="RV61" s="24" t="n">
        <v>34</v>
      </c>
      <c r="RW61" s="24" t="n">
        <v>2</v>
      </c>
      <c r="RX61" s="24" t="n">
        <v>0.13</v>
      </c>
      <c r="RY61" s="24" t="n">
        <v>1</v>
      </c>
      <c r="RZ61" s="24" t="n">
        <v>52</v>
      </c>
      <c r="SA61" s="24" t="n">
        <v>2</v>
      </c>
      <c r="SB61" s="24" t="n">
        <v>1.52</v>
      </c>
      <c r="SC61" s="24" t="n">
        <v>2</v>
      </c>
      <c r="SF61" s="28"/>
      <c r="SX61" s="24" t="n">
        <v>1</v>
      </c>
      <c r="SY61" s="24" t="n">
        <v>70</v>
      </c>
      <c r="SZ61" s="24" t="n">
        <v>7</v>
      </c>
      <c r="TA61" s="24" t="n">
        <v>0.7</v>
      </c>
      <c r="TB61" s="24" t="n">
        <v>3</v>
      </c>
      <c r="UI61" s="27" t="n">
        <v>0.72</v>
      </c>
      <c r="UJ61" s="27" t="n">
        <v>1</v>
      </c>
      <c r="UK61" s="27" t="n">
        <v>1</v>
      </c>
      <c r="UL61" s="27"/>
      <c r="UM61" s="27" t="n">
        <f aca="false">1.15+0.56+0.29</f>
        <v>2</v>
      </c>
      <c r="UN61" s="27"/>
      <c r="UO61" s="27"/>
      <c r="UP61" s="27"/>
      <c r="UQ61" s="27"/>
      <c r="UR61" s="27"/>
      <c r="US61" s="27"/>
      <c r="UT61" s="27" t="n">
        <v>0.17</v>
      </c>
      <c r="UU61" s="27" t="n">
        <v>0.17</v>
      </c>
      <c r="UV61" s="27"/>
      <c r="UW61" s="27"/>
      <c r="UX61" s="27" t="n">
        <v>0</v>
      </c>
      <c r="UY61" s="27" t="n">
        <v>0</v>
      </c>
      <c r="UZ61" s="27" t="n">
        <v>0</v>
      </c>
      <c r="VA61" s="24" t="n">
        <v>0</v>
      </c>
      <c r="VB61" s="24" t="s">
        <v>246</v>
      </c>
      <c r="VC61" s="24" t="n">
        <v>27</v>
      </c>
      <c r="VD61" s="27" t="n">
        <v>72</v>
      </c>
      <c r="VE61" s="27" t="n">
        <v>80.4</v>
      </c>
      <c r="VF61" s="27" t="n">
        <v>19.2</v>
      </c>
      <c r="VG61" s="24" t="n">
        <v>86.83</v>
      </c>
      <c r="VH61" s="24" t="n">
        <v>0</v>
      </c>
      <c r="VI61" s="24" t="n">
        <v>0</v>
      </c>
      <c r="VJ61" s="24" t="n">
        <v>0</v>
      </c>
      <c r="VK61" s="24" t="n">
        <v>13.17</v>
      </c>
      <c r="VL61" s="24" t="n">
        <v>0</v>
      </c>
      <c r="VM61" s="24" t="n">
        <v>0</v>
      </c>
      <c r="VN61" s="24" t="n">
        <v>0</v>
      </c>
      <c r="VO61" s="24" t="n">
        <v>0</v>
      </c>
      <c r="VP61" s="24" t="n">
        <v>0</v>
      </c>
      <c r="VQ61" s="24" t="n">
        <v>0</v>
      </c>
      <c r="VR61" s="24" t="n">
        <v>18.28</v>
      </c>
      <c r="VS61" s="24" t="n">
        <v>16.81</v>
      </c>
      <c r="VT61" s="24" t="n">
        <v>9.64</v>
      </c>
      <c r="VU61" s="24" t="n">
        <v>19.74</v>
      </c>
      <c r="VV61" s="24" t="n">
        <v>0</v>
      </c>
      <c r="VW61" s="24" t="n">
        <v>0</v>
      </c>
      <c r="VX61" s="24" t="n">
        <v>0</v>
      </c>
      <c r="WK61" s="24" t="n">
        <v>0</v>
      </c>
      <c r="WL61" s="24" t="n">
        <v>0</v>
      </c>
      <c r="WW61" s="28"/>
      <c r="XO61" s="24" t="n">
        <v>0</v>
      </c>
      <c r="YZ61" s="27" t="n">
        <v>1.43</v>
      </c>
      <c r="ZA61" s="27" t="n">
        <v>1</v>
      </c>
      <c r="ZB61" s="27" t="n">
        <v>1</v>
      </c>
      <c r="ZC61" s="27"/>
      <c r="ZD61" s="27" t="n">
        <f aca="false">6.34+2.11+0.08+0.37</f>
        <v>8.9</v>
      </c>
      <c r="ZE61" s="27"/>
      <c r="ZF61" s="27"/>
      <c r="ZG61" s="27"/>
      <c r="ZH61" s="27"/>
      <c r="ZI61" s="27"/>
      <c r="ZJ61" s="27"/>
      <c r="ZK61" s="27" t="n">
        <v>3.5</v>
      </c>
      <c r="ZL61" s="27" t="n">
        <v>3.5</v>
      </c>
      <c r="ZM61" s="27"/>
      <c r="ZN61" s="27"/>
      <c r="ZO61" s="27" t="n">
        <v>0</v>
      </c>
      <c r="ZP61" s="27" t="n">
        <v>0</v>
      </c>
      <c r="ZQ61" s="27" t="n">
        <v>0</v>
      </c>
      <c r="ZR61" s="24" t="n">
        <v>0</v>
      </c>
      <c r="ZS61" s="24" t="s">
        <v>247</v>
      </c>
      <c r="ZT61" s="24" t="n">
        <v>37</v>
      </c>
      <c r="ZU61" s="27" t="n">
        <v>79.2</v>
      </c>
      <c r="ZV61" s="27" t="n">
        <v>80.4</v>
      </c>
      <c r="ZW61" s="27" t="n">
        <v>12.1</v>
      </c>
      <c r="ZX61" s="24" t="n">
        <v>96.75</v>
      </c>
      <c r="ZY61" s="24" t="n">
        <v>0</v>
      </c>
      <c r="ZZ61" s="24" t="n">
        <v>0</v>
      </c>
      <c r="AAA61" s="24" t="n">
        <v>0</v>
      </c>
      <c r="AAB61" s="24" t="n">
        <v>3.25</v>
      </c>
      <c r="AAC61" s="24" t="n">
        <v>0</v>
      </c>
      <c r="AAD61" s="24" t="n">
        <v>0</v>
      </c>
      <c r="AAE61" s="24" t="n">
        <v>0</v>
      </c>
      <c r="AAF61" s="24" t="n">
        <v>0</v>
      </c>
      <c r="AAG61" s="24" t="n">
        <v>0</v>
      </c>
      <c r="AAH61" s="24" t="n">
        <v>0</v>
      </c>
      <c r="AAI61" s="24" t="n">
        <v>9.06</v>
      </c>
      <c r="AAJ61" s="24" t="n">
        <v>18.15</v>
      </c>
      <c r="AAK61" s="24" t="n">
        <v>25.66</v>
      </c>
      <c r="AAL61" s="24" t="n">
        <v>15.61</v>
      </c>
      <c r="AAM61" s="24" t="n">
        <v>0</v>
      </c>
      <c r="AAN61" s="24" t="n">
        <v>0</v>
      </c>
      <c r="AAO61" s="24" t="n">
        <v>0</v>
      </c>
      <c r="ABB61" s="24" t="n">
        <v>17.8</v>
      </c>
      <c r="ABC61" s="24" t="n">
        <v>1</v>
      </c>
      <c r="ABD61" s="24" t="n">
        <v>47</v>
      </c>
      <c r="ABE61" s="24" t="n">
        <v>3</v>
      </c>
      <c r="ABF61" s="24" t="n">
        <v>2.28</v>
      </c>
      <c r="ABG61" s="24" t="n">
        <v>3</v>
      </c>
      <c r="ABH61" s="24" t="n">
        <v>26</v>
      </c>
      <c r="ABI61" s="24" t="n">
        <v>1</v>
      </c>
      <c r="ABJ61" s="24" t="n">
        <v>0.76</v>
      </c>
      <c r="ABK61" s="24" t="n">
        <v>2</v>
      </c>
      <c r="ABN61" s="28"/>
      <c r="ACF61" s="24" t="n">
        <v>0</v>
      </c>
      <c r="ADQ61" s="27" t="n">
        <v>1.27</v>
      </c>
      <c r="ADR61" s="27" t="n">
        <v>1</v>
      </c>
      <c r="ADS61" s="27" t="n">
        <v>1</v>
      </c>
      <c r="ADT61" s="27"/>
      <c r="ADU61" s="27" t="n">
        <f aca="false">6.34+1.06</f>
        <v>7.4</v>
      </c>
      <c r="ADV61" s="27"/>
      <c r="ADW61" s="27"/>
      <c r="ADX61" s="27"/>
      <c r="ADY61" s="27"/>
      <c r="ADZ61" s="27"/>
      <c r="AEA61" s="27"/>
      <c r="AEB61" s="27" t="n">
        <v>2.86</v>
      </c>
      <c r="AEC61" s="27" t="n">
        <v>2.86</v>
      </c>
      <c r="AED61" s="27"/>
      <c r="AEE61" s="27"/>
      <c r="AEF61" s="27" t="n">
        <v>0</v>
      </c>
      <c r="AEG61" s="27" t="n">
        <v>0</v>
      </c>
      <c r="AEH61" s="27" t="n">
        <v>0</v>
      </c>
      <c r="AEI61" s="24" t="n">
        <v>0</v>
      </c>
      <c r="AEJ61" s="24" t="s">
        <v>248</v>
      </c>
      <c r="AEK61" s="24" t="n">
        <v>33</v>
      </c>
      <c r="AEL61" s="27" t="n">
        <v>122.1</v>
      </c>
      <c r="AEM61" s="27" t="n">
        <v>80.4</v>
      </c>
      <c r="AEN61" s="27" t="n">
        <v>14.1</v>
      </c>
      <c r="AEO61" s="24" t="n">
        <v>91.87</v>
      </c>
      <c r="AEP61" s="24" t="n">
        <v>0</v>
      </c>
      <c r="AEQ61" s="24" t="n">
        <v>5.85</v>
      </c>
      <c r="AER61" s="24" t="n">
        <v>0</v>
      </c>
      <c r="AES61" s="24" t="n">
        <v>2.28</v>
      </c>
      <c r="AET61" s="24" t="n">
        <v>0</v>
      </c>
      <c r="AEU61" s="24" t="n">
        <v>0</v>
      </c>
      <c r="AEV61" s="24" t="n">
        <v>0</v>
      </c>
      <c r="AEW61" s="24" t="n">
        <v>0</v>
      </c>
      <c r="AEX61" s="24" t="n">
        <v>0</v>
      </c>
      <c r="AEY61" s="24" t="n">
        <v>0</v>
      </c>
      <c r="AEZ61" s="24" t="n">
        <v>0</v>
      </c>
      <c r="AFA61" s="24" t="n">
        <v>23.39</v>
      </c>
      <c r="AFB61" s="24" t="n">
        <v>10.3</v>
      </c>
      <c r="AFC61" s="24" t="n">
        <v>49.9</v>
      </c>
      <c r="AFD61" s="24" t="n">
        <v>0</v>
      </c>
      <c r="AFE61" s="24" t="n">
        <v>0</v>
      </c>
      <c r="AFF61" s="24" t="n">
        <v>0</v>
      </c>
      <c r="AFS61" s="24" t="n">
        <v>0</v>
      </c>
      <c r="AFT61" s="24" t="n">
        <v>1</v>
      </c>
      <c r="AFU61" s="24" t="n">
        <v>34</v>
      </c>
      <c r="AFV61" s="24" t="n">
        <v>1</v>
      </c>
      <c r="AFW61" s="24" t="n">
        <v>1.14</v>
      </c>
      <c r="AFX61" s="24" t="n">
        <v>1</v>
      </c>
      <c r="AGE61" s="28"/>
      <c r="AGW61" s="24" t="n">
        <v>0</v>
      </c>
      <c r="AIH61" s="27" t="n">
        <v>4.78</v>
      </c>
      <c r="AII61" s="27" t="n">
        <v>1</v>
      </c>
      <c r="AIJ61" s="27" t="n">
        <v>1</v>
      </c>
      <c r="AIK61" s="27"/>
      <c r="AIL61" s="27" t="n">
        <v>4.23</v>
      </c>
      <c r="AIM61" s="27" t="n">
        <v>2</v>
      </c>
      <c r="AIN61" s="27"/>
      <c r="AIO61" s="27" t="n">
        <f aca="false">1.14+9.52+1.68</f>
        <v>12.34</v>
      </c>
      <c r="AIP61" s="27"/>
      <c r="AIQ61" s="27"/>
      <c r="AIR61" s="27"/>
      <c r="AIS61" s="27" t="n">
        <v>10.43</v>
      </c>
      <c r="AIT61" s="27" t="n">
        <v>22.43</v>
      </c>
      <c r="AIU61" s="27"/>
      <c r="AIV61" s="27"/>
      <c r="AIW61" s="27" t="n">
        <v>0</v>
      </c>
      <c r="AIX61" s="27" t="n">
        <v>0</v>
      </c>
      <c r="AIY61" s="27" t="n">
        <v>0</v>
      </c>
      <c r="AIZ61" s="24" t="n">
        <v>0</v>
      </c>
      <c r="AJA61" s="24" t="s">
        <v>249</v>
      </c>
      <c r="AJB61" s="24" t="n">
        <v>25</v>
      </c>
      <c r="AJC61" s="27" t="n">
        <v>87.3</v>
      </c>
      <c r="AJD61" s="27" t="n">
        <v>80.4</v>
      </c>
      <c r="AJE61" s="27" t="n">
        <v>8.8</v>
      </c>
      <c r="AJF61" s="24" t="n">
        <v>100</v>
      </c>
      <c r="AJG61" s="24" t="n">
        <v>0</v>
      </c>
      <c r="AJH61" s="24" t="n">
        <v>0</v>
      </c>
      <c r="AJI61" s="24" t="n">
        <v>0</v>
      </c>
      <c r="AJJ61" s="24" t="n">
        <v>0</v>
      </c>
      <c r="AJK61" s="24" t="n">
        <v>0</v>
      </c>
      <c r="AJL61" s="24" t="n">
        <v>0</v>
      </c>
      <c r="AJM61" s="24" t="n">
        <v>0</v>
      </c>
      <c r="AJN61" s="24" t="n">
        <v>0</v>
      </c>
      <c r="AJO61" s="24" t="n">
        <v>0</v>
      </c>
      <c r="AJP61" s="24" t="n">
        <v>0</v>
      </c>
      <c r="AJQ61" s="24" t="n">
        <v>0</v>
      </c>
      <c r="AJR61" s="24" t="n">
        <v>11.94</v>
      </c>
      <c r="AJS61" s="24" t="n">
        <v>34.17</v>
      </c>
      <c r="AJT61" s="24" t="n">
        <v>24.72</v>
      </c>
      <c r="AJU61" s="24" t="n">
        <v>0</v>
      </c>
      <c r="AJV61" s="24" t="n">
        <v>6.9</v>
      </c>
      <c r="AJW61" s="24" t="n">
        <v>3</v>
      </c>
      <c r="AJX61" s="24" t="n">
        <v>50</v>
      </c>
      <c r="AJZ61" s="24" t="n">
        <v>2</v>
      </c>
      <c r="AKD61" s="24" t="n">
        <v>50</v>
      </c>
      <c r="AKF61" s="24" t="n">
        <v>2</v>
      </c>
      <c r="AKJ61" s="24" t="n">
        <v>0</v>
      </c>
      <c r="AKK61" s="24" t="n">
        <v>0</v>
      </c>
      <c r="AKV61" s="28"/>
      <c r="ALN61" s="24" t="n">
        <v>1</v>
      </c>
      <c r="ALO61" s="24" t="n">
        <v>50</v>
      </c>
      <c r="ALP61" s="24" t="n">
        <v>1</v>
      </c>
      <c r="ALQ61" s="24" t="n">
        <v>1.86</v>
      </c>
      <c r="ALR61" s="24" t="n">
        <v>3</v>
      </c>
    </row>
    <row r="62" customFormat="false" ht="13.8" hidden="false" customHeight="false" outlineLevel="0" collapsed="false">
      <c r="A62" s="1" t="s">
        <v>422</v>
      </c>
      <c r="B62" s="12" t="n">
        <v>42887</v>
      </c>
      <c r="C62" s="0" t="n">
        <v>2</v>
      </c>
      <c r="D62" s="13" t="n">
        <v>42786</v>
      </c>
      <c r="E62" s="12" t="n">
        <v>27671</v>
      </c>
      <c r="F62" s="14" t="n">
        <f aca="false">(B62-E62)/365.25</f>
        <v>41.6591375770021</v>
      </c>
      <c r="G62" s="14" t="n">
        <f aca="false">(B62-D62)/365.25</f>
        <v>0.276522929500342</v>
      </c>
      <c r="H62" s="15" t="s">
        <v>228</v>
      </c>
      <c r="I62" s="15" t="s">
        <v>240</v>
      </c>
      <c r="J62" s="15" t="s">
        <v>181</v>
      </c>
      <c r="K62" s="21" t="n">
        <v>8</v>
      </c>
      <c r="L62" s="19" t="n">
        <v>90</v>
      </c>
      <c r="M62" s="0" t="n">
        <v>1.73</v>
      </c>
      <c r="N62" s="16" t="n">
        <f aca="false">L62/(M62*M62)</f>
        <v>30.0711684319556</v>
      </c>
      <c r="O62" s="19" t="n">
        <v>0</v>
      </c>
      <c r="P62" s="19" t="n">
        <v>0</v>
      </c>
      <c r="Q62" s="19" t="n">
        <v>0</v>
      </c>
      <c r="R62" s="19" t="n">
        <v>0</v>
      </c>
      <c r="S62" s="19" t="n">
        <v>0</v>
      </c>
      <c r="T62" s="19" t="n">
        <v>0</v>
      </c>
      <c r="U62" s="19" t="n">
        <v>0</v>
      </c>
      <c r="V62" s="19" t="n">
        <v>0</v>
      </c>
      <c r="W62" s="19" t="n">
        <v>0</v>
      </c>
      <c r="X62" s="19" t="n">
        <v>0</v>
      </c>
      <c r="Y62" s="19" t="n">
        <v>1</v>
      </c>
      <c r="Z62" s="19" t="n">
        <v>2</v>
      </c>
      <c r="AA62" s="19" t="n">
        <v>75</v>
      </c>
      <c r="AB62" s="19" t="s">
        <v>308</v>
      </c>
      <c r="AC62" s="19" t="n">
        <v>1</v>
      </c>
      <c r="AD62" s="19" t="n">
        <v>20</v>
      </c>
      <c r="AE62" s="19" t="n">
        <v>0</v>
      </c>
      <c r="AF62" s="19" t="n">
        <v>0</v>
      </c>
      <c r="AG62" s="19" t="n">
        <v>0</v>
      </c>
      <c r="AH62" s="19" t="n">
        <v>0</v>
      </c>
      <c r="AI62" s="19" t="n">
        <v>0</v>
      </c>
      <c r="AJ62" s="19" t="n">
        <v>0</v>
      </c>
      <c r="AK62" s="19" t="n">
        <v>0</v>
      </c>
      <c r="AL62" s="19" t="n">
        <v>0</v>
      </c>
      <c r="AM62" s="19" t="n">
        <v>0</v>
      </c>
      <c r="AN62" s="19" t="n">
        <v>0</v>
      </c>
      <c r="AO62" s="19" t="n">
        <v>0</v>
      </c>
      <c r="AP62" s="19" t="n">
        <v>0</v>
      </c>
      <c r="AQ62" s="19" t="n">
        <v>0</v>
      </c>
      <c r="AR62" s="19" t="n">
        <v>0</v>
      </c>
      <c r="AS62" s="19" t="n">
        <v>0</v>
      </c>
      <c r="AT62" s="19" t="n">
        <v>0</v>
      </c>
      <c r="AU62" s="19" t="n">
        <v>0</v>
      </c>
      <c r="AV62" s="19" t="n">
        <v>0</v>
      </c>
      <c r="AW62" s="19" t="n">
        <v>0</v>
      </c>
      <c r="AX62" s="19" t="n">
        <v>0</v>
      </c>
      <c r="AY62" s="19" t="n">
        <v>0</v>
      </c>
      <c r="AZ62" s="19" t="n">
        <v>0</v>
      </c>
      <c r="BA62" s="19" t="n">
        <v>0</v>
      </c>
      <c r="BB62" s="19" t="n">
        <v>0</v>
      </c>
      <c r="BC62" s="19" t="n">
        <v>0</v>
      </c>
      <c r="BD62" s="19" t="n">
        <v>0</v>
      </c>
      <c r="BE62" s="19" t="n">
        <v>0</v>
      </c>
      <c r="BF62" s="19" t="n">
        <v>0</v>
      </c>
      <c r="BG62" s="19" t="n">
        <v>0</v>
      </c>
      <c r="BH62" s="19" t="n">
        <v>0</v>
      </c>
      <c r="BI62" s="19" t="n">
        <v>0</v>
      </c>
      <c r="BJ62" s="19" t="n">
        <v>0</v>
      </c>
      <c r="BK62" s="19" t="n">
        <v>0</v>
      </c>
      <c r="BL62" s="19" t="n">
        <v>0</v>
      </c>
      <c r="BM62" s="19" t="n">
        <v>0</v>
      </c>
      <c r="BN62" s="19" t="n">
        <v>0</v>
      </c>
      <c r="BO62" s="19" t="n">
        <v>0</v>
      </c>
      <c r="BP62" s="19" t="n">
        <v>0</v>
      </c>
      <c r="BQ62" s="19" t="n">
        <v>0</v>
      </c>
      <c r="BR62" s="19" t="n">
        <v>4</v>
      </c>
      <c r="BS62" s="19" t="n">
        <v>1</v>
      </c>
      <c r="BT62" s="19" t="n">
        <v>3</v>
      </c>
      <c r="BU62" s="19" t="n">
        <v>4</v>
      </c>
      <c r="BV62" s="19" t="n">
        <v>3</v>
      </c>
      <c r="BW62" s="19" t="n">
        <v>2</v>
      </c>
      <c r="BX62" s="19" t="n">
        <v>2</v>
      </c>
      <c r="BY62" s="19" t="n">
        <v>3</v>
      </c>
      <c r="BZ62" s="19" t="n">
        <v>3</v>
      </c>
      <c r="CA62" s="19" t="n">
        <v>3</v>
      </c>
      <c r="CB62" s="19" t="n">
        <v>4</v>
      </c>
      <c r="CC62" s="19" t="n">
        <v>4</v>
      </c>
      <c r="CD62" s="19" t="n">
        <v>2</v>
      </c>
      <c r="CE62" s="19" t="n">
        <v>4</v>
      </c>
      <c r="CF62" s="19" t="n">
        <v>2</v>
      </c>
      <c r="CG62" s="19" t="n">
        <v>5</v>
      </c>
      <c r="CH62" s="19" t="n">
        <v>3</v>
      </c>
      <c r="CI62" s="19" t="n">
        <v>4</v>
      </c>
      <c r="CJ62" s="19" t="n">
        <v>4</v>
      </c>
      <c r="CK62" s="19" t="n">
        <v>8</v>
      </c>
      <c r="CL62" s="24" t="s">
        <v>242</v>
      </c>
      <c r="CM62" s="24" t="n">
        <v>36.5</v>
      </c>
      <c r="CN62" s="27" t="n">
        <v>88.3</v>
      </c>
      <c r="CO62" s="27" t="n">
        <v>80.4</v>
      </c>
      <c r="CP62" s="27" t="n">
        <v>28.2</v>
      </c>
      <c r="CQ62" s="24" t="n">
        <v>73.82</v>
      </c>
      <c r="CR62" s="24" t="n">
        <v>0</v>
      </c>
      <c r="CS62" s="24" t="n">
        <v>25.61</v>
      </c>
      <c r="CT62" s="24" t="n">
        <v>0</v>
      </c>
      <c r="CU62" s="24" t="n">
        <v>0.57</v>
      </c>
      <c r="CV62" s="24" t="n">
        <v>0</v>
      </c>
      <c r="CW62" s="24" t="n">
        <v>0</v>
      </c>
      <c r="CX62" s="24" t="n">
        <v>0</v>
      </c>
      <c r="CY62" s="24" t="n">
        <v>0</v>
      </c>
      <c r="CZ62" s="24" t="n">
        <v>0</v>
      </c>
      <c r="DA62" s="24" t="n">
        <v>0</v>
      </c>
      <c r="DB62" s="24" t="n">
        <v>1.17</v>
      </c>
      <c r="DC62" s="24" t="n">
        <v>31.76</v>
      </c>
      <c r="DD62" s="24" t="n">
        <v>23.3</v>
      </c>
      <c r="DE62" s="24" t="n">
        <v>26.08</v>
      </c>
      <c r="DF62" s="24" t="n">
        <v>0</v>
      </c>
      <c r="DG62" s="24" t="n">
        <v>0</v>
      </c>
      <c r="DH62" s="24" t="n">
        <v>0</v>
      </c>
      <c r="DU62" s="24" t="n">
        <v>2.1</v>
      </c>
      <c r="DV62" s="24" t="n">
        <v>1</v>
      </c>
      <c r="DW62" s="24" t="n">
        <v>47</v>
      </c>
      <c r="DX62" s="24" t="n">
        <v>2</v>
      </c>
      <c r="DY62" s="24" t="n">
        <v>0.27</v>
      </c>
      <c r="DZ62" s="24" t="n">
        <v>3</v>
      </c>
      <c r="EG62" s="28"/>
      <c r="EY62" s="24" t="n">
        <v>0</v>
      </c>
      <c r="GJ62" s="27" t="n">
        <v>1.9</v>
      </c>
      <c r="GK62" s="27" t="n">
        <v>1</v>
      </c>
      <c r="GL62" s="27" t="n">
        <v>1</v>
      </c>
      <c r="GM62" s="27"/>
      <c r="GN62" s="27" t="n">
        <f aca="false">5.29*3</f>
        <v>15.87</v>
      </c>
      <c r="GO62" s="27"/>
      <c r="GP62" s="27"/>
      <c r="GQ62" s="27"/>
      <c r="GR62" s="27"/>
      <c r="GS62" s="27"/>
      <c r="GT62" s="27"/>
      <c r="GU62" s="27" t="n">
        <v>0.57</v>
      </c>
      <c r="GV62" s="27" t="n">
        <v>0.56</v>
      </c>
      <c r="GW62" s="27"/>
      <c r="GX62" s="27"/>
      <c r="GY62" s="27" t="n">
        <v>0</v>
      </c>
      <c r="GZ62" s="27" t="n">
        <v>0</v>
      </c>
      <c r="HA62" s="27" t="n">
        <v>0</v>
      </c>
      <c r="HB62" s="24" t="n">
        <v>0</v>
      </c>
      <c r="HC62" s="24" t="s">
        <v>243</v>
      </c>
      <c r="HD62" s="24" t="n">
        <v>38</v>
      </c>
      <c r="HE62" s="27" t="n">
        <v>87.8</v>
      </c>
      <c r="HF62" s="27" t="n">
        <v>80.4</v>
      </c>
      <c r="HG62" s="27" t="n">
        <v>29.1</v>
      </c>
      <c r="HH62" s="24" t="n">
        <v>71.17</v>
      </c>
      <c r="HI62" s="24" t="n">
        <v>0</v>
      </c>
      <c r="HJ62" s="24" t="n">
        <v>25.61</v>
      </c>
      <c r="HK62" s="24" t="n">
        <v>0</v>
      </c>
      <c r="HL62" s="24" t="n">
        <v>3.22</v>
      </c>
      <c r="HM62" s="24" t="n">
        <v>0</v>
      </c>
      <c r="HN62" s="24" t="n">
        <v>0</v>
      </c>
      <c r="HO62" s="24" t="n">
        <v>0</v>
      </c>
      <c r="HP62" s="24" t="n">
        <v>0</v>
      </c>
      <c r="HQ62" s="24" t="n">
        <v>0</v>
      </c>
      <c r="HR62" s="24" t="n">
        <v>0</v>
      </c>
      <c r="HS62" s="24" t="n">
        <v>1.08</v>
      </c>
      <c r="HT62" s="24" t="n">
        <v>31.76</v>
      </c>
      <c r="HU62" s="24" t="n">
        <v>22.19</v>
      </c>
      <c r="HV62" s="24" t="n">
        <v>26.38</v>
      </c>
      <c r="HW62" s="24" t="n">
        <v>0</v>
      </c>
      <c r="HX62" s="24" t="n">
        <v>0</v>
      </c>
      <c r="HY62" s="24" t="n">
        <v>0</v>
      </c>
      <c r="IL62" s="24" t="n">
        <v>2.1</v>
      </c>
      <c r="IM62" s="24" t="n">
        <v>1</v>
      </c>
      <c r="IN62" s="24" t="n">
        <v>47</v>
      </c>
      <c r="IO62" s="24" t="n">
        <v>2</v>
      </c>
      <c r="IP62" s="24" t="n">
        <v>0.27</v>
      </c>
      <c r="IQ62" s="24" t="n">
        <v>3</v>
      </c>
      <c r="IX62" s="28"/>
      <c r="JP62" s="24" t="n">
        <v>0</v>
      </c>
      <c r="LA62" s="27" t="n">
        <v>1.9</v>
      </c>
      <c r="LB62" s="27" t="n">
        <v>1</v>
      </c>
      <c r="LC62" s="27" t="n">
        <v>1</v>
      </c>
      <c r="LD62" s="27"/>
      <c r="LE62" s="27" t="n">
        <f aca="false">5.29*3</f>
        <v>15.87</v>
      </c>
      <c r="LF62" s="27"/>
      <c r="LG62" s="27"/>
      <c r="LH62" s="27"/>
      <c r="LI62" s="27"/>
      <c r="LJ62" s="27"/>
      <c r="LK62" s="27"/>
      <c r="LL62" s="27" t="n">
        <v>1.12</v>
      </c>
      <c r="LM62" s="27" t="n">
        <v>0.27</v>
      </c>
      <c r="LN62" s="27"/>
      <c r="LO62" s="27"/>
      <c r="LP62" s="27" t="n">
        <v>0</v>
      </c>
      <c r="LQ62" s="27" t="n">
        <v>0</v>
      </c>
      <c r="LR62" s="27" t="n">
        <v>0</v>
      </c>
      <c r="LS62" s="24" t="n">
        <v>0</v>
      </c>
      <c r="LT62" s="24" t="s">
        <v>244</v>
      </c>
      <c r="LU62" s="24" t="n">
        <v>24.5</v>
      </c>
      <c r="LV62" s="27" t="n">
        <v>84.2</v>
      </c>
      <c r="LW62" s="27" t="n">
        <v>80.4</v>
      </c>
      <c r="LX62" s="27" t="n">
        <v>11.9</v>
      </c>
      <c r="LY62" s="24" t="n">
        <v>97.51</v>
      </c>
      <c r="LZ62" s="24" t="n">
        <v>0</v>
      </c>
      <c r="MA62" s="24" t="n">
        <v>2.49</v>
      </c>
      <c r="MB62" s="24" t="n">
        <v>0</v>
      </c>
      <c r="MC62" s="24" t="n">
        <v>0</v>
      </c>
      <c r="MD62" s="24" t="n">
        <v>0</v>
      </c>
      <c r="ME62" s="24" t="n">
        <v>0</v>
      </c>
      <c r="MF62" s="24" t="n">
        <v>0</v>
      </c>
      <c r="MG62" s="24" t="n">
        <v>0</v>
      </c>
      <c r="MH62" s="24" t="n">
        <v>0</v>
      </c>
      <c r="MI62" s="24" t="n">
        <v>0</v>
      </c>
      <c r="MJ62" s="24" t="n">
        <v>0</v>
      </c>
      <c r="MK62" s="24" t="n">
        <v>3.13</v>
      </c>
      <c r="ML62" s="24" t="n">
        <v>26.34</v>
      </c>
      <c r="MM62" s="24" t="n">
        <v>45.74</v>
      </c>
      <c r="MN62" s="24" t="n">
        <v>0</v>
      </c>
      <c r="MO62" s="24" t="n">
        <v>0</v>
      </c>
      <c r="MP62" s="24" t="n">
        <v>0</v>
      </c>
      <c r="NC62" s="24" t="n">
        <v>0</v>
      </c>
      <c r="ND62" s="24" t="n">
        <v>0</v>
      </c>
      <c r="NO62" s="28"/>
      <c r="OG62" s="24" t="n">
        <v>0</v>
      </c>
      <c r="PR62" s="27" t="n">
        <v>6.4</v>
      </c>
      <c r="PS62" s="27" t="n">
        <v>1</v>
      </c>
      <c r="PT62" s="27" t="n">
        <v>2</v>
      </c>
      <c r="PU62" s="27"/>
      <c r="PV62" s="27" t="n">
        <f aca="false">1.24*2</f>
        <v>2.48</v>
      </c>
      <c r="PW62" s="27" t="n">
        <v>1</v>
      </c>
      <c r="PX62" s="27"/>
      <c r="PY62" s="27" t="n">
        <f aca="false">1.24*3+0.62+0.93+3.18+1.59+3.73+7.46</f>
        <v>21.23</v>
      </c>
      <c r="PZ62" s="27"/>
      <c r="QA62" s="27"/>
      <c r="QB62" s="27"/>
      <c r="QC62" s="27" t="n">
        <v>1.61</v>
      </c>
      <c r="QD62" s="27" t="n">
        <v>1.46</v>
      </c>
      <c r="QE62" s="27"/>
      <c r="QF62" s="27"/>
      <c r="QG62" s="27" t="n">
        <v>0</v>
      </c>
      <c r="QH62" s="27" t="n">
        <v>0</v>
      </c>
      <c r="QI62" s="27" t="n">
        <v>0</v>
      </c>
      <c r="QJ62" s="24" t="n">
        <v>0</v>
      </c>
      <c r="QK62" s="24" t="s">
        <v>245</v>
      </c>
      <c r="QL62" s="24" t="n">
        <v>19.5</v>
      </c>
      <c r="QM62" s="27" t="n">
        <v>76</v>
      </c>
      <c r="QN62" s="27" t="n">
        <v>80.4</v>
      </c>
      <c r="QO62" s="27" t="n">
        <v>10.9</v>
      </c>
      <c r="QP62" s="24" t="n">
        <v>99.87</v>
      </c>
      <c r="QQ62" s="24" t="n">
        <v>0</v>
      </c>
      <c r="QR62" s="24" t="n">
        <v>0</v>
      </c>
      <c r="QS62" s="24" t="n">
        <v>0</v>
      </c>
      <c r="QT62" s="24" t="n">
        <v>0.13</v>
      </c>
      <c r="QU62" s="24" t="n">
        <v>0</v>
      </c>
      <c r="QV62" s="24" t="n">
        <v>0</v>
      </c>
      <c r="QW62" s="24" t="n">
        <v>0</v>
      </c>
      <c r="QX62" s="24" t="n">
        <v>0</v>
      </c>
      <c r="QY62" s="24" t="n">
        <v>0</v>
      </c>
      <c r="QZ62" s="24" t="n">
        <v>0</v>
      </c>
      <c r="RA62" s="24" t="n">
        <v>0.1</v>
      </c>
      <c r="RB62" s="24" t="n">
        <v>0</v>
      </c>
      <c r="RC62" s="24" t="n">
        <v>17.25</v>
      </c>
      <c r="RD62" s="24" t="n">
        <v>40.01</v>
      </c>
      <c r="RE62" s="24" t="n">
        <v>0</v>
      </c>
      <c r="RF62" s="24" t="n">
        <v>0</v>
      </c>
      <c r="RG62" s="24" t="n">
        <v>0</v>
      </c>
      <c r="RT62" s="24" t="n">
        <v>4.5</v>
      </c>
      <c r="RU62" s="24" t="n">
        <v>1</v>
      </c>
      <c r="RV62" s="24" t="n">
        <v>34</v>
      </c>
      <c r="RW62" s="24" t="n">
        <v>2</v>
      </c>
      <c r="RX62" s="24" t="n">
        <v>0.13</v>
      </c>
      <c r="RY62" s="24" t="n">
        <v>1</v>
      </c>
      <c r="RZ62" s="24" t="n">
        <v>52</v>
      </c>
      <c r="SA62" s="24" t="n">
        <v>2</v>
      </c>
      <c r="SB62" s="24" t="n">
        <v>1.52</v>
      </c>
      <c r="SC62" s="24" t="n">
        <v>2</v>
      </c>
      <c r="SF62" s="28"/>
      <c r="SX62" s="24" t="n">
        <v>1</v>
      </c>
      <c r="SY62" s="24" t="n">
        <v>70</v>
      </c>
      <c r="SZ62" s="24" t="n">
        <v>7</v>
      </c>
      <c r="TA62" s="24" t="n">
        <v>0.7</v>
      </c>
      <c r="TB62" s="24" t="n">
        <v>3</v>
      </c>
      <c r="UI62" s="27" t="n">
        <v>0.72</v>
      </c>
      <c r="UJ62" s="27" t="n">
        <v>1</v>
      </c>
      <c r="UK62" s="27" t="n">
        <v>1</v>
      </c>
      <c r="UL62" s="27"/>
      <c r="UM62" s="27" t="n">
        <f aca="false">1.15+0.56+0.29</f>
        <v>2</v>
      </c>
      <c r="UN62" s="27"/>
      <c r="UO62" s="27"/>
      <c r="UP62" s="27"/>
      <c r="UQ62" s="27"/>
      <c r="UR62" s="27"/>
      <c r="US62" s="27"/>
      <c r="UT62" s="27" t="n">
        <v>0.17</v>
      </c>
      <c r="UU62" s="27" t="n">
        <v>0.17</v>
      </c>
      <c r="UV62" s="27"/>
      <c r="UW62" s="27"/>
      <c r="UX62" s="27" t="n">
        <v>0</v>
      </c>
      <c r="UY62" s="27" t="n">
        <v>0</v>
      </c>
      <c r="UZ62" s="27" t="n">
        <v>0</v>
      </c>
      <c r="VA62" s="24" t="n">
        <v>0</v>
      </c>
      <c r="VB62" s="24" t="s">
        <v>246</v>
      </c>
      <c r="VC62" s="24" t="n">
        <v>27</v>
      </c>
      <c r="VD62" s="27" t="n">
        <v>72</v>
      </c>
      <c r="VE62" s="27" t="n">
        <v>80.4</v>
      </c>
      <c r="VF62" s="27" t="n">
        <v>19.2</v>
      </c>
      <c r="VG62" s="24" t="n">
        <v>86.83</v>
      </c>
      <c r="VH62" s="24" t="n">
        <v>0</v>
      </c>
      <c r="VI62" s="24" t="n">
        <v>0</v>
      </c>
      <c r="VJ62" s="24" t="n">
        <v>0</v>
      </c>
      <c r="VK62" s="24" t="n">
        <v>13.17</v>
      </c>
      <c r="VL62" s="24" t="n">
        <v>0</v>
      </c>
      <c r="VM62" s="24" t="n">
        <v>0</v>
      </c>
      <c r="VN62" s="24" t="n">
        <v>0</v>
      </c>
      <c r="VO62" s="24" t="n">
        <v>0</v>
      </c>
      <c r="VP62" s="24" t="n">
        <v>0</v>
      </c>
      <c r="VQ62" s="24" t="n">
        <v>0</v>
      </c>
      <c r="VR62" s="24" t="n">
        <v>18.28</v>
      </c>
      <c r="VS62" s="24" t="n">
        <v>16.81</v>
      </c>
      <c r="VT62" s="24" t="n">
        <v>9.64</v>
      </c>
      <c r="VU62" s="24" t="n">
        <v>19.74</v>
      </c>
      <c r="VV62" s="24" t="n">
        <v>0</v>
      </c>
      <c r="VW62" s="24" t="n">
        <v>0</v>
      </c>
      <c r="VX62" s="24" t="n">
        <v>0</v>
      </c>
      <c r="WK62" s="24" t="n">
        <v>0</v>
      </c>
      <c r="WL62" s="24" t="n">
        <v>0</v>
      </c>
      <c r="WW62" s="28"/>
      <c r="XO62" s="24" t="n">
        <v>0</v>
      </c>
      <c r="YZ62" s="27" t="n">
        <v>1.43</v>
      </c>
      <c r="ZA62" s="27" t="n">
        <v>1</v>
      </c>
      <c r="ZB62" s="27" t="n">
        <v>1</v>
      </c>
      <c r="ZC62" s="27"/>
      <c r="ZD62" s="27" t="n">
        <f aca="false">6.34+2.11+0.08+0.37</f>
        <v>8.9</v>
      </c>
      <c r="ZE62" s="27"/>
      <c r="ZF62" s="27"/>
      <c r="ZG62" s="27"/>
      <c r="ZH62" s="27"/>
      <c r="ZI62" s="27"/>
      <c r="ZJ62" s="27"/>
      <c r="ZK62" s="27" t="n">
        <v>3.5</v>
      </c>
      <c r="ZL62" s="27" t="n">
        <v>3.5</v>
      </c>
      <c r="ZM62" s="27"/>
      <c r="ZN62" s="27"/>
      <c r="ZO62" s="27" t="n">
        <v>0</v>
      </c>
      <c r="ZP62" s="27" t="n">
        <v>0</v>
      </c>
      <c r="ZQ62" s="27" t="n">
        <v>0</v>
      </c>
      <c r="ZR62" s="24" t="n">
        <v>0</v>
      </c>
      <c r="ZS62" s="24" t="s">
        <v>247</v>
      </c>
      <c r="ZT62" s="24" t="n">
        <v>37</v>
      </c>
      <c r="ZU62" s="27" t="n">
        <v>79.2</v>
      </c>
      <c r="ZV62" s="27" t="n">
        <v>80.4</v>
      </c>
      <c r="ZW62" s="27" t="n">
        <v>12.1</v>
      </c>
      <c r="ZX62" s="24" t="n">
        <v>96.75</v>
      </c>
      <c r="ZY62" s="24" t="n">
        <v>0</v>
      </c>
      <c r="ZZ62" s="24" t="n">
        <v>0</v>
      </c>
      <c r="AAA62" s="24" t="n">
        <v>0</v>
      </c>
      <c r="AAB62" s="24" t="n">
        <v>3.25</v>
      </c>
      <c r="AAC62" s="24" t="n">
        <v>0</v>
      </c>
      <c r="AAD62" s="24" t="n">
        <v>0</v>
      </c>
      <c r="AAE62" s="24" t="n">
        <v>0</v>
      </c>
      <c r="AAF62" s="24" t="n">
        <v>0</v>
      </c>
      <c r="AAG62" s="24" t="n">
        <v>0</v>
      </c>
      <c r="AAH62" s="24" t="n">
        <v>0</v>
      </c>
      <c r="AAI62" s="24" t="n">
        <v>9.06</v>
      </c>
      <c r="AAJ62" s="24" t="n">
        <v>18.15</v>
      </c>
      <c r="AAK62" s="24" t="n">
        <v>25.66</v>
      </c>
      <c r="AAL62" s="24" t="n">
        <v>15.61</v>
      </c>
      <c r="AAM62" s="24" t="n">
        <v>0</v>
      </c>
      <c r="AAN62" s="24" t="n">
        <v>0</v>
      </c>
      <c r="AAO62" s="24" t="n">
        <v>0</v>
      </c>
      <c r="ABB62" s="24" t="n">
        <v>17.8</v>
      </c>
      <c r="ABC62" s="24" t="n">
        <v>1</v>
      </c>
      <c r="ABD62" s="24" t="n">
        <v>47</v>
      </c>
      <c r="ABE62" s="24" t="n">
        <v>3</v>
      </c>
      <c r="ABF62" s="24" t="n">
        <v>2.28</v>
      </c>
      <c r="ABG62" s="24" t="n">
        <v>3</v>
      </c>
      <c r="ABH62" s="24" t="n">
        <v>26</v>
      </c>
      <c r="ABI62" s="24" t="n">
        <v>1</v>
      </c>
      <c r="ABJ62" s="24" t="n">
        <v>0.76</v>
      </c>
      <c r="ABK62" s="24" t="n">
        <v>2</v>
      </c>
      <c r="ABN62" s="28"/>
      <c r="ACF62" s="24" t="n">
        <v>0</v>
      </c>
      <c r="ADQ62" s="27" t="n">
        <v>1.27</v>
      </c>
      <c r="ADR62" s="27" t="n">
        <v>1</v>
      </c>
      <c r="ADS62" s="27" t="n">
        <v>1</v>
      </c>
      <c r="ADT62" s="27"/>
      <c r="ADU62" s="27" t="n">
        <f aca="false">6.34+1.06</f>
        <v>7.4</v>
      </c>
      <c r="ADV62" s="27"/>
      <c r="ADW62" s="27"/>
      <c r="ADX62" s="27"/>
      <c r="ADY62" s="27"/>
      <c r="ADZ62" s="27"/>
      <c r="AEA62" s="27"/>
      <c r="AEB62" s="27" t="n">
        <v>2.86</v>
      </c>
      <c r="AEC62" s="27" t="n">
        <v>2.86</v>
      </c>
      <c r="AED62" s="27"/>
      <c r="AEE62" s="27"/>
      <c r="AEF62" s="27" t="n">
        <v>0</v>
      </c>
      <c r="AEG62" s="27" t="n">
        <v>0</v>
      </c>
      <c r="AEH62" s="27" t="n">
        <v>0</v>
      </c>
      <c r="AEI62" s="24" t="n">
        <v>0</v>
      </c>
      <c r="AEJ62" s="24" t="s">
        <v>248</v>
      </c>
      <c r="AEK62" s="24" t="n">
        <v>33</v>
      </c>
      <c r="AEL62" s="27" t="n">
        <v>122.1</v>
      </c>
      <c r="AEM62" s="27" t="n">
        <v>80.4</v>
      </c>
      <c r="AEN62" s="27" t="n">
        <v>14.1</v>
      </c>
      <c r="AEO62" s="24" t="n">
        <v>91.87</v>
      </c>
      <c r="AEP62" s="24" t="n">
        <v>0</v>
      </c>
      <c r="AEQ62" s="24" t="n">
        <v>5.85</v>
      </c>
      <c r="AER62" s="24" t="n">
        <v>0</v>
      </c>
      <c r="AES62" s="24" t="n">
        <v>2.28</v>
      </c>
      <c r="AET62" s="24" t="n">
        <v>0</v>
      </c>
      <c r="AEU62" s="24" t="n">
        <v>0</v>
      </c>
      <c r="AEV62" s="24" t="n">
        <v>0</v>
      </c>
      <c r="AEW62" s="24" t="n">
        <v>0</v>
      </c>
      <c r="AEX62" s="24" t="n">
        <v>0</v>
      </c>
      <c r="AEY62" s="24" t="n">
        <v>0</v>
      </c>
      <c r="AEZ62" s="24" t="n">
        <v>0</v>
      </c>
      <c r="AFA62" s="24" t="n">
        <v>23.39</v>
      </c>
      <c r="AFB62" s="24" t="n">
        <v>10.3</v>
      </c>
      <c r="AFC62" s="24" t="n">
        <v>49.9</v>
      </c>
      <c r="AFD62" s="24" t="n">
        <v>0</v>
      </c>
      <c r="AFE62" s="24" t="n">
        <v>0</v>
      </c>
      <c r="AFF62" s="24" t="n">
        <v>0</v>
      </c>
      <c r="AFS62" s="24" t="n">
        <v>0</v>
      </c>
      <c r="AFT62" s="24" t="n">
        <v>1</v>
      </c>
      <c r="AFU62" s="24" t="n">
        <v>34</v>
      </c>
      <c r="AFV62" s="24" t="n">
        <v>1</v>
      </c>
      <c r="AFW62" s="24" t="n">
        <v>1.14</v>
      </c>
      <c r="AFX62" s="24" t="n">
        <v>1</v>
      </c>
      <c r="AGE62" s="28"/>
      <c r="AGW62" s="24" t="n">
        <v>0</v>
      </c>
      <c r="AIH62" s="27" t="n">
        <v>4.78</v>
      </c>
      <c r="AII62" s="27" t="n">
        <v>1</v>
      </c>
      <c r="AIJ62" s="27" t="n">
        <v>1</v>
      </c>
      <c r="AIK62" s="27"/>
      <c r="AIL62" s="27" t="n">
        <v>4.23</v>
      </c>
      <c r="AIM62" s="27" t="n">
        <v>2</v>
      </c>
      <c r="AIN62" s="27"/>
      <c r="AIO62" s="27" t="n">
        <f aca="false">1.14+9.52+1.68</f>
        <v>12.34</v>
      </c>
      <c r="AIP62" s="27"/>
      <c r="AIQ62" s="27"/>
      <c r="AIR62" s="27"/>
      <c r="AIS62" s="27" t="n">
        <v>10.43</v>
      </c>
      <c r="AIT62" s="27" t="n">
        <v>22.43</v>
      </c>
      <c r="AIU62" s="27"/>
      <c r="AIV62" s="27"/>
      <c r="AIW62" s="27" t="n">
        <v>0</v>
      </c>
      <c r="AIX62" s="27" t="n">
        <v>0</v>
      </c>
      <c r="AIY62" s="27" t="n">
        <v>0</v>
      </c>
      <c r="AIZ62" s="24" t="n">
        <v>0</v>
      </c>
      <c r="AJA62" s="24" t="s">
        <v>249</v>
      </c>
      <c r="AJB62" s="24" t="n">
        <v>25</v>
      </c>
      <c r="AJC62" s="27" t="n">
        <v>87.3</v>
      </c>
      <c r="AJD62" s="27" t="n">
        <v>80.4</v>
      </c>
      <c r="AJE62" s="27" t="n">
        <v>8.8</v>
      </c>
      <c r="AJF62" s="24" t="n">
        <v>100</v>
      </c>
      <c r="AJG62" s="24" t="n">
        <v>0</v>
      </c>
      <c r="AJH62" s="24" t="n">
        <v>0</v>
      </c>
      <c r="AJI62" s="24" t="n">
        <v>0</v>
      </c>
      <c r="AJJ62" s="24" t="n">
        <v>0</v>
      </c>
      <c r="AJK62" s="24" t="n">
        <v>0</v>
      </c>
      <c r="AJL62" s="24" t="n">
        <v>0</v>
      </c>
      <c r="AJM62" s="24" t="n">
        <v>0</v>
      </c>
      <c r="AJN62" s="24" t="n">
        <v>0</v>
      </c>
      <c r="AJO62" s="24" t="n">
        <v>0</v>
      </c>
      <c r="AJP62" s="24" t="n">
        <v>0</v>
      </c>
      <c r="AJQ62" s="24" t="n">
        <v>0</v>
      </c>
      <c r="AJR62" s="24" t="n">
        <v>11.94</v>
      </c>
      <c r="AJS62" s="24" t="n">
        <v>34.17</v>
      </c>
      <c r="AJT62" s="24" t="n">
        <v>24.72</v>
      </c>
      <c r="AJU62" s="24" t="n">
        <v>0</v>
      </c>
      <c r="AJV62" s="24" t="n">
        <v>6.9</v>
      </c>
      <c r="AJW62" s="24" t="n">
        <v>3</v>
      </c>
      <c r="AJX62" s="24" t="n">
        <v>50</v>
      </c>
      <c r="AJZ62" s="24" t="n">
        <v>2</v>
      </c>
      <c r="AKD62" s="24" t="n">
        <v>50</v>
      </c>
      <c r="AKF62" s="24" t="n">
        <v>2</v>
      </c>
      <c r="AKJ62" s="24" t="n">
        <v>0</v>
      </c>
      <c r="AKK62" s="24" t="n">
        <v>0</v>
      </c>
      <c r="AKV62" s="28"/>
      <c r="ALN62" s="24" t="n">
        <v>1</v>
      </c>
      <c r="ALO62" s="24" t="n">
        <v>50</v>
      </c>
      <c r="ALP62" s="24" t="n">
        <v>1</v>
      </c>
      <c r="ALQ62" s="24" t="n">
        <v>1.86</v>
      </c>
      <c r="ALR62" s="24" t="n">
        <v>3</v>
      </c>
    </row>
    <row r="63" customFormat="false" ht="13.8" hidden="false" customHeight="false" outlineLevel="0" collapsed="false">
      <c r="A63" s="1" t="s">
        <v>423</v>
      </c>
      <c r="B63" s="12" t="n">
        <v>42892</v>
      </c>
      <c r="C63" s="0" t="n">
        <v>2</v>
      </c>
      <c r="D63" s="13" t="n">
        <v>40513</v>
      </c>
      <c r="E63" s="12" t="n">
        <v>33116</v>
      </c>
      <c r="F63" s="14" t="n">
        <f aca="false">(B63-E63)/365.25</f>
        <v>26.7652292950034</v>
      </c>
      <c r="G63" s="14" t="n">
        <f aca="false">(B63-D63)/365.25</f>
        <v>6.51334702258727</v>
      </c>
      <c r="H63" s="15" t="s">
        <v>228</v>
      </c>
      <c r="I63" s="15" t="s">
        <v>229</v>
      </c>
      <c r="J63" s="15" t="s">
        <v>181</v>
      </c>
      <c r="K63" s="21" t="n">
        <v>8</v>
      </c>
      <c r="L63" s="19" t="n">
        <v>95</v>
      </c>
      <c r="M63" s="0" t="n">
        <v>1.82</v>
      </c>
      <c r="N63" s="16" t="n">
        <f aca="false">L63/(M63*M63)</f>
        <v>28.6801110976935</v>
      </c>
      <c r="O63" s="19" t="n">
        <v>0</v>
      </c>
      <c r="P63" s="19" t="n">
        <v>0</v>
      </c>
      <c r="Q63" s="19" t="n">
        <v>0</v>
      </c>
      <c r="R63" s="19" t="n">
        <v>0</v>
      </c>
      <c r="S63" s="19" t="n">
        <v>0</v>
      </c>
      <c r="T63" s="19" t="n">
        <v>0</v>
      </c>
      <c r="U63" s="19" t="n">
        <v>0</v>
      </c>
      <c r="V63" s="19" t="n">
        <v>0</v>
      </c>
      <c r="W63" s="19" t="n">
        <v>0</v>
      </c>
      <c r="X63" s="19" t="n">
        <v>0</v>
      </c>
      <c r="Y63" s="19" t="n">
        <v>0</v>
      </c>
      <c r="Z63" s="19" t="n">
        <v>0</v>
      </c>
      <c r="AA63" s="19" t="n">
        <v>0</v>
      </c>
      <c r="AB63" s="19" t="n">
        <v>0</v>
      </c>
      <c r="AC63" s="19" t="n">
        <v>1</v>
      </c>
      <c r="AD63" s="19" t="n">
        <v>10</v>
      </c>
      <c r="AE63" s="19" t="n">
        <v>0</v>
      </c>
      <c r="AF63" s="19" t="n">
        <v>0</v>
      </c>
      <c r="AG63" s="19" t="n">
        <v>0</v>
      </c>
      <c r="AH63" s="19" t="n">
        <v>0</v>
      </c>
      <c r="AI63" s="19" t="n">
        <v>2</v>
      </c>
      <c r="AJ63" s="19" t="n">
        <v>2</v>
      </c>
      <c r="AK63" s="19" t="n">
        <v>2</v>
      </c>
      <c r="AL63" s="19" t="n">
        <v>0</v>
      </c>
      <c r="AM63" s="19" t="n">
        <v>7</v>
      </c>
      <c r="AN63" s="19" t="n">
        <v>0</v>
      </c>
      <c r="AO63" s="19" t="n">
        <v>0</v>
      </c>
      <c r="AP63" s="19" t="n">
        <v>0</v>
      </c>
      <c r="AQ63" s="19" t="n">
        <v>0</v>
      </c>
      <c r="AR63" s="19" t="n">
        <v>0</v>
      </c>
      <c r="AS63" s="19" t="n">
        <v>3</v>
      </c>
      <c r="AT63" s="19" t="n">
        <v>3</v>
      </c>
      <c r="AU63" s="19" t="n">
        <v>3</v>
      </c>
      <c r="AV63" s="19" t="n">
        <v>9</v>
      </c>
      <c r="AW63" s="19" t="n">
        <v>9</v>
      </c>
      <c r="AX63" s="19" t="n">
        <v>0</v>
      </c>
      <c r="AY63" s="19" t="n">
        <v>0</v>
      </c>
      <c r="AZ63" s="19" t="n">
        <v>0</v>
      </c>
      <c r="BA63" s="19" t="n">
        <v>0</v>
      </c>
      <c r="BB63" s="19" t="n">
        <v>1</v>
      </c>
      <c r="BC63" s="19" t="n">
        <v>1</v>
      </c>
      <c r="BD63" s="19" t="n">
        <v>1</v>
      </c>
      <c r="BE63" s="19" t="n">
        <v>3</v>
      </c>
      <c r="BF63" s="19" t="n">
        <v>0</v>
      </c>
      <c r="BG63" s="19" t="n">
        <v>0</v>
      </c>
      <c r="BH63" s="19" t="n">
        <v>0</v>
      </c>
      <c r="BI63" s="19" t="n">
        <v>0</v>
      </c>
      <c r="BJ63" s="19" t="n">
        <v>0</v>
      </c>
      <c r="BK63" s="19" t="n">
        <v>0</v>
      </c>
      <c r="BL63" s="19" t="n">
        <v>0</v>
      </c>
      <c r="BM63" s="19" t="n">
        <v>0</v>
      </c>
      <c r="BN63" s="19" t="n">
        <v>0</v>
      </c>
      <c r="BO63" s="19" t="n">
        <v>0</v>
      </c>
      <c r="BP63" s="19" t="n">
        <v>0</v>
      </c>
      <c r="BQ63" s="19" t="n">
        <v>0</v>
      </c>
      <c r="BR63" s="19" t="n">
        <v>3</v>
      </c>
      <c r="BS63" s="19" t="n">
        <v>2</v>
      </c>
      <c r="BT63" s="19" t="n">
        <v>4</v>
      </c>
      <c r="BU63" s="19" t="n">
        <v>4</v>
      </c>
      <c r="BV63" s="19" t="n">
        <v>3</v>
      </c>
      <c r="BW63" s="19" t="n">
        <v>3</v>
      </c>
      <c r="BX63" s="19" t="n">
        <v>2</v>
      </c>
      <c r="BY63" s="19" t="n">
        <v>3</v>
      </c>
      <c r="BZ63" s="19" t="n">
        <v>3</v>
      </c>
      <c r="CA63" s="19" t="n">
        <v>3</v>
      </c>
      <c r="CB63" s="19" t="n">
        <v>3</v>
      </c>
      <c r="CC63" s="19" t="n">
        <v>5</v>
      </c>
      <c r="CD63" s="19" t="n">
        <v>3</v>
      </c>
      <c r="CE63" s="19" t="n">
        <v>5</v>
      </c>
      <c r="CF63" s="19" t="n">
        <v>3</v>
      </c>
      <c r="CG63" s="19" t="n">
        <v>4</v>
      </c>
      <c r="CH63" s="19" t="n">
        <v>3</v>
      </c>
      <c r="CI63" s="19" t="n">
        <v>3</v>
      </c>
      <c r="CJ63" s="19" t="n">
        <v>4</v>
      </c>
      <c r="CK63" s="19" t="n">
        <v>10</v>
      </c>
      <c r="CL63" s="0" t="s">
        <v>230</v>
      </c>
      <c r="CM63" s="0" t="n">
        <v>64</v>
      </c>
      <c r="CN63" s="16" t="n">
        <v>74.3</v>
      </c>
      <c r="CO63" s="16" t="n">
        <v>81</v>
      </c>
      <c r="CP63" s="16" t="n">
        <v>58.5</v>
      </c>
      <c r="CQ63" s="0" t="n">
        <v>49.17</v>
      </c>
      <c r="CR63" s="0" t="n">
        <v>0</v>
      </c>
      <c r="CS63" s="0" t="n">
        <v>34.45</v>
      </c>
      <c r="CT63" s="0" t="n">
        <v>16.22</v>
      </c>
      <c r="CU63" s="0" t="n">
        <v>0.16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2.52</v>
      </c>
      <c r="DE63" s="0" t="n">
        <v>9.18</v>
      </c>
      <c r="DF63" s="0" t="n">
        <v>0</v>
      </c>
      <c r="DG63" s="0" t="n">
        <v>0</v>
      </c>
      <c r="DH63" s="0" t="n">
        <v>0</v>
      </c>
      <c r="DU63" s="0" t="n">
        <v>0.3</v>
      </c>
      <c r="DV63" s="0" t="n">
        <v>1</v>
      </c>
      <c r="DW63" s="0" t="n">
        <v>34</v>
      </c>
      <c r="DX63" s="0" t="n">
        <v>8</v>
      </c>
      <c r="DY63" s="0" t="n">
        <v>0.43</v>
      </c>
      <c r="DZ63" s="0" t="n">
        <v>1</v>
      </c>
      <c r="EA63" s="0" t="n">
        <v>47</v>
      </c>
      <c r="EB63" s="0" t="n">
        <v>1</v>
      </c>
      <c r="EC63" s="0" t="n">
        <v>0.04</v>
      </c>
      <c r="ED63" s="0" t="n">
        <v>3</v>
      </c>
      <c r="EG63" s="18"/>
      <c r="EY63" s="0" t="n">
        <v>0</v>
      </c>
      <c r="GJ63" s="16" t="n">
        <v>2.89</v>
      </c>
      <c r="GK63" s="16" t="n">
        <v>1</v>
      </c>
      <c r="GL63" s="16" t="n">
        <v>1</v>
      </c>
      <c r="GM63" s="16"/>
      <c r="GN63" s="16" t="n">
        <v>7.35</v>
      </c>
      <c r="GO63" s="16"/>
      <c r="GP63" s="16"/>
      <c r="GQ63" s="16"/>
      <c r="GR63" s="16"/>
      <c r="GS63" s="16"/>
      <c r="GT63" s="16"/>
      <c r="GU63" s="16" t="n">
        <v>0</v>
      </c>
      <c r="GV63" s="16" t="n">
        <v>0</v>
      </c>
      <c r="GW63" s="16"/>
      <c r="GX63" s="16"/>
      <c r="GY63" s="16" t="n">
        <v>0</v>
      </c>
      <c r="GZ63" s="16" t="n">
        <v>0</v>
      </c>
      <c r="HA63" s="16" t="n">
        <v>0</v>
      </c>
      <c r="HB63" s="0" t="n">
        <v>0</v>
      </c>
      <c r="HC63" s="0" t="s">
        <v>231</v>
      </c>
      <c r="HD63" s="0" t="n">
        <v>64.5</v>
      </c>
      <c r="HE63" s="16" t="n">
        <v>77.8</v>
      </c>
      <c r="HF63" s="16" t="n">
        <v>81</v>
      </c>
      <c r="HG63" s="16" t="n">
        <v>52.5</v>
      </c>
      <c r="HH63" s="0" t="n">
        <v>50.19</v>
      </c>
      <c r="HI63" s="0" t="n">
        <v>0</v>
      </c>
      <c r="HJ63" s="0" t="n">
        <v>26.36</v>
      </c>
      <c r="HK63" s="0" t="n">
        <v>23.45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1.91</v>
      </c>
      <c r="HU63" s="0" t="n">
        <v>2.12</v>
      </c>
      <c r="HV63" s="0" t="n">
        <v>0</v>
      </c>
      <c r="HW63" s="0" t="n">
        <v>0</v>
      </c>
      <c r="HX63" s="0" t="n">
        <v>0</v>
      </c>
      <c r="HY63" s="0" t="n">
        <v>0</v>
      </c>
      <c r="IL63" s="0" t="n">
        <v>5.4</v>
      </c>
      <c r="IM63" s="0" t="n">
        <v>1</v>
      </c>
      <c r="IN63" s="0" t="n">
        <v>68</v>
      </c>
      <c r="IO63" s="0" t="n">
        <v>8</v>
      </c>
      <c r="IP63" s="0" t="n">
        <f aca="false">1.4*2+0.13</f>
        <v>2.93</v>
      </c>
      <c r="IQ63" s="0" t="n">
        <v>1</v>
      </c>
      <c r="IR63" s="0" t="n">
        <v>34</v>
      </c>
      <c r="IS63" s="0" t="n">
        <v>1</v>
      </c>
      <c r="IT63" s="0" t="n">
        <v>0.13</v>
      </c>
      <c r="IU63" s="0" t="n">
        <v>1</v>
      </c>
      <c r="IX63" s="18"/>
      <c r="JP63" s="0" t="n">
        <v>1</v>
      </c>
      <c r="JQ63" s="0" t="n">
        <v>60</v>
      </c>
      <c r="JR63" s="0" t="n">
        <v>1</v>
      </c>
      <c r="JS63" s="0" t="n">
        <v>0.22</v>
      </c>
      <c r="JT63" s="0" t="n">
        <v>3</v>
      </c>
      <c r="LA63" s="16" t="n">
        <v>3.48</v>
      </c>
      <c r="LB63" s="16" t="n">
        <v>1</v>
      </c>
      <c r="LC63" s="16" t="n">
        <v>1</v>
      </c>
      <c r="LD63" s="16"/>
      <c r="LE63" s="16" t="n">
        <f aca="false">7.35+1.4*2+0.62+0.74+0.03+0.7+0.18+0.03+0.05+0.01</f>
        <v>12.51</v>
      </c>
      <c r="LF63" s="16"/>
      <c r="LG63" s="16"/>
      <c r="LH63" s="16"/>
      <c r="LI63" s="16"/>
      <c r="LJ63" s="16"/>
      <c r="LK63" s="16"/>
      <c r="LL63" s="16" t="n">
        <v>0.13</v>
      </c>
      <c r="LM63" s="16" t="n">
        <v>0.13</v>
      </c>
      <c r="LN63" s="16"/>
      <c r="LO63" s="16"/>
      <c r="LP63" s="16" t="n">
        <v>0</v>
      </c>
      <c r="LQ63" s="16" t="n">
        <v>0</v>
      </c>
      <c r="LR63" s="16" t="n">
        <v>0</v>
      </c>
      <c r="LS63" s="0" t="n">
        <v>0</v>
      </c>
      <c r="LT63" s="0" t="s">
        <v>232</v>
      </c>
      <c r="LU63" s="0" t="n">
        <v>40</v>
      </c>
      <c r="LV63" s="16" t="n">
        <v>84.9</v>
      </c>
      <c r="LW63" s="16" t="n">
        <v>81</v>
      </c>
      <c r="LX63" s="16" t="n">
        <v>13.2</v>
      </c>
      <c r="LY63" s="0" t="n">
        <v>93.04</v>
      </c>
      <c r="LZ63" s="0" t="n">
        <v>0</v>
      </c>
      <c r="MA63" s="0" t="n">
        <v>0</v>
      </c>
      <c r="MB63" s="0" t="n">
        <v>3.59</v>
      </c>
      <c r="MC63" s="0" t="n">
        <v>3.38</v>
      </c>
      <c r="MD63" s="0" t="n">
        <v>0</v>
      </c>
      <c r="ME63" s="0" t="n">
        <v>0</v>
      </c>
      <c r="MF63" s="0" t="n">
        <v>0</v>
      </c>
      <c r="MG63" s="0" t="n">
        <v>0</v>
      </c>
      <c r="MH63" s="0" t="n">
        <v>0</v>
      </c>
      <c r="MI63" s="0" t="n">
        <v>0</v>
      </c>
      <c r="MJ63" s="0" t="n">
        <v>1.7</v>
      </c>
      <c r="MK63" s="0" t="n">
        <v>3.97</v>
      </c>
      <c r="ML63" s="0" t="n">
        <v>39.76</v>
      </c>
      <c r="MM63" s="0" t="n">
        <v>0.13</v>
      </c>
      <c r="MN63" s="0" t="n">
        <v>0</v>
      </c>
      <c r="MO63" s="0" t="n">
        <v>0</v>
      </c>
      <c r="MP63" s="0" t="n">
        <v>0</v>
      </c>
      <c r="NC63" s="0" t="n">
        <v>15.9</v>
      </c>
      <c r="ND63" s="0" t="n">
        <v>1</v>
      </c>
      <c r="NE63" s="0" t="n">
        <v>47</v>
      </c>
      <c r="NF63" s="0" t="n">
        <v>2</v>
      </c>
      <c r="NG63" s="0" t="n">
        <v>1.51</v>
      </c>
      <c r="NH63" s="0" t="n">
        <v>3</v>
      </c>
      <c r="NO63" s="18"/>
      <c r="OG63" s="0" t="n">
        <v>1</v>
      </c>
      <c r="OH63" s="0" t="n">
        <v>40</v>
      </c>
      <c r="OI63" s="0" t="n">
        <v>7</v>
      </c>
      <c r="OJ63" s="0" t="n">
        <f aca="false">2.27+3.02</f>
        <v>5.29</v>
      </c>
      <c r="OK63" s="0" t="n">
        <v>3</v>
      </c>
      <c r="PR63" s="16" t="n">
        <v>1.48</v>
      </c>
      <c r="PS63" s="16" t="n">
        <v>1</v>
      </c>
      <c r="PT63" s="16" t="n">
        <v>1</v>
      </c>
      <c r="PU63" s="16"/>
      <c r="PV63" s="16" t="n">
        <f aca="false">2.1+1.7+0.37+0.74</f>
        <v>4.91</v>
      </c>
      <c r="PW63" s="16"/>
      <c r="PX63" s="16"/>
      <c r="PY63" s="16"/>
      <c r="PZ63" s="16"/>
      <c r="QA63" s="16"/>
      <c r="QB63" s="16"/>
      <c r="QC63" s="16" t="n">
        <v>7.34</v>
      </c>
      <c r="QD63" s="16" t="n">
        <v>5.01</v>
      </c>
      <c r="QE63" s="16"/>
      <c r="QF63" s="16"/>
      <c r="QG63" s="16" t="n">
        <v>0</v>
      </c>
      <c r="QH63" s="16" t="n">
        <v>0</v>
      </c>
      <c r="QI63" s="16" t="n">
        <v>0</v>
      </c>
      <c r="QJ63" s="0" t="n">
        <v>0</v>
      </c>
      <c r="QK63" s="0" t="s">
        <v>233</v>
      </c>
      <c r="QL63" s="0" t="n">
        <v>39.5</v>
      </c>
      <c r="QM63" s="16" t="n">
        <v>85</v>
      </c>
      <c r="QN63" s="16" t="n">
        <v>81</v>
      </c>
      <c r="QO63" s="16" t="n">
        <v>12.7</v>
      </c>
      <c r="QP63" s="0" t="n">
        <v>93.14</v>
      </c>
      <c r="QQ63" s="0" t="n">
        <v>0</v>
      </c>
      <c r="QR63" s="0" t="n">
        <v>1.57</v>
      </c>
      <c r="QS63" s="0" t="n">
        <v>2.08</v>
      </c>
      <c r="QT63" s="0" t="n">
        <v>3.21</v>
      </c>
      <c r="QU63" s="0" t="n">
        <v>0</v>
      </c>
      <c r="QV63" s="0" t="n">
        <v>0</v>
      </c>
      <c r="QW63" s="0" t="n">
        <v>0</v>
      </c>
      <c r="QX63" s="0" t="n">
        <v>0</v>
      </c>
      <c r="QY63" s="0" t="n">
        <v>0</v>
      </c>
      <c r="QZ63" s="0" t="n">
        <v>0</v>
      </c>
      <c r="RA63" s="0" t="n">
        <v>1.7</v>
      </c>
      <c r="RB63" s="0" t="n">
        <v>6.54</v>
      </c>
      <c r="RC63" s="0" t="n">
        <v>37.88</v>
      </c>
      <c r="RD63" s="0" t="n">
        <v>3</v>
      </c>
      <c r="RE63" s="0" t="n">
        <v>0</v>
      </c>
      <c r="RF63" s="0" t="n">
        <v>0</v>
      </c>
      <c r="RG63" s="0" t="n">
        <v>0</v>
      </c>
      <c r="RT63" s="0" t="n">
        <v>15.7</v>
      </c>
      <c r="RU63" s="0" t="n">
        <v>1</v>
      </c>
      <c r="RV63" s="0" t="n">
        <v>47</v>
      </c>
      <c r="RW63" s="0" t="n">
        <v>2</v>
      </c>
      <c r="RX63" s="0" t="n">
        <v>1.51</v>
      </c>
      <c r="RY63" s="0" t="n">
        <v>3</v>
      </c>
      <c r="SF63" s="18"/>
      <c r="SX63" s="0" t="n">
        <v>1</v>
      </c>
      <c r="SY63" s="0" t="n">
        <v>50</v>
      </c>
      <c r="SZ63" s="0" t="n">
        <v>3</v>
      </c>
      <c r="TA63" s="0" t="n">
        <v>0.4</v>
      </c>
      <c r="TB63" s="0" t="n">
        <v>3</v>
      </c>
      <c r="TC63" s="0" t="n">
        <v>40</v>
      </c>
      <c r="TD63" s="0" t="n">
        <v>7</v>
      </c>
      <c r="TE63" s="0" t="n">
        <f aca="false">2.27+3.02</f>
        <v>5.29</v>
      </c>
      <c r="TF63" s="0" t="n">
        <v>3</v>
      </c>
      <c r="UI63" s="16" t="n">
        <v>1.76</v>
      </c>
      <c r="UJ63" s="16" t="n">
        <v>1</v>
      </c>
      <c r="UK63" s="16" t="n">
        <v>1</v>
      </c>
      <c r="UL63" s="16"/>
      <c r="UM63" s="16" t="n">
        <f aca="false">2.1+1.7+0.4+0.37+0.74</f>
        <v>5.31</v>
      </c>
      <c r="UN63" s="16"/>
      <c r="UO63" s="16"/>
      <c r="UP63" s="16"/>
      <c r="UQ63" s="16"/>
      <c r="UR63" s="16"/>
      <c r="US63" s="16"/>
      <c r="UT63" s="16" t="n">
        <v>7.31</v>
      </c>
      <c r="UU63" s="16" t="n">
        <v>6.99</v>
      </c>
      <c r="UV63" s="16"/>
      <c r="UW63" s="16"/>
      <c r="UX63" s="16" t="n">
        <v>0</v>
      </c>
      <c r="UY63" s="16" t="n">
        <v>0</v>
      </c>
      <c r="UZ63" s="16" t="n">
        <v>0</v>
      </c>
      <c r="VA63" s="0" t="n">
        <v>0</v>
      </c>
      <c r="VB63" s="0" t="s">
        <v>234</v>
      </c>
      <c r="VC63" s="0" t="n">
        <v>22.5</v>
      </c>
      <c r="VD63" s="16" t="n">
        <v>60.3</v>
      </c>
      <c r="VE63" s="16" t="n">
        <v>81</v>
      </c>
      <c r="VF63" s="16" t="n">
        <v>13.3</v>
      </c>
      <c r="VG63" s="0" t="n">
        <v>92.98</v>
      </c>
      <c r="VH63" s="0" t="n">
        <v>0</v>
      </c>
      <c r="VI63" s="0" t="n">
        <v>0</v>
      </c>
      <c r="VJ63" s="0" t="n">
        <v>0</v>
      </c>
      <c r="VK63" s="0" t="n">
        <v>7.02</v>
      </c>
      <c r="VL63" s="0" t="n">
        <v>0</v>
      </c>
      <c r="VM63" s="0" t="n">
        <v>0</v>
      </c>
      <c r="VN63" s="0" t="n">
        <v>0</v>
      </c>
      <c r="VO63" s="0" t="n">
        <v>0</v>
      </c>
      <c r="VP63" s="0" t="n">
        <v>0</v>
      </c>
      <c r="VQ63" s="0" t="n">
        <v>0</v>
      </c>
      <c r="VR63" s="0" t="n">
        <v>0</v>
      </c>
      <c r="VS63" s="0" t="n">
        <v>0.72</v>
      </c>
      <c r="VT63" s="0" t="n">
        <v>23.12</v>
      </c>
      <c r="VU63" s="0" t="n">
        <v>24.81</v>
      </c>
      <c r="VV63" s="0" t="n">
        <v>0</v>
      </c>
      <c r="VW63" s="0" t="n">
        <v>0</v>
      </c>
      <c r="VX63" s="0" t="n">
        <v>0</v>
      </c>
      <c r="WK63" s="0" t="n">
        <v>0</v>
      </c>
      <c r="WL63" s="0" t="n">
        <v>1</v>
      </c>
      <c r="WM63" s="0" t="n">
        <v>23</v>
      </c>
      <c r="WN63" s="0" t="n">
        <v>1</v>
      </c>
      <c r="WO63" s="0" t="n">
        <v>0.3</v>
      </c>
      <c r="WP63" s="0" t="n">
        <v>3</v>
      </c>
      <c r="WW63" s="18"/>
      <c r="XO63" s="0" t="n">
        <v>0</v>
      </c>
      <c r="YZ63" s="16" t="n">
        <v>1.26</v>
      </c>
      <c r="ZA63" s="16" t="n">
        <v>1</v>
      </c>
      <c r="ZB63" s="16" t="n">
        <v>1</v>
      </c>
      <c r="ZC63" s="16"/>
      <c r="ZD63" s="16" t="n">
        <f aca="false">2.1+1.7+0.4+0.37+0.74</f>
        <v>5.31</v>
      </c>
      <c r="ZE63" s="16"/>
      <c r="ZF63" s="16"/>
      <c r="ZG63" s="16"/>
      <c r="ZH63" s="16"/>
      <c r="ZI63" s="16"/>
      <c r="ZJ63" s="16"/>
      <c r="ZK63" s="16" t="n">
        <v>6.24</v>
      </c>
      <c r="ZL63" s="16" t="n">
        <v>6.99</v>
      </c>
      <c r="ZM63" s="16"/>
      <c r="ZN63" s="16"/>
      <c r="ZO63" s="16" t="n">
        <v>0</v>
      </c>
      <c r="ZP63" s="16" t="n">
        <v>0</v>
      </c>
      <c r="ZQ63" s="16" t="n">
        <v>0</v>
      </c>
      <c r="ZR63" s="0" t="n">
        <v>0</v>
      </c>
      <c r="ZS63" s="0" t="s">
        <v>235</v>
      </c>
      <c r="ZT63" s="0" t="n">
        <v>37</v>
      </c>
      <c r="ZU63" s="16" t="n">
        <v>81.9</v>
      </c>
      <c r="ZV63" s="16" t="n">
        <v>81</v>
      </c>
      <c r="ZW63" s="16" t="n">
        <v>26.3</v>
      </c>
      <c r="ZX63" s="0" t="n">
        <v>68.54</v>
      </c>
      <c r="ZY63" s="0" t="n">
        <v>0</v>
      </c>
      <c r="ZZ63" s="0" t="n">
        <v>0</v>
      </c>
      <c r="AAA63" s="0" t="n">
        <v>0</v>
      </c>
      <c r="AAB63" s="0" t="n">
        <v>31.46</v>
      </c>
      <c r="AAC63" s="0" t="n">
        <v>0</v>
      </c>
      <c r="AAD63" s="0" t="n">
        <v>0</v>
      </c>
      <c r="AAE63" s="0" t="n">
        <v>0</v>
      </c>
      <c r="AAF63" s="0" t="n">
        <v>0</v>
      </c>
      <c r="AAG63" s="0" t="n">
        <v>0</v>
      </c>
      <c r="AAH63" s="0" t="n">
        <v>0</v>
      </c>
      <c r="AAI63" s="0" t="n">
        <v>0</v>
      </c>
      <c r="AAJ63" s="0" t="n">
        <v>5.42</v>
      </c>
      <c r="AAK63" s="0" t="n">
        <v>17.37</v>
      </c>
      <c r="AAL63" s="0" t="n">
        <v>41.85</v>
      </c>
      <c r="AAM63" s="0" t="n">
        <v>0</v>
      </c>
      <c r="AAN63" s="0" t="n">
        <v>0</v>
      </c>
      <c r="AAO63" s="0" t="n">
        <v>0</v>
      </c>
      <c r="ABB63" s="0" t="n">
        <v>0</v>
      </c>
      <c r="ABC63" s="0" t="n">
        <v>1</v>
      </c>
      <c r="ABD63" s="0" t="n">
        <v>23</v>
      </c>
      <c r="ABE63" s="0" t="n">
        <v>2</v>
      </c>
      <c r="ABF63" s="0" t="n">
        <v>2.11</v>
      </c>
      <c r="ABG63" s="0" t="n">
        <v>3</v>
      </c>
      <c r="ABN63" s="18"/>
      <c r="ACF63" s="0" t="n">
        <v>0</v>
      </c>
      <c r="ADQ63" s="16" t="n">
        <v>2.64</v>
      </c>
      <c r="ADR63" s="16" t="n">
        <v>1</v>
      </c>
      <c r="ADS63" s="16" t="n">
        <v>1</v>
      </c>
      <c r="ADT63" s="16"/>
      <c r="ADU63" s="16" t="n">
        <f aca="false">4.2*2+1.7+5.1+0.37+0.74</f>
        <v>16.31</v>
      </c>
      <c r="ADV63" s="16"/>
      <c r="ADW63" s="16"/>
      <c r="ADX63" s="16"/>
      <c r="ADY63" s="16"/>
      <c r="ADZ63" s="16"/>
      <c r="AEA63" s="16"/>
      <c r="AEB63" s="16" t="n">
        <v>5.32</v>
      </c>
      <c r="AEC63" s="16" t="n">
        <v>8.04</v>
      </c>
      <c r="AED63" s="16"/>
      <c r="AEE63" s="16"/>
      <c r="AEF63" s="16" t="n">
        <v>0</v>
      </c>
      <c r="AEG63" s="16" t="n">
        <v>0</v>
      </c>
      <c r="AEH63" s="16" t="n">
        <v>0</v>
      </c>
      <c r="AEI63" s="0" t="n">
        <v>0</v>
      </c>
      <c r="AEJ63" s="0" t="s">
        <v>236</v>
      </c>
      <c r="AEK63" s="0" t="n">
        <v>51</v>
      </c>
      <c r="AEL63" s="16" t="n">
        <v>93.4</v>
      </c>
      <c r="AEM63" s="16" t="n">
        <v>81</v>
      </c>
      <c r="AEN63" s="16" t="n">
        <v>29.5</v>
      </c>
      <c r="AEO63" s="0" t="n">
        <v>55.24</v>
      </c>
      <c r="AEP63" s="0" t="n">
        <v>0</v>
      </c>
      <c r="AEQ63" s="0" t="n">
        <v>0</v>
      </c>
      <c r="AER63" s="0" t="n">
        <v>0</v>
      </c>
      <c r="AES63" s="0" t="n">
        <v>44.76</v>
      </c>
      <c r="AET63" s="0" t="n">
        <v>0</v>
      </c>
      <c r="AEU63" s="0" t="n">
        <v>0</v>
      </c>
      <c r="AEV63" s="0" t="n">
        <v>0</v>
      </c>
      <c r="AEW63" s="0" t="n">
        <v>0</v>
      </c>
      <c r="AEX63" s="0" t="n">
        <v>0</v>
      </c>
      <c r="AEY63" s="0" t="n">
        <v>0</v>
      </c>
      <c r="AEZ63" s="0" t="n">
        <v>0.67</v>
      </c>
      <c r="AFA63" s="0" t="n">
        <v>5.1</v>
      </c>
      <c r="AFB63" s="0" t="n">
        <v>47.22</v>
      </c>
      <c r="AFC63" s="0" t="n">
        <v>18.3</v>
      </c>
      <c r="AFD63" s="0" t="n">
        <v>0</v>
      </c>
      <c r="AFE63" s="0" t="n">
        <v>7.5</v>
      </c>
      <c r="AFF63" s="0" t="n">
        <v>1</v>
      </c>
      <c r="AFG63" s="0" t="n">
        <v>3.6</v>
      </c>
      <c r="AFI63" s="0" t="n">
        <v>1</v>
      </c>
      <c r="AFM63" s="0" t="n">
        <v>3.6</v>
      </c>
      <c r="AFO63" s="0" t="n">
        <v>1</v>
      </c>
      <c r="AFS63" s="0" t="n">
        <v>0</v>
      </c>
      <c r="AFT63" s="0" t="n">
        <v>0</v>
      </c>
      <c r="AGE63" s="18"/>
      <c r="AGW63" s="0" t="n">
        <v>0</v>
      </c>
      <c r="AIH63" s="16" t="n">
        <v>1.95</v>
      </c>
      <c r="AII63" s="16" t="n">
        <v>1</v>
      </c>
      <c r="AIJ63" s="16" t="n">
        <v>1</v>
      </c>
      <c r="AIK63" s="16"/>
      <c r="AIL63" s="16" t="n">
        <f aca="false">2.42+1.67+5+0.22+0.66+0.22</f>
        <v>10.19</v>
      </c>
      <c r="AIM63" s="16"/>
      <c r="AIN63" s="16"/>
      <c r="AIO63" s="16"/>
      <c r="AIP63" s="16"/>
      <c r="AIQ63" s="16"/>
      <c r="AIR63" s="16"/>
      <c r="AIS63" s="16" t="n">
        <v>5.63</v>
      </c>
      <c r="AIT63" s="16" t="n">
        <v>11.04</v>
      </c>
      <c r="AIU63" s="16"/>
      <c r="AIV63" s="16"/>
      <c r="AIW63" s="16" t="n">
        <v>0</v>
      </c>
      <c r="AIX63" s="16" t="n">
        <v>0</v>
      </c>
      <c r="AIY63" s="16" t="n">
        <v>0</v>
      </c>
      <c r="AIZ63" s="0" t="n">
        <v>0</v>
      </c>
      <c r="AJA63" s="0" t="s">
        <v>237</v>
      </c>
      <c r="AJB63" s="0" t="n">
        <v>46</v>
      </c>
      <c r="AJC63" s="16" t="n">
        <v>92.7</v>
      </c>
      <c r="AJD63" s="16" t="n">
        <v>81</v>
      </c>
      <c r="AJE63" s="16" t="n">
        <v>20.8</v>
      </c>
      <c r="AJF63" s="0" t="n">
        <v>76.44</v>
      </c>
      <c r="AJG63" s="0" t="n">
        <v>0</v>
      </c>
      <c r="AJH63" s="0" t="n">
        <v>0</v>
      </c>
      <c r="AJI63" s="0" t="n">
        <v>0</v>
      </c>
      <c r="AJJ63" s="0" t="n">
        <v>23.56</v>
      </c>
      <c r="AJK63" s="0" t="n">
        <v>0</v>
      </c>
      <c r="AJL63" s="0" t="n">
        <v>0</v>
      </c>
      <c r="AJM63" s="0" t="n">
        <v>0</v>
      </c>
      <c r="AJN63" s="0" t="n">
        <v>0</v>
      </c>
      <c r="AJO63" s="0" t="n">
        <v>0</v>
      </c>
      <c r="AJP63" s="0" t="n">
        <v>0</v>
      </c>
      <c r="AJQ63" s="0" t="n">
        <v>0.23</v>
      </c>
      <c r="AJR63" s="0" t="n">
        <v>0.51</v>
      </c>
      <c r="AJS63" s="0" t="n">
        <v>26.55</v>
      </c>
      <c r="AJT63" s="0" t="n">
        <v>36.69</v>
      </c>
      <c r="AJU63" s="0" t="n">
        <v>0</v>
      </c>
      <c r="AJV63" s="0" t="n">
        <v>10.6</v>
      </c>
      <c r="AJW63" s="0" t="n">
        <v>1</v>
      </c>
      <c r="AJX63" s="0" t="n">
        <v>6</v>
      </c>
      <c r="AJZ63" s="0" t="n">
        <v>1</v>
      </c>
      <c r="AKD63" s="0" t="n">
        <v>6</v>
      </c>
      <c r="AKF63" s="0" t="n">
        <v>1</v>
      </c>
      <c r="AKJ63" s="0" t="n">
        <v>7.1</v>
      </c>
      <c r="AKK63" s="0" t="n">
        <v>1</v>
      </c>
      <c r="AKL63" s="0" t="n">
        <v>35</v>
      </c>
      <c r="AKM63" s="0" t="n">
        <v>2</v>
      </c>
      <c r="AKN63" s="0" t="n">
        <f aca="false">0.76*2</f>
        <v>1.52</v>
      </c>
      <c r="AKO63" s="0" t="n">
        <v>3</v>
      </c>
      <c r="AKV63" s="18"/>
      <c r="ALN63" s="0" t="n">
        <v>0</v>
      </c>
    </row>
    <row r="64" s="24" customFormat="true" ht="13.8" hidden="false" customHeight="false" outlineLevel="0" collapsed="false">
      <c r="A64" s="1" t="s">
        <v>424</v>
      </c>
      <c r="B64" s="12" t="n">
        <v>42894</v>
      </c>
      <c r="C64" s="0" t="n">
        <v>1</v>
      </c>
      <c r="D64" s="13" t="n">
        <v>42804</v>
      </c>
      <c r="E64" s="12" t="n">
        <v>30607</v>
      </c>
      <c r="F64" s="14" t="n">
        <f aca="false">(B64-E64)/365.25</f>
        <v>33.6399726214921</v>
      </c>
      <c r="G64" s="14" t="n">
        <f aca="false">(B64-D64)/365.25</f>
        <v>0.246406570841889</v>
      </c>
      <c r="H64" s="15" t="s">
        <v>228</v>
      </c>
      <c r="I64" s="15" t="s">
        <v>240</v>
      </c>
      <c r="J64" s="15" t="s">
        <v>181</v>
      </c>
      <c r="K64" s="21" t="n">
        <v>4</v>
      </c>
      <c r="L64" s="19"/>
      <c r="M64" s="0" t="n">
        <v>1.71</v>
      </c>
      <c r="N64" s="16" t="n">
        <f aca="false">L64/(M64*M64)</f>
        <v>0</v>
      </c>
      <c r="O64" s="19" t="n">
        <v>0</v>
      </c>
      <c r="P64" s="19" t="n">
        <v>0</v>
      </c>
      <c r="Q64" s="19" t="n">
        <v>0</v>
      </c>
      <c r="R64" s="19" t="n">
        <v>0</v>
      </c>
      <c r="S64" s="19" t="n">
        <v>0</v>
      </c>
      <c r="T64" s="19" t="n">
        <v>0</v>
      </c>
      <c r="U64" s="19" t="n">
        <v>0</v>
      </c>
      <c r="V64" s="19" t="n">
        <v>0</v>
      </c>
      <c r="W64" s="19" t="n">
        <v>0</v>
      </c>
      <c r="X64" s="19" t="n">
        <v>0</v>
      </c>
      <c r="Y64" s="19" t="n">
        <v>0</v>
      </c>
      <c r="Z64" s="19" t="n">
        <v>0</v>
      </c>
      <c r="AA64" s="19" t="n">
        <v>0</v>
      </c>
      <c r="AB64" s="19" t="n">
        <v>0</v>
      </c>
      <c r="AC64" s="19" t="n">
        <v>1</v>
      </c>
      <c r="AD64" s="19" t="n">
        <v>10</v>
      </c>
      <c r="AE64" s="19" t="n">
        <v>1</v>
      </c>
      <c r="AF64" s="19" t="n">
        <v>0</v>
      </c>
      <c r="AG64" s="19" t="n">
        <v>1</v>
      </c>
      <c r="AH64" s="19" t="n">
        <v>7</v>
      </c>
      <c r="AI64" s="19" t="n">
        <v>3</v>
      </c>
      <c r="AJ64" s="19" t="n">
        <v>0</v>
      </c>
      <c r="AK64" s="19" t="n">
        <v>3</v>
      </c>
      <c r="AL64" s="19" t="n">
        <v>4</v>
      </c>
      <c r="AM64" s="19" t="n">
        <v>4</v>
      </c>
      <c r="AN64" s="19" t="n">
        <v>1</v>
      </c>
      <c r="AO64" s="19" t="n">
        <v>0</v>
      </c>
      <c r="AP64" s="19" t="n">
        <v>1</v>
      </c>
      <c r="AQ64" s="19" t="n">
        <v>2</v>
      </c>
      <c r="AR64" s="19" t="n">
        <v>0</v>
      </c>
      <c r="AS64" s="19" t="n">
        <v>3</v>
      </c>
      <c r="AT64" s="19" t="n">
        <v>0</v>
      </c>
      <c r="AU64" s="19" t="n">
        <v>3</v>
      </c>
      <c r="AV64" s="19" t="n">
        <v>2</v>
      </c>
      <c r="AW64" s="19" t="n">
        <v>2</v>
      </c>
      <c r="AX64" s="19" t="n">
        <v>0</v>
      </c>
      <c r="AY64" s="19" t="n">
        <v>0</v>
      </c>
      <c r="AZ64" s="19" t="n">
        <v>0</v>
      </c>
      <c r="BA64" s="19" t="n">
        <v>0</v>
      </c>
      <c r="BB64" s="19" t="n">
        <v>1</v>
      </c>
      <c r="BC64" s="19" t="n">
        <v>0</v>
      </c>
      <c r="BD64" s="19" t="n">
        <v>1</v>
      </c>
      <c r="BE64" s="19"/>
      <c r="BF64" s="19" t="n">
        <v>0</v>
      </c>
      <c r="BG64" s="19" t="n">
        <v>0</v>
      </c>
      <c r="BH64" s="19" t="n">
        <v>0</v>
      </c>
      <c r="BI64" s="19" t="n">
        <v>0</v>
      </c>
      <c r="BJ64" s="19" t="n">
        <v>0</v>
      </c>
      <c r="BK64" s="19" t="n">
        <v>0</v>
      </c>
      <c r="BL64" s="19" t="n">
        <v>0</v>
      </c>
      <c r="BM64" s="19" t="n">
        <v>0</v>
      </c>
      <c r="BN64" s="19" t="n">
        <v>0</v>
      </c>
      <c r="BO64" s="19" t="n">
        <v>0</v>
      </c>
      <c r="BP64" s="19" t="n">
        <v>0</v>
      </c>
      <c r="BQ64" s="19" t="n">
        <v>0</v>
      </c>
      <c r="BR64" s="19" t="n">
        <v>3</v>
      </c>
      <c r="BS64" s="19" t="n">
        <v>2</v>
      </c>
      <c r="BT64" s="19" t="n">
        <v>3</v>
      </c>
      <c r="BU64" s="19" t="n">
        <v>5</v>
      </c>
      <c r="BV64" s="19" t="n">
        <v>1</v>
      </c>
      <c r="BW64" s="19" t="n">
        <v>2</v>
      </c>
      <c r="BX64" s="19" t="n">
        <v>4</v>
      </c>
      <c r="BY64" s="19" t="n">
        <v>3</v>
      </c>
      <c r="BZ64" s="19" t="n">
        <v>2</v>
      </c>
      <c r="CA64" s="19" t="n">
        <v>5</v>
      </c>
      <c r="CB64" s="19" t="n">
        <v>5</v>
      </c>
      <c r="CC64" s="19" t="n">
        <v>5</v>
      </c>
      <c r="CD64" s="19" t="n">
        <v>5</v>
      </c>
      <c r="CE64" s="19" t="n">
        <v>4</v>
      </c>
      <c r="CF64" s="19" t="n">
        <v>5</v>
      </c>
      <c r="CG64" s="19" t="n">
        <v>5</v>
      </c>
      <c r="CH64" s="19" t="n">
        <v>4</v>
      </c>
      <c r="CI64" s="19" t="n">
        <v>5</v>
      </c>
      <c r="CJ64" s="19" t="n">
        <v>5</v>
      </c>
      <c r="CK64" s="19" t="n">
        <v>10</v>
      </c>
      <c r="CL64" s="24" t="s">
        <v>242</v>
      </c>
      <c r="CM64" s="24" t="n">
        <v>36.5</v>
      </c>
      <c r="CN64" s="27" t="n">
        <v>88.3</v>
      </c>
      <c r="CO64" s="27" t="n">
        <v>80.4</v>
      </c>
      <c r="CP64" s="27" t="n">
        <v>28.2</v>
      </c>
      <c r="CQ64" s="24" t="n">
        <v>73.82</v>
      </c>
      <c r="CR64" s="24" t="n">
        <v>0</v>
      </c>
      <c r="CS64" s="24" t="n">
        <v>25.61</v>
      </c>
      <c r="CT64" s="24" t="n">
        <v>0</v>
      </c>
      <c r="CU64" s="24" t="n">
        <v>0.57</v>
      </c>
      <c r="CV64" s="24" t="n">
        <v>0</v>
      </c>
      <c r="CW64" s="24" t="n">
        <v>0</v>
      </c>
      <c r="CX64" s="24" t="n">
        <v>0</v>
      </c>
      <c r="CY64" s="24" t="n">
        <v>0</v>
      </c>
      <c r="CZ64" s="24" t="n">
        <v>0</v>
      </c>
      <c r="DA64" s="24" t="n">
        <v>0</v>
      </c>
      <c r="DB64" s="24" t="n">
        <v>1.17</v>
      </c>
      <c r="DC64" s="24" t="n">
        <v>31.76</v>
      </c>
      <c r="DD64" s="24" t="n">
        <v>23.3</v>
      </c>
      <c r="DE64" s="24" t="n">
        <v>26.08</v>
      </c>
      <c r="DF64" s="24" t="n">
        <v>0</v>
      </c>
      <c r="DG64" s="24" t="n">
        <v>0</v>
      </c>
      <c r="DH64" s="24" t="n">
        <v>0</v>
      </c>
      <c r="DU64" s="24" t="n">
        <v>2.1</v>
      </c>
      <c r="DV64" s="24" t="n">
        <v>1</v>
      </c>
      <c r="DW64" s="24" t="n">
        <v>47</v>
      </c>
      <c r="DX64" s="24" t="n">
        <v>2</v>
      </c>
      <c r="DY64" s="24" t="n">
        <v>0.27</v>
      </c>
      <c r="DZ64" s="24" t="n">
        <v>3</v>
      </c>
      <c r="EG64" s="28"/>
      <c r="EY64" s="24" t="n">
        <v>0</v>
      </c>
      <c r="GJ64" s="27" t="n">
        <v>1.9</v>
      </c>
      <c r="GK64" s="27" t="n">
        <v>1</v>
      </c>
      <c r="GL64" s="27" t="n">
        <v>1</v>
      </c>
      <c r="GM64" s="27"/>
      <c r="GN64" s="27" t="n">
        <f aca="false">5.29*3</f>
        <v>15.87</v>
      </c>
      <c r="GO64" s="27"/>
      <c r="GP64" s="27"/>
      <c r="GQ64" s="27"/>
      <c r="GR64" s="27"/>
      <c r="GS64" s="27"/>
      <c r="GT64" s="27"/>
      <c r="GU64" s="27" t="n">
        <v>0.57</v>
      </c>
      <c r="GV64" s="27" t="n">
        <v>0.56</v>
      </c>
      <c r="GW64" s="27"/>
      <c r="GX64" s="27"/>
      <c r="GY64" s="27" t="n">
        <v>0</v>
      </c>
      <c r="GZ64" s="27" t="n">
        <v>0</v>
      </c>
      <c r="HA64" s="27" t="n">
        <v>0</v>
      </c>
      <c r="HB64" s="24" t="n">
        <v>0</v>
      </c>
      <c r="HC64" s="24" t="s">
        <v>243</v>
      </c>
      <c r="HD64" s="24" t="n">
        <v>38</v>
      </c>
      <c r="HE64" s="27" t="n">
        <v>87.8</v>
      </c>
      <c r="HF64" s="27" t="n">
        <v>80.4</v>
      </c>
      <c r="HG64" s="27" t="n">
        <v>29.1</v>
      </c>
      <c r="HH64" s="24" t="n">
        <v>71.17</v>
      </c>
      <c r="HI64" s="24" t="n">
        <v>0</v>
      </c>
      <c r="HJ64" s="24" t="n">
        <v>25.61</v>
      </c>
      <c r="HK64" s="24" t="n">
        <v>0</v>
      </c>
      <c r="HL64" s="24" t="n">
        <v>3.22</v>
      </c>
      <c r="HM64" s="24" t="n">
        <v>0</v>
      </c>
      <c r="HN64" s="24" t="n">
        <v>0</v>
      </c>
      <c r="HO64" s="24" t="n">
        <v>0</v>
      </c>
      <c r="HP64" s="24" t="n">
        <v>0</v>
      </c>
      <c r="HQ64" s="24" t="n">
        <v>0</v>
      </c>
      <c r="HR64" s="24" t="n">
        <v>0</v>
      </c>
      <c r="HS64" s="24" t="n">
        <v>1.08</v>
      </c>
      <c r="HT64" s="24" t="n">
        <v>31.76</v>
      </c>
      <c r="HU64" s="24" t="n">
        <v>22.19</v>
      </c>
      <c r="HV64" s="24" t="n">
        <v>26.38</v>
      </c>
      <c r="HW64" s="24" t="n">
        <v>0</v>
      </c>
      <c r="HX64" s="24" t="n">
        <v>0</v>
      </c>
      <c r="HY64" s="24" t="n">
        <v>0</v>
      </c>
      <c r="IL64" s="24" t="n">
        <v>2.1</v>
      </c>
      <c r="IM64" s="24" t="n">
        <v>1</v>
      </c>
      <c r="IN64" s="24" t="n">
        <v>47</v>
      </c>
      <c r="IO64" s="24" t="n">
        <v>2</v>
      </c>
      <c r="IP64" s="24" t="n">
        <v>0.27</v>
      </c>
      <c r="IQ64" s="24" t="n">
        <v>3</v>
      </c>
      <c r="IX64" s="28"/>
      <c r="JP64" s="24" t="n">
        <v>0</v>
      </c>
      <c r="LA64" s="27" t="n">
        <v>1.9</v>
      </c>
      <c r="LB64" s="27" t="n">
        <v>1</v>
      </c>
      <c r="LC64" s="27" t="n">
        <v>1</v>
      </c>
      <c r="LD64" s="27"/>
      <c r="LE64" s="27" t="n">
        <f aca="false">5.29*3</f>
        <v>15.87</v>
      </c>
      <c r="LF64" s="27"/>
      <c r="LG64" s="27"/>
      <c r="LH64" s="27"/>
      <c r="LI64" s="27"/>
      <c r="LJ64" s="27"/>
      <c r="LK64" s="27"/>
      <c r="LL64" s="27" t="n">
        <v>1.12</v>
      </c>
      <c r="LM64" s="27" t="n">
        <v>0.27</v>
      </c>
      <c r="LN64" s="27"/>
      <c r="LO64" s="27"/>
      <c r="LP64" s="27" t="n">
        <v>0</v>
      </c>
      <c r="LQ64" s="27" t="n">
        <v>0</v>
      </c>
      <c r="LR64" s="27" t="n">
        <v>0</v>
      </c>
      <c r="LS64" s="24" t="n">
        <v>0</v>
      </c>
      <c r="LT64" s="24" t="s">
        <v>244</v>
      </c>
      <c r="LU64" s="24" t="n">
        <v>24.5</v>
      </c>
      <c r="LV64" s="27" t="n">
        <v>84.2</v>
      </c>
      <c r="LW64" s="27" t="n">
        <v>80.4</v>
      </c>
      <c r="LX64" s="27" t="n">
        <v>11.9</v>
      </c>
      <c r="LY64" s="24" t="n">
        <v>97.51</v>
      </c>
      <c r="LZ64" s="24" t="n">
        <v>0</v>
      </c>
      <c r="MA64" s="24" t="n">
        <v>2.49</v>
      </c>
      <c r="MB64" s="24" t="n">
        <v>0</v>
      </c>
      <c r="MC64" s="24" t="n">
        <v>0</v>
      </c>
      <c r="MD64" s="24" t="n">
        <v>0</v>
      </c>
      <c r="ME64" s="24" t="n">
        <v>0</v>
      </c>
      <c r="MF64" s="24" t="n">
        <v>0</v>
      </c>
      <c r="MG64" s="24" t="n">
        <v>0</v>
      </c>
      <c r="MH64" s="24" t="n">
        <v>0</v>
      </c>
      <c r="MI64" s="24" t="n">
        <v>0</v>
      </c>
      <c r="MJ64" s="24" t="n">
        <v>0</v>
      </c>
      <c r="MK64" s="24" t="n">
        <v>3.13</v>
      </c>
      <c r="ML64" s="24" t="n">
        <v>26.34</v>
      </c>
      <c r="MM64" s="24" t="n">
        <v>45.74</v>
      </c>
      <c r="MN64" s="24" t="n">
        <v>0</v>
      </c>
      <c r="MO64" s="24" t="n">
        <v>0</v>
      </c>
      <c r="MP64" s="24" t="n">
        <v>0</v>
      </c>
      <c r="NC64" s="24" t="n">
        <v>0</v>
      </c>
      <c r="ND64" s="24" t="n">
        <v>0</v>
      </c>
      <c r="NO64" s="28"/>
      <c r="OG64" s="24" t="n">
        <v>0</v>
      </c>
      <c r="PR64" s="27" t="n">
        <v>6.4</v>
      </c>
      <c r="PS64" s="27" t="n">
        <v>1</v>
      </c>
      <c r="PT64" s="27" t="n">
        <v>2</v>
      </c>
      <c r="PU64" s="27"/>
      <c r="PV64" s="27" t="n">
        <f aca="false">1.24*2</f>
        <v>2.48</v>
      </c>
      <c r="PW64" s="27" t="n">
        <v>1</v>
      </c>
      <c r="PX64" s="27"/>
      <c r="PY64" s="27" t="n">
        <f aca="false">1.24*3+0.62+0.93+3.18+1.59+3.73+7.46</f>
        <v>21.23</v>
      </c>
      <c r="PZ64" s="27"/>
      <c r="QA64" s="27"/>
      <c r="QB64" s="27"/>
      <c r="QC64" s="27" t="n">
        <v>1.61</v>
      </c>
      <c r="QD64" s="27" t="n">
        <v>1.46</v>
      </c>
      <c r="QE64" s="27"/>
      <c r="QF64" s="27"/>
      <c r="QG64" s="27" t="n">
        <v>0</v>
      </c>
      <c r="QH64" s="27" t="n">
        <v>0</v>
      </c>
      <c r="QI64" s="27" t="n">
        <v>0</v>
      </c>
      <c r="QJ64" s="24" t="n">
        <v>0</v>
      </c>
      <c r="QK64" s="24" t="s">
        <v>245</v>
      </c>
      <c r="QL64" s="24" t="n">
        <v>19.5</v>
      </c>
      <c r="QM64" s="27" t="n">
        <v>76</v>
      </c>
      <c r="QN64" s="27" t="n">
        <v>80.4</v>
      </c>
      <c r="QO64" s="27" t="n">
        <v>10.9</v>
      </c>
      <c r="QP64" s="24" t="n">
        <v>99.87</v>
      </c>
      <c r="QQ64" s="24" t="n">
        <v>0</v>
      </c>
      <c r="QR64" s="24" t="n">
        <v>0</v>
      </c>
      <c r="QS64" s="24" t="n">
        <v>0</v>
      </c>
      <c r="QT64" s="24" t="n">
        <v>0.13</v>
      </c>
      <c r="QU64" s="24" t="n">
        <v>0</v>
      </c>
      <c r="QV64" s="24" t="n">
        <v>0</v>
      </c>
      <c r="QW64" s="24" t="n">
        <v>0</v>
      </c>
      <c r="QX64" s="24" t="n">
        <v>0</v>
      </c>
      <c r="QY64" s="24" t="n">
        <v>0</v>
      </c>
      <c r="QZ64" s="24" t="n">
        <v>0</v>
      </c>
      <c r="RA64" s="24" t="n">
        <v>0.1</v>
      </c>
      <c r="RB64" s="24" t="n">
        <v>0</v>
      </c>
      <c r="RC64" s="24" t="n">
        <v>17.25</v>
      </c>
      <c r="RD64" s="24" t="n">
        <v>40.01</v>
      </c>
      <c r="RE64" s="24" t="n">
        <v>0</v>
      </c>
      <c r="RF64" s="24" t="n">
        <v>0</v>
      </c>
      <c r="RG64" s="24" t="n">
        <v>0</v>
      </c>
      <c r="RT64" s="24" t="n">
        <v>4.5</v>
      </c>
      <c r="RU64" s="24" t="n">
        <v>1</v>
      </c>
      <c r="RV64" s="24" t="n">
        <v>34</v>
      </c>
      <c r="RW64" s="24" t="n">
        <v>2</v>
      </c>
      <c r="RX64" s="24" t="n">
        <v>0.13</v>
      </c>
      <c r="RY64" s="24" t="n">
        <v>1</v>
      </c>
      <c r="RZ64" s="24" t="n">
        <v>52</v>
      </c>
      <c r="SA64" s="24" t="n">
        <v>2</v>
      </c>
      <c r="SB64" s="24" t="n">
        <v>1.52</v>
      </c>
      <c r="SC64" s="24" t="n">
        <v>2</v>
      </c>
      <c r="SF64" s="28"/>
      <c r="SX64" s="24" t="n">
        <v>1</v>
      </c>
      <c r="SY64" s="24" t="n">
        <v>70</v>
      </c>
      <c r="SZ64" s="24" t="n">
        <v>7</v>
      </c>
      <c r="TA64" s="24" t="n">
        <v>0.7</v>
      </c>
      <c r="TB64" s="24" t="n">
        <v>3</v>
      </c>
      <c r="UI64" s="27" t="n">
        <v>0.72</v>
      </c>
      <c r="UJ64" s="27" t="n">
        <v>1</v>
      </c>
      <c r="UK64" s="27" t="n">
        <v>1</v>
      </c>
      <c r="UL64" s="27"/>
      <c r="UM64" s="27" t="n">
        <f aca="false">1.15+0.56+0.29</f>
        <v>2</v>
      </c>
      <c r="UN64" s="27"/>
      <c r="UO64" s="27"/>
      <c r="UP64" s="27"/>
      <c r="UQ64" s="27"/>
      <c r="UR64" s="27"/>
      <c r="US64" s="27"/>
      <c r="UT64" s="27" t="n">
        <v>0.17</v>
      </c>
      <c r="UU64" s="27" t="n">
        <v>0.17</v>
      </c>
      <c r="UV64" s="27"/>
      <c r="UW64" s="27"/>
      <c r="UX64" s="27" t="n">
        <v>0</v>
      </c>
      <c r="UY64" s="27" t="n">
        <v>0</v>
      </c>
      <c r="UZ64" s="27" t="n">
        <v>0</v>
      </c>
      <c r="VA64" s="24" t="n">
        <v>0</v>
      </c>
      <c r="VB64" s="24" t="s">
        <v>246</v>
      </c>
      <c r="VC64" s="24" t="n">
        <v>27</v>
      </c>
      <c r="VD64" s="27" t="n">
        <v>72</v>
      </c>
      <c r="VE64" s="27" t="n">
        <v>80.4</v>
      </c>
      <c r="VF64" s="27" t="n">
        <v>19.2</v>
      </c>
      <c r="VG64" s="24" t="n">
        <v>86.83</v>
      </c>
      <c r="VH64" s="24" t="n">
        <v>0</v>
      </c>
      <c r="VI64" s="24" t="n">
        <v>0</v>
      </c>
      <c r="VJ64" s="24" t="n">
        <v>0</v>
      </c>
      <c r="VK64" s="24" t="n">
        <v>13.17</v>
      </c>
      <c r="VL64" s="24" t="n">
        <v>0</v>
      </c>
      <c r="VM64" s="24" t="n">
        <v>0</v>
      </c>
      <c r="VN64" s="24" t="n">
        <v>0</v>
      </c>
      <c r="VO64" s="24" t="n">
        <v>0</v>
      </c>
      <c r="VP64" s="24" t="n">
        <v>0</v>
      </c>
      <c r="VQ64" s="24" t="n">
        <v>0</v>
      </c>
      <c r="VR64" s="24" t="n">
        <v>18.28</v>
      </c>
      <c r="VS64" s="24" t="n">
        <v>16.81</v>
      </c>
      <c r="VT64" s="24" t="n">
        <v>9.64</v>
      </c>
      <c r="VU64" s="24" t="n">
        <v>19.74</v>
      </c>
      <c r="VV64" s="24" t="n">
        <v>0</v>
      </c>
      <c r="VW64" s="24" t="n">
        <v>0</v>
      </c>
      <c r="VX64" s="24" t="n">
        <v>0</v>
      </c>
      <c r="WK64" s="24" t="n">
        <v>0</v>
      </c>
      <c r="WL64" s="24" t="n">
        <v>0</v>
      </c>
      <c r="WW64" s="28"/>
      <c r="XO64" s="24" t="n">
        <v>0</v>
      </c>
      <c r="YZ64" s="27" t="n">
        <v>1.43</v>
      </c>
      <c r="ZA64" s="27" t="n">
        <v>1</v>
      </c>
      <c r="ZB64" s="27" t="n">
        <v>1</v>
      </c>
      <c r="ZC64" s="27"/>
      <c r="ZD64" s="27" t="n">
        <f aca="false">6.34+2.11+0.08+0.37</f>
        <v>8.9</v>
      </c>
      <c r="ZE64" s="27"/>
      <c r="ZF64" s="27"/>
      <c r="ZG64" s="27"/>
      <c r="ZH64" s="27"/>
      <c r="ZI64" s="27"/>
      <c r="ZJ64" s="27"/>
      <c r="ZK64" s="27" t="n">
        <v>3.5</v>
      </c>
      <c r="ZL64" s="27" t="n">
        <v>3.5</v>
      </c>
      <c r="ZM64" s="27"/>
      <c r="ZN64" s="27"/>
      <c r="ZO64" s="27" t="n">
        <v>0</v>
      </c>
      <c r="ZP64" s="27" t="n">
        <v>0</v>
      </c>
      <c r="ZQ64" s="27" t="n">
        <v>0</v>
      </c>
      <c r="ZR64" s="24" t="n">
        <v>0</v>
      </c>
      <c r="ZS64" s="24" t="s">
        <v>247</v>
      </c>
      <c r="ZT64" s="24" t="n">
        <v>37</v>
      </c>
      <c r="ZU64" s="27" t="n">
        <v>79.2</v>
      </c>
      <c r="ZV64" s="27" t="n">
        <v>80.4</v>
      </c>
      <c r="ZW64" s="27" t="n">
        <v>12.1</v>
      </c>
      <c r="ZX64" s="24" t="n">
        <v>96.75</v>
      </c>
      <c r="ZY64" s="24" t="n">
        <v>0</v>
      </c>
      <c r="ZZ64" s="24" t="n">
        <v>0</v>
      </c>
      <c r="AAA64" s="24" t="n">
        <v>0</v>
      </c>
      <c r="AAB64" s="24" t="n">
        <v>3.25</v>
      </c>
      <c r="AAC64" s="24" t="n">
        <v>0</v>
      </c>
      <c r="AAD64" s="24" t="n">
        <v>0</v>
      </c>
      <c r="AAE64" s="24" t="n">
        <v>0</v>
      </c>
      <c r="AAF64" s="24" t="n">
        <v>0</v>
      </c>
      <c r="AAG64" s="24" t="n">
        <v>0</v>
      </c>
      <c r="AAH64" s="24" t="n">
        <v>0</v>
      </c>
      <c r="AAI64" s="24" t="n">
        <v>9.06</v>
      </c>
      <c r="AAJ64" s="24" t="n">
        <v>18.15</v>
      </c>
      <c r="AAK64" s="24" t="n">
        <v>25.66</v>
      </c>
      <c r="AAL64" s="24" t="n">
        <v>15.61</v>
      </c>
      <c r="AAM64" s="24" t="n">
        <v>0</v>
      </c>
      <c r="AAN64" s="24" t="n">
        <v>0</v>
      </c>
      <c r="AAO64" s="24" t="n">
        <v>0</v>
      </c>
      <c r="ABB64" s="24" t="n">
        <v>17.8</v>
      </c>
      <c r="ABC64" s="24" t="n">
        <v>1</v>
      </c>
      <c r="ABD64" s="24" t="n">
        <v>47</v>
      </c>
      <c r="ABE64" s="24" t="n">
        <v>3</v>
      </c>
      <c r="ABF64" s="24" t="n">
        <v>2.28</v>
      </c>
      <c r="ABG64" s="24" t="n">
        <v>3</v>
      </c>
      <c r="ABH64" s="24" t="n">
        <v>26</v>
      </c>
      <c r="ABI64" s="24" t="n">
        <v>1</v>
      </c>
      <c r="ABJ64" s="24" t="n">
        <v>0.76</v>
      </c>
      <c r="ABK64" s="24" t="n">
        <v>2</v>
      </c>
      <c r="ABN64" s="28"/>
      <c r="ACF64" s="24" t="n">
        <v>0</v>
      </c>
      <c r="ADQ64" s="27" t="n">
        <v>1.27</v>
      </c>
      <c r="ADR64" s="27" t="n">
        <v>1</v>
      </c>
      <c r="ADS64" s="27" t="n">
        <v>1</v>
      </c>
      <c r="ADT64" s="27"/>
      <c r="ADU64" s="27" t="n">
        <f aca="false">6.34+1.06</f>
        <v>7.4</v>
      </c>
      <c r="ADV64" s="27"/>
      <c r="ADW64" s="27"/>
      <c r="ADX64" s="27"/>
      <c r="ADY64" s="27"/>
      <c r="ADZ64" s="27"/>
      <c r="AEA64" s="27"/>
      <c r="AEB64" s="27" t="n">
        <v>2.86</v>
      </c>
      <c r="AEC64" s="27" t="n">
        <v>2.86</v>
      </c>
      <c r="AED64" s="27"/>
      <c r="AEE64" s="27"/>
      <c r="AEF64" s="27" t="n">
        <v>0</v>
      </c>
      <c r="AEG64" s="27" t="n">
        <v>0</v>
      </c>
      <c r="AEH64" s="27" t="n">
        <v>0</v>
      </c>
      <c r="AEI64" s="24" t="n">
        <v>0</v>
      </c>
      <c r="AEJ64" s="24" t="s">
        <v>248</v>
      </c>
      <c r="AEK64" s="24" t="n">
        <v>33</v>
      </c>
      <c r="AEL64" s="27" t="n">
        <v>122.1</v>
      </c>
      <c r="AEM64" s="27" t="n">
        <v>80.4</v>
      </c>
      <c r="AEN64" s="27" t="n">
        <v>14.1</v>
      </c>
      <c r="AEO64" s="24" t="n">
        <v>91.87</v>
      </c>
      <c r="AEP64" s="24" t="n">
        <v>0</v>
      </c>
      <c r="AEQ64" s="24" t="n">
        <v>5.85</v>
      </c>
      <c r="AER64" s="24" t="n">
        <v>0</v>
      </c>
      <c r="AES64" s="24" t="n">
        <v>2.28</v>
      </c>
      <c r="AET64" s="24" t="n">
        <v>0</v>
      </c>
      <c r="AEU64" s="24" t="n">
        <v>0</v>
      </c>
      <c r="AEV64" s="24" t="n">
        <v>0</v>
      </c>
      <c r="AEW64" s="24" t="n">
        <v>0</v>
      </c>
      <c r="AEX64" s="24" t="n">
        <v>0</v>
      </c>
      <c r="AEY64" s="24" t="n">
        <v>0</v>
      </c>
      <c r="AEZ64" s="24" t="n">
        <v>0</v>
      </c>
      <c r="AFA64" s="24" t="n">
        <v>23.39</v>
      </c>
      <c r="AFB64" s="24" t="n">
        <v>10.3</v>
      </c>
      <c r="AFC64" s="24" t="n">
        <v>49.9</v>
      </c>
      <c r="AFD64" s="24" t="n">
        <v>0</v>
      </c>
      <c r="AFE64" s="24" t="n">
        <v>0</v>
      </c>
      <c r="AFF64" s="24" t="n">
        <v>0</v>
      </c>
      <c r="AFS64" s="24" t="n">
        <v>0</v>
      </c>
      <c r="AFT64" s="24" t="n">
        <v>1</v>
      </c>
      <c r="AFU64" s="24" t="n">
        <v>34</v>
      </c>
      <c r="AFV64" s="24" t="n">
        <v>1</v>
      </c>
      <c r="AFW64" s="24" t="n">
        <v>1.14</v>
      </c>
      <c r="AFX64" s="24" t="n">
        <v>1</v>
      </c>
      <c r="AGE64" s="28"/>
      <c r="AGW64" s="24" t="n">
        <v>0</v>
      </c>
      <c r="AIH64" s="27" t="n">
        <v>4.78</v>
      </c>
      <c r="AII64" s="27" t="n">
        <v>1</v>
      </c>
      <c r="AIJ64" s="27" t="n">
        <v>1</v>
      </c>
      <c r="AIK64" s="27"/>
      <c r="AIL64" s="27" t="n">
        <v>4.23</v>
      </c>
      <c r="AIM64" s="27" t="n">
        <v>2</v>
      </c>
      <c r="AIN64" s="27"/>
      <c r="AIO64" s="27" t="n">
        <f aca="false">1.14+9.52+1.68</f>
        <v>12.34</v>
      </c>
      <c r="AIP64" s="27"/>
      <c r="AIQ64" s="27"/>
      <c r="AIR64" s="27"/>
      <c r="AIS64" s="27" t="n">
        <v>10.43</v>
      </c>
      <c r="AIT64" s="27" t="n">
        <v>22.43</v>
      </c>
      <c r="AIU64" s="27"/>
      <c r="AIV64" s="27"/>
      <c r="AIW64" s="27" t="n">
        <v>0</v>
      </c>
      <c r="AIX64" s="27" t="n">
        <v>0</v>
      </c>
      <c r="AIY64" s="27" t="n">
        <v>0</v>
      </c>
      <c r="AIZ64" s="24" t="n">
        <v>0</v>
      </c>
      <c r="AJA64" s="24" t="s">
        <v>249</v>
      </c>
      <c r="AJB64" s="24" t="n">
        <v>25</v>
      </c>
      <c r="AJC64" s="27" t="n">
        <v>87.3</v>
      </c>
      <c r="AJD64" s="27" t="n">
        <v>80.4</v>
      </c>
      <c r="AJE64" s="27" t="n">
        <v>8.8</v>
      </c>
      <c r="AJF64" s="24" t="n">
        <v>100</v>
      </c>
      <c r="AJG64" s="24" t="n">
        <v>0</v>
      </c>
      <c r="AJH64" s="24" t="n">
        <v>0</v>
      </c>
      <c r="AJI64" s="24" t="n">
        <v>0</v>
      </c>
      <c r="AJJ64" s="24" t="n">
        <v>0</v>
      </c>
      <c r="AJK64" s="24" t="n">
        <v>0</v>
      </c>
      <c r="AJL64" s="24" t="n">
        <v>0</v>
      </c>
      <c r="AJM64" s="24" t="n">
        <v>0</v>
      </c>
      <c r="AJN64" s="24" t="n">
        <v>0</v>
      </c>
      <c r="AJO64" s="24" t="n">
        <v>0</v>
      </c>
      <c r="AJP64" s="24" t="n">
        <v>0</v>
      </c>
      <c r="AJQ64" s="24" t="n">
        <v>0</v>
      </c>
      <c r="AJR64" s="24" t="n">
        <v>11.94</v>
      </c>
      <c r="AJS64" s="24" t="n">
        <v>34.17</v>
      </c>
      <c r="AJT64" s="24" t="n">
        <v>24.72</v>
      </c>
      <c r="AJU64" s="24" t="n">
        <v>0</v>
      </c>
      <c r="AJV64" s="24" t="n">
        <v>6.9</v>
      </c>
      <c r="AJW64" s="24" t="n">
        <v>3</v>
      </c>
      <c r="AJX64" s="24" t="n">
        <v>50</v>
      </c>
      <c r="AJZ64" s="24" t="n">
        <v>2</v>
      </c>
      <c r="AKD64" s="24" t="n">
        <v>50</v>
      </c>
      <c r="AKF64" s="24" t="n">
        <v>2</v>
      </c>
      <c r="AKJ64" s="24" t="n">
        <v>0</v>
      </c>
      <c r="AKK64" s="24" t="n">
        <v>0</v>
      </c>
      <c r="AKV64" s="28"/>
      <c r="ALN64" s="24" t="n">
        <v>1</v>
      </c>
      <c r="ALO64" s="24" t="n">
        <v>50</v>
      </c>
      <c r="ALP64" s="24" t="n">
        <v>1</v>
      </c>
      <c r="ALQ64" s="24" t="n">
        <v>1.86</v>
      </c>
      <c r="ALR64" s="24" t="n">
        <v>3</v>
      </c>
    </row>
    <row r="65" customFormat="false" ht="13.8" hidden="false" customHeight="false" outlineLevel="0" collapsed="false">
      <c r="A65" s="1" t="s">
        <v>425</v>
      </c>
      <c r="B65" s="12" t="n">
        <v>42902</v>
      </c>
      <c r="C65" s="0" t="n">
        <v>2</v>
      </c>
      <c r="D65" s="13" t="n">
        <v>42797</v>
      </c>
      <c r="E65" s="12" t="n">
        <v>33712</v>
      </c>
      <c r="F65" s="14" t="n">
        <f aca="false">(B65-E65)/365.25</f>
        <v>25.160848733744</v>
      </c>
      <c r="G65" s="14" t="n">
        <f aca="false">(B65-D65)/365.25</f>
        <v>0.287474332648871</v>
      </c>
      <c r="H65" s="15" t="s">
        <v>217</v>
      </c>
      <c r="I65" s="15" t="s">
        <v>272</v>
      </c>
      <c r="J65" s="15" t="s">
        <v>181</v>
      </c>
      <c r="K65" s="21" t="n">
        <v>8</v>
      </c>
      <c r="L65" s="19" t="n">
        <v>79</v>
      </c>
      <c r="M65" s="0" t="n">
        <v>1.71</v>
      </c>
      <c r="N65" s="16" t="n">
        <f aca="false">L65/(M65*M65)</f>
        <v>27.0168598885127</v>
      </c>
      <c r="O65" s="19" t="n">
        <v>0</v>
      </c>
      <c r="P65" s="19" t="n">
        <v>0</v>
      </c>
      <c r="Q65" s="19" t="n">
        <v>0</v>
      </c>
      <c r="R65" s="19" t="n">
        <v>0</v>
      </c>
      <c r="S65" s="19" t="n">
        <v>0</v>
      </c>
      <c r="T65" s="19" t="n">
        <v>0</v>
      </c>
      <c r="U65" s="19" t="n">
        <v>0</v>
      </c>
      <c r="V65" s="19" t="n">
        <v>0</v>
      </c>
      <c r="W65" s="19" t="n">
        <v>0</v>
      </c>
      <c r="X65" s="19" t="n">
        <v>0</v>
      </c>
      <c r="Y65" s="19" t="n">
        <v>1</v>
      </c>
      <c r="Z65" s="19" t="n">
        <v>1</v>
      </c>
      <c r="AA65" s="19" t="n">
        <v>60</v>
      </c>
      <c r="AB65" s="19" t="s">
        <v>284</v>
      </c>
      <c r="AC65" s="19" t="n">
        <v>0</v>
      </c>
      <c r="AD65" s="19" t="n">
        <v>0</v>
      </c>
      <c r="AE65" s="19" t="n">
        <v>0</v>
      </c>
      <c r="AF65" s="19" t="n">
        <v>0</v>
      </c>
      <c r="AG65" s="19" t="n">
        <v>0</v>
      </c>
      <c r="AH65" s="19" t="n">
        <v>0</v>
      </c>
      <c r="AI65" s="19" t="n">
        <v>2</v>
      </c>
      <c r="AJ65" s="19" t="n">
        <v>0</v>
      </c>
      <c r="AK65" s="19" t="n">
        <v>0</v>
      </c>
      <c r="AL65" s="19" t="n">
        <v>0</v>
      </c>
      <c r="AM65" s="19" t="n">
        <v>0</v>
      </c>
      <c r="AN65" s="19" t="n">
        <v>0</v>
      </c>
      <c r="AO65" s="19" t="n">
        <v>0</v>
      </c>
      <c r="AP65" s="19" t="n">
        <v>0</v>
      </c>
      <c r="AQ65" s="19" t="n">
        <v>0</v>
      </c>
      <c r="AR65" s="19" t="n">
        <v>0</v>
      </c>
      <c r="AS65" s="19" t="n">
        <v>0</v>
      </c>
      <c r="AT65" s="19" t="n">
        <v>0</v>
      </c>
      <c r="AU65" s="19" t="n">
        <v>0</v>
      </c>
      <c r="AV65" s="19" t="n">
        <v>0</v>
      </c>
      <c r="AW65" s="19" t="n">
        <v>0</v>
      </c>
      <c r="AX65" s="19" t="n">
        <v>0</v>
      </c>
      <c r="AY65" s="19" t="n">
        <v>0</v>
      </c>
      <c r="AZ65" s="19" t="n">
        <v>0</v>
      </c>
      <c r="BA65" s="19" t="n">
        <v>0</v>
      </c>
      <c r="BB65" s="19" t="n">
        <v>1</v>
      </c>
      <c r="BC65" s="19" t="n">
        <v>0</v>
      </c>
      <c r="BD65" s="19" t="n">
        <v>0</v>
      </c>
      <c r="BE65" s="19" t="n">
        <v>0</v>
      </c>
      <c r="BF65" s="19" t="n">
        <v>0</v>
      </c>
      <c r="BG65" s="19" t="n">
        <v>0</v>
      </c>
      <c r="BH65" s="19" t="n">
        <v>0</v>
      </c>
      <c r="BI65" s="19" t="n">
        <v>0</v>
      </c>
      <c r="BJ65" s="19" t="n">
        <v>0</v>
      </c>
      <c r="BK65" s="19" t="n">
        <v>0</v>
      </c>
      <c r="BL65" s="19" t="n">
        <v>0</v>
      </c>
      <c r="BM65" s="19" t="n">
        <v>0</v>
      </c>
      <c r="BN65" s="19" t="n">
        <v>1</v>
      </c>
      <c r="BO65" s="19"/>
      <c r="BP65" s="19"/>
      <c r="BQ65" s="19"/>
      <c r="BR65" s="19" t="n">
        <v>3</v>
      </c>
      <c r="BS65" s="19" t="n">
        <v>2</v>
      </c>
      <c r="BT65" s="19" t="n">
        <v>4</v>
      </c>
      <c r="BU65" s="19" t="n">
        <v>5</v>
      </c>
      <c r="BV65" s="19" t="n">
        <v>2</v>
      </c>
      <c r="BW65" s="19" t="n">
        <v>1</v>
      </c>
      <c r="BX65" s="19" t="n">
        <v>3</v>
      </c>
      <c r="BY65" s="19" t="n">
        <v>4</v>
      </c>
      <c r="BZ65" s="19" t="n">
        <v>4</v>
      </c>
      <c r="CA65" s="19" t="n">
        <v>3</v>
      </c>
      <c r="CB65" s="19" t="n">
        <v>4</v>
      </c>
      <c r="CC65" s="19" t="n">
        <v>5</v>
      </c>
      <c r="CD65" s="19" t="n">
        <v>2</v>
      </c>
      <c r="CE65" s="19" t="n">
        <v>4</v>
      </c>
      <c r="CF65" s="19" t="n">
        <v>2</v>
      </c>
      <c r="CG65" s="19" t="n">
        <v>4</v>
      </c>
      <c r="CH65" s="19"/>
      <c r="CI65" s="19" t="n">
        <v>3</v>
      </c>
      <c r="CJ65" s="19" t="n">
        <v>2</v>
      </c>
      <c r="CK65" s="19" t="n">
        <v>8</v>
      </c>
      <c r="CL65" s="0" t="s">
        <v>274</v>
      </c>
      <c r="CM65" s="0" t="n">
        <v>19.5</v>
      </c>
      <c r="CN65" s="16" t="n">
        <v>74.3</v>
      </c>
      <c r="CO65" s="16" t="n">
        <v>80.4</v>
      </c>
      <c r="CP65" s="16" t="n">
        <v>7.8</v>
      </c>
      <c r="CQ65" s="0" t="n">
        <v>89.52</v>
      </c>
      <c r="CR65" s="0" t="n">
        <v>8.69</v>
      </c>
      <c r="CS65" s="0" t="n">
        <v>1.79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18.73</v>
      </c>
      <c r="DD65" s="0" t="n">
        <v>9.35</v>
      </c>
      <c r="DE65" s="0" t="n">
        <v>0</v>
      </c>
      <c r="DF65" s="0" t="n">
        <v>0</v>
      </c>
      <c r="DG65" s="0" t="n">
        <v>0</v>
      </c>
      <c r="DU65" s="0" t="n">
        <v>3.92</v>
      </c>
      <c r="DV65" s="0" t="n">
        <v>1</v>
      </c>
      <c r="DW65" s="0" t="n">
        <v>52</v>
      </c>
      <c r="DX65" s="0" t="n">
        <v>4</v>
      </c>
      <c r="DY65" s="0" t="n">
        <f aca="false">1.01*2+0.56+0.9</f>
        <v>3.48</v>
      </c>
      <c r="DZ65" s="0" t="n">
        <v>2</v>
      </c>
      <c r="EG65" s="18"/>
      <c r="EY65" s="0" t="n">
        <v>1</v>
      </c>
      <c r="EZ65" s="0" t="n">
        <v>50</v>
      </c>
      <c r="FA65" s="0" t="n">
        <v>1</v>
      </c>
      <c r="FB65" s="0" t="n">
        <v>1.9</v>
      </c>
      <c r="FC65" s="0" t="n">
        <v>3</v>
      </c>
      <c r="GJ65" s="16" t="n">
        <v>2.24</v>
      </c>
      <c r="GK65" s="16" t="n">
        <v>1</v>
      </c>
      <c r="GL65" s="16" t="n">
        <v>2</v>
      </c>
      <c r="GM65" s="16"/>
      <c r="GN65" s="16" t="n">
        <f aca="false">1.87*2</f>
        <v>3.74</v>
      </c>
      <c r="GO65" s="16"/>
      <c r="GP65" s="16"/>
      <c r="GQ65" s="16"/>
      <c r="GR65" s="16"/>
      <c r="GS65" s="16"/>
      <c r="GT65" s="16"/>
      <c r="GU65" s="16" t="n">
        <v>5.49</v>
      </c>
      <c r="GV65" s="16" t="n">
        <f aca="false">1.01*2+0.56+1.87*2+0.9</f>
        <v>7.22</v>
      </c>
      <c r="GW65" s="16"/>
      <c r="GX65" s="16"/>
      <c r="GY65" s="16" t="n">
        <v>0</v>
      </c>
      <c r="GZ65" s="16" t="n">
        <v>0</v>
      </c>
      <c r="HA65" s="16" t="n">
        <v>0</v>
      </c>
      <c r="HB65" s="0" t="n">
        <v>0</v>
      </c>
      <c r="HC65" s="0" t="s">
        <v>275</v>
      </c>
      <c r="HD65" s="0" t="n">
        <v>19.5</v>
      </c>
      <c r="HE65" s="16" t="n">
        <v>74.6</v>
      </c>
      <c r="HF65" s="16" t="n">
        <v>80.4</v>
      </c>
      <c r="HG65" s="16" t="n">
        <v>7.8</v>
      </c>
      <c r="HH65" s="0" t="n">
        <v>89.29</v>
      </c>
      <c r="HI65" s="0" t="n">
        <v>8.92</v>
      </c>
      <c r="HJ65" s="0" t="n">
        <v>1.79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18.95</v>
      </c>
      <c r="HU65" s="0" t="n">
        <v>9.35</v>
      </c>
      <c r="HV65" s="0" t="n">
        <v>0</v>
      </c>
      <c r="HW65" s="0" t="n">
        <v>0</v>
      </c>
      <c r="HX65" s="0" t="n">
        <v>0</v>
      </c>
      <c r="IL65" s="0" t="n">
        <v>3.9</v>
      </c>
      <c r="IM65" s="0" t="n">
        <v>1</v>
      </c>
      <c r="IN65" s="0" t="n">
        <v>52</v>
      </c>
      <c r="IO65" s="0" t="n">
        <v>4</v>
      </c>
      <c r="IP65" s="0" t="n">
        <f aca="false">1.01*2+0.56+0.9</f>
        <v>3.48</v>
      </c>
      <c r="IQ65" s="0" t="n">
        <v>3</v>
      </c>
      <c r="IX65" s="18"/>
      <c r="JP65" s="0" t="n">
        <v>1</v>
      </c>
      <c r="JQ65" s="0" t="n">
        <v>50</v>
      </c>
      <c r="JR65" s="0" t="n">
        <v>1</v>
      </c>
      <c r="JS65" s="0" t="n">
        <v>1.9</v>
      </c>
      <c r="JT65" s="0" t="n">
        <v>3</v>
      </c>
      <c r="LA65" s="16" t="n">
        <v>2.24</v>
      </c>
      <c r="LB65" s="16" t="n">
        <v>1</v>
      </c>
      <c r="LC65" s="16" t="n">
        <v>2</v>
      </c>
      <c r="LD65" s="16"/>
      <c r="LE65" s="16" t="n">
        <f aca="false">1.87*2</f>
        <v>3.74</v>
      </c>
      <c r="LF65" s="16"/>
      <c r="LG65" s="16"/>
      <c r="LH65" s="16"/>
      <c r="LI65" s="16"/>
      <c r="LJ65" s="16"/>
      <c r="LK65" s="16"/>
      <c r="LL65" s="16" t="n">
        <v>6.49</v>
      </c>
      <c r="LM65" s="16" t="n">
        <f aca="false">1.01*2+0.56+1.87*2+0.9</f>
        <v>7.22</v>
      </c>
      <c r="LN65" s="16"/>
      <c r="LO65" s="16"/>
      <c r="LP65" s="16" t="n">
        <v>0</v>
      </c>
      <c r="LQ65" s="16" t="n">
        <v>0</v>
      </c>
      <c r="LR65" s="16" t="n">
        <v>0</v>
      </c>
      <c r="LS65" s="0" t="n">
        <v>0</v>
      </c>
      <c r="LT65" s="0" t="s">
        <v>276</v>
      </c>
      <c r="LU65" s="0" t="n">
        <v>22.5</v>
      </c>
      <c r="LV65" s="16" t="n">
        <v>73.4</v>
      </c>
      <c r="LW65" s="16" t="n">
        <v>80.4</v>
      </c>
      <c r="LX65" s="16" t="n">
        <v>10.4</v>
      </c>
      <c r="LY65" s="0" t="n">
        <v>88.12</v>
      </c>
      <c r="LZ65" s="0" t="n">
        <v>6.29</v>
      </c>
      <c r="MA65" s="0" t="n">
        <v>4.25</v>
      </c>
      <c r="MB65" s="0" t="n">
        <v>0</v>
      </c>
      <c r="MC65" s="0" t="n">
        <v>1.34</v>
      </c>
      <c r="MD65" s="0" t="n">
        <v>0</v>
      </c>
      <c r="ME65" s="0" t="n">
        <v>0</v>
      </c>
      <c r="MF65" s="0" t="n">
        <v>0</v>
      </c>
      <c r="MG65" s="0" t="n">
        <v>0</v>
      </c>
      <c r="MH65" s="0" t="n">
        <v>0</v>
      </c>
      <c r="MI65" s="0" t="n">
        <v>0</v>
      </c>
      <c r="MJ65" s="0" t="n">
        <v>0</v>
      </c>
      <c r="MK65" s="0" t="n">
        <v>2.46</v>
      </c>
      <c r="ML65" s="0" t="n">
        <v>13.2</v>
      </c>
      <c r="MM65" s="0" t="n">
        <v>0</v>
      </c>
      <c r="MN65" s="0" t="n">
        <v>0</v>
      </c>
      <c r="MO65" s="0" t="n">
        <v>0</v>
      </c>
      <c r="NC65" s="0" t="n">
        <v>0</v>
      </c>
      <c r="NO65" s="18"/>
      <c r="PR65" s="16" t="n">
        <v>2.24</v>
      </c>
      <c r="PS65" s="16" t="n">
        <v>1</v>
      </c>
      <c r="PT65" s="16" t="n">
        <v>2</v>
      </c>
      <c r="PU65" s="16" t="n">
        <v>3.73</v>
      </c>
      <c r="PV65" s="16"/>
      <c r="PW65" s="16"/>
      <c r="PX65" s="16"/>
      <c r="PY65" s="16"/>
      <c r="PZ65" s="16"/>
      <c r="QA65" s="16"/>
      <c r="QB65" s="16"/>
      <c r="QC65" s="16" t="n">
        <v>9.68</v>
      </c>
      <c r="QD65" s="16" t="n">
        <f aca="false">2.01+1.34+2.69+3.73+0.81</f>
        <v>10.58</v>
      </c>
      <c r="QE65" s="16"/>
      <c r="QF65" s="16"/>
      <c r="QG65" s="16" t="n">
        <v>0</v>
      </c>
      <c r="QH65" s="16" t="n">
        <v>0</v>
      </c>
      <c r="QI65" s="16" t="n">
        <v>0.16</v>
      </c>
      <c r="QJ65" s="0" t="n">
        <v>0</v>
      </c>
      <c r="QK65" s="0" t="s">
        <v>277</v>
      </c>
      <c r="QL65" s="0" t="n">
        <v>29.5</v>
      </c>
      <c r="QM65" s="16" t="n">
        <v>53.8</v>
      </c>
      <c r="QN65" s="16" t="n">
        <v>80.4</v>
      </c>
      <c r="QO65" s="16" t="n">
        <v>12.1</v>
      </c>
      <c r="QP65" s="0" t="n">
        <v>86.6</v>
      </c>
      <c r="QQ65" s="0" t="n">
        <v>8.48</v>
      </c>
      <c r="QR65" s="0" t="n">
        <v>4.93</v>
      </c>
      <c r="QS65" s="0" t="n">
        <v>0</v>
      </c>
      <c r="QT65" s="0" t="n">
        <v>0</v>
      </c>
      <c r="QU65" s="0" t="n">
        <v>0</v>
      </c>
      <c r="QV65" s="0" t="n">
        <v>0</v>
      </c>
      <c r="QW65" s="0" t="n">
        <v>0</v>
      </c>
      <c r="QX65" s="0" t="n">
        <v>0</v>
      </c>
      <c r="QY65" s="0" t="n">
        <v>0</v>
      </c>
      <c r="QZ65" s="0" t="n">
        <v>0</v>
      </c>
      <c r="RA65" s="0" t="n">
        <v>0</v>
      </c>
      <c r="RB65" s="0" t="n">
        <v>2.02</v>
      </c>
      <c r="RC65" s="0" t="n">
        <v>19.56</v>
      </c>
      <c r="RD65" s="0" t="n">
        <v>0.25</v>
      </c>
      <c r="RE65" s="0" t="n">
        <v>0</v>
      </c>
      <c r="RF65" s="0" t="n">
        <v>0</v>
      </c>
      <c r="RG65" s="0" t="n">
        <v>0</v>
      </c>
      <c r="RH65" s="0" t="n">
        <v>0</v>
      </c>
      <c r="RN65" s="0" t="n">
        <v>0</v>
      </c>
      <c r="RT65" s="0" t="n">
        <v>0</v>
      </c>
      <c r="RU65" s="0" t="n">
        <v>0</v>
      </c>
      <c r="SF65" s="18"/>
      <c r="SX65" s="0" t="n">
        <v>0</v>
      </c>
      <c r="UI65" s="16" t="n">
        <v>6.72</v>
      </c>
      <c r="UJ65" s="16" t="n">
        <v>1</v>
      </c>
      <c r="UK65" s="16" t="n">
        <v>2</v>
      </c>
      <c r="UL65" s="16"/>
      <c r="UM65" s="16" t="n">
        <f aca="false">3.73*3</f>
        <v>11.19</v>
      </c>
      <c r="UN65" s="16"/>
      <c r="UO65" s="16"/>
      <c r="UP65" s="16"/>
      <c r="UQ65" s="16"/>
      <c r="UR65" s="16"/>
      <c r="US65" s="16"/>
      <c r="UT65" s="16" t="n">
        <v>10.6</v>
      </c>
      <c r="UU65" s="16" t="n">
        <v>12.44</v>
      </c>
      <c r="UV65" s="16"/>
      <c r="UW65" s="16"/>
      <c r="UX65" s="16" t="n">
        <v>0</v>
      </c>
      <c r="UY65" s="16" t="n">
        <v>0</v>
      </c>
      <c r="UZ65" s="16" t="n">
        <v>0</v>
      </c>
      <c r="VA65" s="0" t="n">
        <v>0</v>
      </c>
      <c r="VB65" s="0" t="s">
        <v>278</v>
      </c>
      <c r="VC65" s="0" t="n">
        <v>51.5</v>
      </c>
      <c r="VD65" s="16" t="n">
        <v>63.4</v>
      </c>
      <c r="VE65" s="16" t="n">
        <v>80.4</v>
      </c>
      <c r="VF65" s="16" t="n">
        <v>18.1</v>
      </c>
      <c r="VG65" s="0" t="n">
        <v>83.5</v>
      </c>
      <c r="VH65" s="0" t="n">
        <v>5.36</v>
      </c>
      <c r="VI65" s="0" t="n">
        <v>8.46</v>
      </c>
      <c r="VJ65" s="0" t="n">
        <v>0</v>
      </c>
      <c r="VK65" s="0" t="n">
        <v>2.69</v>
      </c>
      <c r="VL65" s="0" t="n">
        <v>0</v>
      </c>
      <c r="VM65" s="0" t="n">
        <v>0</v>
      </c>
      <c r="VN65" s="0" t="n">
        <v>0</v>
      </c>
      <c r="VO65" s="0" t="n">
        <v>0</v>
      </c>
      <c r="VP65" s="0" t="n">
        <v>0</v>
      </c>
      <c r="VQ65" s="0" t="n">
        <v>0</v>
      </c>
      <c r="VR65" s="0" t="n">
        <v>0</v>
      </c>
      <c r="VS65" s="0" t="n">
        <v>0.99</v>
      </c>
      <c r="VT65" s="0" t="n">
        <v>13.55</v>
      </c>
      <c r="VU65" s="0" t="n">
        <v>16.2</v>
      </c>
      <c r="VV65" s="0" t="n">
        <v>0</v>
      </c>
      <c r="VW65" s="0" t="n">
        <v>0</v>
      </c>
      <c r="VX65" s="0" t="n">
        <v>0</v>
      </c>
      <c r="WK65" s="0" t="n">
        <v>18.4</v>
      </c>
      <c r="WL65" s="0" t="n">
        <v>1</v>
      </c>
      <c r="WM65" s="0" t="n">
        <v>47</v>
      </c>
      <c r="WN65" s="0" t="n">
        <v>1</v>
      </c>
      <c r="WO65" s="0" t="n">
        <v>0.9</v>
      </c>
      <c r="WP65" s="0" t="n">
        <v>3</v>
      </c>
      <c r="WQ65" s="0" t="n">
        <v>35</v>
      </c>
      <c r="WR65" s="0" t="n">
        <v>3</v>
      </c>
      <c r="WS65" s="0" t="n">
        <f aca="false">0.94</f>
        <v>0.94</v>
      </c>
      <c r="WT65" s="0" t="n">
        <v>3</v>
      </c>
      <c r="WU65" s="0" t="n">
        <v>68</v>
      </c>
      <c r="WV65" s="0" t="n">
        <v>1</v>
      </c>
      <c r="WW65" s="18" t="n">
        <v>6.22</v>
      </c>
      <c r="WX65" s="0" t="n">
        <v>1</v>
      </c>
      <c r="XO65" s="0" t="n">
        <v>0</v>
      </c>
      <c r="YZ65" s="16" t="n">
        <v>3.75</v>
      </c>
      <c r="ZA65" s="16" t="n">
        <v>1</v>
      </c>
      <c r="ZB65" s="16" t="n">
        <v>1</v>
      </c>
      <c r="ZC65" s="16"/>
      <c r="ZD65" s="16" t="n">
        <f aca="false">2.49+0.05+0.03</f>
        <v>2.57</v>
      </c>
      <c r="ZE65" s="16" t="n">
        <v>2</v>
      </c>
      <c r="ZF65" s="16"/>
      <c r="ZG65" s="16" t="n">
        <v>2.49</v>
      </c>
      <c r="ZH65" s="16"/>
      <c r="ZI65" s="16"/>
      <c r="ZJ65" s="16"/>
      <c r="ZK65" s="16" t="n">
        <v>11.1</v>
      </c>
      <c r="ZL65" s="16" t="n">
        <v>18.47</v>
      </c>
      <c r="ZM65" s="16"/>
      <c r="ZN65" s="16"/>
      <c r="ZO65" s="16" t="n">
        <v>0</v>
      </c>
      <c r="ZP65" s="16" t="n">
        <v>0</v>
      </c>
      <c r="ZQ65" s="16" t="n">
        <v>0</v>
      </c>
      <c r="ZR65" s="0" t="n">
        <v>0</v>
      </c>
      <c r="ZS65" s="0" t="s">
        <v>279</v>
      </c>
      <c r="ZT65" s="0" t="n">
        <v>33.5</v>
      </c>
      <c r="ZU65" s="16" t="n">
        <v>54</v>
      </c>
      <c r="ZV65" s="16" t="n">
        <v>80.4</v>
      </c>
      <c r="ZW65" s="16" t="n">
        <v>9.6</v>
      </c>
      <c r="ZX65" s="0" t="n">
        <v>86.69</v>
      </c>
      <c r="ZY65" s="0" t="n">
        <v>8.34</v>
      </c>
      <c r="ZZ65" s="0" t="n">
        <v>4.97</v>
      </c>
      <c r="AAA65" s="0" t="n">
        <v>0</v>
      </c>
      <c r="AAB65" s="0" t="n">
        <v>0</v>
      </c>
      <c r="AAC65" s="0" t="n">
        <v>0</v>
      </c>
      <c r="AAD65" s="0" t="n">
        <v>0</v>
      </c>
      <c r="AAE65" s="0" t="n">
        <v>0</v>
      </c>
      <c r="AAF65" s="0" t="n">
        <v>0</v>
      </c>
      <c r="AAG65" s="0" t="n">
        <v>0</v>
      </c>
      <c r="AAH65" s="0" t="n">
        <v>0</v>
      </c>
      <c r="AAI65" s="0" t="n">
        <v>0</v>
      </c>
      <c r="AAJ65" s="0" t="n">
        <v>12.83</v>
      </c>
      <c r="AAK65" s="0" t="n">
        <v>6.09</v>
      </c>
      <c r="AAL65" s="0" t="n">
        <v>0</v>
      </c>
      <c r="AAM65" s="0" t="n">
        <v>0</v>
      </c>
      <c r="AAN65" s="0" t="n">
        <v>0</v>
      </c>
      <c r="AAO65" s="0" t="n">
        <v>0</v>
      </c>
      <c r="ABB65" s="0" t="n">
        <v>11.3</v>
      </c>
      <c r="ABC65" s="0" t="n">
        <v>1</v>
      </c>
      <c r="ABD65" s="0" t="n">
        <v>47</v>
      </c>
      <c r="ABE65" s="0" t="n">
        <v>1</v>
      </c>
      <c r="ABF65" s="0" t="n">
        <v>0.9</v>
      </c>
      <c r="ABG65" s="0" t="n">
        <v>3</v>
      </c>
      <c r="ABH65" s="0" t="n">
        <v>35</v>
      </c>
      <c r="ABI65" s="0" t="n">
        <v>2</v>
      </c>
      <c r="ABJ65" s="0" t="n">
        <v>0.92</v>
      </c>
      <c r="ABK65" s="0" t="n">
        <v>3</v>
      </c>
      <c r="ABN65" s="18"/>
      <c r="ACF65" s="0" t="n">
        <v>0</v>
      </c>
      <c r="ADQ65" s="16" t="n">
        <v>3.75</v>
      </c>
      <c r="ADR65" s="16" t="n">
        <v>1</v>
      </c>
      <c r="ADS65" s="16" t="n">
        <v>1</v>
      </c>
      <c r="ADT65" s="16"/>
      <c r="ADU65" s="16" t="n">
        <f aca="false">2.49+0.05+0.03</f>
        <v>2.57</v>
      </c>
      <c r="ADV65" s="16" t="n">
        <v>2</v>
      </c>
      <c r="ADW65" s="16"/>
      <c r="ADX65" s="16" t="n">
        <v>2.49</v>
      </c>
      <c r="ADY65" s="16"/>
      <c r="ADZ65" s="16"/>
      <c r="AEA65" s="16"/>
      <c r="AEB65" s="16" t="n">
        <v>8.81</v>
      </c>
      <c r="AEC65" s="16" t="n">
        <v>6.01</v>
      </c>
      <c r="AED65" s="16"/>
      <c r="AEE65" s="16"/>
      <c r="AEF65" s="16" t="n">
        <v>0</v>
      </c>
      <c r="AEG65" s="16" t="n">
        <v>0</v>
      </c>
      <c r="AEH65" s="16" t="n">
        <v>0</v>
      </c>
      <c r="AEI65" s="0" t="n">
        <v>0</v>
      </c>
      <c r="AEJ65" s="0" t="s">
        <v>280</v>
      </c>
      <c r="AEK65" s="0" t="n">
        <v>79</v>
      </c>
      <c r="AEL65" s="16" t="n">
        <v>63.9</v>
      </c>
      <c r="AEM65" s="16" t="n">
        <v>80.4</v>
      </c>
      <c r="AEN65" s="16" t="n">
        <v>11.2</v>
      </c>
      <c r="AEO65" s="0" t="n">
        <v>77.43</v>
      </c>
      <c r="AEP65" s="0" t="n">
        <v>22.57</v>
      </c>
      <c r="AEQ65" s="0" t="n">
        <v>0</v>
      </c>
      <c r="AER65" s="0" t="n">
        <v>0</v>
      </c>
      <c r="AES65" s="0" t="n">
        <v>0</v>
      </c>
      <c r="AET65" s="0" t="n">
        <v>0</v>
      </c>
      <c r="AEU65" s="0" t="n">
        <v>0</v>
      </c>
      <c r="AEV65" s="0" t="n">
        <v>0</v>
      </c>
      <c r="AEW65" s="0" t="n">
        <v>0</v>
      </c>
      <c r="AEX65" s="0" t="n">
        <v>0</v>
      </c>
      <c r="AEY65" s="0" t="n">
        <v>0</v>
      </c>
      <c r="AEZ65" s="0" t="n">
        <v>0</v>
      </c>
      <c r="AFA65" s="0" t="n">
        <v>0</v>
      </c>
      <c r="AFB65" s="0" t="n">
        <v>45.87</v>
      </c>
      <c r="AFC65" s="0" t="n">
        <v>0</v>
      </c>
      <c r="AFD65" s="0" t="n">
        <v>0</v>
      </c>
      <c r="AFE65" s="0" t="n">
        <v>0</v>
      </c>
      <c r="AFF65" s="0" t="n">
        <v>0</v>
      </c>
      <c r="AFS65" s="0" t="n">
        <v>56.3</v>
      </c>
      <c r="AFT65" s="0" t="n">
        <v>1</v>
      </c>
      <c r="AFU65" s="0" t="n">
        <v>47</v>
      </c>
      <c r="AFV65" s="0" t="n">
        <v>18</v>
      </c>
      <c r="AFW65" s="0" t="n">
        <f aca="false">13.43+9.14</f>
        <v>22.57</v>
      </c>
      <c r="AFX65" s="0" t="n">
        <v>3</v>
      </c>
      <c r="AGE65" s="18"/>
      <c r="AGW65" s="0" t="n">
        <v>0</v>
      </c>
      <c r="AIH65" s="16" t="n">
        <v>0</v>
      </c>
      <c r="AII65" s="16" t="n">
        <v>0</v>
      </c>
      <c r="AIJ65" s="16"/>
      <c r="AIK65" s="16"/>
      <c r="AIL65" s="16"/>
      <c r="AIM65" s="16"/>
      <c r="AIN65" s="16"/>
      <c r="AIO65" s="16"/>
      <c r="AIP65" s="16"/>
      <c r="AIQ65" s="16"/>
      <c r="AIR65" s="16"/>
      <c r="AIS65" s="16" t="n">
        <v>11.54</v>
      </c>
      <c r="AIT65" s="16" t="n">
        <v>22.57</v>
      </c>
      <c r="AIU65" s="16"/>
      <c r="AIV65" s="16"/>
      <c r="AIW65" s="16" t="n">
        <v>0</v>
      </c>
      <c r="AIX65" s="16" t="n">
        <v>0</v>
      </c>
      <c r="AIY65" s="16" t="n">
        <v>0</v>
      </c>
      <c r="AIZ65" s="0" t="n">
        <v>0</v>
      </c>
      <c r="AJA65" s="0" t="s">
        <v>281</v>
      </c>
      <c r="AJB65" s="0" t="n">
        <v>42.5</v>
      </c>
      <c r="AJC65" s="16" t="n">
        <v>76.4</v>
      </c>
      <c r="AJD65" s="16" t="n">
        <v>80.4</v>
      </c>
      <c r="AJE65" s="16" t="n">
        <v>15.3</v>
      </c>
      <c r="AJF65" s="0" t="n">
        <v>73.6</v>
      </c>
      <c r="AJG65" s="0" t="n">
        <v>20.42</v>
      </c>
      <c r="AJH65" s="0" t="n">
        <v>3.69</v>
      </c>
      <c r="AJI65" s="0" t="n">
        <v>0</v>
      </c>
      <c r="AJJ65" s="0" t="n">
        <v>2.28</v>
      </c>
      <c r="AJK65" s="0" t="n">
        <v>0</v>
      </c>
      <c r="AJL65" s="0" t="n">
        <v>0</v>
      </c>
      <c r="AJM65" s="0" t="n">
        <v>0</v>
      </c>
      <c r="AJN65" s="0" t="n">
        <v>0</v>
      </c>
      <c r="AJO65" s="0" t="n">
        <v>0</v>
      </c>
      <c r="AJP65" s="0" t="n">
        <v>0</v>
      </c>
      <c r="AJQ65" s="0" t="n">
        <v>0</v>
      </c>
      <c r="AJR65" s="0" t="n">
        <v>0</v>
      </c>
      <c r="AJS65" s="0" t="n">
        <v>35.36</v>
      </c>
      <c r="AJT65" s="0" t="n">
        <v>16.37</v>
      </c>
      <c r="AJU65" s="0" t="n">
        <v>0</v>
      </c>
      <c r="AJV65" s="0" t="n">
        <v>4.4</v>
      </c>
      <c r="AJW65" s="0" t="n">
        <v>2</v>
      </c>
      <c r="AJX65" s="0" t="n">
        <v>10</v>
      </c>
      <c r="AJY65" s="0" t="n">
        <v>0.9</v>
      </c>
      <c r="AKD65" s="0" t="n">
        <v>10</v>
      </c>
      <c r="AKE65" s="0" t="n">
        <v>0.9</v>
      </c>
      <c r="AKJ65" s="0" t="n">
        <v>9.7</v>
      </c>
      <c r="AKK65" s="0" t="n">
        <v>1</v>
      </c>
      <c r="AKL65" s="0" t="n">
        <v>68</v>
      </c>
      <c r="AKM65" s="0" t="n">
        <v>2</v>
      </c>
      <c r="AKN65" s="0" t="n">
        <f aca="false">3.34+5.29</f>
        <v>8.63</v>
      </c>
      <c r="AKO65" s="0" t="n">
        <v>1</v>
      </c>
      <c r="AKP65" s="0" t="n">
        <v>34</v>
      </c>
      <c r="AKQ65" s="0" t="n">
        <v>86</v>
      </c>
      <c r="AKR65" s="0" t="n">
        <f aca="false">0.8+0.6</f>
        <v>1.4</v>
      </c>
      <c r="AKS65" s="0" t="n">
        <v>1</v>
      </c>
      <c r="AKT65" s="0" t="n">
        <v>47</v>
      </c>
      <c r="AKU65" s="0" t="n">
        <v>1</v>
      </c>
      <c r="AKV65" s="18" t="n">
        <v>1.52</v>
      </c>
      <c r="AKW65" s="0" t="n">
        <v>3</v>
      </c>
      <c r="ALN65" s="0" t="n">
        <v>0</v>
      </c>
    </row>
    <row r="66" customFormat="false" ht="13.8" hidden="false" customHeight="false" outlineLevel="0" collapsed="false">
      <c r="A66" s="1" t="s">
        <v>426</v>
      </c>
      <c r="B66" s="12" t="n">
        <v>42901</v>
      </c>
      <c r="C66" s="0" t="n">
        <v>2</v>
      </c>
      <c r="D66" s="13" t="n">
        <v>42811</v>
      </c>
      <c r="E66" s="12" t="n">
        <v>34704</v>
      </c>
      <c r="F66" s="14" t="n">
        <f aca="false">(B66-E66)/365.25</f>
        <v>22.4421629021218</v>
      </c>
      <c r="G66" s="14" t="n">
        <f aca="false">(B66-D66)/365.25</f>
        <v>0.246406570841889</v>
      </c>
      <c r="H66" s="15" t="s">
        <v>217</v>
      </c>
      <c r="I66" s="15" t="s">
        <v>272</v>
      </c>
      <c r="J66" s="15" t="s">
        <v>181</v>
      </c>
      <c r="K66" s="21" t="n">
        <v>8</v>
      </c>
      <c r="L66" s="19" t="n">
        <v>63</v>
      </c>
      <c r="M66" s="0" t="n">
        <v>1.8</v>
      </c>
      <c r="N66" s="16" t="n">
        <f aca="false">L66/(M66*M66)</f>
        <v>19.4444444444444</v>
      </c>
      <c r="O66" s="19" t="n">
        <v>0</v>
      </c>
      <c r="P66" s="19" t="n">
        <v>0</v>
      </c>
      <c r="Q66" s="19" t="n">
        <v>0</v>
      </c>
      <c r="R66" s="19" t="n">
        <v>0</v>
      </c>
      <c r="S66" s="19" t="n">
        <v>0</v>
      </c>
      <c r="T66" s="19" t="n">
        <v>0</v>
      </c>
      <c r="U66" s="19" t="n">
        <v>0</v>
      </c>
      <c r="V66" s="19" t="n">
        <v>0</v>
      </c>
      <c r="W66" s="19" t="n">
        <v>0</v>
      </c>
      <c r="X66" s="19" t="n">
        <v>0</v>
      </c>
      <c r="Y66" s="19" t="n">
        <v>1</v>
      </c>
      <c r="Z66" s="19" t="n">
        <v>2</v>
      </c>
      <c r="AA66" s="19" t="n">
        <v>90</v>
      </c>
      <c r="AB66" s="19" t="s">
        <v>308</v>
      </c>
      <c r="AC66" s="19" t="n">
        <v>1</v>
      </c>
      <c r="AD66" s="19" t="n">
        <v>10</v>
      </c>
      <c r="AE66" s="19" t="n">
        <v>0</v>
      </c>
      <c r="AF66" s="19" t="n">
        <v>0</v>
      </c>
      <c r="AG66" s="19" t="n">
        <v>0</v>
      </c>
      <c r="AH66" s="19" t="n">
        <v>0</v>
      </c>
      <c r="AI66" s="19" t="n">
        <v>0</v>
      </c>
      <c r="AJ66" s="19" t="n">
        <v>0</v>
      </c>
      <c r="AK66" s="19" t="n">
        <v>0</v>
      </c>
      <c r="AL66" s="19" t="n">
        <v>0</v>
      </c>
      <c r="AM66" s="19" t="n">
        <v>0</v>
      </c>
      <c r="AN66" s="19" t="n">
        <v>0</v>
      </c>
      <c r="AO66" s="19" t="n">
        <v>0</v>
      </c>
      <c r="AP66" s="19" t="n">
        <v>0</v>
      </c>
      <c r="AQ66" s="19" t="n">
        <v>0</v>
      </c>
      <c r="AR66" s="19" t="n">
        <v>0</v>
      </c>
      <c r="AS66" s="19" t="n">
        <v>1</v>
      </c>
      <c r="AT66" s="19" t="n">
        <v>0</v>
      </c>
      <c r="AU66" s="19" t="n">
        <v>0</v>
      </c>
      <c r="AV66" s="19" t="n">
        <v>0</v>
      </c>
      <c r="AW66" s="19" t="n">
        <v>0</v>
      </c>
      <c r="AX66" s="19" t="n">
        <v>0</v>
      </c>
      <c r="AY66" s="19" t="n">
        <v>0</v>
      </c>
      <c r="AZ66" s="19" t="n">
        <v>0</v>
      </c>
      <c r="BA66" s="19" t="n">
        <v>0</v>
      </c>
      <c r="BB66" s="19" t="n">
        <v>0</v>
      </c>
      <c r="BC66" s="19" t="n">
        <v>0</v>
      </c>
      <c r="BD66" s="19" t="n">
        <v>0</v>
      </c>
      <c r="BE66" s="19" t="n">
        <v>0</v>
      </c>
      <c r="BF66" s="19" t="n">
        <v>0</v>
      </c>
      <c r="BG66" s="19" t="n">
        <v>0</v>
      </c>
      <c r="BH66" s="19" t="n">
        <v>0</v>
      </c>
      <c r="BI66" s="19" t="n">
        <v>0</v>
      </c>
      <c r="BJ66" s="19" t="n">
        <v>0</v>
      </c>
      <c r="BK66" s="19" t="n">
        <v>0</v>
      </c>
      <c r="BL66" s="19" t="n">
        <v>0</v>
      </c>
      <c r="BM66" s="19" t="n">
        <v>0</v>
      </c>
      <c r="BN66" s="19" t="n">
        <v>0</v>
      </c>
      <c r="BO66" s="19" t="n">
        <v>0</v>
      </c>
      <c r="BP66" s="19" t="n">
        <v>0</v>
      </c>
      <c r="BQ66" s="19" t="n">
        <v>0</v>
      </c>
      <c r="BR66" s="19" t="n">
        <v>3</v>
      </c>
      <c r="BS66" s="19" t="n">
        <v>3</v>
      </c>
      <c r="BT66" s="19" t="n">
        <v>4</v>
      </c>
      <c r="BU66" s="19" t="n">
        <v>5</v>
      </c>
      <c r="BV66" s="19" t="n">
        <v>3</v>
      </c>
      <c r="BW66" s="19" t="n">
        <v>3</v>
      </c>
      <c r="BX66" s="19" t="n">
        <v>2</v>
      </c>
      <c r="BY66" s="19" t="n">
        <v>4</v>
      </c>
      <c r="BZ66" s="19" t="n">
        <v>5</v>
      </c>
      <c r="CA66" s="19" t="n">
        <v>3</v>
      </c>
      <c r="CB66" s="19" t="n">
        <v>3</v>
      </c>
      <c r="CC66" s="19" t="n">
        <v>4</v>
      </c>
      <c r="CD66" s="19" t="n">
        <v>3</v>
      </c>
      <c r="CE66" s="19" t="n">
        <v>4</v>
      </c>
      <c r="CF66" s="19" t="n">
        <v>4</v>
      </c>
      <c r="CG66" s="19" t="n">
        <v>5</v>
      </c>
      <c r="CH66" s="19"/>
      <c r="CI66" s="19"/>
      <c r="CJ66" s="19"/>
      <c r="CK66" s="19" t="n">
        <v>6</v>
      </c>
      <c r="CL66" s="0" t="s">
        <v>274</v>
      </c>
      <c r="CM66" s="0" t="n">
        <v>19.5</v>
      </c>
      <c r="CN66" s="16" t="n">
        <v>74.3</v>
      </c>
      <c r="CO66" s="16" t="n">
        <v>80.4</v>
      </c>
      <c r="CP66" s="16" t="n">
        <v>7.8</v>
      </c>
      <c r="CQ66" s="0" t="n">
        <v>89.52</v>
      </c>
      <c r="CR66" s="0" t="n">
        <v>8.69</v>
      </c>
      <c r="CS66" s="0" t="n">
        <v>1.79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18.73</v>
      </c>
      <c r="DD66" s="0" t="n">
        <v>9.35</v>
      </c>
      <c r="DE66" s="0" t="n">
        <v>0</v>
      </c>
      <c r="DF66" s="0" t="n">
        <v>0</v>
      </c>
      <c r="DG66" s="0" t="n">
        <v>0</v>
      </c>
      <c r="DU66" s="0" t="n">
        <v>3.92</v>
      </c>
      <c r="DV66" s="0" t="n">
        <v>1</v>
      </c>
      <c r="DW66" s="0" t="n">
        <v>52</v>
      </c>
      <c r="DX66" s="0" t="n">
        <v>4</v>
      </c>
      <c r="DY66" s="0" t="n">
        <f aca="false">1.01*2+0.56+0.9</f>
        <v>3.48</v>
      </c>
      <c r="DZ66" s="0" t="n">
        <v>2</v>
      </c>
      <c r="EG66" s="18"/>
      <c r="EY66" s="0" t="n">
        <v>1</v>
      </c>
      <c r="EZ66" s="0" t="n">
        <v>50</v>
      </c>
      <c r="FA66" s="0" t="n">
        <v>1</v>
      </c>
      <c r="FB66" s="0" t="n">
        <v>1.9</v>
      </c>
      <c r="FC66" s="0" t="n">
        <v>3</v>
      </c>
      <c r="GJ66" s="16" t="n">
        <v>2.24</v>
      </c>
      <c r="GK66" s="16" t="n">
        <v>1</v>
      </c>
      <c r="GL66" s="16" t="n">
        <v>2</v>
      </c>
      <c r="GM66" s="16"/>
      <c r="GN66" s="16" t="n">
        <f aca="false">1.87*2</f>
        <v>3.74</v>
      </c>
      <c r="GO66" s="16"/>
      <c r="GP66" s="16"/>
      <c r="GQ66" s="16"/>
      <c r="GR66" s="16"/>
      <c r="GS66" s="16"/>
      <c r="GT66" s="16"/>
      <c r="GU66" s="16" t="n">
        <v>5.49</v>
      </c>
      <c r="GV66" s="16" t="n">
        <f aca="false">1.01*2+0.56+1.87*2+0.9</f>
        <v>7.22</v>
      </c>
      <c r="GW66" s="16"/>
      <c r="GX66" s="16"/>
      <c r="GY66" s="16" t="n">
        <v>0</v>
      </c>
      <c r="GZ66" s="16" t="n">
        <v>0</v>
      </c>
      <c r="HA66" s="16" t="n">
        <v>0</v>
      </c>
      <c r="HB66" s="0" t="n">
        <v>0</v>
      </c>
      <c r="HC66" s="0" t="s">
        <v>275</v>
      </c>
      <c r="HD66" s="0" t="n">
        <v>19.5</v>
      </c>
      <c r="HE66" s="16" t="n">
        <v>74.6</v>
      </c>
      <c r="HF66" s="16" t="n">
        <v>80.4</v>
      </c>
      <c r="HG66" s="16" t="n">
        <v>7.8</v>
      </c>
      <c r="HH66" s="0" t="n">
        <v>89.29</v>
      </c>
      <c r="HI66" s="0" t="n">
        <v>8.92</v>
      </c>
      <c r="HJ66" s="0" t="n">
        <v>1.79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18.95</v>
      </c>
      <c r="HU66" s="0" t="n">
        <v>9.35</v>
      </c>
      <c r="HV66" s="0" t="n">
        <v>0</v>
      </c>
      <c r="HW66" s="0" t="n">
        <v>0</v>
      </c>
      <c r="HX66" s="0" t="n">
        <v>0</v>
      </c>
      <c r="IL66" s="0" t="n">
        <v>3.9</v>
      </c>
      <c r="IM66" s="0" t="n">
        <v>1</v>
      </c>
      <c r="IN66" s="0" t="n">
        <v>52</v>
      </c>
      <c r="IO66" s="0" t="n">
        <v>4</v>
      </c>
      <c r="IP66" s="0" t="n">
        <f aca="false">1.01*2+0.56+0.9</f>
        <v>3.48</v>
      </c>
      <c r="IQ66" s="0" t="n">
        <v>3</v>
      </c>
      <c r="IX66" s="18"/>
      <c r="JP66" s="0" t="n">
        <v>1</v>
      </c>
      <c r="JQ66" s="0" t="n">
        <v>50</v>
      </c>
      <c r="JR66" s="0" t="n">
        <v>1</v>
      </c>
      <c r="JS66" s="0" t="n">
        <v>1.9</v>
      </c>
      <c r="JT66" s="0" t="n">
        <v>3</v>
      </c>
      <c r="LA66" s="16" t="n">
        <v>2.24</v>
      </c>
      <c r="LB66" s="16" t="n">
        <v>1</v>
      </c>
      <c r="LC66" s="16" t="n">
        <v>2</v>
      </c>
      <c r="LD66" s="16"/>
      <c r="LE66" s="16" t="n">
        <f aca="false">1.87*2</f>
        <v>3.74</v>
      </c>
      <c r="LF66" s="16"/>
      <c r="LG66" s="16"/>
      <c r="LH66" s="16"/>
      <c r="LI66" s="16"/>
      <c r="LJ66" s="16"/>
      <c r="LK66" s="16"/>
      <c r="LL66" s="16" t="n">
        <v>6.49</v>
      </c>
      <c r="LM66" s="16" t="n">
        <f aca="false">1.01*2+0.56+1.87*2+0.9</f>
        <v>7.22</v>
      </c>
      <c r="LN66" s="16"/>
      <c r="LO66" s="16"/>
      <c r="LP66" s="16" t="n">
        <v>0</v>
      </c>
      <c r="LQ66" s="16" t="n">
        <v>0</v>
      </c>
      <c r="LR66" s="16" t="n">
        <v>0</v>
      </c>
      <c r="LS66" s="0" t="n">
        <v>0</v>
      </c>
      <c r="LT66" s="0" t="s">
        <v>276</v>
      </c>
      <c r="LU66" s="0" t="n">
        <v>22.5</v>
      </c>
      <c r="LV66" s="16" t="n">
        <v>73.4</v>
      </c>
      <c r="LW66" s="16" t="n">
        <v>80.4</v>
      </c>
      <c r="LX66" s="16" t="n">
        <v>10.4</v>
      </c>
      <c r="LY66" s="0" t="n">
        <v>88.12</v>
      </c>
      <c r="LZ66" s="0" t="n">
        <v>6.29</v>
      </c>
      <c r="MA66" s="0" t="n">
        <v>4.25</v>
      </c>
      <c r="MB66" s="0" t="n">
        <v>0</v>
      </c>
      <c r="MC66" s="0" t="n">
        <v>1.34</v>
      </c>
      <c r="MD66" s="0" t="n">
        <v>0</v>
      </c>
      <c r="ME66" s="0" t="n">
        <v>0</v>
      </c>
      <c r="MF66" s="0" t="n">
        <v>0</v>
      </c>
      <c r="MG66" s="0" t="n">
        <v>0</v>
      </c>
      <c r="MH66" s="0" t="n">
        <v>0</v>
      </c>
      <c r="MI66" s="0" t="n">
        <v>0</v>
      </c>
      <c r="MJ66" s="0" t="n">
        <v>0</v>
      </c>
      <c r="MK66" s="0" t="n">
        <v>2.46</v>
      </c>
      <c r="ML66" s="0" t="n">
        <v>13.2</v>
      </c>
      <c r="MM66" s="0" t="n">
        <v>0</v>
      </c>
      <c r="MN66" s="0" t="n">
        <v>0</v>
      </c>
      <c r="MO66" s="0" t="n">
        <v>0</v>
      </c>
      <c r="NC66" s="0" t="n">
        <v>0</v>
      </c>
      <c r="NO66" s="18"/>
      <c r="PR66" s="16" t="n">
        <v>2.24</v>
      </c>
      <c r="PS66" s="16" t="n">
        <v>1</v>
      </c>
      <c r="PT66" s="16" t="n">
        <v>2</v>
      </c>
      <c r="PU66" s="16" t="n">
        <v>3.73</v>
      </c>
      <c r="PV66" s="16"/>
      <c r="PW66" s="16"/>
      <c r="PX66" s="16"/>
      <c r="PY66" s="16"/>
      <c r="PZ66" s="16"/>
      <c r="QA66" s="16"/>
      <c r="QB66" s="16"/>
      <c r="QC66" s="16" t="n">
        <v>9.68</v>
      </c>
      <c r="QD66" s="16" t="n">
        <f aca="false">2.01+1.34+2.69+3.73+0.81</f>
        <v>10.58</v>
      </c>
      <c r="QE66" s="16"/>
      <c r="QF66" s="16"/>
      <c r="QG66" s="16" t="n">
        <v>0</v>
      </c>
      <c r="QH66" s="16" t="n">
        <v>0</v>
      </c>
      <c r="QI66" s="16" t="n">
        <v>0.16</v>
      </c>
      <c r="QJ66" s="0" t="n">
        <v>0</v>
      </c>
      <c r="QK66" s="0" t="s">
        <v>277</v>
      </c>
      <c r="QL66" s="0" t="n">
        <v>29.5</v>
      </c>
      <c r="QM66" s="16" t="n">
        <v>53.8</v>
      </c>
      <c r="QN66" s="16" t="n">
        <v>80.4</v>
      </c>
      <c r="QO66" s="16" t="n">
        <v>12.1</v>
      </c>
      <c r="QP66" s="0" t="n">
        <v>86.6</v>
      </c>
      <c r="QQ66" s="0" t="n">
        <v>8.48</v>
      </c>
      <c r="QR66" s="0" t="n">
        <v>4.93</v>
      </c>
      <c r="QS66" s="0" t="n">
        <v>0</v>
      </c>
      <c r="QT66" s="0" t="n">
        <v>0</v>
      </c>
      <c r="QU66" s="0" t="n">
        <v>0</v>
      </c>
      <c r="QV66" s="0" t="n">
        <v>0</v>
      </c>
      <c r="QW66" s="0" t="n">
        <v>0</v>
      </c>
      <c r="QX66" s="0" t="n">
        <v>0</v>
      </c>
      <c r="QY66" s="0" t="n">
        <v>0</v>
      </c>
      <c r="QZ66" s="0" t="n">
        <v>0</v>
      </c>
      <c r="RA66" s="0" t="n">
        <v>0</v>
      </c>
      <c r="RB66" s="0" t="n">
        <v>2.02</v>
      </c>
      <c r="RC66" s="0" t="n">
        <v>19.56</v>
      </c>
      <c r="RD66" s="0" t="n">
        <v>0.25</v>
      </c>
      <c r="RE66" s="0" t="n">
        <v>0</v>
      </c>
      <c r="RF66" s="0" t="n">
        <v>0</v>
      </c>
      <c r="RG66" s="0" t="n">
        <v>0</v>
      </c>
      <c r="RH66" s="0" t="n">
        <v>0</v>
      </c>
      <c r="RN66" s="0" t="n">
        <v>0</v>
      </c>
      <c r="RT66" s="0" t="n">
        <v>0</v>
      </c>
      <c r="RU66" s="0" t="n">
        <v>0</v>
      </c>
      <c r="SF66" s="18"/>
      <c r="SX66" s="0" t="n">
        <v>0</v>
      </c>
      <c r="UI66" s="16" t="n">
        <v>6.72</v>
      </c>
      <c r="UJ66" s="16" t="n">
        <v>1</v>
      </c>
      <c r="UK66" s="16" t="n">
        <v>2</v>
      </c>
      <c r="UL66" s="16"/>
      <c r="UM66" s="16" t="n">
        <f aca="false">3.73*3</f>
        <v>11.19</v>
      </c>
      <c r="UN66" s="16"/>
      <c r="UO66" s="16"/>
      <c r="UP66" s="16"/>
      <c r="UQ66" s="16"/>
      <c r="UR66" s="16"/>
      <c r="US66" s="16"/>
      <c r="UT66" s="16" t="n">
        <v>10.6</v>
      </c>
      <c r="UU66" s="16" t="n">
        <v>12.44</v>
      </c>
      <c r="UV66" s="16"/>
      <c r="UW66" s="16"/>
      <c r="UX66" s="16" t="n">
        <v>0</v>
      </c>
      <c r="UY66" s="16" t="n">
        <v>0</v>
      </c>
      <c r="UZ66" s="16" t="n">
        <v>0</v>
      </c>
      <c r="VA66" s="0" t="n">
        <v>0</v>
      </c>
      <c r="VB66" s="0" t="s">
        <v>278</v>
      </c>
      <c r="VC66" s="0" t="n">
        <v>51.5</v>
      </c>
      <c r="VD66" s="16" t="n">
        <v>63.4</v>
      </c>
      <c r="VE66" s="16" t="n">
        <v>80.4</v>
      </c>
      <c r="VF66" s="16" t="n">
        <v>18.1</v>
      </c>
      <c r="VG66" s="0" t="n">
        <v>83.5</v>
      </c>
      <c r="VH66" s="0" t="n">
        <v>5.36</v>
      </c>
      <c r="VI66" s="0" t="n">
        <v>8.46</v>
      </c>
      <c r="VJ66" s="0" t="n">
        <v>0</v>
      </c>
      <c r="VK66" s="0" t="n">
        <v>2.69</v>
      </c>
      <c r="VL66" s="0" t="n">
        <v>0</v>
      </c>
      <c r="VM66" s="0" t="n">
        <v>0</v>
      </c>
      <c r="VN66" s="0" t="n">
        <v>0</v>
      </c>
      <c r="VO66" s="0" t="n">
        <v>0</v>
      </c>
      <c r="VP66" s="0" t="n">
        <v>0</v>
      </c>
      <c r="VQ66" s="0" t="n">
        <v>0</v>
      </c>
      <c r="VR66" s="0" t="n">
        <v>0</v>
      </c>
      <c r="VS66" s="0" t="n">
        <v>0.99</v>
      </c>
      <c r="VT66" s="0" t="n">
        <v>13.55</v>
      </c>
      <c r="VU66" s="0" t="n">
        <v>16.2</v>
      </c>
      <c r="VV66" s="0" t="n">
        <v>0</v>
      </c>
      <c r="VW66" s="0" t="n">
        <v>0</v>
      </c>
      <c r="VX66" s="0" t="n">
        <v>0</v>
      </c>
      <c r="WK66" s="0" t="n">
        <v>18.4</v>
      </c>
      <c r="WL66" s="0" t="n">
        <v>1</v>
      </c>
      <c r="WM66" s="0" t="n">
        <v>47</v>
      </c>
      <c r="WN66" s="0" t="n">
        <v>1</v>
      </c>
      <c r="WO66" s="0" t="n">
        <v>0.9</v>
      </c>
      <c r="WP66" s="0" t="n">
        <v>3</v>
      </c>
      <c r="WQ66" s="0" t="n">
        <v>35</v>
      </c>
      <c r="WR66" s="0" t="n">
        <v>3</v>
      </c>
      <c r="WS66" s="0" t="n">
        <f aca="false">0.94</f>
        <v>0.94</v>
      </c>
      <c r="WT66" s="0" t="n">
        <v>3</v>
      </c>
      <c r="WU66" s="0" t="n">
        <v>68</v>
      </c>
      <c r="WV66" s="0" t="n">
        <v>1</v>
      </c>
      <c r="WW66" s="18" t="n">
        <v>6.22</v>
      </c>
      <c r="WX66" s="0" t="n">
        <v>1</v>
      </c>
      <c r="XO66" s="0" t="n">
        <v>0</v>
      </c>
      <c r="YZ66" s="16" t="n">
        <v>3.75</v>
      </c>
      <c r="ZA66" s="16" t="n">
        <v>1</v>
      </c>
      <c r="ZB66" s="16" t="n">
        <v>1</v>
      </c>
      <c r="ZC66" s="16"/>
      <c r="ZD66" s="16" t="n">
        <f aca="false">2.49+0.05+0.03</f>
        <v>2.57</v>
      </c>
      <c r="ZE66" s="16" t="n">
        <v>2</v>
      </c>
      <c r="ZF66" s="16"/>
      <c r="ZG66" s="16" t="n">
        <v>2.49</v>
      </c>
      <c r="ZH66" s="16"/>
      <c r="ZI66" s="16"/>
      <c r="ZJ66" s="16"/>
      <c r="ZK66" s="16" t="n">
        <v>11.1</v>
      </c>
      <c r="ZL66" s="16" t="n">
        <v>18.47</v>
      </c>
      <c r="ZM66" s="16"/>
      <c r="ZN66" s="16"/>
      <c r="ZO66" s="16" t="n">
        <v>0</v>
      </c>
      <c r="ZP66" s="16" t="n">
        <v>0</v>
      </c>
      <c r="ZQ66" s="16" t="n">
        <v>0</v>
      </c>
      <c r="ZR66" s="0" t="n">
        <v>0</v>
      </c>
      <c r="ZS66" s="0" t="s">
        <v>279</v>
      </c>
      <c r="ZT66" s="0" t="n">
        <v>33.5</v>
      </c>
      <c r="ZU66" s="16" t="n">
        <v>54</v>
      </c>
      <c r="ZV66" s="16" t="n">
        <v>80.4</v>
      </c>
      <c r="ZW66" s="16" t="n">
        <v>9.6</v>
      </c>
      <c r="ZX66" s="0" t="n">
        <v>86.69</v>
      </c>
      <c r="ZY66" s="0" t="n">
        <v>8.34</v>
      </c>
      <c r="ZZ66" s="0" t="n">
        <v>4.97</v>
      </c>
      <c r="AAA66" s="0" t="n">
        <v>0</v>
      </c>
      <c r="AAB66" s="0" t="n">
        <v>0</v>
      </c>
      <c r="AAC66" s="0" t="n">
        <v>0</v>
      </c>
      <c r="AAD66" s="0" t="n">
        <v>0</v>
      </c>
      <c r="AAE66" s="0" t="n">
        <v>0</v>
      </c>
      <c r="AAF66" s="0" t="n">
        <v>0</v>
      </c>
      <c r="AAG66" s="0" t="n">
        <v>0</v>
      </c>
      <c r="AAH66" s="0" t="n">
        <v>0</v>
      </c>
      <c r="AAI66" s="0" t="n">
        <v>0</v>
      </c>
      <c r="AAJ66" s="0" t="n">
        <v>12.83</v>
      </c>
      <c r="AAK66" s="0" t="n">
        <v>6.09</v>
      </c>
      <c r="AAL66" s="0" t="n">
        <v>0</v>
      </c>
      <c r="AAM66" s="0" t="n">
        <v>0</v>
      </c>
      <c r="AAN66" s="0" t="n">
        <v>0</v>
      </c>
      <c r="AAO66" s="0" t="n">
        <v>0</v>
      </c>
      <c r="ABB66" s="0" t="n">
        <v>11.3</v>
      </c>
      <c r="ABC66" s="0" t="n">
        <v>1</v>
      </c>
      <c r="ABD66" s="0" t="n">
        <v>47</v>
      </c>
      <c r="ABE66" s="0" t="n">
        <v>1</v>
      </c>
      <c r="ABF66" s="0" t="n">
        <v>0.9</v>
      </c>
      <c r="ABG66" s="0" t="n">
        <v>3</v>
      </c>
      <c r="ABH66" s="0" t="n">
        <v>35</v>
      </c>
      <c r="ABI66" s="0" t="n">
        <v>2</v>
      </c>
      <c r="ABJ66" s="0" t="n">
        <v>0.92</v>
      </c>
      <c r="ABK66" s="0" t="n">
        <v>3</v>
      </c>
      <c r="ABN66" s="18"/>
      <c r="ACF66" s="0" t="n">
        <v>0</v>
      </c>
      <c r="ADQ66" s="16" t="n">
        <v>3.75</v>
      </c>
      <c r="ADR66" s="16" t="n">
        <v>1</v>
      </c>
      <c r="ADS66" s="16" t="n">
        <v>1</v>
      </c>
      <c r="ADT66" s="16"/>
      <c r="ADU66" s="16" t="n">
        <f aca="false">2.49+0.05+0.03</f>
        <v>2.57</v>
      </c>
      <c r="ADV66" s="16" t="n">
        <v>2</v>
      </c>
      <c r="ADW66" s="16"/>
      <c r="ADX66" s="16" t="n">
        <v>2.49</v>
      </c>
      <c r="ADY66" s="16"/>
      <c r="ADZ66" s="16"/>
      <c r="AEA66" s="16"/>
      <c r="AEB66" s="16" t="n">
        <v>8.81</v>
      </c>
      <c r="AEC66" s="16" t="n">
        <v>6.01</v>
      </c>
      <c r="AED66" s="16"/>
      <c r="AEE66" s="16"/>
      <c r="AEF66" s="16" t="n">
        <v>0</v>
      </c>
      <c r="AEG66" s="16" t="n">
        <v>0</v>
      </c>
      <c r="AEH66" s="16" t="n">
        <v>0</v>
      </c>
      <c r="AEI66" s="0" t="n">
        <v>0</v>
      </c>
      <c r="AEJ66" s="0" t="s">
        <v>280</v>
      </c>
      <c r="AEK66" s="0" t="n">
        <v>79</v>
      </c>
      <c r="AEL66" s="16" t="n">
        <v>63.9</v>
      </c>
      <c r="AEM66" s="16" t="n">
        <v>80.4</v>
      </c>
      <c r="AEN66" s="16" t="n">
        <v>11.2</v>
      </c>
      <c r="AEO66" s="0" t="n">
        <v>77.43</v>
      </c>
      <c r="AEP66" s="0" t="n">
        <v>22.57</v>
      </c>
      <c r="AEQ66" s="0" t="n">
        <v>0</v>
      </c>
      <c r="AER66" s="0" t="n">
        <v>0</v>
      </c>
      <c r="AES66" s="0" t="n">
        <v>0</v>
      </c>
      <c r="AET66" s="0" t="n">
        <v>0</v>
      </c>
      <c r="AEU66" s="0" t="n">
        <v>0</v>
      </c>
      <c r="AEV66" s="0" t="n">
        <v>0</v>
      </c>
      <c r="AEW66" s="0" t="n">
        <v>0</v>
      </c>
      <c r="AEX66" s="0" t="n">
        <v>0</v>
      </c>
      <c r="AEY66" s="0" t="n">
        <v>0</v>
      </c>
      <c r="AEZ66" s="0" t="n">
        <v>0</v>
      </c>
      <c r="AFA66" s="0" t="n">
        <v>0</v>
      </c>
      <c r="AFB66" s="0" t="n">
        <v>45.87</v>
      </c>
      <c r="AFC66" s="0" t="n">
        <v>0</v>
      </c>
      <c r="AFD66" s="0" t="n">
        <v>0</v>
      </c>
      <c r="AFE66" s="0" t="n">
        <v>0</v>
      </c>
      <c r="AFF66" s="0" t="n">
        <v>0</v>
      </c>
      <c r="AFS66" s="0" t="n">
        <v>56.3</v>
      </c>
      <c r="AFT66" s="0" t="n">
        <v>1</v>
      </c>
      <c r="AFU66" s="0" t="n">
        <v>47</v>
      </c>
      <c r="AFV66" s="0" t="n">
        <v>18</v>
      </c>
      <c r="AFW66" s="0" t="n">
        <f aca="false">13.43+9.14</f>
        <v>22.57</v>
      </c>
      <c r="AFX66" s="0" t="n">
        <v>3</v>
      </c>
      <c r="AGE66" s="18"/>
      <c r="AGW66" s="0" t="n">
        <v>0</v>
      </c>
      <c r="AIH66" s="16" t="n">
        <v>0</v>
      </c>
      <c r="AII66" s="16" t="n">
        <v>0</v>
      </c>
      <c r="AIJ66" s="16"/>
      <c r="AIK66" s="16"/>
      <c r="AIL66" s="16"/>
      <c r="AIM66" s="16"/>
      <c r="AIN66" s="16"/>
      <c r="AIO66" s="16"/>
      <c r="AIP66" s="16"/>
      <c r="AIQ66" s="16"/>
      <c r="AIR66" s="16"/>
      <c r="AIS66" s="16" t="n">
        <v>11.54</v>
      </c>
      <c r="AIT66" s="16" t="n">
        <v>22.57</v>
      </c>
      <c r="AIU66" s="16"/>
      <c r="AIV66" s="16"/>
      <c r="AIW66" s="16" t="n">
        <v>0</v>
      </c>
      <c r="AIX66" s="16" t="n">
        <v>0</v>
      </c>
      <c r="AIY66" s="16" t="n">
        <v>0</v>
      </c>
      <c r="AIZ66" s="0" t="n">
        <v>0</v>
      </c>
      <c r="AJA66" s="0" t="s">
        <v>281</v>
      </c>
      <c r="AJB66" s="0" t="n">
        <v>42.5</v>
      </c>
      <c r="AJC66" s="16" t="n">
        <v>76.4</v>
      </c>
      <c r="AJD66" s="16" t="n">
        <v>80.4</v>
      </c>
      <c r="AJE66" s="16" t="n">
        <v>15.3</v>
      </c>
      <c r="AJF66" s="0" t="n">
        <v>73.6</v>
      </c>
      <c r="AJG66" s="0" t="n">
        <v>20.42</v>
      </c>
      <c r="AJH66" s="0" t="n">
        <v>3.69</v>
      </c>
      <c r="AJI66" s="0" t="n">
        <v>0</v>
      </c>
      <c r="AJJ66" s="0" t="n">
        <v>2.28</v>
      </c>
      <c r="AJK66" s="0" t="n">
        <v>0</v>
      </c>
      <c r="AJL66" s="0" t="n">
        <v>0</v>
      </c>
      <c r="AJM66" s="0" t="n">
        <v>0</v>
      </c>
      <c r="AJN66" s="0" t="n">
        <v>0</v>
      </c>
      <c r="AJO66" s="0" t="n">
        <v>0</v>
      </c>
      <c r="AJP66" s="0" t="n">
        <v>0</v>
      </c>
      <c r="AJQ66" s="0" t="n">
        <v>0</v>
      </c>
      <c r="AJR66" s="0" t="n">
        <v>0</v>
      </c>
      <c r="AJS66" s="0" t="n">
        <v>35.36</v>
      </c>
      <c r="AJT66" s="0" t="n">
        <v>16.37</v>
      </c>
      <c r="AJU66" s="0" t="n">
        <v>0</v>
      </c>
      <c r="AJV66" s="0" t="n">
        <v>4.4</v>
      </c>
      <c r="AJW66" s="0" t="n">
        <v>2</v>
      </c>
      <c r="AJX66" s="0" t="n">
        <v>10</v>
      </c>
      <c r="AJY66" s="0" t="n">
        <v>0.9</v>
      </c>
      <c r="AKD66" s="0" t="n">
        <v>10</v>
      </c>
      <c r="AKE66" s="0" t="n">
        <v>0.9</v>
      </c>
      <c r="AKJ66" s="0" t="n">
        <v>9.7</v>
      </c>
      <c r="AKK66" s="0" t="n">
        <v>1</v>
      </c>
      <c r="AKL66" s="0" t="n">
        <v>68</v>
      </c>
      <c r="AKM66" s="0" t="n">
        <v>2</v>
      </c>
      <c r="AKN66" s="0" t="n">
        <f aca="false">3.34+5.29</f>
        <v>8.63</v>
      </c>
      <c r="AKO66" s="0" t="n">
        <v>1</v>
      </c>
      <c r="AKP66" s="0" t="n">
        <v>34</v>
      </c>
      <c r="AKQ66" s="0" t="n">
        <v>86</v>
      </c>
      <c r="AKR66" s="0" t="n">
        <f aca="false">0.8+0.6</f>
        <v>1.4</v>
      </c>
      <c r="AKS66" s="0" t="n">
        <v>1</v>
      </c>
      <c r="AKT66" s="0" t="n">
        <v>47</v>
      </c>
      <c r="AKU66" s="0" t="n">
        <v>1</v>
      </c>
      <c r="AKV66" s="18" t="n">
        <v>1.52</v>
      </c>
      <c r="AKW66" s="0" t="n">
        <v>3</v>
      </c>
      <c r="ALN66" s="0" t="n">
        <v>0</v>
      </c>
    </row>
    <row r="67" customFormat="false" ht="13.8" hidden="false" customHeight="false" outlineLevel="0" collapsed="false">
      <c r="A67" s="1" t="s">
        <v>427</v>
      </c>
      <c r="B67" s="12" t="n">
        <v>42902</v>
      </c>
      <c r="C67" s="0" t="n">
        <v>2</v>
      </c>
      <c r="D67" s="13" t="n">
        <v>42814</v>
      </c>
      <c r="E67" s="12" t="n">
        <v>30938</v>
      </c>
      <c r="F67" s="14" t="n">
        <f aca="false">(B67-E67)/365.25</f>
        <v>32.7556468172485</v>
      </c>
      <c r="G67" s="14" t="n">
        <f aca="false">(B67-D67)/365.25</f>
        <v>0.240930869267625</v>
      </c>
      <c r="H67" s="15" t="s">
        <v>217</v>
      </c>
      <c r="I67" s="15" t="s">
        <v>272</v>
      </c>
      <c r="J67" s="15" t="s">
        <v>181</v>
      </c>
      <c r="K67" s="21" t="n">
        <v>8</v>
      </c>
      <c r="L67" s="19" t="n">
        <v>65</v>
      </c>
      <c r="M67" s="0" t="n">
        <v>1.74</v>
      </c>
      <c r="N67" s="16" t="n">
        <f aca="false">L67/(M67*M67)</f>
        <v>21.4691504822301</v>
      </c>
      <c r="O67" s="19" t="n">
        <v>0</v>
      </c>
      <c r="P67" s="19" t="n">
        <v>0</v>
      </c>
      <c r="Q67" s="19" t="n">
        <v>0</v>
      </c>
      <c r="R67" s="19" t="n">
        <v>0</v>
      </c>
      <c r="S67" s="19" t="n">
        <v>0</v>
      </c>
      <c r="T67" s="19" t="n">
        <v>0</v>
      </c>
      <c r="U67" s="19" t="n">
        <v>0</v>
      </c>
      <c r="V67" s="19" t="n">
        <v>0</v>
      </c>
      <c r="W67" s="19" t="n">
        <v>0</v>
      </c>
      <c r="X67" s="19" t="n">
        <v>0</v>
      </c>
      <c r="Y67" s="19" t="n">
        <v>1</v>
      </c>
      <c r="Z67" s="19" t="n">
        <v>1</v>
      </c>
      <c r="AA67" s="19" t="n">
        <v>60</v>
      </c>
      <c r="AB67" s="19" t="s">
        <v>428</v>
      </c>
      <c r="AC67" s="19" t="n">
        <v>1</v>
      </c>
      <c r="AD67" s="19" t="n">
        <v>10</v>
      </c>
      <c r="AE67" s="19" t="n">
        <v>0</v>
      </c>
      <c r="AF67" s="19" t="n">
        <v>0</v>
      </c>
      <c r="AG67" s="19" t="n">
        <v>0</v>
      </c>
      <c r="AH67" s="19" t="n">
        <v>0</v>
      </c>
      <c r="AI67" s="19" t="n">
        <v>0</v>
      </c>
      <c r="AJ67" s="19" t="n">
        <v>0</v>
      </c>
      <c r="AK67" s="19" t="n">
        <v>0</v>
      </c>
      <c r="AL67" s="19" t="n">
        <v>0</v>
      </c>
      <c r="AM67" s="19" t="n">
        <v>0</v>
      </c>
      <c r="AN67" s="19" t="n">
        <v>0</v>
      </c>
      <c r="AO67" s="19" t="n">
        <v>0</v>
      </c>
      <c r="AP67" s="19" t="n">
        <v>0</v>
      </c>
      <c r="AQ67" s="19" t="n">
        <v>0</v>
      </c>
      <c r="AR67" s="19" t="n">
        <v>0</v>
      </c>
      <c r="AS67" s="19" t="n">
        <v>0</v>
      </c>
      <c r="AT67" s="19" t="n">
        <v>0</v>
      </c>
      <c r="AU67" s="19" t="n">
        <v>0</v>
      </c>
      <c r="AV67" s="19" t="n">
        <v>0</v>
      </c>
      <c r="AW67" s="19" t="n">
        <v>0</v>
      </c>
      <c r="AX67" s="19" t="n">
        <v>0</v>
      </c>
      <c r="AY67" s="19" t="n">
        <v>0</v>
      </c>
      <c r="AZ67" s="19" t="n">
        <v>0</v>
      </c>
      <c r="BA67" s="19" t="n">
        <v>0</v>
      </c>
      <c r="BB67" s="19" t="n">
        <v>0</v>
      </c>
      <c r="BC67" s="19" t="n">
        <v>0</v>
      </c>
      <c r="BD67" s="19" t="n">
        <v>0</v>
      </c>
      <c r="BE67" s="19" t="n">
        <v>0</v>
      </c>
      <c r="BF67" s="19" t="n">
        <v>0</v>
      </c>
      <c r="BG67" s="19" t="n">
        <v>0</v>
      </c>
      <c r="BH67" s="19" t="n">
        <v>0</v>
      </c>
      <c r="BI67" s="19" t="n">
        <v>0</v>
      </c>
      <c r="BJ67" s="19" t="n">
        <v>0</v>
      </c>
      <c r="BK67" s="19" t="n">
        <v>0</v>
      </c>
      <c r="BL67" s="19" t="n">
        <v>0</v>
      </c>
      <c r="BM67" s="19" t="n">
        <v>0</v>
      </c>
      <c r="BN67" s="19" t="n">
        <v>0</v>
      </c>
      <c r="BO67" s="19" t="n">
        <v>0</v>
      </c>
      <c r="BP67" s="19" t="n">
        <v>0</v>
      </c>
      <c r="BQ67" s="19" t="n">
        <v>0</v>
      </c>
      <c r="BR67" s="19" t="n">
        <v>1</v>
      </c>
      <c r="BS67" s="19" t="n">
        <v>1</v>
      </c>
      <c r="BT67" s="19" t="n">
        <v>2</v>
      </c>
      <c r="BU67" s="19" t="n">
        <v>3</v>
      </c>
      <c r="BV67" s="19" t="n">
        <v>2</v>
      </c>
      <c r="BW67" s="19" t="n">
        <v>2</v>
      </c>
      <c r="BX67" s="19" t="n">
        <v>3</v>
      </c>
      <c r="BY67" s="19" t="n">
        <v>4</v>
      </c>
      <c r="BZ67" s="19" t="n">
        <v>3</v>
      </c>
      <c r="CA67" s="19" t="n">
        <v>3</v>
      </c>
      <c r="CB67" s="19" t="n">
        <v>3</v>
      </c>
      <c r="CC67" s="19" t="n">
        <v>5</v>
      </c>
      <c r="CD67" s="19" t="n">
        <v>5</v>
      </c>
      <c r="CE67" s="19" t="n">
        <v>3</v>
      </c>
      <c r="CF67" s="19" t="n">
        <v>3</v>
      </c>
      <c r="CG67" s="19" t="n">
        <v>5</v>
      </c>
      <c r="CH67" s="19" t="n">
        <v>4</v>
      </c>
      <c r="CI67" s="19" t="n">
        <v>4</v>
      </c>
      <c r="CJ67" s="19" t="n">
        <v>4</v>
      </c>
      <c r="CK67" s="19" t="n">
        <v>10</v>
      </c>
      <c r="CL67" s="0" t="s">
        <v>274</v>
      </c>
      <c r="CM67" s="0" t="n">
        <v>19.5</v>
      </c>
      <c r="CN67" s="16" t="n">
        <v>74.3</v>
      </c>
      <c r="CO67" s="16" t="n">
        <v>80.4</v>
      </c>
      <c r="CP67" s="16" t="n">
        <v>7.8</v>
      </c>
      <c r="CQ67" s="0" t="n">
        <v>89.52</v>
      </c>
      <c r="CR67" s="0" t="n">
        <v>8.69</v>
      </c>
      <c r="CS67" s="0" t="n">
        <v>1.79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18.73</v>
      </c>
      <c r="DD67" s="0" t="n">
        <v>9.35</v>
      </c>
      <c r="DE67" s="0" t="n">
        <v>0</v>
      </c>
      <c r="DF67" s="0" t="n">
        <v>0</v>
      </c>
      <c r="DG67" s="0" t="n">
        <v>0</v>
      </c>
      <c r="DU67" s="0" t="n">
        <v>3.92</v>
      </c>
      <c r="DV67" s="0" t="n">
        <v>1</v>
      </c>
      <c r="DW67" s="0" t="n">
        <v>52</v>
      </c>
      <c r="DX67" s="0" t="n">
        <v>4</v>
      </c>
      <c r="DY67" s="0" t="n">
        <f aca="false">1.01*2+0.56+0.9</f>
        <v>3.48</v>
      </c>
      <c r="DZ67" s="0" t="n">
        <v>2</v>
      </c>
      <c r="EG67" s="18"/>
      <c r="EY67" s="0" t="n">
        <v>1</v>
      </c>
      <c r="EZ67" s="0" t="n">
        <v>50</v>
      </c>
      <c r="FA67" s="0" t="n">
        <v>1</v>
      </c>
      <c r="FB67" s="0" t="n">
        <v>1.9</v>
      </c>
      <c r="FC67" s="0" t="n">
        <v>3</v>
      </c>
      <c r="GJ67" s="16" t="n">
        <v>2.24</v>
      </c>
      <c r="GK67" s="16" t="n">
        <v>1</v>
      </c>
      <c r="GL67" s="16" t="n">
        <v>2</v>
      </c>
      <c r="GM67" s="16"/>
      <c r="GN67" s="16" t="n">
        <f aca="false">1.87*2</f>
        <v>3.74</v>
      </c>
      <c r="GO67" s="16"/>
      <c r="GP67" s="16"/>
      <c r="GQ67" s="16"/>
      <c r="GR67" s="16"/>
      <c r="GS67" s="16"/>
      <c r="GT67" s="16"/>
      <c r="GU67" s="16" t="n">
        <v>5.49</v>
      </c>
      <c r="GV67" s="16" t="n">
        <f aca="false">1.01*2+0.56+1.87*2+0.9</f>
        <v>7.22</v>
      </c>
      <c r="GW67" s="16"/>
      <c r="GX67" s="16"/>
      <c r="GY67" s="16" t="n">
        <v>0</v>
      </c>
      <c r="GZ67" s="16" t="n">
        <v>0</v>
      </c>
      <c r="HA67" s="16" t="n">
        <v>0</v>
      </c>
      <c r="HB67" s="0" t="n">
        <v>0</v>
      </c>
      <c r="HC67" s="0" t="s">
        <v>275</v>
      </c>
      <c r="HD67" s="0" t="n">
        <v>19.5</v>
      </c>
      <c r="HE67" s="16" t="n">
        <v>74.6</v>
      </c>
      <c r="HF67" s="16" t="n">
        <v>80.4</v>
      </c>
      <c r="HG67" s="16" t="n">
        <v>7.8</v>
      </c>
      <c r="HH67" s="0" t="n">
        <v>89.29</v>
      </c>
      <c r="HI67" s="0" t="n">
        <v>8.92</v>
      </c>
      <c r="HJ67" s="0" t="n">
        <v>1.79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18.95</v>
      </c>
      <c r="HU67" s="0" t="n">
        <v>9.35</v>
      </c>
      <c r="HV67" s="0" t="n">
        <v>0</v>
      </c>
      <c r="HW67" s="0" t="n">
        <v>0</v>
      </c>
      <c r="HX67" s="0" t="n">
        <v>0</v>
      </c>
      <c r="IL67" s="0" t="n">
        <v>3.9</v>
      </c>
      <c r="IM67" s="0" t="n">
        <v>1</v>
      </c>
      <c r="IN67" s="0" t="n">
        <v>52</v>
      </c>
      <c r="IO67" s="0" t="n">
        <v>4</v>
      </c>
      <c r="IP67" s="0" t="n">
        <f aca="false">1.01*2+0.56+0.9</f>
        <v>3.48</v>
      </c>
      <c r="IQ67" s="0" t="n">
        <v>3</v>
      </c>
      <c r="IX67" s="18"/>
      <c r="JP67" s="0" t="n">
        <v>1</v>
      </c>
      <c r="JQ67" s="0" t="n">
        <v>50</v>
      </c>
      <c r="JR67" s="0" t="n">
        <v>1</v>
      </c>
      <c r="JS67" s="0" t="n">
        <v>1.9</v>
      </c>
      <c r="JT67" s="0" t="n">
        <v>3</v>
      </c>
      <c r="LA67" s="16" t="n">
        <v>2.24</v>
      </c>
      <c r="LB67" s="16" t="n">
        <v>1</v>
      </c>
      <c r="LC67" s="16" t="n">
        <v>2</v>
      </c>
      <c r="LD67" s="16"/>
      <c r="LE67" s="16" t="n">
        <f aca="false">1.87*2</f>
        <v>3.74</v>
      </c>
      <c r="LF67" s="16"/>
      <c r="LG67" s="16"/>
      <c r="LH67" s="16"/>
      <c r="LI67" s="16"/>
      <c r="LJ67" s="16"/>
      <c r="LK67" s="16"/>
      <c r="LL67" s="16" t="n">
        <v>6.49</v>
      </c>
      <c r="LM67" s="16" t="n">
        <f aca="false">1.01*2+0.56+1.87*2+0.9</f>
        <v>7.22</v>
      </c>
      <c r="LN67" s="16"/>
      <c r="LO67" s="16"/>
      <c r="LP67" s="16" t="n">
        <v>0</v>
      </c>
      <c r="LQ67" s="16" t="n">
        <v>0</v>
      </c>
      <c r="LR67" s="16" t="n">
        <v>0</v>
      </c>
      <c r="LS67" s="0" t="n">
        <v>0</v>
      </c>
      <c r="LT67" s="0" t="s">
        <v>276</v>
      </c>
      <c r="LU67" s="0" t="n">
        <v>22.5</v>
      </c>
      <c r="LV67" s="16" t="n">
        <v>73.4</v>
      </c>
      <c r="LW67" s="16" t="n">
        <v>80.4</v>
      </c>
      <c r="LX67" s="16" t="n">
        <v>10.4</v>
      </c>
      <c r="LY67" s="0" t="n">
        <v>88.12</v>
      </c>
      <c r="LZ67" s="0" t="n">
        <v>6.29</v>
      </c>
      <c r="MA67" s="0" t="n">
        <v>4.25</v>
      </c>
      <c r="MB67" s="0" t="n">
        <v>0</v>
      </c>
      <c r="MC67" s="0" t="n">
        <v>1.34</v>
      </c>
      <c r="MD67" s="0" t="n">
        <v>0</v>
      </c>
      <c r="ME67" s="0" t="n">
        <v>0</v>
      </c>
      <c r="MF67" s="0" t="n">
        <v>0</v>
      </c>
      <c r="MG67" s="0" t="n">
        <v>0</v>
      </c>
      <c r="MH67" s="0" t="n">
        <v>0</v>
      </c>
      <c r="MI67" s="0" t="n">
        <v>0</v>
      </c>
      <c r="MJ67" s="0" t="n">
        <v>0</v>
      </c>
      <c r="MK67" s="0" t="n">
        <v>2.46</v>
      </c>
      <c r="ML67" s="0" t="n">
        <v>13.2</v>
      </c>
      <c r="MM67" s="0" t="n">
        <v>0</v>
      </c>
      <c r="MN67" s="0" t="n">
        <v>0</v>
      </c>
      <c r="MO67" s="0" t="n">
        <v>0</v>
      </c>
      <c r="NC67" s="0" t="n">
        <v>0</v>
      </c>
      <c r="NO67" s="18"/>
      <c r="PR67" s="16" t="n">
        <v>2.24</v>
      </c>
      <c r="PS67" s="16" t="n">
        <v>1</v>
      </c>
      <c r="PT67" s="16" t="n">
        <v>2</v>
      </c>
      <c r="PU67" s="16" t="n">
        <v>3.73</v>
      </c>
      <c r="PV67" s="16"/>
      <c r="PW67" s="16"/>
      <c r="PX67" s="16"/>
      <c r="PY67" s="16"/>
      <c r="PZ67" s="16"/>
      <c r="QA67" s="16"/>
      <c r="QB67" s="16"/>
      <c r="QC67" s="16" t="n">
        <v>9.68</v>
      </c>
      <c r="QD67" s="16" t="n">
        <f aca="false">2.01+1.34+2.69+3.73+0.81</f>
        <v>10.58</v>
      </c>
      <c r="QE67" s="16"/>
      <c r="QF67" s="16"/>
      <c r="QG67" s="16" t="n">
        <v>0</v>
      </c>
      <c r="QH67" s="16" t="n">
        <v>0</v>
      </c>
      <c r="QI67" s="16" t="n">
        <v>0.16</v>
      </c>
      <c r="QJ67" s="0" t="n">
        <v>0</v>
      </c>
      <c r="QK67" s="0" t="s">
        <v>277</v>
      </c>
      <c r="QL67" s="0" t="n">
        <v>29.5</v>
      </c>
      <c r="QM67" s="16" t="n">
        <v>53.8</v>
      </c>
      <c r="QN67" s="16" t="n">
        <v>80.4</v>
      </c>
      <c r="QO67" s="16" t="n">
        <v>12.1</v>
      </c>
      <c r="QP67" s="0" t="n">
        <v>86.6</v>
      </c>
      <c r="QQ67" s="0" t="n">
        <v>8.48</v>
      </c>
      <c r="QR67" s="0" t="n">
        <v>4.93</v>
      </c>
      <c r="QS67" s="0" t="n">
        <v>0</v>
      </c>
      <c r="QT67" s="0" t="n">
        <v>0</v>
      </c>
      <c r="QU67" s="0" t="n">
        <v>0</v>
      </c>
      <c r="QV67" s="0" t="n">
        <v>0</v>
      </c>
      <c r="QW67" s="0" t="n">
        <v>0</v>
      </c>
      <c r="QX67" s="0" t="n">
        <v>0</v>
      </c>
      <c r="QY67" s="0" t="n">
        <v>0</v>
      </c>
      <c r="QZ67" s="0" t="n">
        <v>0</v>
      </c>
      <c r="RA67" s="0" t="n">
        <v>0</v>
      </c>
      <c r="RB67" s="0" t="n">
        <v>2.02</v>
      </c>
      <c r="RC67" s="0" t="n">
        <v>19.56</v>
      </c>
      <c r="RD67" s="0" t="n">
        <v>0.25</v>
      </c>
      <c r="RE67" s="0" t="n">
        <v>0</v>
      </c>
      <c r="RF67" s="0" t="n">
        <v>0</v>
      </c>
      <c r="RG67" s="0" t="n">
        <v>0</v>
      </c>
      <c r="RH67" s="0" t="n">
        <v>0</v>
      </c>
      <c r="RN67" s="0" t="n">
        <v>0</v>
      </c>
      <c r="RT67" s="0" t="n">
        <v>0</v>
      </c>
      <c r="RU67" s="0" t="n">
        <v>0</v>
      </c>
      <c r="SF67" s="18"/>
      <c r="SX67" s="0" t="n">
        <v>0</v>
      </c>
      <c r="UI67" s="16" t="n">
        <v>6.72</v>
      </c>
      <c r="UJ67" s="16" t="n">
        <v>1</v>
      </c>
      <c r="UK67" s="16" t="n">
        <v>2</v>
      </c>
      <c r="UL67" s="16"/>
      <c r="UM67" s="16" t="n">
        <f aca="false">3.73*3</f>
        <v>11.19</v>
      </c>
      <c r="UN67" s="16"/>
      <c r="UO67" s="16"/>
      <c r="UP67" s="16"/>
      <c r="UQ67" s="16"/>
      <c r="UR67" s="16"/>
      <c r="US67" s="16"/>
      <c r="UT67" s="16" t="n">
        <v>10.6</v>
      </c>
      <c r="UU67" s="16" t="n">
        <v>12.44</v>
      </c>
      <c r="UV67" s="16"/>
      <c r="UW67" s="16"/>
      <c r="UX67" s="16" t="n">
        <v>0</v>
      </c>
      <c r="UY67" s="16" t="n">
        <v>0</v>
      </c>
      <c r="UZ67" s="16" t="n">
        <v>0</v>
      </c>
      <c r="VA67" s="0" t="n">
        <v>0</v>
      </c>
      <c r="VB67" s="0" t="s">
        <v>278</v>
      </c>
      <c r="VC67" s="0" t="n">
        <v>51.5</v>
      </c>
      <c r="VD67" s="16" t="n">
        <v>63.4</v>
      </c>
      <c r="VE67" s="16" t="n">
        <v>80.4</v>
      </c>
      <c r="VF67" s="16" t="n">
        <v>18.1</v>
      </c>
      <c r="VG67" s="0" t="n">
        <v>83.5</v>
      </c>
      <c r="VH67" s="0" t="n">
        <v>5.36</v>
      </c>
      <c r="VI67" s="0" t="n">
        <v>8.46</v>
      </c>
      <c r="VJ67" s="0" t="n">
        <v>0</v>
      </c>
      <c r="VK67" s="0" t="n">
        <v>2.69</v>
      </c>
      <c r="VL67" s="0" t="n">
        <v>0</v>
      </c>
      <c r="VM67" s="0" t="n">
        <v>0</v>
      </c>
      <c r="VN67" s="0" t="n">
        <v>0</v>
      </c>
      <c r="VO67" s="0" t="n">
        <v>0</v>
      </c>
      <c r="VP67" s="0" t="n">
        <v>0</v>
      </c>
      <c r="VQ67" s="0" t="n">
        <v>0</v>
      </c>
      <c r="VR67" s="0" t="n">
        <v>0</v>
      </c>
      <c r="VS67" s="0" t="n">
        <v>0.99</v>
      </c>
      <c r="VT67" s="0" t="n">
        <v>13.55</v>
      </c>
      <c r="VU67" s="0" t="n">
        <v>16.2</v>
      </c>
      <c r="VV67" s="0" t="n">
        <v>0</v>
      </c>
      <c r="VW67" s="0" t="n">
        <v>0</v>
      </c>
      <c r="VX67" s="0" t="n">
        <v>0</v>
      </c>
      <c r="WK67" s="0" t="n">
        <v>18.4</v>
      </c>
      <c r="WL67" s="0" t="n">
        <v>1</v>
      </c>
      <c r="WM67" s="0" t="n">
        <v>47</v>
      </c>
      <c r="WN67" s="0" t="n">
        <v>1</v>
      </c>
      <c r="WO67" s="0" t="n">
        <v>0.9</v>
      </c>
      <c r="WP67" s="0" t="n">
        <v>3</v>
      </c>
      <c r="WQ67" s="0" t="n">
        <v>35</v>
      </c>
      <c r="WR67" s="0" t="n">
        <v>3</v>
      </c>
      <c r="WS67" s="0" t="n">
        <f aca="false">0.94</f>
        <v>0.94</v>
      </c>
      <c r="WT67" s="0" t="n">
        <v>3</v>
      </c>
      <c r="WU67" s="0" t="n">
        <v>68</v>
      </c>
      <c r="WV67" s="0" t="n">
        <v>1</v>
      </c>
      <c r="WW67" s="18" t="n">
        <v>6.22</v>
      </c>
      <c r="WX67" s="0" t="n">
        <v>1</v>
      </c>
      <c r="XO67" s="0" t="n">
        <v>0</v>
      </c>
      <c r="YZ67" s="16" t="n">
        <v>3.75</v>
      </c>
      <c r="ZA67" s="16" t="n">
        <v>1</v>
      </c>
      <c r="ZB67" s="16" t="n">
        <v>1</v>
      </c>
      <c r="ZC67" s="16"/>
      <c r="ZD67" s="16" t="n">
        <f aca="false">2.49+0.05+0.03</f>
        <v>2.57</v>
      </c>
      <c r="ZE67" s="16" t="n">
        <v>2</v>
      </c>
      <c r="ZF67" s="16"/>
      <c r="ZG67" s="16" t="n">
        <v>2.49</v>
      </c>
      <c r="ZH67" s="16"/>
      <c r="ZI67" s="16"/>
      <c r="ZJ67" s="16"/>
      <c r="ZK67" s="16" t="n">
        <v>11.1</v>
      </c>
      <c r="ZL67" s="16" t="n">
        <v>18.47</v>
      </c>
      <c r="ZM67" s="16"/>
      <c r="ZN67" s="16"/>
      <c r="ZO67" s="16" t="n">
        <v>0</v>
      </c>
      <c r="ZP67" s="16" t="n">
        <v>0</v>
      </c>
      <c r="ZQ67" s="16" t="n">
        <v>0</v>
      </c>
      <c r="ZR67" s="0" t="n">
        <v>0</v>
      </c>
      <c r="ZS67" s="0" t="s">
        <v>279</v>
      </c>
      <c r="ZT67" s="0" t="n">
        <v>33.5</v>
      </c>
      <c r="ZU67" s="16" t="n">
        <v>54</v>
      </c>
      <c r="ZV67" s="16" t="n">
        <v>80.4</v>
      </c>
      <c r="ZW67" s="16" t="n">
        <v>9.6</v>
      </c>
      <c r="ZX67" s="0" t="n">
        <v>86.69</v>
      </c>
      <c r="ZY67" s="0" t="n">
        <v>8.34</v>
      </c>
      <c r="ZZ67" s="0" t="n">
        <v>4.97</v>
      </c>
      <c r="AAA67" s="0" t="n">
        <v>0</v>
      </c>
      <c r="AAB67" s="0" t="n">
        <v>0</v>
      </c>
      <c r="AAC67" s="0" t="n">
        <v>0</v>
      </c>
      <c r="AAD67" s="0" t="n">
        <v>0</v>
      </c>
      <c r="AAE67" s="0" t="n">
        <v>0</v>
      </c>
      <c r="AAF67" s="0" t="n">
        <v>0</v>
      </c>
      <c r="AAG67" s="0" t="n">
        <v>0</v>
      </c>
      <c r="AAH67" s="0" t="n">
        <v>0</v>
      </c>
      <c r="AAI67" s="0" t="n">
        <v>0</v>
      </c>
      <c r="AAJ67" s="0" t="n">
        <v>12.83</v>
      </c>
      <c r="AAK67" s="0" t="n">
        <v>6.09</v>
      </c>
      <c r="AAL67" s="0" t="n">
        <v>0</v>
      </c>
      <c r="AAM67" s="0" t="n">
        <v>0</v>
      </c>
      <c r="AAN67" s="0" t="n">
        <v>0</v>
      </c>
      <c r="AAO67" s="0" t="n">
        <v>0</v>
      </c>
      <c r="ABB67" s="0" t="n">
        <v>11.3</v>
      </c>
      <c r="ABC67" s="0" t="n">
        <v>1</v>
      </c>
      <c r="ABD67" s="0" t="n">
        <v>47</v>
      </c>
      <c r="ABE67" s="0" t="n">
        <v>1</v>
      </c>
      <c r="ABF67" s="0" t="n">
        <v>0.9</v>
      </c>
      <c r="ABG67" s="0" t="n">
        <v>3</v>
      </c>
      <c r="ABH67" s="0" t="n">
        <v>35</v>
      </c>
      <c r="ABI67" s="0" t="n">
        <v>2</v>
      </c>
      <c r="ABJ67" s="0" t="n">
        <v>0.92</v>
      </c>
      <c r="ABK67" s="0" t="n">
        <v>3</v>
      </c>
      <c r="ABN67" s="18"/>
      <c r="ACF67" s="0" t="n">
        <v>0</v>
      </c>
      <c r="ADQ67" s="16" t="n">
        <v>3.75</v>
      </c>
      <c r="ADR67" s="16" t="n">
        <v>1</v>
      </c>
      <c r="ADS67" s="16" t="n">
        <v>1</v>
      </c>
      <c r="ADT67" s="16"/>
      <c r="ADU67" s="16" t="n">
        <f aca="false">2.49+0.05+0.03</f>
        <v>2.57</v>
      </c>
      <c r="ADV67" s="16" t="n">
        <v>2</v>
      </c>
      <c r="ADW67" s="16"/>
      <c r="ADX67" s="16" t="n">
        <v>2.49</v>
      </c>
      <c r="ADY67" s="16"/>
      <c r="ADZ67" s="16"/>
      <c r="AEA67" s="16"/>
      <c r="AEB67" s="16" t="n">
        <v>8.81</v>
      </c>
      <c r="AEC67" s="16" t="n">
        <v>6.01</v>
      </c>
      <c r="AED67" s="16"/>
      <c r="AEE67" s="16"/>
      <c r="AEF67" s="16" t="n">
        <v>0</v>
      </c>
      <c r="AEG67" s="16" t="n">
        <v>0</v>
      </c>
      <c r="AEH67" s="16" t="n">
        <v>0</v>
      </c>
      <c r="AEI67" s="0" t="n">
        <v>0</v>
      </c>
      <c r="AEJ67" s="0" t="s">
        <v>280</v>
      </c>
      <c r="AEK67" s="0" t="n">
        <v>79</v>
      </c>
      <c r="AEL67" s="16" t="n">
        <v>63.9</v>
      </c>
      <c r="AEM67" s="16" t="n">
        <v>80.4</v>
      </c>
      <c r="AEN67" s="16" t="n">
        <v>11.2</v>
      </c>
      <c r="AEO67" s="0" t="n">
        <v>77.43</v>
      </c>
      <c r="AEP67" s="0" t="n">
        <v>22.57</v>
      </c>
      <c r="AEQ67" s="0" t="n">
        <v>0</v>
      </c>
      <c r="AER67" s="0" t="n">
        <v>0</v>
      </c>
      <c r="AES67" s="0" t="n">
        <v>0</v>
      </c>
      <c r="AET67" s="0" t="n">
        <v>0</v>
      </c>
      <c r="AEU67" s="0" t="n">
        <v>0</v>
      </c>
      <c r="AEV67" s="0" t="n">
        <v>0</v>
      </c>
      <c r="AEW67" s="0" t="n">
        <v>0</v>
      </c>
      <c r="AEX67" s="0" t="n">
        <v>0</v>
      </c>
      <c r="AEY67" s="0" t="n">
        <v>0</v>
      </c>
      <c r="AEZ67" s="0" t="n">
        <v>0</v>
      </c>
      <c r="AFA67" s="0" t="n">
        <v>0</v>
      </c>
      <c r="AFB67" s="0" t="n">
        <v>45.87</v>
      </c>
      <c r="AFC67" s="0" t="n">
        <v>0</v>
      </c>
      <c r="AFD67" s="0" t="n">
        <v>0</v>
      </c>
      <c r="AFE67" s="0" t="n">
        <v>0</v>
      </c>
      <c r="AFF67" s="0" t="n">
        <v>0</v>
      </c>
      <c r="AFS67" s="0" t="n">
        <v>56.3</v>
      </c>
      <c r="AFT67" s="0" t="n">
        <v>1</v>
      </c>
      <c r="AFU67" s="0" t="n">
        <v>47</v>
      </c>
      <c r="AFV67" s="0" t="n">
        <v>18</v>
      </c>
      <c r="AFW67" s="0" t="n">
        <f aca="false">13.43+9.14</f>
        <v>22.57</v>
      </c>
      <c r="AFX67" s="0" t="n">
        <v>3</v>
      </c>
      <c r="AGE67" s="18"/>
      <c r="AGW67" s="0" t="n">
        <v>0</v>
      </c>
      <c r="AIH67" s="16" t="n">
        <v>0</v>
      </c>
      <c r="AII67" s="16" t="n">
        <v>0</v>
      </c>
      <c r="AIJ67" s="16"/>
      <c r="AIK67" s="16"/>
      <c r="AIL67" s="16"/>
      <c r="AIM67" s="16"/>
      <c r="AIN67" s="16"/>
      <c r="AIO67" s="16"/>
      <c r="AIP67" s="16"/>
      <c r="AIQ67" s="16"/>
      <c r="AIR67" s="16"/>
      <c r="AIS67" s="16" t="n">
        <v>11.54</v>
      </c>
      <c r="AIT67" s="16" t="n">
        <v>22.57</v>
      </c>
      <c r="AIU67" s="16"/>
      <c r="AIV67" s="16"/>
      <c r="AIW67" s="16" t="n">
        <v>0</v>
      </c>
      <c r="AIX67" s="16" t="n">
        <v>0</v>
      </c>
      <c r="AIY67" s="16" t="n">
        <v>0</v>
      </c>
      <c r="AIZ67" s="0" t="n">
        <v>0</v>
      </c>
      <c r="AJA67" s="0" t="s">
        <v>281</v>
      </c>
      <c r="AJB67" s="0" t="n">
        <v>42.5</v>
      </c>
      <c r="AJC67" s="16" t="n">
        <v>76.4</v>
      </c>
      <c r="AJD67" s="16" t="n">
        <v>80.4</v>
      </c>
      <c r="AJE67" s="16" t="n">
        <v>15.3</v>
      </c>
      <c r="AJF67" s="0" t="n">
        <v>73.6</v>
      </c>
      <c r="AJG67" s="0" t="n">
        <v>20.42</v>
      </c>
      <c r="AJH67" s="0" t="n">
        <v>3.69</v>
      </c>
      <c r="AJI67" s="0" t="n">
        <v>0</v>
      </c>
      <c r="AJJ67" s="0" t="n">
        <v>2.28</v>
      </c>
      <c r="AJK67" s="0" t="n">
        <v>0</v>
      </c>
      <c r="AJL67" s="0" t="n">
        <v>0</v>
      </c>
      <c r="AJM67" s="0" t="n">
        <v>0</v>
      </c>
      <c r="AJN67" s="0" t="n">
        <v>0</v>
      </c>
      <c r="AJO67" s="0" t="n">
        <v>0</v>
      </c>
      <c r="AJP67" s="0" t="n">
        <v>0</v>
      </c>
      <c r="AJQ67" s="0" t="n">
        <v>0</v>
      </c>
      <c r="AJR67" s="0" t="n">
        <v>0</v>
      </c>
      <c r="AJS67" s="0" t="n">
        <v>35.36</v>
      </c>
      <c r="AJT67" s="0" t="n">
        <v>16.37</v>
      </c>
      <c r="AJU67" s="0" t="n">
        <v>0</v>
      </c>
      <c r="AJV67" s="0" t="n">
        <v>4.4</v>
      </c>
      <c r="AJW67" s="0" t="n">
        <v>2</v>
      </c>
      <c r="AJX67" s="0" t="n">
        <v>10</v>
      </c>
      <c r="AJY67" s="0" t="n">
        <v>0.9</v>
      </c>
      <c r="AKD67" s="0" t="n">
        <v>10</v>
      </c>
      <c r="AKE67" s="0" t="n">
        <v>0.9</v>
      </c>
      <c r="AKJ67" s="0" t="n">
        <v>9.7</v>
      </c>
      <c r="AKK67" s="0" t="n">
        <v>1</v>
      </c>
      <c r="AKL67" s="0" t="n">
        <v>68</v>
      </c>
      <c r="AKM67" s="0" t="n">
        <v>2</v>
      </c>
      <c r="AKN67" s="0" t="n">
        <f aca="false">3.34+5.29</f>
        <v>8.63</v>
      </c>
      <c r="AKO67" s="0" t="n">
        <v>1</v>
      </c>
      <c r="AKP67" s="0" t="n">
        <v>34</v>
      </c>
      <c r="AKQ67" s="0" t="n">
        <v>86</v>
      </c>
      <c r="AKR67" s="0" t="n">
        <f aca="false">0.8+0.6</f>
        <v>1.4</v>
      </c>
      <c r="AKS67" s="0" t="n">
        <v>1</v>
      </c>
      <c r="AKT67" s="0" t="n">
        <v>47</v>
      </c>
      <c r="AKU67" s="0" t="n">
        <v>1</v>
      </c>
      <c r="AKV67" s="18" t="n">
        <v>1.52</v>
      </c>
      <c r="AKW67" s="0" t="n">
        <v>3</v>
      </c>
      <c r="ALN67" s="0" t="n">
        <v>0</v>
      </c>
    </row>
    <row r="68" customFormat="false" ht="13.8" hidden="false" customHeight="false" outlineLevel="0" collapsed="false">
      <c r="A68" s="1" t="s">
        <v>429</v>
      </c>
      <c r="B68" s="12" t="n">
        <v>42902</v>
      </c>
      <c r="C68" s="0" t="n">
        <v>2</v>
      </c>
      <c r="D68" s="13" t="n">
        <v>35009</v>
      </c>
      <c r="E68" s="12" t="n">
        <v>26428</v>
      </c>
      <c r="F68" s="14" t="n">
        <f aca="false">(B68-E68)/365.25</f>
        <v>45.1033538672142</v>
      </c>
      <c r="G68" s="14" t="n">
        <f aca="false">(B68-D68)/365.25</f>
        <v>21.6098562628337</v>
      </c>
      <c r="H68" s="15" t="s">
        <v>183</v>
      </c>
      <c r="I68" s="15" t="s">
        <v>298</v>
      </c>
      <c r="J68" s="15" t="s">
        <v>181</v>
      </c>
      <c r="K68" s="21" t="n">
        <v>8</v>
      </c>
      <c r="L68" s="19" t="n">
        <v>70</v>
      </c>
      <c r="M68" s="0" t="n">
        <v>1.72</v>
      </c>
      <c r="N68" s="16" t="n">
        <f aca="false">L68/(M68*M68)</f>
        <v>23.6614386154678</v>
      </c>
      <c r="O68" s="19" t="n">
        <v>0</v>
      </c>
      <c r="P68" s="19" t="n">
        <v>0</v>
      </c>
      <c r="Q68" s="19" t="n">
        <v>0</v>
      </c>
      <c r="R68" s="19" t="n">
        <v>0</v>
      </c>
      <c r="S68" s="19" t="n">
        <v>0</v>
      </c>
      <c r="T68" s="19" t="n">
        <v>0</v>
      </c>
      <c r="U68" s="19" t="n">
        <v>1</v>
      </c>
      <c r="V68" s="19" t="n">
        <v>5</v>
      </c>
      <c r="W68" s="19" t="n">
        <v>1</v>
      </c>
      <c r="X68" s="19" t="n">
        <v>1</v>
      </c>
      <c r="Y68" s="19" t="n">
        <v>0</v>
      </c>
      <c r="Z68" s="19" t="n">
        <v>0</v>
      </c>
      <c r="AA68" s="19" t="n">
        <v>0</v>
      </c>
      <c r="AB68" s="19" t="n">
        <v>0</v>
      </c>
      <c r="AC68" s="19" t="n">
        <v>1</v>
      </c>
      <c r="AD68" s="19" t="n">
        <v>10</v>
      </c>
      <c r="AE68" s="19" t="n">
        <v>1</v>
      </c>
      <c r="AF68" s="19" t="n">
        <v>1</v>
      </c>
      <c r="AG68" s="19" t="n">
        <v>1</v>
      </c>
      <c r="AH68" s="19" t="n">
        <v>7</v>
      </c>
      <c r="AI68" s="19" t="n">
        <v>3</v>
      </c>
      <c r="AJ68" s="19" t="n">
        <v>3</v>
      </c>
      <c r="AK68" s="19" t="n">
        <v>3</v>
      </c>
      <c r="AL68" s="19" t="n">
        <v>7</v>
      </c>
      <c r="AM68" s="19" t="n">
        <v>8</v>
      </c>
      <c r="AN68" s="19" t="n">
        <v>3</v>
      </c>
      <c r="AO68" s="19" t="n">
        <v>3</v>
      </c>
      <c r="AP68" s="19" t="n">
        <v>3</v>
      </c>
      <c r="AQ68" s="19" t="n">
        <v>5</v>
      </c>
      <c r="AR68" s="19" t="n">
        <v>5</v>
      </c>
      <c r="AS68" s="19" t="n">
        <v>3</v>
      </c>
      <c r="AT68" s="19" t="n">
        <v>3</v>
      </c>
      <c r="AU68" s="19" t="n">
        <v>3</v>
      </c>
      <c r="AV68" s="19" t="n">
        <v>6</v>
      </c>
      <c r="AW68" s="19" t="n">
        <v>7</v>
      </c>
      <c r="AX68" s="19" t="n">
        <v>0</v>
      </c>
      <c r="AY68" s="19" t="n">
        <v>0</v>
      </c>
      <c r="AZ68" s="19" t="n">
        <v>0</v>
      </c>
      <c r="BA68" s="19" t="n">
        <v>0</v>
      </c>
      <c r="BB68" s="19" t="n">
        <v>1</v>
      </c>
      <c r="BC68" s="19" t="n">
        <v>1</v>
      </c>
      <c r="BD68" s="19" t="n">
        <v>1</v>
      </c>
      <c r="BE68" s="19" t="n">
        <v>6</v>
      </c>
      <c r="BF68" s="19" t="n">
        <v>1</v>
      </c>
      <c r="BG68" s="19" t="n">
        <v>1</v>
      </c>
      <c r="BH68" s="19" t="n">
        <v>1</v>
      </c>
      <c r="BI68" s="19" t="n">
        <v>7</v>
      </c>
      <c r="BJ68" s="19" t="n">
        <v>1</v>
      </c>
      <c r="BK68" s="19" t="n">
        <v>0</v>
      </c>
      <c r="BL68" s="19" t="n">
        <v>1</v>
      </c>
      <c r="BM68" s="19" t="n">
        <v>5</v>
      </c>
      <c r="BN68" s="19" t="n">
        <v>0</v>
      </c>
      <c r="BO68" s="19" t="n">
        <v>0</v>
      </c>
      <c r="BP68" s="19" t="n">
        <v>0</v>
      </c>
      <c r="BQ68" s="19" t="n">
        <v>0</v>
      </c>
      <c r="BR68" s="19" t="n">
        <v>3</v>
      </c>
      <c r="BS68" s="19" t="n">
        <v>1</v>
      </c>
      <c r="BT68" s="19" t="n">
        <v>3</v>
      </c>
      <c r="BU68" s="19" t="n">
        <v>3</v>
      </c>
      <c r="BV68" s="19" t="n">
        <v>1</v>
      </c>
      <c r="BW68" s="19" t="n">
        <v>1</v>
      </c>
      <c r="BX68" s="19" t="n">
        <v>1</v>
      </c>
      <c r="BY68" s="19" t="n">
        <v>3</v>
      </c>
      <c r="BZ68" s="19" t="n">
        <v>1</v>
      </c>
      <c r="CA68" s="19" t="n">
        <v>1</v>
      </c>
      <c r="CB68" s="19" t="n">
        <v>3</v>
      </c>
      <c r="CC68" s="19" t="n">
        <v>4</v>
      </c>
      <c r="CD68" s="19" t="n">
        <v>1</v>
      </c>
      <c r="CE68" s="19" t="n">
        <v>1</v>
      </c>
      <c r="CF68" s="19" t="n">
        <v>3</v>
      </c>
      <c r="CG68" s="19" t="n">
        <v>3</v>
      </c>
      <c r="CH68" s="19" t="n">
        <v>1</v>
      </c>
      <c r="CI68" s="19" t="n">
        <v>3</v>
      </c>
      <c r="CJ68" s="19" t="n">
        <v>2</v>
      </c>
      <c r="CK68" s="19" t="n">
        <v>3</v>
      </c>
      <c r="CL68" s="0" t="s">
        <v>299</v>
      </c>
      <c r="CM68" s="0" t="n">
        <v>17.5</v>
      </c>
      <c r="CN68" s="16" t="n">
        <v>81.9</v>
      </c>
      <c r="CO68" s="16" t="n">
        <v>80.4</v>
      </c>
      <c r="CP68" s="16" t="n">
        <v>12.5</v>
      </c>
      <c r="CQ68" s="0" t="n">
        <v>85.79</v>
      </c>
      <c r="CR68" s="17" t="n">
        <v>0</v>
      </c>
      <c r="CS68" s="0" t="n">
        <v>10.02</v>
      </c>
      <c r="CT68" s="0" t="n">
        <v>0</v>
      </c>
      <c r="CU68" s="0" t="n">
        <v>0</v>
      </c>
      <c r="CV68" s="0" t="n">
        <v>0</v>
      </c>
      <c r="CW68" s="0" t="n">
        <v>4.19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53.51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U68" s="0" t="n">
        <v>0</v>
      </c>
      <c r="DV68" s="0" t="n">
        <v>0</v>
      </c>
      <c r="EG68" s="20"/>
      <c r="EY68" s="0" t="n">
        <v>0</v>
      </c>
      <c r="GJ68" s="16" t="n">
        <v>3.38</v>
      </c>
      <c r="GK68" s="16" t="n">
        <v>1</v>
      </c>
      <c r="GL68" s="16" t="n">
        <v>1</v>
      </c>
      <c r="GM68" s="16"/>
      <c r="GN68" s="16" t="n">
        <v>12.64</v>
      </c>
      <c r="GO68" s="16"/>
      <c r="GP68" s="16"/>
      <c r="GQ68" s="16"/>
      <c r="GR68" s="16"/>
      <c r="GS68" s="16"/>
      <c r="GT68" s="16"/>
      <c r="GU68" s="16" t="n">
        <v>0</v>
      </c>
      <c r="GV68" s="16" t="n">
        <v>0</v>
      </c>
      <c r="GW68" s="16" t="n">
        <v>0</v>
      </c>
      <c r="GX68" s="16" t="n">
        <v>0</v>
      </c>
      <c r="GY68" s="16" t="n">
        <v>0</v>
      </c>
      <c r="GZ68" s="16" t="n">
        <v>0</v>
      </c>
      <c r="HA68" s="16" t="n">
        <v>0</v>
      </c>
      <c r="HB68" s="0" t="n">
        <v>0</v>
      </c>
      <c r="HC68" s="0" t="s">
        <v>300</v>
      </c>
      <c r="HD68" s="0" t="n">
        <v>31</v>
      </c>
      <c r="HE68" s="16" t="n">
        <v>86.2</v>
      </c>
      <c r="HF68" s="16" t="n">
        <v>80.4</v>
      </c>
      <c r="HG68" s="16" t="n">
        <v>19.4</v>
      </c>
      <c r="HH68" s="0" t="n">
        <v>23.44</v>
      </c>
      <c r="HI68" s="17" t="n">
        <v>0</v>
      </c>
      <c r="HJ68" s="0" t="n">
        <v>0</v>
      </c>
      <c r="HK68" s="0" t="n">
        <v>0</v>
      </c>
      <c r="HL68" s="0" t="n">
        <v>0.94</v>
      </c>
      <c r="HM68" s="0" t="n">
        <v>0</v>
      </c>
      <c r="HN68" s="0" t="n">
        <v>75.62</v>
      </c>
      <c r="HO68" s="0" t="n">
        <v>16.83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6.9</v>
      </c>
      <c r="HU68" s="0" t="n">
        <v>42.32</v>
      </c>
      <c r="HV68" s="0" t="n">
        <v>0</v>
      </c>
      <c r="HW68" s="0" t="n">
        <v>0</v>
      </c>
      <c r="HX68" s="0" t="n">
        <v>0</v>
      </c>
      <c r="HY68" s="0" t="n">
        <v>0</v>
      </c>
      <c r="IL68" s="0" t="n">
        <v>0</v>
      </c>
      <c r="IM68" s="0" t="n">
        <v>0</v>
      </c>
      <c r="IX68" s="20"/>
      <c r="JP68" s="0" t="n">
        <v>0</v>
      </c>
      <c r="LA68" s="16" t="n">
        <v>5.06</v>
      </c>
      <c r="LB68" s="16" t="n">
        <v>1</v>
      </c>
      <c r="LC68" s="16" t="n">
        <v>1</v>
      </c>
      <c r="LD68" s="16"/>
      <c r="LE68" s="16" t="n">
        <v>6.74</v>
      </c>
      <c r="LF68" s="16" t="n">
        <v>2</v>
      </c>
      <c r="LG68" s="16"/>
      <c r="LH68" s="16" t="n">
        <v>10.7</v>
      </c>
      <c r="LI68" s="16"/>
      <c r="LJ68" s="16"/>
      <c r="LK68" s="16"/>
      <c r="LL68" s="16" t="n">
        <v>0</v>
      </c>
      <c r="LM68" s="16" t="n">
        <v>0</v>
      </c>
      <c r="LN68" s="16" t="n">
        <v>0</v>
      </c>
      <c r="LO68" s="16" t="n">
        <v>0</v>
      </c>
      <c r="LP68" s="16" t="n">
        <v>5.97</v>
      </c>
      <c r="LQ68" s="16" t="n">
        <v>0</v>
      </c>
      <c r="LR68" s="16" t="n">
        <v>0</v>
      </c>
      <c r="LS68" s="0" t="n">
        <v>1</v>
      </c>
      <c r="LT68" s="0" t="s">
        <v>301</v>
      </c>
      <c r="LU68" s="0" t="n">
        <v>44</v>
      </c>
      <c r="LV68" s="16" t="n">
        <v>88.4</v>
      </c>
      <c r="LW68" s="16" t="n">
        <v>80.4</v>
      </c>
      <c r="LX68" s="16" t="n">
        <v>40</v>
      </c>
      <c r="LY68" s="0" t="n">
        <v>11.38</v>
      </c>
      <c r="LZ68" s="17" t="n">
        <v>0</v>
      </c>
      <c r="MA68" s="0" t="n">
        <v>0</v>
      </c>
      <c r="MB68" s="0" t="n">
        <v>0</v>
      </c>
      <c r="MC68" s="0" t="n">
        <v>0</v>
      </c>
      <c r="MD68" s="0" t="n">
        <v>0</v>
      </c>
      <c r="ME68" s="0" t="n">
        <v>88.62</v>
      </c>
      <c r="MF68" s="0" t="n">
        <v>22.58</v>
      </c>
      <c r="MG68" s="0" t="n">
        <v>24.22</v>
      </c>
      <c r="MH68" s="0" t="n">
        <v>0</v>
      </c>
      <c r="MI68" s="0" t="n">
        <v>0</v>
      </c>
      <c r="MJ68" s="0" t="n">
        <v>0</v>
      </c>
      <c r="MK68" s="0" t="n">
        <v>26.59</v>
      </c>
      <c r="ML68" s="0" t="n">
        <v>0.54</v>
      </c>
      <c r="MM68" s="0" t="n">
        <v>0</v>
      </c>
      <c r="MN68" s="0" t="n">
        <v>0</v>
      </c>
      <c r="MO68" s="0" t="n">
        <v>0</v>
      </c>
      <c r="MP68" s="0" t="n">
        <v>0</v>
      </c>
      <c r="NC68" s="0" t="n">
        <v>0</v>
      </c>
      <c r="ND68" s="0" t="n">
        <v>0</v>
      </c>
      <c r="NO68" s="20"/>
      <c r="OG68" s="0" t="n">
        <v>1</v>
      </c>
      <c r="OH68" s="0" t="n">
        <v>40</v>
      </c>
      <c r="OI68" s="0" t="n">
        <v>2</v>
      </c>
      <c r="OJ68" s="0" t="n">
        <v>0.26</v>
      </c>
      <c r="OK68" s="0" t="n">
        <v>3</v>
      </c>
      <c r="PR68" s="16" t="n">
        <v>3.77</v>
      </c>
      <c r="PS68" s="16" t="n">
        <v>1</v>
      </c>
      <c r="PT68" s="16" t="n">
        <v>1</v>
      </c>
      <c r="PU68" s="16"/>
      <c r="PV68" s="16" t="n">
        <v>25.78</v>
      </c>
      <c r="PW68" s="16"/>
      <c r="PX68" s="16"/>
      <c r="PY68" s="16"/>
      <c r="PZ68" s="16"/>
      <c r="QA68" s="16"/>
      <c r="QB68" s="16"/>
      <c r="QC68" s="16" t="n">
        <v>0</v>
      </c>
      <c r="QD68" s="16" t="n">
        <v>0</v>
      </c>
      <c r="QE68" s="16" t="n">
        <v>0</v>
      </c>
      <c r="QF68" s="16" t="n">
        <v>0</v>
      </c>
      <c r="QG68" s="16" t="n">
        <v>0</v>
      </c>
      <c r="QH68" s="16" t="n">
        <v>0</v>
      </c>
      <c r="QI68" s="16" t="n">
        <v>0</v>
      </c>
      <c r="QJ68" s="0" t="n">
        <v>0</v>
      </c>
      <c r="QK68" s="0" t="s">
        <v>207</v>
      </c>
      <c r="QL68" s="0" t="n">
        <v>20.5</v>
      </c>
      <c r="QM68" s="16" t="n">
        <v>85.6</v>
      </c>
      <c r="QN68" s="16" t="n">
        <v>80.4</v>
      </c>
      <c r="QO68" s="16" t="n">
        <v>17.7</v>
      </c>
      <c r="QP68" s="0" t="n">
        <v>63.65</v>
      </c>
      <c r="QQ68" s="17" t="n">
        <v>0</v>
      </c>
      <c r="QR68" s="0" t="n">
        <v>0</v>
      </c>
      <c r="QS68" s="0" t="n">
        <v>0</v>
      </c>
      <c r="QT68" s="0" t="n">
        <v>47.03</v>
      </c>
      <c r="QU68" s="0" t="n">
        <v>0</v>
      </c>
      <c r="QV68" s="0" t="n">
        <v>11.64</v>
      </c>
      <c r="QW68" s="0" t="n">
        <v>0</v>
      </c>
      <c r="QX68" s="0" t="n">
        <v>0</v>
      </c>
      <c r="QY68" s="0" t="n">
        <v>5.03</v>
      </c>
      <c r="QZ68" s="0" t="n">
        <v>0</v>
      </c>
      <c r="RA68" s="0" t="n">
        <v>2.93</v>
      </c>
      <c r="RB68" s="0" t="n">
        <v>24.27</v>
      </c>
      <c r="RC68" s="0" t="n">
        <v>17.25</v>
      </c>
      <c r="RD68" s="0" t="n">
        <v>0</v>
      </c>
      <c r="RE68" s="0" t="n">
        <v>0</v>
      </c>
      <c r="RF68" s="0" t="n">
        <v>0</v>
      </c>
      <c r="RG68" s="0" t="n">
        <v>0</v>
      </c>
      <c r="RT68" s="0" t="n">
        <v>0</v>
      </c>
      <c r="RU68" s="0" t="n">
        <v>0</v>
      </c>
      <c r="SF68" s="20"/>
      <c r="SX68" s="0" t="n">
        <v>0</v>
      </c>
      <c r="UI68" s="16" t="n">
        <v>1.47</v>
      </c>
      <c r="UJ68" s="16" t="n">
        <v>1</v>
      </c>
      <c r="UK68" s="16" t="n">
        <v>1</v>
      </c>
      <c r="UL68" s="16"/>
      <c r="UM68" s="16" t="n">
        <v>2.94</v>
      </c>
      <c r="UN68" s="16"/>
      <c r="UO68" s="16"/>
      <c r="UP68" s="16"/>
      <c r="UQ68" s="16"/>
      <c r="UR68" s="16"/>
      <c r="US68" s="16"/>
      <c r="UT68" s="16" t="n">
        <v>0</v>
      </c>
      <c r="UU68" s="16" t="n">
        <v>0</v>
      </c>
      <c r="UV68" s="16" t="n">
        <v>0</v>
      </c>
      <c r="UW68" s="16" t="n">
        <v>0</v>
      </c>
      <c r="UX68" s="16" t="n">
        <v>0</v>
      </c>
      <c r="UY68" s="16" t="n">
        <v>0</v>
      </c>
      <c r="UZ68" s="16" t="n">
        <v>0</v>
      </c>
      <c r="VA68" s="0" t="n">
        <v>0</v>
      </c>
      <c r="VB68" s="0" t="s">
        <v>208</v>
      </c>
      <c r="VC68" s="0" t="n">
        <v>35</v>
      </c>
      <c r="VD68" s="16" t="n">
        <v>69.2</v>
      </c>
      <c r="VE68" s="16" t="n">
        <v>80.4</v>
      </c>
      <c r="VF68" s="16" t="n">
        <v>24</v>
      </c>
      <c r="VG68" s="0" t="n">
        <v>71.73</v>
      </c>
      <c r="VH68" s="17" t="n">
        <v>0</v>
      </c>
      <c r="VI68" s="0" t="n">
        <v>0</v>
      </c>
      <c r="VJ68" s="0" t="n">
        <v>6.09</v>
      </c>
      <c r="VK68" s="0" t="n">
        <v>19.28</v>
      </c>
      <c r="VL68" s="0" t="n">
        <v>0</v>
      </c>
      <c r="VM68" s="0" t="n">
        <v>2.83</v>
      </c>
      <c r="VN68" s="0" t="n">
        <v>0</v>
      </c>
      <c r="VO68" s="0" t="n">
        <v>0</v>
      </c>
      <c r="VP68" s="0" t="n">
        <v>0</v>
      </c>
      <c r="VQ68" s="0" t="n">
        <v>0</v>
      </c>
      <c r="VR68" s="0" t="n">
        <v>14.46</v>
      </c>
      <c r="VS68" s="0" t="n">
        <v>19.89</v>
      </c>
      <c r="VT68" s="0" t="n">
        <v>24.43</v>
      </c>
      <c r="VU68" s="0" t="n">
        <v>0</v>
      </c>
      <c r="VV68" s="0" t="n">
        <v>0.07</v>
      </c>
      <c r="VW68" s="0" t="n">
        <v>0</v>
      </c>
      <c r="VX68" s="0" t="n">
        <v>0</v>
      </c>
      <c r="WK68" s="0" t="n">
        <v>2</v>
      </c>
      <c r="WL68" s="0" t="n">
        <v>0</v>
      </c>
      <c r="WW68" s="20"/>
      <c r="XO68" s="0" t="n">
        <v>1</v>
      </c>
      <c r="XP68" s="0" t="n">
        <v>40</v>
      </c>
      <c r="XQ68" s="0" t="n">
        <v>2</v>
      </c>
      <c r="XR68" s="0" t="n">
        <v>1.52</v>
      </c>
      <c r="XS68" s="0" t="n">
        <v>3</v>
      </c>
      <c r="XT68" s="0" t="n">
        <v>50</v>
      </c>
      <c r="XU68" s="0" t="n">
        <v>4</v>
      </c>
      <c r="XV68" s="0" t="n">
        <v>0.54</v>
      </c>
      <c r="XW68" s="0" t="n">
        <v>1</v>
      </c>
      <c r="YZ68" s="16" t="n">
        <v>1.6</v>
      </c>
      <c r="ZA68" s="16" t="n">
        <v>1</v>
      </c>
      <c r="ZB68" s="16" t="n">
        <v>1</v>
      </c>
      <c r="ZC68" s="16"/>
      <c r="ZD68" s="16" t="n">
        <v>7.09</v>
      </c>
      <c r="ZE68" s="16"/>
      <c r="ZF68" s="16"/>
      <c r="ZG68" s="16"/>
      <c r="ZH68" s="16"/>
      <c r="ZI68" s="16"/>
      <c r="ZJ68" s="16"/>
      <c r="ZK68" s="16" t="n">
        <v>1.12</v>
      </c>
      <c r="ZL68" s="16" t="n">
        <v>0.27</v>
      </c>
      <c r="ZM68" s="16" t="n">
        <v>0</v>
      </c>
      <c r="ZN68" s="16" t="n">
        <v>0</v>
      </c>
      <c r="ZO68" s="16" t="n">
        <v>0</v>
      </c>
      <c r="ZP68" s="16" t="n">
        <v>0</v>
      </c>
      <c r="ZQ68" s="16" t="n">
        <v>3</v>
      </c>
      <c r="ZR68" s="0" t="n">
        <v>0</v>
      </c>
      <c r="ZS68" s="0" t="s">
        <v>302</v>
      </c>
      <c r="ZT68" s="0" t="n">
        <v>22</v>
      </c>
      <c r="ZU68" s="16" t="n">
        <v>87.6</v>
      </c>
      <c r="ZV68" s="16" t="n">
        <v>80.4</v>
      </c>
      <c r="ZW68" s="16" t="n">
        <v>4.5</v>
      </c>
      <c r="ZX68" s="0" t="n">
        <v>100</v>
      </c>
      <c r="ZY68" s="17" t="n">
        <v>0</v>
      </c>
      <c r="ZZ68" s="0" t="n">
        <v>0</v>
      </c>
      <c r="AAA68" s="0" t="n">
        <v>0</v>
      </c>
      <c r="AAB68" s="0" t="n">
        <v>0</v>
      </c>
      <c r="AAC68" s="0" t="n">
        <v>0</v>
      </c>
      <c r="AAD68" s="0" t="n">
        <v>0</v>
      </c>
      <c r="AAE68" s="0" t="n">
        <v>0</v>
      </c>
      <c r="AAF68" s="0" t="n">
        <v>0</v>
      </c>
      <c r="AAG68" s="0" t="n">
        <v>0</v>
      </c>
      <c r="AAH68" s="0" t="n">
        <v>0</v>
      </c>
      <c r="AAI68" s="0" t="n">
        <v>1.14</v>
      </c>
      <c r="AAJ68" s="0" t="n">
        <v>27.07</v>
      </c>
      <c r="AAK68" s="0" t="n">
        <v>1.9</v>
      </c>
      <c r="AAL68" s="0" t="n">
        <v>0</v>
      </c>
      <c r="AAM68" s="0" t="n">
        <v>0</v>
      </c>
      <c r="AAN68" s="0" t="n">
        <v>0</v>
      </c>
      <c r="AAO68" s="0" t="n">
        <v>0</v>
      </c>
      <c r="ABB68" s="0" t="n">
        <v>8</v>
      </c>
      <c r="ABC68" s="0" t="n">
        <v>1</v>
      </c>
      <c r="ABD68" s="0" t="n">
        <v>35</v>
      </c>
      <c r="ABE68" s="0" t="n">
        <v>2</v>
      </c>
      <c r="ABF68" s="0" t="n">
        <v>1.52</v>
      </c>
      <c r="ABG68" s="0" t="n">
        <v>3</v>
      </c>
      <c r="ABN68" s="20"/>
      <c r="ACF68" s="0" t="n">
        <v>1</v>
      </c>
      <c r="ACG68" s="0" t="n">
        <v>40</v>
      </c>
      <c r="ACH68" s="0" t="n">
        <v>3</v>
      </c>
      <c r="ACI68" s="0" t="n">
        <v>2.28</v>
      </c>
      <c r="ACJ68" s="0" t="n">
        <v>3</v>
      </c>
      <c r="ADQ68" s="16" t="n">
        <v>1.12</v>
      </c>
      <c r="ADR68" s="16" t="n">
        <v>1</v>
      </c>
      <c r="ADS68" s="16" t="n">
        <v>1</v>
      </c>
      <c r="ADT68" s="16"/>
      <c r="ADU68" s="16" t="n">
        <v>2.24</v>
      </c>
      <c r="ADV68" s="16"/>
      <c r="ADW68" s="16"/>
      <c r="ADX68" s="16"/>
      <c r="ADY68" s="16"/>
      <c r="ADZ68" s="16"/>
      <c r="AEA68" s="16"/>
      <c r="AEB68" s="16" t="n">
        <v>6.72</v>
      </c>
      <c r="AEC68" s="16" t="n">
        <v>0</v>
      </c>
      <c r="AED68" s="16" t="n">
        <v>0</v>
      </c>
      <c r="AEE68" s="16" t="n">
        <v>0</v>
      </c>
      <c r="AEF68" s="16" t="n">
        <v>0</v>
      </c>
      <c r="AEG68" s="16" t="n">
        <v>0</v>
      </c>
      <c r="AEH68" s="16" t="n">
        <v>0</v>
      </c>
      <c r="AEI68" s="0" t="n">
        <v>1</v>
      </c>
      <c r="AEJ68" s="0" t="s">
        <v>303</v>
      </c>
      <c r="AEK68" s="0" t="n">
        <v>18</v>
      </c>
      <c r="AEL68" s="16" t="n">
        <v>84.7</v>
      </c>
      <c r="AEM68" s="16" t="n">
        <v>80.4</v>
      </c>
      <c r="AEN68" s="16" t="n">
        <v>6.7</v>
      </c>
      <c r="AEO68" s="0" t="n">
        <v>100</v>
      </c>
      <c r="AEP68" s="17" t="n">
        <v>0</v>
      </c>
      <c r="AEQ68" s="0" t="n">
        <v>0</v>
      </c>
      <c r="AER68" s="0" t="n">
        <v>0</v>
      </c>
      <c r="AES68" s="0" t="n">
        <v>0</v>
      </c>
      <c r="AET68" s="0" t="n">
        <v>0</v>
      </c>
      <c r="AEU68" s="0" t="n">
        <v>0</v>
      </c>
      <c r="AEV68" s="0" t="n">
        <v>0</v>
      </c>
      <c r="AEW68" s="0" t="n">
        <v>0</v>
      </c>
      <c r="AEX68" s="0" t="n">
        <v>0</v>
      </c>
      <c r="AEY68" s="0" t="n">
        <v>0</v>
      </c>
      <c r="AEZ68" s="0" t="n">
        <v>14.84</v>
      </c>
      <c r="AFA68" s="0" t="n">
        <v>28.79</v>
      </c>
      <c r="AFB68" s="0" t="n">
        <v>1.9</v>
      </c>
      <c r="AFC68" s="0" t="n">
        <v>0</v>
      </c>
      <c r="AFD68" s="0" t="n">
        <v>0</v>
      </c>
      <c r="AFE68" s="0" t="n">
        <v>0</v>
      </c>
      <c r="AFF68" s="0" t="n">
        <v>0</v>
      </c>
      <c r="AFS68" s="0" t="n">
        <v>1.9</v>
      </c>
      <c r="AFT68" s="0" t="n">
        <v>0</v>
      </c>
      <c r="AGE68" s="20"/>
      <c r="AGW68" s="0" t="n">
        <v>1</v>
      </c>
      <c r="AGX68" s="0" t="n">
        <v>50</v>
      </c>
      <c r="AGY68" s="0" t="n">
        <v>3</v>
      </c>
      <c r="AGZ68" s="0" t="n">
        <v>2.28</v>
      </c>
      <c r="AHA68" s="0" t="n">
        <v>3</v>
      </c>
      <c r="AIH68" s="16" t="n">
        <v>1.12</v>
      </c>
      <c r="AII68" s="16" t="n">
        <v>1</v>
      </c>
      <c r="AIJ68" s="16" t="n">
        <v>1</v>
      </c>
      <c r="AIK68" s="16"/>
      <c r="AIL68" s="16" t="n">
        <v>2.24</v>
      </c>
      <c r="AIM68" s="16"/>
      <c r="AIN68" s="16"/>
      <c r="AIO68" s="16"/>
      <c r="AIP68" s="16"/>
      <c r="AIQ68" s="16"/>
      <c r="AIR68" s="16"/>
      <c r="AIS68" s="16" t="n">
        <v>0</v>
      </c>
      <c r="AIT68" s="16" t="n">
        <v>0</v>
      </c>
      <c r="AIU68" s="16" t="n">
        <v>0</v>
      </c>
      <c r="AIV68" s="16" t="n">
        <v>0</v>
      </c>
      <c r="AIW68" s="16" t="n">
        <v>6.72</v>
      </c>
      <c r="AIX68" s="16" t="n">
        <v>0</v>
      </c>
      <c r="AIY68" s="16" t="n">
        <v>0</v>
      </c>
      <c r="AIZ68" s="0" t="n">
        <v>1</v>
      </c>
      <c r="AJA68" s="0" t="s">
        <v>304</v>
      </c>
      <c r="AJB68" s="0" t="n">
        <v>29</v>
      </c>
      <c r="AJC68" s="16" t="n">
        <v>84.9</v>
      </c>
      <c r="AJD68" s="16" t="n">
        <v>80.4</v>
      </c>
      <c r="AJE68" s="16" t="n">
        <v>22.7</v>
      </c>
      <c r="AJF68" s="0" t="n">
        <v>47.69</v>
      </c>
      <c r="AJG68" s="17" t="n">
        <v>0</v>
      </c>
      <c r="AJH68" s="0" t="n">
        <v>0</v>
      </c>
      <c r="AJI68" s="0" t="n">
        <v>0</v>
      </c>
      <c r="AJJ68" s="0" t="n">
        <v>22.69</v>
      </c>
      <c r="AJK68" s="0" t="n">
        <v>0</v>
      </c>
      <c r="AJL68" s="0" t="n">
        <v>28.56</v>
      </c>
      <c r="AJM68" s="0" t="n">
        <v>0</v>
      </c>
      <c r="AJN68" s="0" t="n">
        <v>0</v>
      </c>
      <c r="AJO68" s="0" t="n">
        <v>0</v>
      </c>
      <c r="AJP68" s="0" t="n">
        <v>0</v>
      </c>
      <c r="AJQ68" s="0" t="n">
        <v>30.64</v>
      </c>
      <c r="AJR68" s="0" t="n">
        <v>8.38</v>
      </c>
      <c r="AJS68" s="0" t="n">
        <v>43.35</v>
      </c>
      <c r="AJT68" s="0" t="n">
        <v>6.09</v>
      </c>
      <c r="AJU68" s="0" t="n">
        <v>0</v>
      </c>
      <c r="AJV68" s="0" t="n">
        <v>0</v>
      </c>
      <c r="AJW68" s="0" t="n">
        <v>0</v>
      </c>
      <c r="AKJ68" s="0" t="n">
        <v>2.5</v>
      </c>
      <c r="AKK68" s="0" t="n">
        <v>1</v>
      </c>
      <c r="AKL68" s="0" t="n">
        <v>35</v>
      </c>
      <c r="AKM68" s="0" t="n">
        <v>4</v>
      </c>
      <c r="AKN68" s="0" t="n">
        <v>0.54</v>
      </c>
      <c r="AKO68" s="0" t="n">
        <v>3</v>
      </c>
      <c r="AKV68" s="20"/>
      <c r="ALN68" s="0" t="n">
        <v>1</v>
      </c>
      <c r="ALO68" s="0" t="n">
        <v>40</v>
      </c>
      <c r="ALP68" s="0" t="n">
        <v>2</v>
      </c>
      <c r="ALQ68" s="0" t="n">
        <v>0.26</v>
      </c>
      <c r="ALR68" s="0" t="n">
        <v>3</v>
      </c>
    </row>
    <row r="69" customFormat="false" ht="13.8" hidden="false" customHeight="false" outlineLevel="0" collapsed="false">
      <c r="A69" s="1" t="s">
        <v>430</v>
      </c>
      <c r="B69" s="12" t="n">
        <v>42900</v>
      </c>
      <c r="C69" s="0" t="n">
        <v>2</v>
      </c>
      <c r="D69" s="13" t="n">
        <v>42801</v>
      </c>
      <c r="E69" s="12" t="n">
        <v>29069</v>
      </c>
      <c r="F69" s="14" t="n">
        <f aca="false">(B69-E69)/365.25</f>
        <v>37.8672142368241</v>
      </c>
      <c r="G69" s="14" t="n">
        <f aca="false">(B69-D69)/365.25</f>
        <v>0.271047227926078</v>
      </c>
      <c r="H69" s="15" t="s">
        <v>183</v>
      </c>
      <c r="I69" s="15" t="s">
        <v>298</v>
      </c>
      <c r="J69" s="15" t="s">
        <v>181</v>
      </c>
      <c r="K69" s="21" t="n">
        <v>8</v>
      </c>
      <c r="L69" s="19" t="n">
        <v>80</v>
      </c>
      <c r="M69" s="0" t="n">
        <v>1.7</v>
      </c>
      <c r="N69" s="16" t="n">
        <f aca="false">L69/(M69*M69)</f>
        <v>27.681660899654</v>
      </c>
      <c r="O69" s="19" t="n">
        <v>0</v>
      </c>
      <c r="P69" s="19" t="n">
        <v>0</v>
      </c>
      <c r="Q69" s="19" t="n">
        <v>0</v>
      </c>
      <c r="R69" s="19" t="n">
        <v>0</v>
      </c>
      <c r="S69" s="19" t="n">
        <v>0</v>
      </c>
      <c r="T69" s="19" t="n">
        <v>0</v>
      </c>
      <c r="U69" s="19" t="n">
        <v>0</v>
      </c>
      <c r="V69" s="19" t="n">
        <v>0</v>
      </c>
      <c r="W69" s="19" t="n">
        <v>0</v>
      </c>
      <c r="X69" s="19" t="n">
        <v>0</v>
      </c>
      <c r="Y69" s="19" t="n">
        <v>0</v>
      </c>
      <c r="Z69" s="19" t="n">
        <v>0</v>
      </c>
      <c r="AA69" s="19" t="n">
        <v>0</v>
      </c>
      <c r="AB69" s="19" t="n">
        <v>0</v>
      </c>
      <c r="AC69" s="19" t="n">
        <v>0</v>
      </c>
      <c r="AD69" s="19" t="n">
        <v>0</v>
      </c>
      <c r="AE69" s="19" t="n">
        <v>0</v>
      </c>
      <c r="AF69" s="19" t="n">
        <v>0</v>
      </c>
      <c r="AG69" s="19" t="n">
        <v>0</v>
      </c>
      <c r="AH69" s="19" t="n">
        <v>0</v>
      </c>
      <c r="AI69" s="19" t="n">
        <v>0</v>
      </c>
      <c r="AJ69" s="19" t="n">
        <v>0</v>
      </c>
      <c r="AK69" s="19" t="n">
        <v>0</v>
      </c>
      <c r="AL69" s="19" t="n">
        <v>0</v>
      </c>
      <c r="AM69" s="19" t="n">
        <v>0</v>
      </c>
      <c r="AN69" s="19" t="n">
        <v>0</v>
      </c>
      <c r="AO69" s="19" t="n">
        <v>0</v>
      </c>
      <c r="AP69" s="19" t="n">
        <v>0</v>
      </c>
      <c r="AQ69" s="19" t="n">
        <v>0</v>
      </c>
      <c r="AR69" s="19" t="n">
        <v>0</v>
      </c>
      <c r="AS69" s="19" t="n">
        <v>0</v>
      </c>
      <c r="AT69" s="19" t="n">
        <v>0</v>
      </c>
      <c r="AU69" s="19" t="n">
        <v>0</v>
      </c>
      <c r="AV69" s="19" t="n">
        <v>0</v>
      </c>
      <c r="AW69" s="19" t="n">
        <v>0</v>
      </c>
      <c r="AX69" s="19" t="n">
        <v>0</v>
      </c>
      <c r="AY69" s="19" t="n">
        <v>0</v>
      </c>
      <c r="AZ69" s="19" t="n">
        <v>0</v>
      </c>
      <c r="BA69" s="19" t="n">
        <v>0</v>
      </c>
      <c r="BB69" s="19" t="n">
        <v>0</v>
      </c>
      <c r="BC69" s="19" t="n">
        <v>0</v>
      </c>
      <c r="BD69" s="19" t="n">
        <v>0</v>
      </c>
      <c r="BE69" s="19" t="n">
        <v>0</v>
      </c>
      <c r="BF69" s="19" t="n">
        <v>0</v>
      </c>
      <c r="BG69" s="19" t="n">
        <v>0</v>
      </c>
      <c r="BH69" s="19" t="n">
        <v>0</v>
      </c>
      <c r="BI69" s="19" t="n">
        <v>0</v>
      </c>
      <c r="BJ69" s="19" t="n">
        <v>0</v>
      </c>
      <c r="BK69" s="19" t="n">
        <v>0</v>
      </c>
      <c r="BL69" s="19" t="n">
        <v>0</v>
      </c>
      <c r="BM69" s="19" t="n">
        <v>0</v>
      </c>
      <c r="BN69" s="19" t="n">
        <v>0</v>
      </c>
      <c r="BO69" s="19" t="n">
        <v>0</v>
      </c>
      <c r="BP69" s="19" t="n">
        <v>0</v>
      </c>
      <c r="BQ69" s="19" t="n">
        <v>0</v>
      </c>
      <c r="BR69" s="19" t="n">
        <v>2</v>
      </c>
      <c r="BS69" s="19" t="n">
        <v>2</v>
      </c>
      <c r="BT69" s="19" t="n">
        <v>3</v>
      </c>
      <c r="BU69" s="19" t="n">
        <v>5</v>
      </c>
      <c r="BV69" s="19" t="n">
        <v>2</v>
      </c>
      <c r="BW69" s="19" t="n">
        <v>1</v>
      </c>
      <c r="BX69" s="19" t="n">
        <v>2</v>
      </c>
      <c r="BY69" s="19" t="n">
        <v>3</v>
      </c>
      <c r="BZ69" s="19" t="n">
        <v>4</v>
      </c>
      <c r="CA69" s="19" t="n">
        <v>4</v>
      </c>
      <c r="CB69" s="19" t="n">
        <v>4</v>
      </c>
      <c r="CC69" s="19" t="n">
        <v>4</v>
      </c>
      <c r="CD69" s="19" t="n">
        <v>4</v>
      </c>
      <c r="CE69" s="19" t="n">
        <v>4</v>
      </c>
      <c r="CF69" s="19" t="n">
        <v>4</v>
      </c>
      <c r="CG69" s="19" t="n">
        <v>5</v>
      </c>
      <c r="CH69" s="19" t="n">
        <v>4</v>
      </c>
      <c r="CI69" s="19" t="n">
        <v>4</v>
      </c>
      <c r="CJ69" s="19" t="n">
        <v>4</v>
      </c>
      <c r="CK69" s="19" t="n">
        <v>7</v>
      </c>
      <c r="CL69" s="0" t="s">
        <v>299</v>
      </c>
      <c r="CM69" s="0" t="n">
        <v>17.5</v>
      </c>
      <c r="CN69" s="16" t="n">
        <v>81.9</v>
      </c>
      <c r="CO69" s="16" t="n">
        <v>80.4</v>
      </c>
      <c r="CP69" s="16" t="n">
        <v>12.5</v>
      </c>
      <c r="CQ69" s="0" t="n">
        <v>85.79</v>
      </c>
      <c r="CS69" s="0" t="n">
        <v>10.02</v>
      </c>
      <c r="CT69" s="0" t="n">
        <v>0</v>
      </c>
      <c r="CU69" s="0" t="n">
        <v>0</v>
      </c>
      <c r="CV69" s="0" t="n">
        <v>0</v>
      </c>
      <c r="CW69" s="0" t="n">
        <v>4.19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53.51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U69" s="0" t="n">
        <v>0</v>
      </c>
      <c r="DV69" s="0" t="n">
        <v>0</v>
      </c>
      <c r="EG69" s="20"/>
      <c r="EY69" s="0" t="n">
        <v>0</v>
      </c>
      <c r="GJ69" s="16" t="n">
        <v>3.38</v>
      </c>
      <c r="GK69" s="16" t="n">
        <v>1</v>
      </c>
      <c r="GL69" s="16" t="n">
        <v>1</v>
      </c>
      <c r="GM69" s="16"/>
      <c r="GN69" s="16" t="n">
        <v>12.64</v>
      </c>
      <c r="GO69" s="16"/>
      <c r="GP69" s="16"/>
      <c r="GQ69" s="16"/>
      <c r="GR69" s="16"/>
      <c r="GS69" s="16"/>
      <c r="GT69" s="16"/>
      <c r="GU69" s="16" t="n">
        <v>0</v>
      </c>
      <c r="GV69" s="16" t="n">
        <v>0</v>
      </c>
      <c r="GW69" s="16" t="n">
        <v>0</v>
      </c>
      <c r="GX69" s="16" t="n">
        <v>0</v>
      </c>
      <c r="GY69" s="16" t="n">
        <v>0</v>
      </c>
      <c r="GZ69" s="16" t="n">
        <v>0</v>
      </c>
      <c r="HA69" s="16" t="n">
        <v>0</v>
      </c>
      <c r="HB69" s="0" t="n">
        <v>0</v>
      </c>
      <c r="HC69" s="0" t="s">
        <v>300</v>
      </c>
      <c r="HD69" s="0" t="n">
        <v>31</v>
      </c>
      <c r="HE69" s="16" t="n">
        <v>86.2</v>
      </c>
      <c r="HF69" s="16" t="n">
        <v>80.4</v>
      </c>
      <c r="HG69" s="16" t="n">
        <v>19.4</v>
      </c>
      <c r="HH69" s="0" t="n">
        <v>23.44</v>
      </c>
      <c r="HJ69" s="0" t="n">
        <v>0</v>
      </c>
      <c r="HK69" s="0" t="n">
        <v>0</v>
      </c>
      <c r="HL69" s="0" t="n">
        <v>0.94</v>
      </c>
      <c r="HM69" s="0" t="n">
        <v>0</v>
      </c>
      <c r="HN69" s="0" t="n">
        <v>75.62</v>
      </c>
      <c r="HO69" s="0" t="n">
        <v>16.83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6.9</v>
      </c>
      <c r="HU69" s="0" t="n">
        <v>42.32</v>
      </c>
      <c r="HV69" s="0" t="n">
        <v>0</v>
      </c>
      <c r="HW69" s="0" t="n">
        <v>0</v>
      </c>
      <c r="HX69" s="0" t="n">
        <v>0</v>
      </c>
      <c r="HY69" s="0" t="n">
        <v>0</v>
      </c>
      <c r="IL69" s="0" t="n">
        <v>0</v>
      </c>
      <c r="IM69" s="0" t="n">
        <v>0</v>
      </c>
      <c r="IX69" s="20"/>
      <c r="JP69" s="0" t="n">
        <v>0</v>
      </c>
      <c r="LA69" s="16" t="n">
        <v>5.06</v>
      </c>
      <c r="LB69" s="16" t="n">
        <v>1</v>
      </c>
      <c r="LC69" s="16" t="n">
        <v>1</v>
      </c>
      <c r="LD69" s="16"/>
      <c r="LE69" s="16" t="n">
        <v>6.74</v>
      </c>
      <c r="LF69" s="16" t="n">
        <v>2</v>
      </c>
      <c r="LG69" s="16"/>
      <c r="LH69" s="16" t="n">
        <v>10.7</v>
      </c>
      <c r="LI69" s="16"/>
      <c r="LJ69" s="16"/>
      <c r="LK69" s="16"/>
      <c r="LL69" s="16" t="n">
        <v>0</v>
      </c>
      <c r="LM69" s="16" t="n">
        <v>0</v>
      </c>
      <c r="LN69" s="16" t="n">
        <v>0</v>
      </c>
      <c r="LO69" s="16" t="n">
        <v>0</v>
      </c>
      <c r="LP69" s="16" t="n">
        <v>5.97</v>
      </c>
      <c r="LQ69" s="16" t="n">
        <v>0</v>
      </c>
      <c r="LR69" s="16" t="n">
        <v>0</v>
      </c>
      <c r="LS69" s="0" t="n">
        <v>1</v>
      </c>
      <c r="LT69" s="0" t="s">
        <v>301</v>
      </c>
      <c r="LU69" s="0" t="n">
        <v>44</v>
      </c>
      <c r="LV69" s="16" t="n">
        <v>88.4</v>
      </c>
      <c r="LW69" s="16" t="n">
        <v>80.4</v>
      </c>
      <c r="LX69" s="16" t="n">
        <v>40</v>
      </c>
      <c r="LY69" s="0" t="n">
        <v>11.38</v>
      </c>
      <c r="MA69" s="0" t="n">
        <v>0</v>
      </c>
      <c r="MB69" s="0" t="n">
        <v>0</v>
      </c>
      <c r="MC69" s="0" t="n">
        <v>0</v>
      </c>
      <c r="MD69" s="0" t="n">
        <v>0</v>
      </c>
      <c r="ME69" s="0" t="n">
        <v>88.62</v>
      </c>
      <c r="MF69" s="0" t="n">
        <v>22.58</v>
      </c>
      <c r="MG69" s="0" t="n">
        <v>24.22</v>
      </c>
      <c r="MH69" s="0" t="n">
        <v>0</v>
      </c>
      <c r="MI69" s="0" t="n">
        <v>0</v>
      </c>
      <c r="MJ69" s="0" t="n">
        <v>0</v>
      </c>
      <c r="MK69" s="0" t="n">
        <v>26.59</v>
      </c>
      <c r="ML69" s="0" t="n">
        <v>0.54</v>
      </c>
      <c r="MM69" s="0" t="n">
        <v>0</v>
      </c>
      <c r="MN69" s="0" t="n">
        <v>0</v>
      </c>
      <c r="MO69" s="0" t="n">
        <v>0</v>
      </c>
      <c r="MP69" s="0" t="n">
        <v>0</v>
      </c>
      <c r="NC69" s="0" t="n">
        <v>0</v>
      </c>
      <c r="ND69" s="0" t="n">
        <v>0</v>
      </c>
      <c r="NO69" s="20"/>
      <c r="OG69" s="0" t="n">
        <v>1</v>
      </c>
      <c r="OH69" s="0" t="n">
        <v>40</v>
      </c>
      <c r="OI69" s="0" t="n">
        <v>2</v>
      </c>
      <c r="OJ69" s="0" t="n">
        <v>0.26</v>
      </c>
      <c r="OK69" s="0" t="n">
        <v>3</v>
      </c>
      <c r="PR69" s="16" t="n">
        <v>3.77</v>
      </c>
      <c r="PS69" s="16" t="n">
        <v>1</v>
      </c>
      <c r="PT69" s="16" t="n">
        <v>1</v>
      </c>
      <c r="PU69" s="16"/>
      <c r="PV69" s="16" t="n">
        <v>25.78</v>
      </c>
      <c r="PW69" s="16"/>
      <c r="PX69" s="16"/>
      <c r="PY69" s="16"/>
      <c r="PZ69" s="16"/>
      <c r="QA69" s="16"/>
      <c r="QB69" s="16"/>
      <c r="QC69" s="16" t="n">
        <v>0</v>
      </c>
      <c r="QD69" s="16" t="n">
        <v>0</v>
      </c>
      <c r="QE69" s="16" t="n">
        <v>0</v>
      </c>
      <c r="QF69" s="16" t="n">
        <v>0</v>
      </c>
      <c r="QG69" s="16" t="n">
        <v>0</v>
      </c>
      <c r="QH69" s="16" t="n">
        <v>0</v>
      </c>
      <c r="QI69" s="16" t="n">
        <v>0</v>
      </c>
      <c r="QJ69" s="0" t="n">
        <v>0</v>
      </c>
      <c r="QK69" s="0" t="s">
        <v>207</v>
      </c>
      <c r="QL69" s="0" t="n">
        <v>20.5</v>
      </c>
      <c r="QM69" s="16" t="n">
        <v>85.6</v>
      </c>
      <c r="QN69" s="16" t="n">
        <v>80.4</v>
      </c>
      <c r="QO69" s="16" t="n">
        <v>17.7</v>
      </c>
      <c r="QP69" s="0" t="n">
        <v>63.65</v>
      </c>
      <c r="QR69" s="0" t="n">
        <v>0</v>
      </c>
      <c r="QS69" s="0" t="n">
        <v>0</v>
      </c>
      <c r="QT69" s="0" t="n">
        <v>47.03</v>
      </c>
      <c r="QU69" s="0" t="n">
        <v>0</v>
      </c>
      <c r="QV69" s="0" t="n">
        <v>11.64</v>
      </c>
      <c r="QW69" s="0" t="n">
        <v>0</v>
      </c>
      <c r="QX69" s="0" t="n">
        <v>0</v>
      </c>
      <c r="QY69" s="0" t="n">
        <v>5.03</v>
      </c>
      <c r="QZ69" s="0" t="n">
        <v>0</v>
      </c>
      <c r="RA69" s="0" t="n">
        <v>2.93</v>
      </c>
      <c r="RB69" s="0" t="n">
        <v>24.27</v>
      </c>
      <c r="RC69" s="0" t="n">
        <v>17.25</v>
      </c>
      <c r="RD69" s="0" t="n">
        <v>0</v>
      </c>
      <c r="RE69" s="0" t="n">
        <v>0</v>
      </c>
      <c r="RF69" s="0" t="n">
        <v>0</v>
      </c>
      <c r="RG69" s="0" t="n">
        <v>0</v>
      </c>
      <c r="RT69" s="0" t="n">
        <v>0</v>
      </c>
      <c r="RU69" s="0" t="n">
        <v>0</v>
      </c>
      <c r="SF69" s="20"/>
      <c r="SX69" s="0" t="n">
        <v>0</v>
      </c>
      <c r="UI69" s="16" t="n">
        <v>1.47</v>
      </c>
      <c r="UJ69" s="16" t="n">
        <v>1</v>
      </c>
      <c r="UK69" s="16" t="n">
        <v>1</v>
      </c>
      <c r="UL69" s="16"/>
      <c r="UM69" s="16" t="n">
        <v>2.94</v>
      </c>
      <c r="UN69" s="16"/>
      <c r="UO69" s="16"/>
      <c r="UP69" s="16"/>
      <c r="UQ69" s="16"/>
      <c r="UR69" s="16"/>
      <c r="US69" s="16"/>
      <c r="UT69" s="16" t="n">
        <v>0</v>
      </c>
      <c r="UU69" s="16" t="n">
        <v>0</v>
      </c>
      <c r="UV69" s="16" t="n">
        <v>0</v>
      </c>
      <c r="UW69" s="16" t="n">
        <v>0</v>
      </c>
      <c r="UX69" s="16" t="n">
        <v>0</v>
      </c>
      <c r="UY69" s="16" t="n">
        <v>0</v>
      </c>
      <c r="UZ69" s="16" t="n">
        <v>0</v>
      </c>
      <c r="VA69" s="0" t="n">
        <v>0</v>
      </c>
      <c r="VB69" s="0" t="s">
        <v>208</v>
      </c>
      <c r="VC69" s="0" t="n">
        <v>35</v>
      </c>
      <c r="VD69" s="16" t="n">
        <v>69.2</v>
      </c>
      <c r="VE69" s="16" t="n">
        <v>80.4</v>
      </c>
      <c r="VF69" s="16" t="n">
        <v>24</v>
      </c>
      <c r="VG69" s="0" t="n">
        <v>71.73</v>
      </c>
      <c r="VI69" s="0" t="n">
        <v>0</v>
      </c>
      <c r="VJ69" s="0" t="n">
        <v>6.09</v>
      </c>
      <c r="VK69" s="0" t="n">
        <v>19.28</v>
      </c>
      <c r="VL69" s="0" t="n">
        <v>0</v>
      </c>
      <c r="VM69" s="0" t="n">
        <v>2.83</v>
      </c>
      <c r="VN69" s="0" t="n">
        <v>0</v>
      </c>
      <c r="VO69" s="0" t="n">
        <v>0</v>
      </c>
      <c r="VP69" s="0" t="n">
        <v>0</v>
      </c>
      <c r="VQ69" s="0" t="n">
        <v>0</v>
      </c>
      <c r="VR69" s="0" t="n">
        <v>14.46</v>
      </c>
      <c r="VS69" s="0" t="n">
        <v>19.89</v>
      </c>
      <c r="VT69" s="0" t="n">
        <v>24.43</v>
      </c>
      <c r="VU69" s="0" t="n">
        <v>0</v>
      </c>
      <c r="VV69" s="0" t="n">
        <v>0.07</v>
      </c>
      <c r="VW69" s="0" t="n">
        <v>0</v>
      </c>
      <c r="VX69" s="0" t="n">
        <v>0</v>
      </c>
      <c r="WK69" s="0" t="n">
        <v>2</v>
      </c>
      <c r="WL69" s="0" t="n">
        <v>0</v>
      </c>
      <c r="WW69" s="20"/>
      <c r="XO69" s="0" t="n">
        <v>1</v>
      </c>
      <c r="XP69" s="0" t="n">
        <v>40</v>
      </c>
      <c r="XQ69" s="0" t="n">
        <v>2</v>
      </c>
      <c r="XR69" s="0" t="n">
        <v>1.52</v>
      </c>
      <c r="XS69" s="0" t="n">
        <v>3</v>
      </c>
      <c r="XT69" s="0" t="n">
        <v>50</v>
      </c>
      <c r="XU69" s="0" t="n">
        <v>4</v>
      </c>
      <c r="XV69" s="0" t="n">
        <v>0.54</v>
      </c>
      <c r="XW69" s="0" t="n">
        <v>1</v>
      </c>
      <c r="YZ69" s="16" t="n">
        <v>1.6</v>
      </c>
      <c r="ZA69" s="16" t="n">
        <v>1</v>
      </c>
      <c r="ZB69" s="16" t="n">
        <v>1</v>
      </c>
      <c r="ZC69" s="16"/>
      <c r="ZD69" s="16" t="n">
        <v>7.09</v>
      </c>
      <c r="ZE69" s="16"/>
      <c r="ZF69" s="16"/>
      <c r="ZG69" s="16"/>
      <c r="ZH69" s="16"/>
      <c r="ZI69" s="16"/>
      <c r="ZJ69" s="16"/>
      <c r="ZK69" s="16" t="n">
        <v>1.12</v>
      </c>
      <c r="ZL69" s="16" t="n">
        <v>0.27</v>
      </c>
      <c r="ZM69" s="16" t="n">
        <v>0</v>
      </c>
      <c r="ZN69" s="16" t="n">
        <v>0</v>
      </c>
      <c r="ZO69" s="16" t="n">
        <v>0</v>
      </c>
      <c r="ZP69" s="16" t="n">
        <v>0</v>
      </c>
      <c r="ZQ69" s="16" t="n">
        <v>3</v>
      </c>
      <c r="ZR69" s="0" t="n">
        <v>0</v>
      </c>
      <c r="ZS69" s="0" t="s">
        <v>302</v>
      </c>
      <c r="ZT69" s="0" t="n">
        <v>22</v>
      </c>
      <c r="ZU69" s="16" t="n">
        <v>87.6</v>
      </c>
      <c r="ZV69" s="16" t="n">
        <v>80.4</v>
      </c>
      <c r="ZW69" s="16" t="n">
        <v>4.5</v>
      </c>
      <c r="ZX69" s="0" t="n">
        <v>100</v>
      </c>
      <c r="ZZ69" s="0" t="n">
        <v>0</v>
      </c>
      <c r="AAA69" s="0" t="n">
        <v>0</v>
      </c>
      <c r="AAB69" s="0" t="n">
        <v>0</v>
      </c>
      <c r="AAC69" s="0" t="n">
        <v>0</v>
      </c>
      <c r="AAD69" s="0" t="n">
        <v>0</v>
      </c>
      <c r="AAE69" s="0" t="n">
        <v>0</v>
      </c>
      <c r="AAF69" s="0" t="n">
        <v>0</v>
      </c>
      <c r="AAG69" s="0" t="n">
        <v>0</v>
      </c>
      <c r="AAH69" s="0" t="n">
        <v>0</v>
      </c>
      <c r="AAI69" s="0" t="n">
        <v>1.14</v>
      </c>
      <c r="AAJ69" s="0" t="n">
        <v>27.07</v>
      </c>
      <c r="AAK69" s="0" t="n">
        <v>1.9</v>
      </c>
      <c r="AAL69" s="0" t="n">
        <v>0</v>
      </c>
      <c r="AAM69" s="0" t="n">
        <v>0</v>
      </c>
      <c r="AAN69" s="0" t="n">
        <v>0</v>
      </c>
      <c r="AAO69" s="0" t="n">
        <v>0</v>
      </c>
      <c r="ABB69" s="0" t="n">
        <v>8</v>
      </c>
      <c r="ABC69" s="0" t="n">
        <v>1</v>
      </c>
      <c r="ABD69" s="0" t="n">
        <v>35</v>
      </c>
      <c r="ABE69" s="0" t="n">
        <v>2</v>
      </c>
      <c r="ABF69" s="0" t="n">
        <v>1.52</v>
      </c>
      <c r="ABG69" s="0" t="n">
        <v>3</v>
      </c>
      <c r="ABN69" s="20"/>
      <c r="ACF69" s="0" t="n">
        <v>1</v>
      </c>
      <c r="ACG69" s="0" t="n">
        <v>40</v>
      </c>
      <c r="ACH69" s="0" t="n">
        <v>3</v>
      </c>
      <c r="ACI69" s="0" t="n">
        <v>2.28</v>
      </c>
      <c r="ACJ69" s="0" t="n">
        <v>3</v>
      </c>
      <c r="ADQ69" s="16" t="n">
        <v>1.12</v>
      </c>
      <c r="ADR69" s="16" t="n">
        <v>1</v>
      </c>
      <c r="ADS69" s="16" t="n">
        <v>1</v>
      </c>
      <c r="ADT69" s="16"/>
      <c r="ADU69" s="16" t="n">
        <v>2.24</v>
      </c>
      <c r="ADV69" s="16"/>
      <c r="ADW69" s="16"/>
      <c r="ADX69" s="16"/>
      <c r="ADY69" s="16"/>
      <c r="ADZ69" s="16"/>
      <c r="AEA69" s="16"/>
      <c r="AEB69" s="16" t="n">
        <v>6.72</v>
      </c>
      <c r="AEC69" s="16" t="n">
        <v>0</v>
      </c>
      <c r="AED69" s="16" t="n">
        <v>0</v>
      </c>
      <c r="AEE69" s="16" t="n">
        <v>0</v>
      </c>
      <c r="AEF69" s="16" t="n">
        <v>0</v>
      </c>
      <c r="AEG69" s="16" t="n">
        <v>0</v>
      </c>
      <c r="AEH69" s="16" t="n">
        <v>0</v>
      </c>
      <c r="AEI69" s="0" t="n">
        <v>1</v>
      </c>
      <c r="AEJ69" s="0" t="s">
        <v>303</v>
      </c>
      <c r="AEK69" s="0" t="n">
        <v>18</v>
      </c>
      <c r="AEL69" s="16" t="n">
        <v>84.7</v>
      </c>
      <c r="AEM69" s="16" t="n">
        <v>80.4</v>
      </c>
      <c r="AEN69" s="16" t="n">
        <v>6.7</v>
      </c>
      <c r="AEO69" s="0" t="n">
        <v>100</v>
      </c>
      <c r="AEQ69" s="0" t="n">
        <v>0</v>
      </c>
      <c r="AER69" s="0" t="n">
        <v>0</v>
      </c>
      <c r="AES69" s="0" t="n">
        <v>0</v>
      </c>
      <c r="AET69" s="0" t="n">
        <v>0</v>
      </c>
      <c r="AEU69" s="0" t="n">
        <v>0</v>
      </c>
      <c r="AEV69" s="0" t="n">
        <v>0</v>
      </c>
      <c r="AEW69" s="0" t="n">
        <v>0</v>
      </c>
      <c r="AEX69" s="0" t="n">
        <v>0</v>
      </c>
      <c r="AEY69" s="0" t="n">
        <v>0</v>
      </c>
      <c r="AEZ69" s="0" t="n">
        <v>14.84</v>
      </c>
      <c r="AFA69" s="0" t="n">
        <v>28.79</v>
      </c>
      <c r="AFB69" s="0" t="n">
        <v>1.9</v>
      </c>
      <c r="AFC69" s="0" t="n">
        <v>0</v>
      </c>
      <c r="AFD69" s="0" t="n">
        <v>0</v>
      </c>
      <c r="AFE69" s="0" t="n">
        <v>0</v>
      </c>
      <c r="AFF69" s="0" t="n">
        <v>0</v>
      </c>
      <c r="AFS69" s="0" t="n">
        <v>1.9</v>
      </c>
      <c r="AFT69" s="0" t="n">
        <v>0</v>
      </c>
      <c r="AGE69" s="20"/>
      <c r="AGW69" s="0" t="n">
        <v>1</v>
      </c>
      <c r="AGX69" s="0" t="n">
        <v>50</v>
      </c>
      <c r="AGY69" s="0" t="n">
        <v>3</v>
      </c>
      <c r="AGZ69" s="0" t="n">
        <v>2.28</v>
      </c>
      <c r="AHA69" s="0" t="n">
        <v>3</v>
      </c>
      <c r="AIH69" s="16" t="n">
        <v>1.12</v>
      </c>
      <c r="AII69" s="16" t="n">
        <v>1</v>
      </c>
      <c r="AIJ69" s="16" t="n">
        <v>1</v>
      </c>
      <c r="AIK69" s="16"/>
      <c r="AIL69" s="16" t="n">
        <v>2.24</v>
      </c>
      <c r="AIM69" s="16"/>
      <c r="AIN69" s="16"/>
      <c r="AIO69" s="16"/>
      <c r="AIP69" s="16"/>
      <c r="AIQ69" s="16"/>
      <c r="AIR69" s="16"/>
      <c r="AIS69" s="16" t="n">
        <v>0</v>
      </c>
      <c r="AIT69" s="16" t="n">
        <v>0</v>
      </c>
      <c r="AIU69" s="16" t="n">
        <v>0</v>
      </c>
      <c r="AIV69" s="16" t="n">
        <v>0</v>
      </c>
      <c r="AIW69" s="16" t="n">
        <v>6.72</v>
      </c>
      <c r="AIX69" s="16" t="n">
        <v>0</v>
      </c>
      <c r="AIY69" s="16" t="n">
        <v>0</v>
      </c>
      <c r="AIZ69" s="0" t="n">
        <v>1</v>
      </c>
      <c r="AJA69" s="0" t="s">
        <v>304</v>
      </c>
      <c r="AJB69" s="0" t="n">
        <v>29</v>
      </c>
      <c r="AJC69" s="16" t="n">
        <v>84.9</v>
      </c>
      <c r="AJD69" s="16" t="n">
        <v>80.4</v>
      </c>
      <c r="AJE69" s="16" t="n">
        <v>22.7</v>
      </c>
      <c r="AJF69" s="0" t="n">
        <v>47.69</v>
      </c>
      <c r="AJH69" s="0" t="n">
        <v>0</v>
      </c>
      <c r="AJI69" s="0" t="n">
        <v>0</v>
      </c>
      <c r="AJJ69" s="0" t="n">
        <v>22.69</v>
      </c>
      <c r="AJK69" s="0" t="n">
        <v>0</v>
      </c>
      <c r="AJL69" s="0" t="n">
        <v>28.56</v>
      </c>
      <c r="AJM69" s="0" t="n">
        <v>0</v>
      </c>
      <c r="AJN69" s="0" t="n">
        <v>0</v>
      </c>
      <c r="AJO69" s="0" t="n">
        <v>0</v>
      </c>
      <c r="AJP69" s="0" t="n">
        <v>0</v>
      </c>
      <c r="AJQ69" s="0" t="n">
        <v>30.64</v>
      </c>
      <c r="AJR69" s="0" t="n">
        <v>8.38</v>
      </c>
      <c r="AJS69" s="0" t="n">
        <v>43.35</v>
      </c>
      <c r="AJT69" s="0" t="n">
        <v>6.09</v>
      </c>
      <c r="AJU69" s="0" t="n">
        <v>0</v>
      </c>
      <c r="AJV69" s="0" t="n">
        <v>0</v>
      </c>
      <c r="AJW69" s="0" t="n">
        <v>0</v>
      </c>
      <c r="AKJ69" s="0" t="n">
        <v>2.5</v>
      </c>
      <c r="AKK69" s="0" t="n">
        <v>1</v>
      </c>
      <c r="AKL69" s="0" t="n">
        <v>35</v>
      </c>
      <c r="AKM69" s="0" t="n">
        <v>4</v>
      </c>
      <c r="AKN69" s="0" t="n">
        <v>0.54</v>
      </c>
      <c r="AKO69" s="0" t="n">
        <v>3</v>
      </c>
      <c r="AKV69" s="20"/>
      <c r="ALN69" s="0" t="n">
        <v>1</v>
      </c>
      <c r="ALO69" s="0" t="n">
        <v>40</v>
      </c>
      <c r="ALP69" s="0" t="n">
        <v>2</v>
      </c>
      <c r="ALQ69" s="0" t="n">
        <v>0.26</v>
      </c>
      <c r="ALR69" s="0" t="n">
        <v>3</v>
      </c>
    </row>
    <row r="70" customFormat="false" ht="13.8" hidden="false" customHeight="false" outlineLevel="0" collapsed="false">
      <c r="A70" s="1" t="s">
        <v>431</v>
      </c>
      <c r="B70" s="12" t="n">
        <v>42900</v>
      </c>
      <c r="C70" s="0" t="n">
        <v>2</v>
      </c>
      <c r="D70" s="13" t="n">
        <v>35576</v>
      </c>
      <c r="E70" s="12" t="n">
        <v>28068</v>
      </c>
      <c r="F70" s="14" t="n">
        <f aca="false">(B70-E70)/365.25</f>
        <v>40.6078028747433</v>
      </c>
      <c r="G70" s="14" t="n">
        <f aca="false">(B70-D70)/365.25</f>
        <v>20.0520191649555</v>
      </c>
      <c r="H70" s="15" t="s">
        <v>183</v>
      </c>
      <c r="I70" s="15" t="s">
        <v>298</v>
      </c>
      <c r="J70" s="15" t="s">
        <v>181</v>
      </c>
      <c r="K70" s="21" t="n">
        <v>8</v>
      </c>
      <c r="L70" s="19" t="n">
        <v>73</v>
      </c>
      <c r="M70" s="0" t="n">
        <v>1.72</v>
      </c>
      <c r="N70" s="16" t="n">
        <f aca="false">L70/(M70*M70)</f>
        <v>24.6755002704164</v>
      </c>
      <c r="O70" s="19" t="n">
        <v>0</v>
      </c>
      <c r="P70" s="19" t="n">
        <v>0</v>
      </c>
      <c r="Q70" s="19" t="n">
        <v>0</v>
      </c>
      <c r="R70" s="19" t="n">
        <v>0</v>
      </c>
      <c r="S70" s="19" t="n">
        <v>0</v>
      </c>
      <c r="T70" s="19" t="n">
        <v>0</v>
      </c>
      <c r="U70" s="19" t="n">
        <v>0</v>
      </c>
      <c r="V70" s="19" t="n">
        <v>0</v>
      </c>
      <c r="W70" s="19" t="n">
        <v>0</v>
      </c>
      <c r="X70" s="19" t="n">
        <v>0</v>
      </c>
      <c r="Y70" s="19" t="n">
        <v>1</v>
      </c>
      <c r="Z70" s="19" t="n">
        <v>2</v>
      </c>
      <c r="AA70" s="19" t="n">
        <v>90</v>
      </c>
      <c r="AB70" s="19" t="s">
        <v>284</v>
      </c>
      <c r="AC70" s="19" t="n">
        <v>0</v>
      </c>
      <c r="AD70" s="19" t="n">
        <v>0</v>
      </c>
      <c r="AE70" s="19"/>
      <c r="AF70" s="19"/>
      <c r="AG70" s="19"/>
      <c r="AH70" s="19"/>
      <c r="AI70" s="19" t="n">
        <v>1</v>
      </c>
      <c r="AJ70" s="19" t="n">
        <v>1</v>
      </c>
      <c r="AK70" s="19" t="n">
        <v>1</v>
      </c>
      <c r="AL70" s="19" t="n">
        <v>6</v>
      </c>
      <c r="AM70" s="19" t="n">
        <v>0</v>
      </c>
      <c r="AN70" s="19" t="n">
        <v>0</v>
      </c>
      <c r="AO70" s="19" t="n">
        <v>0</v>
      </c>
      <c r="AP70" s="19" t="n">
        <v>0</v>
      </c>
      <c r="AQ70" s="19" t="n">
        <v>0</v>
      </c>
      <c r="AR70" s="19" t="n">
        <v>0</v>
      </c>
      <c r="AS70" s="19" t="n">
        <v>3</v>
      </c>
      <c r="AT70" s="19" t="n">
        <v>1</v>
      </c>
      <c r="AU70" s="19" t="n">
        <v>1</v>
      </c>
      <c r="AV70" s="19" t="n">
        <v>7</v>
      </c>
      <c r="AW70" s="19" t="n">
        <v>0</v>
      </c>
      <c r="AX70" s="19" t="n">
        <v>0</v>
      </c>
      <c r="AY70" s="19" t="n">
        <v>0</v>
      </c>
      <c r="AZ70" s="19" t="n">
        <v>0</v>
      </c>
      <c r="BA70" s="19" t="n">
        <v>0</v>
      </c>
      <c r="BB70" s="19" t="n">
        <v>0</v>
      </c>
      <c r="BC70" s="19" t="n">
        <v>0</v>
      </c>
      <c r="BD70" s="19" t="n">
        <v>0</v>
      </c>
      <c r="BE70" s="19" t="n">
        <v>0</v>
      </c>
      <c r="BF70" s="19" t="n">
        <v>0</v>
      </c>
      <c r="BG70" s="19" t="n">
        <v>0</v>
      </c>
      <c r="BH70" s="19" t="n">
        <v>0</v>
      </c>
      <c r="BI70" s="19" t="n">
        <v>0</v>
      </c>
      <c r="BJ70" s="19" t="n">
        <v>0</v>
      </c>
      <c r="BK70" s="19" t="n">
        <v>0</v>
      </c>
      <c r="BL70" s="19" t="n">
        <v>0</v>
      </c>
      <c r="BM70" s="19" t="n">
        <v>0</v>
      </c>
      <c r="BN70" s="19" t="n">
        <v>0</v>
      </c>
      <c r="BO70" s="19" t="n">
        <v>0</v>
      </c>
      <c r="BP70" s="19" t="n">
        <v>0</v>
      </c>
      <c r="BQ70" s="19" t="n">
        <v>0</v>
      </c>
      <c r="BR70" s="19" t="n">
        <v>3</v>
      </c>
      <c r="BS70" s="19" t="n">
        <v>3</v>
      </c>
      <c r="BT70" s="19" t="n">
        <v>5</v>
      </c>
      <c r="BU70" s="19" t="n">
        <v>5</v>
      </c>
      <c r="BV70" s="19" t="n">
        <v>3</v>
      </c>
      <c r="BW70" s="19" t="n">
        <v>4</v>
      </c>
      <c r="BX70" s="19" t="n">
        <v>3</v>
      </c>
      <c r="BY70" s="19" t="n">
        <v>3</v>
      </c>
      <c r="BZ70" s="19" t="n">
        <v>1</v>
      </c>
      <c r="CA70" s="19" t="n">
        <v>2</v>
      </c>
      <c r="CB70" s="19" t="n">
        <v>3</v>
      </c>
      <c r="CC70" s="19" t="n">
        <v>4</v>
      </c>
      <c r="CD70" s="19" t="n">
        <v>1</v>
      </c>
      <c r="CE70" s="19" t="n">
        <v>2</v>
      </c>
      <c r="CF70" s="19" t="n">
        <v>4</v>
      </c>
      <c r="CG70" s="19" t="n">
        <v>3</v>
      </c>
      <c r="CH70" s="19" t="n">
        <v>2</v>
      </c>
      <c r="CI70" s="19" t="n">
        <v>3</v>
      </c>
      <c r="CJ70" s="19" t="n">
        <v>1</v>
      </c>
      <c r="CK70" s="19" t="n">
        <v>10</v>
      </c>
      <c r="CL70" s="0" t="s">
        <v>299</v>
      </c>
      <c r="CM70" s="0" t="n">
        <v>17.5</v>
      </c>
      <c r="CN70" s="16" t="n">
        <v>81.9</v>
      </c>
      <c r="CO70" s="16" t="n">
        <v>80.4</v>
      </c>
      <c r="CP70" s="16" t="n">
        <v>12.5</v>
      </c>
      <c r="CQ70" s="0" t="n">
        <v>85.79</v>
      </c>
      <c r="CS70" s="0" t="n">
        <v>10.02</v>
      </c>
      <c r="CT70" s="0" t="n">
        <v>0</v>
      </c>
      <c r="CU70" s="0" t="n">
        <v>0</v>
      </c>
      <c r="CV70" s="0" t="n">
        <v>0</v>
      </c>
      <c r="CW70" s="0" t="n">
        <v>4.19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53.51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U70" s="0" t="n">
        <v>0</v>
      </c>
      <c r="DV70" s="0" t="n">
        <v>0</v>
      </c>
      <c r="EG70" s="20"/>
      <c r="EY70" s="0" t="n">
        <v>0</v>
      </c>
      <c r="GJ70" s="16" t="n">
        <v>3.38</v>
      </c>
      <c r="GK70" s="16" t="n">
        <v>1</v>
      </c>
      <c r="GL70" s="16" t="n">
        <v>1</v>
      </c>
      <c r="GM70" s="16"/>
      <c r="GN70" s="16" t="n">
        <v>12.64</v>
      </c>
      <c r="GO70" s="16"/>
      <c r="GP70" s="16"/>
      <c r="GQ70" s="16"/>
      <c r="GR70" s="16"/>
      <c r="GS70" s="16"/>
      <c r="GT70" s="16"/>
      <c r="GU70" s="16" t="n">
        <v>0</v>
      </c>
      <c r="GV70" s="16" t="n">
        <v>0</v>
      </c>
      <c r="GW70" s="16" t="n">
        <v>0</v>
      </c>
      <c r="GX70" s="16" t="n">
        <v>0</v>
      </c>
      <c r="GY70" s="16" t="n">
        <v>0</v>
      </c>
      <c r="GZ70" s="16" t="n">
        <v>0</v>
      </c>
      <c r="HA70" s="16" t="n">
        <v>0</v>
      </c>
      <c r="HB70" s="0" t="n">
        <v>0</v>
      </c>
      <c r="HC70" s="0" t="s">
        <v>300</v>
      </c>
      <c r="HD70" s="0" t="n">
        <v>31</v>
      </c>
      <c r="HE70" s="16" t="n">
        <v>86.2</v>
      </c>
      <c r="HF70" s="16" t="n">
        <v>80.4</v>
      </c>
      <c r="HG70" s="16" t="n">
        <v>19.4</v>
      </c>
      <c r="HH70" s="0" t="n">
        <v>23.44</v>
      </c>
      <c r="HJ70" s="0" t="n">
        <v>0</v>
      </c>
      <c r="HK70" s="0" t="n">
        <v>0</v>
      </c>
      <c r="HL70" s="0" t="n">
        <v>0.94</v>
      </c>
      <c r="HM70" s="0" t="n">
        <v>0</v>
      </c>
      <c r="HN70" s="0" t="n">
        <v>75.62</v>
      </c>
      <c r="HO70" s="0" t="n">
        <v>16.83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6.9</v>
      </c>
      <c r="HU70" s="0" t="n">
        <v>42.32</v>
      </c>
      <c r="HV70" s="0" t="n">
        <v>0</v>
      </c>
      <c r="HW70" s="0" t="n">
        <v>0</v>
      </c>
      <c r="HX70" s="0" t="n">
        <v>0</v>
      </c>
      <c r="HY70" s="0" t="n">
        <v>0</v>
      </c>
      <c r="IL70" s="0" t="n">
        <v>0</v>
      </c>
      <c r="IM70" s="0" t="n">
        <v>0</v>
      </c>
      <c r="IX70" s="20"/>
      <c r="JP70" s="0" t="n">
        <v>0</v>
      </c>
      <c r="LA70" s="16" t="n">
        <v>5.06</v>
      </c>
      <c r="LB70" s="16" t="n">
        <v>1</v>
      </c>
      <c r="LC70" s="16" t="n">
        <v>1</v>
      </c>
      <c r="LD70" s="16"/>
      <c r="LE70" s="16" t="n">
        <v>6.74</v>
      </c>
      <c r="LF70" s="16" t="n">
        <v>2</v>
      </c>
      <c r="LG70" s="16"/>
      <c r="LH70" s="16" t="n">
        <v>10.7</v>
      </c>
      <c r="LI70" s="16"/>
      <c r="LJ70" s="16"/>
      <c r="LK70" s="16"/>
      <c r="LL70" s="16" t="n">
        <v>0</v>
      </c>
      <c r="LM70" s="16" t="n">
        <v>0</v>
      </c>
      <c r="LN70" s="16" t="n">
        <v>0</v>
      </c>
      <c r="LO70" s="16" t="n">
        <v>0</v>
      </c>
      <c r="LP70" s="16" t="n">
        <v>5.97</v>
      </c>
      <c r="LQ70" s="16" t="n">
        <v>0</v>
      </c>
      <c r="LR70" s="16" t="n">
        <v>0</v>
      </c>
      <c r="LS70" s="0" t="n">
        <v>1</v>
      </c>
      <c r="LT70" s="0" t="s">
        <v>301</v>
      </c>
      <c r="LU70" s="0" t="n">
        <v>44</v>
      </c>
      <c r="LV70" s="16" t="n">
        <v>88.4</v>
      </c>
      <c r="LW70" s="16" t="n">
        <v>80.4</v>
      </c>
      <c r="LX70" s="16" t="n">
        <v>40</v>
      </c>
      <c r="LY70" s="0" t="n">
        <v>11.38</v>
      </c>
      <c r="MA70" s="0" t="n">
        <v>0</v>
      </c>
      <c r="MB70" s="0" t="n">
        <v>0</v>
      </c>
      <c r="MC70" s="0" t="n">
        <v>0</v>
      </c>
      <c r="MD70" s="0" t="n">
        <v>0</v>
      </c>
      <c r="ME70" s="0" t="n">
        <v>88.62</v>
      </c>
      <c r="MF70" s="0" t="n">
        <v>22.58</v>
      </c>
      <c r="MG70" s="0" t="n">
        <v>24.22</v>
      </c>
      <c r="MH70" s="0" t="n">
        <v>0</v>
      </c>
      <c r="MI70" s="0" t="n">
        <v>0</v>
      </c>
      <c r="MJ70" s="0" t="n">
        <v>0</v>
      </c>
      <c r="MK70" s="0" t="n">
        <v>26.59</v>
      </c>
      <c r="ML70" s="0" t="n">
        <v>0.54</v>
      </c>
      <c r="MM70" s="0" t="n">
        <v>0</v>
      </c>
      <c r="MN70" s="0" t="n">
        <v>0</v>
      </c>
      <c r="MO70" s="0" t="n">
        <v>0</v>
      </c>
      <c r="MP70" s="0" t="n">
        <v>0</v>
      </c>
      <c r="NC70" s="0" t="n">
        <v>0</v>
      </c>
      <c r="ND70" s="0" t="n">
        <v>0</v>
      </c>
      <c r="NO70" s="20"/>
      <c r="OG70" s="0" t="n">
        <v>1</v>
      </c>
      <c r="OH70" s="0" t="n">
        <v>40</v>
      </c>
      <c r="OI70" s="0" t="n">
        <v>2</v>
      </c>
      <c r="OJ70" s="0" t="n">
        <v>0.26</v>
      </c>
      <c r="OK70" s="0" t="n">
        <v>3</v>
      </c>
      <c r="PR70" s="16" t="n">
        <v>3.77</v>
      </c>
      <c r="PS70" s="16" t="n">
        <v>1</v>
      </c>
      <c r="PT70" s="16" t="n">
        <v>1</v>
      </c>
      <c r="PU70" s="16"/>
      <c r="PV70" s="16" t="n">
        <v>25.78</v>
      </c>
      <c r="PW70" s="16"/>
      <c r="PX70" s="16"/>
      <c r="PY70" s="16"/>
      <c r="PZ70" s="16"/>
      <c r="QA70" s="16"/>
      <c r="QB70" s="16"/>
      <c r="QC70" s="16" t="n">
        <v>0</v>
      </c>
      <c r="QD70" s="16" t="n">
        <v>0</v>
      </c>
      <c r="QE70" s="16" t="n">
        <v>0</v>
      </c>
      <c r="QF70" s="16" t="n">
        <v>0</v>
      </c>
      <c r="QG70" s="16" t="n">
        <v>0</v>
      </c>
      <c r="QH70" s="16" t="n">
        <v>0</v>
      </c>
      <c r="QI70" s="16" t="n">
        <v>0</v>
      </c>
      <c r="QJ70" s="0" t="n">
        <v>0</v>
      </c>
      <c r="QK70" s="0" t="s">
        <v>207</v>
      </c>
      <c r="QL70" s="0" t="n">
        <v>20.5</v>
      </c>
      <c r="QM70" s="16" t="n">
        <v>85.6</v>
      </c>
      <c r="QN70" s="16" t="n">
        <v>80.4</v>
      </c>
      <c r="QO70" s="16" t="n">
        <v>17.7</v>
      </c>
      <c r="QP70" s="0" t="n">
        <v>63.65</v>
      </c>
      <c r="QR70" s="0" t="n">
        <v>0</v>
      </c>
      <c r="QS70" s="0" t="n">
        <v>0</v>
      </c>
      <c r="QT70" s="0" t="n">
        <v>47.03</v>
      </c>
      <c r="QU70" s="0" t="n">
        <v>0</v>
      </c>
      <c r="QV70" s="0" t="n">
        <v>11.64</v>
      </c>
      <c r="QW70" s="0" t="n">
        <v>0</v>
      </c>
      <c r="QX70" s="0" t="n">
        <v>0</v>
      </c>
      <c r="QY70" s="0" t="n">
        <v>5.03</v>
      </c>
      <c r="QZ70" s="0" t="n">
        <v>0</v>
      </c>
      <c r="RA70" s="0" t="n">
        <v>2.93</v>
      </c>
      <c r="RB70" s="0" t="n">
        <v>24.27</v>
      </c>
      <c r="RC70" s="0" t="n">
        <v>17.25</v>
      </c>
      <c r="RD70" s="0" t="n">
        <v>0</v>
      </c>
      <c r="RE70" s="0" t="n">
        <v>0</v>
      </c>
      <c r="RF70" s="0" t="n">
        <v>0</v>
      </c>
      <c r="RG70" s="0" t="n">
        <v>0</v>
      </c>
      <c r="RT70" s="0" t="n">
        <v>0</v>
      </c>
      <c r="RU70" s="0" t="n">
        <v>0</v>
      </c>
      <c r="SF70" s="20"/>
      <c r="SX70" s="0" t="n">
        <v>0</v>
      </c>
      <c r="UI70" s="16" t="n">
        <v>1.47</v>
      </c>
      <c r="UJ70" s="16" t="n">
        <v>1</v>
      </c>
      <c r="UK70" s="16" t="n">
        <v>1</v>
      </c>
      <c r="UL70" s="16"/>
      <c r="UM70" s="16" t="n">
        <v>2.94</v>
      </c>
      <c r="UN70" s="16"/>
      <c r="UO70" s="16"/>
      <c r="UP70" s="16"/>
      <c r="UQ70" s="16"/>
      <c r="UR70" s="16"/>
      <c r="US70" s="16"/>
      <c r="UT70" s="16" t="n">
        <v>0</v>
      </c>
      <c r="UU70" s="16" t="n">
        <v>0</v>
      </c>
      <c r="UV70" s="16" t="n">
        <v>0</v>
      </c>
      <c r="UW70" s="16" t="n">
        <v>0</v>
      </c>
      <c r="UX70" s="16" t="n">
        <v>0</v>
      </c>
      <c r="UY70" s="16" t="n">
        <v>0</v>
      </c>
      <c r="UZ70" s="16" t="n">
        <v>0</v>
      </c>
      <c r="VA70" s="0" t="n">
        <v>0</v>
      </c>
      <c r="VB70" s="0" t="s">
        <v>208</v>
      </c>
      <c r="VC70" s="0" t="n">
        <v>35</v>
      </c>
      <c r="VD70" s="16" t="n">
        <v>69.2</v>
      </c>
      <c r="VE70" s="16" t="n">
        <v>80.4</v>
      </c>
      <c r="VF70" s="16" t="n">
        <v>24</v>
      </c>
      <c r="VG70" s="0" t="n">
        <v>71.73</v>
      </c>
      <c r="VI70" s="0" t="n">
        <v>0</v>
      </c>
      <c r="VJ70" s="0" t="n">
        <v>6.09</v>
      </c>
      <c r="VK70" s="0" t="n">
        <v>19.28</v>
      </c>
      <c r="VL70" s="0" t="n">
        <v>0</v>
      </c>
      <c r="VM70" s="0" t="n">
        <v>2.83</v>
      </c>
      <c r="VN70" s="0" t="n">
        <v>0</v>
      </c>
      <c r="VO70" s="0" t="n">
        <v>0</v>
      </c>
      <c r="VP70" s="0" t="n">
        <v>0</v>
      </c>
      <c r="VQ70" s="0" t="n">
        <v>0</v>
      </c>
      <c r="VR70" s="0" t="n">
        <v>14.46</v>
      </c>
      <c r="VS70" s="0" t="n">
        <v>19.89</v>
      </c>
      <c r="VT70" s="0" t="n">
        <v>24.43</v>
      </c>
      <c r="VU70" s="0" t="n">
        <v>0</v>
      </c>
      <c r="VV70" s="0" t="n">
        <v>0.07</v>
      </c>
      <c r="VW70" s="0" t="n">
        <v>0</v>
      </c>
      <c r="VX70" s="0" t="n">
        <v>0</v>
      </c>
      <c r="WK70" s="0" t="n">
        <v>2</v>
      </c>
      <c r="WL70" s="0" t="n">
        <v>0</v>
      </c>
      <c r="WW70" s="20"/>
      <c r="XO70" s="0" t="n">
        <v>1</v>
      </c>
      <c r="XP70" s="0" t="n">
        <v>40</v>
      </c>
      <c r="XQ70" s="0" t="n">
        <v>2</v>
      </c>
      <c r="XR70" s="0" t="n">
        <v>1.52</v>
      </c>
      <c r="XS70" s="0" t="n">
        <v>3</v>
      </c>
      <c r="XT70" s="0" t="n">
        <v>50</v>
      </c>
      <c r="XU70" s="0" t="n">
        <v>4</v>
      </c>
      <c r="XV70" s="0" t="n">
        <v>0.54</v>
      </c>
      <c r="XW70" s="0" t="n">
        <v>1</v>
      </c>
      <c r="YZ70" s="16" t="n">
        <v>1.6</v>
      </c>
      <c r="ZA70" s="16" t="n">
        <v>1</v>
      </c>
      <c r="ZB70" s="16" t="n">
        <v>1</v>
      </c>
      <c r="ZC70" s="16"/>
      <c r="ZD70" s="16" t="n">
        <v>7.09</v>
      </c>
      <c r="ZE70" s="16"/>
      <c r="ZF70" s="16"/>
      <c r="ZG70" s="16"/>
      <c r="ZH70" s="16"/>
      <c r="ZI70" s="16"/>
      <c r="ZJ70" s="16"/>
      <c r="ZK70" s="16" t="n">
        <v>1.12</v>
      </c>
      <c r="ZL70" s="16" t="n">
        <v>0.27</v>
      </c>
      <c r="ZM70" s="16" t="n">
        <v>0</v>
      </c>
      <c r="ZN70" s="16" t="n">
        <v>0</v>
      </c>
      <c r="ZO70" s="16" t="n">
        <v>0</v>
      </c>
      <c r="ZP70" s="16" t="n">
        <v>0</v>
      </c>
      <c r="ZQ70" s="16" t="n">
        <v>3</v>
      </c>
      <c r="ZR70" s="0" t="n">
        <v>0</v>
      </c>
      <c r="ZS70" s="0" t="s">
        <v>302</v>
      </c>
      <c r="ZT70" s="0" t="n">
        <v>22</v>
      </c>
      <c r="ZU70" s="16" t="n">
        <v>87.6</v>
      </c>
      <c r="ZV70" s="16" t="n">
        <v>80.4</v>
      </c>
      <c r="ZW70" s="16" t="n">
        <v>4.5</v>
      </c>
      <c r="ZX70" s="0" t="n">
        <v>100</v>
      </c>
      <c r="ZZ70" s="0" t="n">
        <v>0</v>
      </c>
      <c r="AAA70" s="0" t="n">
        <v>0</v>
      </c>
      <c r="AAB70" s="0" t="n">
        <v>0</v>
      </c>
      <c r="AAC70" s="0" t="n">
        <v>0</v>
      </c>
      <c r="AAD70" s="0" t="n">
        <v>0</v>
      </c>
      <c r="AAE70" s="0" t="n">
        <v>0</v>
      </c>
      <c r="AAF70" s="0" t="n">
        <v>0</v>
      </c>
      <c r="AAG70" s="0" t="n">
        <v>0</v>
      </c>
      <c r="AAH70" s="0" t="n">
        <v>0</v>
      </c>
      <c r="AAI70" s="0" t="n">
        <v>1.14</v>
      </c>
      <c r="AAJ70" s="0" t="n">
        <v>27.07</v>
      </c>
      <c r="AAK70" s="0" t="n">
        <v>1.9</v>
      </c>
      <c r="AAL70" s="0" t="n">
        <v>0</v>
      </c>
      <c r="AAM70" s="0" t="n">
        <v>0</v>
      </c>
      <c r="AAN70" s="0" t="n">
        <v>0</v>
      </c>
      <c r="AAO70" s="0" t="n">
        <v>0</v>
      </c>
      <c r="ABB70" s="0" t="n">
        <v>8</v>
      </c>
      <c r="ABC70" s="0" t="n">
        <v>1</v>
      </c>
      <c r="ABD70" s="0" t="n">
        <v>35</v>
      </c>
      <c r="ABE70" s="0" t="n">
        <v>2</v>
      </c>
      <c r="ABF70" s="0" t="n">
        <v>1.52</v>
      </c>
      <c r="ABG70" s="0" t="n">
        <v>3</v>
      </c>
      <c r="ABN70" s="20"/>
      <c r="ACF70" s="0" t="n">
        <v>1</v>
      </c>
      <c r="ACG70" s="0" t="n">
        <v>40</v>
      </c>
      <c r="ACH70" s="0" t="n">
        <v>3</v>
      </c>
      <c r="ACI70" s="0" t="n">
        <v>2.28</v>
      </c>
      <c r="ACJ70" s="0" t="n">
        <v>3</v>
      </c>
      <c r="ADQ70" s="16" t="n">
        <v>1.12</v>
      </c>
      <c r="ADR70" s="16" t="n">
        <v>1</v>
      </c>
      <c r="ADS70" s="16" t="n">
        <v>1</v>
      </c>
      <c r="ADT70" s="16"/>
      <c r="ADU70" s="16" t="n">
        <v>2.24</v>
      </c>
      <c r="ADV70" s="16"/>
      <c r="ADW70" s="16"/>
      <c r="ADX70" s="16"/>
      <c r="ADY70" s="16"/>
      <c r="ADZ70" s="16"/>
      <c r="AEA70" s="16"/>
      <c r="AEB70" s="16" t="n">
        <v>6.72</v>
      </c>
      <c r="AEC70" s="16" t="n">
        <v>0</v>
      </c>
      <c r="AED70" s="16" t="n">
        <v>0</v>
      </c>
      <c r="AEE70" s="16" t="n">
        <v>0</v>
      </c>
      <c r="AEF70" s="16" t="n">
        <v>0</v>
      </c>
      <c r="AEG70" s="16" t="n">
        <v>0</v>
      </c>
      <c r="AEH70" s="16" t="n">
        <v>0</v>
      </c>
      <c r="AEI70" s="0" t="n">
        <v>1</v>
      </c>
      <c r="AEJ70" s="0" t="s">
        <v>303</v>
      </c>
      <c r="AEK70" s="0" t="n">
        <v>18</v>
      </c>
      <c r="AEL70" s="16" t="n">
        <v>84.7</v>
      </c>
      <c r="AEM70" s="16" t="n">
        <v>80.4</v>
      </c>
      <c r="AEN70" s="16" t="n">
        <v>6.7</v>
      </c>
      <c r="AEO70" s="0" t="n">
        <v>100</v>
      </c>
      <c r="AEQ70" s="0" t="n">
        <v>0</v>
      </c>
      <c r="AER70" s="0" t="n">
        <v>0</v>
      </c>
      <c r="AES70" s="0" t="n">
        <v>0</v>
      </c>
      <c r="AET70" s="0" t="n">
        <v>0</v>
      </c>
      <c r="AEU70" s="0" t="n">
        <v>0</v>
      </c>
      <c r="AEV70" s="0" t="n">
        <v>0</v>
      </c>
      <c r="AEW70" s="0" t="n">
        <v>0</v>
      </c>
      <c r="AEX70" s="0" t="n">
        <v>0</v>
      </c>
      <c r="AEY70" s="0" t="n">
        <v>0</v>
      </c>
      <c r="AEZ70" s="0" t="n">
        <v>14.84</v>
      </c>
      <c r="AFA70" s="0" t="n">
        <v>28.79</v>
      </c>
      <c r="AFB70" s="0" t="n">
        <v>1.9</v>
      </c>
      <c r="AFC70" s="0" t="n">
        <v>0</v>
      </c>
      <c r="AFD70" s="0" t="n">
        <v>0</v>
      </c>
      <c r="AFE70" s="0" t="n">
        <v>0</v>
      </c>
      <c r="AFF70" s="0" t="n">
        <v>0</v>
      </c>
      <c r="AFS70" s="0" t="n">
        <v>1.9</v>
      </c>
      <c r="AFT70" s="0" t="n">
        <v>0</v>
      </c>
      <c r="AGE70" s="20"/>
      <c r="AGW70" s="0" t="n">
        <v>1</v>
      </c>
      <c r="AGX70" s="0" t="n">
        <v>50</v>
      </c>
      <c r="AGY70" s="0" t="n">
        <v>3</v>
      </c>
      <c r="AGZ70" s="0" t="n">
        <v>2.28</v>
      </c>
      <c r="AHA70" s="0" t="n">
        <v>3</v>
      </c>
      <c r="AIH70" s="16" t="n">
        <v>1.12</v>
      </c>
      <c r="AII70" s="16" t="n">
        <v>1</v>
      </c>
      <c r="AIJ70" s="16" t="n">
        <v>1</v>
      </c>
      <c r="AIK70" s="16"/>
      <c r="AIL70" s="16" t="n">
        <v>2.24</v>
      </c>
      <c r="AIM70" s="16"/>
      <c r="AIN70" s="16"/>
      <c r="AIO70" s="16"/>
      <c r="AIP70" s="16"/>
      <c r="AIQ70" s="16"/>
      <c r="AIR70" s="16"/>
      <c r="AIS70" s="16" t="n">
        <v>0</v>
      </c>
      <c r="AIT70" s="16" t="n">
        <v>0</v>
      </c>
      <c r="AIU70" s="16" t="n">
        <v>0</v>
      </c>
      <c r="AIV70" s="16" t="n">
        <v>0</v>
      </c>
      <c r="AIW70" s="16" t="n">
        <v>6.72</v>
      </c>
      <c r="AIX70" s="16" t="n">
        <v>0</v>
      </c>
      <c r="AIY70" s="16" t="n">
        <v>0</v>
      </c>
      <c r="AIZ70" s="0" t="n">
        <v>1</v>
      </c>
      <c r="AJA70" s="0" t="s">
        <v>304</v>
      </c>
      <c r="AJB70" s="0" t="n">
        <v>29</v>
      </c>
      <c r="AJC70" s="16" t="n">
        <v>84.9</v>
      </c>
      <c r="AJD70" s="16" t="n">
        <v>80.4</v>
      </c>
      <c r="AJE70" s="16" t="n">
        <v>22.7</v>
      </c>
      <c r="AJF70" s="0" t="n">
        <v>47.69</v>
      </c>
      <c r="AJH70" s="0" t="n">
        <v>0</v>
      </c>
      <c r="AJI70" s="0" t="n">
        <v>0</v>
      </c>
      <c r="AJJ70" s="0" t="n">
        <v>22.69</v>
      </c>
      <c r="AJK70" s="0" t="n">
        <v>0</v>
      </c>
      <c r="AJL70" s="0" t="n">
        <v>28.56</v>
      </c>
      <c r="AJM70" s="0" t="n">
        <v>0</v>
      </c>
      <c r="AJN70" s="0" t="n">
        <v>0</v>
      </c>
      <c r="AJO70" s="0" t="n">
        <v>0</v>
      </c>
      <c r="AJP70" s="0" t="n">
        <v>0</v>
      </c>
      <c r="AJQ70" s="0" t="n">
        <v>30.64</v>
      </c>
      <c r="AJR70" s="0" t="n">
        <v>8.38</v>
      </c>
      <c r="AJS70" s="0" t="n">
        <v>43.35</v>
      </c>
      <c r="AJT70" s="0" t="n">
        <v>6.09</v>
      </c>
      <c r="AJU70" s="0" t="n">
        <v>0</v>
      </c>
      <c r="AJV70" s="0" t="n">
        <v>0</v>
      </c>
      <c r="AJW70" s="0" t="n">
        <v>0</v>
      </c>
      <c r="AKJ70" s="0" t="n">
        <v>2.5</v>
      </c>
      <c r="AKK70" s="0" t="n">
        <v>1</v>
      </c>
      <c r="AKL70" s="0" t="n">
        <v>35</v>
      </c>
      <c r="AKM70" s="0" t="n">
        <v>4</v>
      </c>
      <c r="AKN70" s="0" t="n">
        <v>0.54</v>
      </c>
      <c r="AKO70" s="0" t="n">
        <v>3</v>
      </c>
      <c r="AKV70" s="20"/>
      <c r="ALN70" s="0" t="n">
        <v>1</v>
      </c>
      <c r="ALO70" s="0" t="n">
        <v>40</v>
      </c>
      <c r="ALP70" s="0" t="n">
        <v>2</v>
      </c>
      <c r="ALQ70" s="0" t="n">
        <v>0.26</v>
      </c>
      <c r="ALR70" s="0" t="n">
        <v>3</v>
      </c>
    </row>
    <row r="71" customFormat="false" ht="13.8" hidden="false" customHeight="false" outlineLevel="0" collapsed="false">
      <c r="A71" s="1" t="s">
        <v>432</v>
      </c>
      <c r="B71" s="12" t="n">
        <v>42900</v>
      </c>
      <c r="C71" s="0" t="n">
        <v>2</v>
      </c>
      <c r="D71" s="13" t="n">
        <v>37557</v>
      </c>
      <c r="E71" s="12" t="n">
        <v>30193</v>
      </c>
      <c r="F71" s="14" t="n">
        <f aca="false">(B71-E71)/365.25</f>
        <v>34.7898699520876</v>
      </c>
      <c r="G71" s="14" t="n">
        <f aca="false">(B71-D71)/365.25</f>
        <v>14.6283367556468</v>
      </c>
      <c r="H71" s="15" t="s">
        <v>183</v>
      </c>
      <c r="I71" s="15" t="s">
        <v>298</v>
      </c>
      <c r="J71" s="15" t="s">
        <v>181</v>
      </c>
      <c r="K71" s="21" t="n">
        <v>8</v>
      </c>
      <c r="L71" s="19" t="n">
        <v>70</v>
      </c>
      <c r="M71" s="0" t="n">
        <v>1.8</v>
      </c>
      <c r="N71" s="16" t="n">
        <f aca="false">L71/(M71*M71)</f>
        <v>21.6049382716049</v>
      </c>
      <c r="O71" s="19" t="n">
        <v>0</v>
      </c>
      <c r="P71" s="19" t="n">
        <v>0</v>
      </c>
      <c r="Q71" s="19" t="n">
        <v>0</v>
      </c>
      <c r="R71" s="19" t="n">
        <v>0</v>
      </c>
      <c r="S71" s="19" t="n">
        <v>0</v>
      </c>
      <c r="T71" s="19" t="n">
        <v>0</v>
      </c>
      <c r="U71" s="19" t="n">
        <v>0</v>
      </c>
      <c r="V71" s="19" t="n">
        <v>0</v>
      </c>
      <c r="W71" s="19" t="n">
        <v>0</v>
      </c>
      <c r="X71" s="19" t="n">
        <v>0</v>
      </c>
      <c r="Y71" s="19" t="n">
        <v>1</v>
      </c>
      <c r="Z71" s="19" t="n">
        <v>2</v>
      </c>
      <c r="AA71" s="19" t="n">
        <v>120</v>
      </c>
      <c r="AB71" s="19" t="s">
        <v>284</v>
      </c>
      <c r="AC71" s="19" t="n">
        <v>0</v>
      </c>
      <c r="AD71" s="19" t="n">
        <v>0</v>
      </c>
      <c r="AE71" s="19" t="n">
        <v>0</v>
      </c>
      <c r="AF71" s="19" t="n">
        <v>0</v>
      </c>
      <c r="AG71" s="19" t="n">
        <v>0</v>
      </c>
      <c r="AH71" s="19" t="n">
        <v>0</v>
      </c>
      <c r="AI71" s="19" t="n">
        <v>3</v>
      </c>
      <c r="AJ71" s="19" t="n">
        <v>0</v>
      </c>
      <c r="AK71" s="19" t="n">
        <v>0</v>
      </c>
      <c r="AL71" s="19" t="n">
        <v>0</v>
      </c>
      <c r="AM71" s="19" t="n">
        <v>0</v>
      </c>
      <c r="AN71" s="19" t="n">
        <v>0</v>
      </c>
      <c r="AO71" s="19" t="n">
        <v>0</v>
      </c>
      <c r="AP71" s="19" t="n">
        <v>0</v>
      </c>
      <c r="AQ71" s="19" t="n">
        <v>0</v>
      </c>
      <c r="AR71" s="19" t="n">
        <v>0</v>
      </c>
      <c r="AS71" s="19" t="n">
        <v>3</v>
      </c>
      <c r="AT71" s="19" t="n">
        <v>3</v>
      </c>
      <c r="AU71" s="19" t="n">
        <v>3</v>
      </c>
      <c r="AV71" s="19" t="n">
        <v>4</v>
      </c>
      <c r="AW71" s="19" t="n">
        <v>3</v>
      </c>
      <c r="AX71" s="19" t="n">
        <v>0</v>
      </c>
      <c r="AY71" s="19" t="n">
        <v>0</v>
      </c>
      <c r="AZ71" s="19" t="n">
        <v>0</v>
      </c>
      <c r="BA71" s="19" t="n">
        <v>0</v>
      </c>
      <c r="BB71" s="19" t="n">
        <v>1</v>
      </c>
      <c r="BC71" s="19" t="n">
        <v>0</v>
      </c>
      <c r="BD71" s="19" t="n">
        <v>0</v>
      </c>
      <c r="BE71" s="19" t="n">
        <v>0</v>
      </c>
      <c r="BF71" s="19" t="n">
        <v>0</v>
      </c>
      <c r="BG71" s="19" t="n">
        <v>0</v>
      </c>
      <c r="BH71" s="19" t="n">
        <v>0</v>
      </c>
      <c r="BI71" s="19" t="n">
        <v>0</v>
      </c>
      <c r="BJ71" s="19" t="n">
        <v>0</v>
      </c>
      <c r="BK71" s="19" t="n">
        <v>0</v>
      </c>
      <c r="BL71" s="19" t="n">
        <v>0</v>
      </c>
      <c r="BM71" s="19" t="n">
        <v>0</v>
      </c>
      <c r="BN71" s="19" t="n">
        <v>0</v>
      </c>
      <c r="BO71" s="19" t="n">
        <v>0</v>
      </c>
      <c r="BP71" s="19" t="n">
        <v>0</v>
      </c>
      <c r="BQ71" s="19" t="n">
        <v>0</v>
      </c>
      <c r="BR71" s="19" t="n">
        <v>2</v>
      </c>
      <c r="BS71" s="19" t="n">
        <v>2</v>
      </c>
      <c r="BT71" s="19" t="n">
        <v>4</v>
      </c>
      <c r="BU71" s="19" t="n">
        <v>4</v>
      </c>
      <c r="BV71" s="19" t="n">
        <v>3</v>
      </c>
      <c r="BW71" s="19" t="n">
        <v>2</v>
      </c>
      <c r="BX71" s="19" t="n">
        <v>3</v>
      </c>
      <c r="BY71" s="19" t="n">
        <v>3</v>
      </c>
      <c r="BZ71" s="19" t="n">
        <v>2</v>
      </c>
      <c r="CA71" s="19" t="n">
        <v>2</v>
      </c>
      <c r="CB71" s="19" t="n">
        <v>3</v>
      </c>
      <c r="CC71" s="19" t="n">
        <v>5</v>
      </c>
      <c r="CD71" s="19" t="n">
        <v>2</v>
      </c>
      <c r="CE71" s="19" t="n">
        <v>3</v>
      </c>
      <c r="CF71" s="19" t="n">
        <v>3</v>
      </c>
      <c r="CG71" s="19" t="n">
        <v>4</v>
      </c>
      <c r="CH71" s="19" t="n">
        <v>3</v>
      </c>
      <c r="CI71" s="19" t="n">
        <v>3</v>
      </c>
      <c r="CJ71" s="19" t="n">
        <v>3</v>
      </c>
      <c r="CK71" s="19" t="n">
        <v>8</v>
      </c>
      <c r="CL71" s="0" t="s">
        <v>299</v>
      </c>
      <c r="CM71" s="0" t="n">
        <v>17.5</v>
      </c>
      <c r="CN71" s="16" t="n">
        <v>81.9</v>
      </c>
      <c r="CO71" s="16" t="n">
        <v>80.4</v>
      </c>
      <c r="CP71" s="16" t="n">
        <v>12.5</v>
      </c>
      <c r="CQ71" s="0" t="n">
        <v>85.79</v>
      </c>
      <c r="CR71" s="17" t="n">
        <v>0</v>
      </c>
      <c r="CS71" s="0" t="n">
        <v>10.02</v>
      </c>
      <c r="CT71" s="0" t="n">
        <v>0</v>
      </c>
      <c r="CU71" s="0" t="n">
        <v>0</v>
      </c>
      <c r="CV71" s="0" t="n">
        <v>0</v>
      </c>
      <c r="CW71" s="0" t="n">
        <v>4.19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53.51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U71" s="0" t="n">
        <v>0</v>
      </c>
      <c r="DV71" s="0" t="n">
        <v>0</v>
      </c>
      <c r="EG71" s="20"/>
      <c r="EY71" s="0" t="n">
        <v>0</v>
      </c>
      <c r="GJ71" s="16" t="n">
        <v>3.38</v>
      </c>
      <c r="GK71" s="16" t="n">
        <v>1</v>
      </c>
      <c r="GL71" s="16" t="n">
        <v>1</v>
      </c>
      <c r="GM71" s="16"/>
      <c r="GN71" s="16" t="n">
        <v>12.64</v>
      </c>
      <c r="GO71" s="16"/>
      <c r="GP71" s="16"/>
      <c r="GQ71" s="16"/>
      <c r="GR71" s="16"/>
      <c r="GS71" s="16"/>
      <c r="GT71" s="16"/>
      <c r="GU71" s="16" t="n">
        <v>0</v>
      </c>
      <c r="GV71" s="16" t="n">
        <v>0</v>
      </c>
      <c r="GW71" s="16" t="n">
        <v>0</v>
      </c>
      <c r="GX71" s="16" t="n">
        <v>0</v>
      </c>
      <c r="GY71" s="16" t="n">
        <v>0</v>
      </c>
      <c r="GZ71" s="16" t="n">
        <v>0</v>
      </c>
      <c r="HA71" s="16" t="n">
        <v>0</v>
      </c>
      <c r="HB71" s="0" t="n">
        <v>0</v>
      </c>
      <c r="HC71" s="0" t="s">
        <v>300</v>
      </c>
      <c r="HD71" s="0" t="n">
        <v>31</v>
      </c>
      <c r="HE71" s="16" t="n">
        <v>86.2</v>
      </c>
      <c r="HF71" s="16" t="n">
        <v>80.4</v>
      </c>
      <c r="HG71" s="16" t="n">
        <v>19.4</v>
      </c>
      <c r="HH71" s="0" t="n">
        <v>23.44</v>
      </c>
      <c r="HI71" s="17" t="n">
        <v>0</v>
      </c>
      <c r="HJ71" s="0" t="n">
        <v>0</v>
      </c>
      <c r="HK71" s="0" t="n">
        <v>0</v>
      </c>
      <c r="HL71" s="0" t="n">
        <v>0.94</v>
      </c>
      <c r="HM71" s="0" t="n">
        <v>0</v>
      </c>
      <c r="HN71" s="0" t="n">
        <v>75.62</v>
      </c>
      <c r="HO71" s="0" t="n">
        <v>16.83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6.9</v>
      </c>
      <c r="HU71" s="0" t="n">
        <v>42.32</v>
      </c>
      <c r="HV71" s="0" t="n">
        <v>0</v>
      </c>
      <c r="HW71" s="0" t="n">
        <v>0</v>
      </c>
      <c r="HX71" s="0" t="n">
        <v>0</v>
      </c>
      <c r="HY71" s="0" t="n">
        <v>0</v>
      </c>
      <c r="IL71" s="0" t="n">
        <v>0</v>
      </c>
      <c r="IM71" s="0" t="n">
        <v>0</v>
      </c>
      <c r="IX71" s="20"/>
      <c r="JP71" s="0" t="n">
        <v>0</v>
      </c>
      <c r="LA71" s="16" t="n">
        <v>5.06</v>
      </c>
      <c r="LB71" s="16" t="n">
        <v>1</v>
      </c>
      <c r="LC71" s="16" t="n">
        <v>1</v>
      </c>
      <c r="LD71" s="16"/>
      <c r="LE71" s="16" t="n">
        <v>6.74</v>
      </c>
      <c r="LF71" s="16" t="n">
        <v>2</v>
      </c>
      <c r="LG71" s="16"/>
      <c r="LH71" s="16" t="n">
        <v>10.7</v>
      </c>
      <c r="LI71" s="16"/>
      <c r="LJ71" s="16"/>
      <c r="LK71" s="16"/>
      <c r="LL71" s="16" t="n">
        <v>0</v>
      </c>
      <c r="LM71" s="16" t="n">
        <v>0</v>
      </c>
      <c r="LN71" s="16" t="n">
        <v>0</v>
      </c>
      <c r="LO71" s="16" t="n">
        <v>0</v>
      </c>
      <c r="LP71" s="16" t="n">
        <v>5.97</v>
      </c>
      <c r="LQ71" s="16" t="n">
        <v>0</v>
      </c>
      <c r="LR71" s="16" t="n">
        <v>0</v>
      </c>
      <c r="LS71" s="0" t="n">
        <v>1</v>
      </c>
      <c r="LT71" s="0" t="s">
        <v>301</v>
      </c>
      <c r="LU71" s="0" t="n">
        <v>44</v>
      </c>
      <c r="LV71" s="16" t="n">
        <v>88.4</v>
      </c>
      <c r="LW71" s="16" t="n">
        <v>80.4</v>
      </c>
      <c r="LX71" s="16" t="n">
        <v>40</v>
      </c>
      <c r="LY71" s="0" t="n">
        <v>11.38</v>
      </c>
      <c r="LZ71" s="17" t="n">
        <v>0</v>
      </c>
      <c r="MA71" s="0" t="n">
        <v>0</v>
      </c>
      <c r="MB71" s="0" t="n">
        <v>0</v>
      </c>
      <c r="MC71" s="0" t="n">
        <v>0</v>
      </c>
      <c r="MD71" s="0" t="n">
        <v>0</v>
      </c>
      <c r="ME71" s="0" t="n">
        <v>88.62</v>
      </c>
      <c r="MF71" s="0" t="n">
        <v>22.58</v>
      </c>
      <c r="MG71" s="0" t="n">
        <v>24.22</v>
      </c>
      <c r="MH71" s="0" t="n">
        <v>0</v>
      </c>
      <c r="MI71" s="0" t="n">
        <v>0</v>
      </c>
      <c r="MJ71" s="0" t="n">
        <v>0</v>
      </c>
      <c r="MK71" s="0" t="n">
        <v>26.59</v>
      </c>
      <c r="ML71" s="0" t="n">
        <v>0.54</v>
      </c>
      <c r="MM71" s="0" t="n">
        <v>0</v>
      </c>
      <c r="MN71" s="0" t="n">
        <v>0</v>
      </c>
      <c r="MO71" s="0" t="n">
        <v>0</v>
      </c>
      <c r="MP71" s="0" t="n">
        <v>0</v>
      </c>
      <c r="NC71" s="0" t="n">
        <v>0</v>
      </c>
      <c r="ND71" s="0" t="n">
        <v>0</v>
      </c>
      <c r="NO71" s="20"/>
      <c r="OG71" s="0" t="n">
        <v>1</v>
      </c>
      <c r="OH71" s="0" t="n">
        <v>40</v>
      </c>
      <c r="OI71" s="0" t="n">
        <v>2</v>
      </c>
      <c r="OJ71" s="0" t="n">
        <v>0.26</v>
      </c>
      <c r="OK71" s="0" t="n">
        <v>3</v>
      </c>
      <c r="PR71" s="16" t="n">
        <v>3.77</v>
      </c>
      <c r="PS71" s="16" t="n">
        <v>1</v>
      </c>
      <c r="PT71" s="16" t="n">
        <v>1</v>
      </c>
      <c r="PU71" s="16"/>
      <c r="PV71" s="16" t="n">
        <v>25.78</v>
      </c>
      <c r="PW71" s="16"/>
      <c r="PX71" s="16"/>
      <c r="PY71" s="16"/>
      <c r="PZ71" s="16"/>
      <c r="QA71" s="16"/>
      <c r="QB71" s="16"/>
      <c r="QC71" s="16" t="n">
        <v>0</v>
      </c>
      <c r="QD71" s="16" t="n">
        <v>0</v>
      </c>
      <c r="QE71" s="16" t="n">
        <v>0</v>
      </c>
      <c r="QF71" s="16" t="n">
        <v>0</v>
      </c>
      <c r="QG71" s="16" t="n">
        <v>0</v>
      </c>
      <c r="QH71" s="16" t="n">
        <v>0</v>
      </c>
      <c r="QI71" s="16" t="n">
        <v>0</v>
      </c>
      <c r="QJ71" s="0" t="n">
        <v>0</v>
      </c>
      <c r="QK71" s="0" t="s">
        <v>207</v>
      </c>
      <c r="QL71" s="0" t="n">
        <v>20.5</v>
      </c>
      <c r="QM71" s="16" t="n">
        <v>85.6</v>
      </c>
      <c r="QN71" s="16" t="n">
        <v>80.4</v>
      </c>
      <c r="QO71" s="16" t="n">
        <v>17.7</v>
      </c>
      <c r="QP71" s="0" t="n">
        <v>63.65</v>
      </c>
      <c r="QQ71" s="17" t="n">
        <v>0</v>
      </c>
      <c r="QR71" s="0" t="n">
        <v>0</v>
      </c>
      <c r="QS71" s="0" t="n">
        <v>0</v>
      </c>
      <c r="QT71" s="0" t="n">
        <v>47.03</v>
      </c>
      <c r="QU71" s="0" t="n">
        <v>0</v>
      </c>
      <c r="QV71" s="0" t="n">
        <v>11.64</v>
      </c>
      <c r="QW71" s="0" t="n">
        <v>0</v>
      </c>
      <c r="QX71" s="0" t="n">
        <v>0</v>
      </c>
      <c r="QY71" s="0" t="n">
        <v>5.03</v>
      </c>
      <c r="QZ71" s="0" t="n">
        <v>0</v>
      </c>
      <c r="RA71" s="0" t="n">
        <v>2.93</v>
      </c>
      <c r="RB71" s="0" t="n">
        <v>24.27</v>
      </c>
      <c r="RC71" s="0" t="n">
        <v>17.25</v>
      </c>
      <c r="RD71" s="0" t="n">
        <v>0</v>
      </c>
      <c r="RE71" s="0" t="n">
        <v>0</v>
      </c>
      <c r="RF71" s="0" t="n">
        <v>0</v>
      </c>
      <c r="RG71" s="0" t="n">
        <v>0</v>
      </c>
      <c r="RT71" s="0" t="n">
        <v>0</v>
      </c>
      <c r="RU71" s="0" t="n">
        <v>0</v>
      </c>
      <c r="SF71" s="20"/>
      <c r="SX71" s="0" t="n">
        <v>0</v>
      </c>
      <c r="UI71" s="16" t="n">
        <v>1.47</v>
      </c>
      <c r="UJ71" s="16" t="n">
        <v>1</v>
      </c>
      <c r="UK71" s="16" t="n">
        <v>1</v>
      </c>
      <c r="UL71" s="16"/>
      <c r="UM71" s="16" t="n">
        <v>2.94</v>
      </c>
      <c r="UN71" s="16"/>
      <c r="UO71" s="16"/>
      <c r="UP71" s="16"/>
      <c r="UQ71" s="16"/>
      <c r="UR71" s="16"/>
      <c r="US71" s="16"/>
      <c r="UT71" s="16" t="n">
        <v>0</v>
      </c>
      <c r="UU71" s="16" t="n">
        <v>0</v>
      </c>
      <c r="UV71" s="16" t="n">
        <v>0</v>
      </c>
      <c r="UW71" s="16" t="n">
        <v>0</v>
      </c>
      <c r="UX71" s="16" t="n">
        <v>0</v>
      </c>
      <c r="UY71" s="16" t="n">
        <v>0</v>
      </c>
      <c r="UZ71" s="16" t="n">
        <v>0</v>
      </c>
      <c r="VA71" s="0" t="n">
        <v>0</v>
      </c>
      <c r="VB71" s="0" t="s">
        <v>208</v>
      </c>
      <c r="VC71" s="0" t="n">
        <v>35</v>
      </c>
      <c r="VD71" s="16" t="n">
        <v>69.2</v>
      </c>
      <c r="VE71" s="16" t="n">
        <v>80.4</v>
      </c>
      <c r="VF71" s="16" t="n">
        <v>24</v>
      </c>
      <c r="VG71" s="0" t="n">
        <v>71.73</v>
      </c>
      <c r="VH71" s="17" t="n">
        <v>0</v>
      </c>
      <c r="VI71" s="0" t="n">
        <v>0</v>
      </c>
      <c r="VJ71" s="0" t="n">
        <v>6.09</v>
      </c>
      <c r="VK71" s="0" t="n">
        <v>19.28</v>
      </c>
      <c r="VL71" s="0" t="n">
        <v>0</v>
      </c>
      <c r="VM71" s="0" t="n">
        <v>2.83</v>
      </c>
      <c r="VN71" s="0" t="n">
        <v>0</v>
      </c>
      <c r="VO71" s="0" t="n">
        <v>0</v>
      </c>
      <c r="VP71" s="0" t="n">
        <v>0</v>
      </c>
      <c r="VQ71" s="0" t="n">
        <v>0</v>
      </c>
      <c r="VR71" s="0" t="n">
        <v>14.46</v>
      </c>
      <c r="VS71" s="0" t="n">
        <v>19.89</v>
      </c>
      <c r="VT71" s="0" t="n">
        <v>24.43</v>
      </c>
      <c r="VU71" s="0" t="n">
        <v>0</v>
      </c>
      <c r="VV71" s="0" t="n">
        <v>0.07</v>
      </c>
      <c r="VW71" s="0" t="n">
        <v>0</v>
      </c>
      <c r="VX71" s="0" t="n">
        <v>0</v>
      </c>
      <c r="WK71" s="0" t="n">
        <v>2</v>
      </c>
      <c r="WL71" s="0" t="n">
        <v>0</v>
      </c>
      <c r="WW71" s="20"/>
      <c r="XO71" s="0" t="n">
        <v>1</v>
      </c>
      <c r="XP71" s="0" t="n">
        <v>40</v>
      </c>
      <c r="XQ71" s="0" t="n">
        <v>2</v>
      </c>
      <c r="XR71" s="0" t="n">
        <v>1.52</v>
      </c>
      <c r="XS71" s="0" t="n">
        <v>3</v>
      </c>
      <c r="XT71" s="0" t="n">
        <v>50</v>
      </c>
      <c r="XU71" s="0" t="n">
        <v>4</v>
      </c>
      <c r="XV71" s="0" t="n">
        <v>0.54</v>
      </c>
      <c r="XW71" s="0" t="n">
        <v>1</v>
      </c>
      <c r="YZ71" s="16" t="n">
        <v>1.6</v>
      </c>
      <c r="ZA71" s="16" t="n">
        <v>1</v>
      </c>
      <c r="ZB71" s="16" t="n">
        <v>1</v>
      </c>
      <c r="ZC71" s="16"/>
      <c r="ZD71" s="16" t="n">
        <v>7.09</v>
      </c>
      <c r="ZE71" s="16"/>
      <c r="ZF71" s="16"/>
      <c r="ZG71" s="16"/>
      <c r="ZH71" s="16"/>
      <c r="ZI71" s="16"/>
      <c r="ZJ71" s="16"/>
      <c r="ZK71" s="16" t="n">
        <v>1.12</v>
      </c>
      <c r="ZL71" s="16" t="n">
        <v>0.27</v>
      </c>
      <c r="ZM71" s="16" t="n">
        <v>0</v>
      </c>
      <c r="ZN71" s="16" t="n">
        <v>0</v>
      </c>
      <c r="ZO71" s="16" t="n">
        <v>0</v>
      </c>
      <c r="ZP71" s="16" t="n">
        <v>0</v>
      </c>
      <c r="ZQ71" s="16" t="n">
        <v>3</v>
      </c>
      <c r="ZR71" s="0" t="n">
        <v>0</v>
      </c>
      <c r="ZS71" s="0" t="s">
        <v>302</v>
      </c>
      <c r="ZT71" s="0" t="n">
        <v>22</v>
      </c>
      <c r="ZU71" s="16" t="n">
        <v>87.6</v>
      </c>
      <c r="ZV71" s="16" t="n">
        <v>80.4</v>
      </c>
      <c r="ZW71" s="16" t="n">
        <v>4.5</v>
      </c>
      <c r="ZX71" s="0" t="n">
        <v>100</v>
      </c>
      <c r="ZY71" s="17" t="n">
        <v>0</v>
      </c>
      <c r="ZZ71" s="0" t="n">
        <v>0</v>
      </c>
      <c r="AAA71" s="0" t="n">
        <v>0</v>
      </c>
      <c r="AAB71" s="0" t="n">
        <v>0</v>
      </c>
      <c r="AAC71" s="0" t="n">
        <v>0</v>
      </c>
      <c r="AAD71" s="0" t="n">
        <v>0</v>
      </c>
      <c r="AAE71" s="0" t="n">
        <v>0</v>
      </c>
      <c r="AAF71" s="0" t="n">
        <v>0</v>
      </c>
      <c r="AAG71" s="0" t="n">
        <v>0</v>
      </c>
      <c r="AAH71" s="0" t="n">
        <v>0</v>
      </c>
      <c r="AAI71" s="0" t="n">
        <v>1.14</v>
      </c>
      <c r="AAJ71" s="0" t="n">
        <v>27.07</v>
      </c>
      <c r="AAK71" s="0" t="n">
        <v>1.9</v>
      </c>
      <c r="AAL71" s="0" t="n">
        <v>0</v>
      </c>
      <c r="AAM71" s="0" t="n">
        <v>0</v>
      </c>
      <c r="AAN71" s="0" t="n">
        <v>0</v>
      </c>
      <c r="AAO71" s="0" t="n">
        <v>0</v>
      </c>
      <c r="ABB71" s="0" t="n">
        <v>8</v>
      </c>
      <c r="ABC71" s="0" t="n">
        <v>1</v>
      </c>
      <c r="ABD71" s="0" t="n">
        <v>35</v>
      </c>
      <c r="ABE71" s="0" t="n">
        <v>2</v>
      </c>
      <c r="ABF71" s="0" t="n">
        <v>1.52</v>
      </c>
      <c r="ABG71" s="0" t="n">
        <v>3</v>
      </c>
      <c r="ABN71" s="20"/>
      <c r="ACF71" s="0" t="n">
        <v>1</v>
      </c>
      <c r="ACG71" s="0" t="n">
        <v>40</v>
      </c>
      <c r="ACH71" s="0" t="n">
        <v>3</v>
      </c>
      <c r="ACI71" s="0" t="n">
        <v>2.28</v>
      </c>
      <c r="ACJ71" s="0" t="n">
        <v>3</v>
      </c>
      <c r="ADQ71" s="16" t="n">
        <v>1.12</v>
      </c>
      <c r="ADR71" s="16" t="n">
        <v>1</v>
      </c>
      <c r="ADS71" s="16" t="n">
        <v>1</v>
      </c>
      <c r="ADT71" s="16"/>
      <c r="ADU71" s="16" t="n">
        <v>2.24</v>
      </c>
      <c r="ADV71" s="16"/>
      <c r="ADW71" s="16"/>
      <c r="ADX71" s="16"/>
      <c r="ADY71" s="16"/>
      <c r="ADZ71" s="16"/>
      <c r="AEA71" s="16"/>
      <c r="AEB71" s="16" t="n">
        <v>6.72</v>
      </c>
      <c r="AEC71" s="16" t="n">
        <v>0</v>
      </c>
      <c r="AED71" s="16" t="n">
        <v>0</v>
      </c>
      <c r="AEE71" s="16" t="n">
        <v>0</v>
      </c>
      <c r="AEF71" s="16" t="n">
        <v>0</v>
      </c>
      <c r="AEG71" s="16" t="n">
        <v>0</v>
      </c>
      <c r="AEH71" s="16" t="n">
        <v>0</v>
      </c>
      <c r="AEI71" s="0" t="n">
        <v>1</v>
      </c>
      <c r="AEJ71" s="0" t="s">
        <v>303</v>
      </c>
      <c r="AEK71" s="0" t="n">
        <v>18</v>
      </c>
      <c r="AEL71" s="16" t="n">
        <v>84.7</v>
      </c>
      <c r="AEM71" s="16" t="n">
        <v>80.4</v>
      </c>
      <c r="AEN71" s="16" t="n">
        <v>6.7</v>
      </c>
      <c r="AEO71" s="0" t="n">
        <v>100</v>
      </c>
      <c r="AEP71" s="17" t="n">
        <v>0</v>
      </c>
      <c r="AEQ71" s="0" t="n">
        <v>0</v>
      </c>
      <c r="AER71" s="0" t="n">
        <v>0</v>
      </c>
      <c r="AES71" s="0" t="n">
        <v>0</v>
      </c>
      <c r="AET71" s="0" t="n">
        <v>0</v>
      </c>
      <c r="AEU71" s="0" t="n">
        <v>0</v>
      </c>
      <c r="AEV71" s="0" t="n">
        <v>0</v>
      </c>
      <c r="AEW71" s="0" t="n">
        <v>0</v>
      </c>
      <c r="AEX71" s="0" t="n">
        <v>0</v>
      </c>
      <c r="AEY71" s="0" t="n">
        <v>0</v>
      </c>
      <c r="AEZ71" s="0" t="n">
        <v>14.84</v>
      </c>
      <c r="AFA71" s="0" t="n">
        <v>28.79</v>
      </c>
      <c r="AFB71" s="0" t="n">
        <v>1.9</v>
      </c>
      <c r="AFC71" s="0" t="n">
        <v>0</v>
      </c>
      <c r="AFD71" s="0" t="n">
        <v>0</v>
      </c>
      <c r="AFE71" s="0" t="n">
        <v>0</v>
      </c>
      <c r="AFF71" s="0" t="n">
        <v>0</v>
      </c>
      <c r="AFS71" s="0" t="n">
        <v>1.9</v>
      </c>
      <c r="AFT71" s="0" t="n">
        <v>0</v>
      </c>
      <c r="AGE71" s="20"/>
      <c r="AGW71" s="0" t="n">
        <v>1</v>
      </c>
      <c r="AGX71" s="0" t="n">
        <v>50</v>
      </c>
      <c r="AGY71" s="0" t="n">
        <v>3</v>
      </c>
      <c r="AGZ71" s="0" t="n">
        <v>2.28</v>
      </c>
      <c r="AHA71" s="0" t="n">
        <v>3</v>
      </c>
      <c r="AIH71" s="16" t="n">
        <v>1.12</v>
      </c>
      <c r="AII71" s="16" t="n">
        <v>1</v>
      </c>
      <c r="AIJ71" s="16" t="n">
        <v>1</v>
      </c>
      <c r="AIK71" s="16"/>
      <c r="AIL71" s="16" t="n">
        <v>2.24</v>
      </c>
      <c r="AIM71" s="16"/>
      <c r="AIN71" s="16"/>
      <c r="AIO71" s="16"/>
      <c r="AIP71" s="16"/>
      <c r="AIQ71" s="16"/>
      <c r="AIR71" s="16"/>
      <c r="AIS71" s="16" t="n">
        <v>0</v>
      </c>
      <c r="AIT71" s="16" t="n">
        <v>0</v>
      </c>
      <c r="AIU71" s="16" t="n">
        <v>0</v>
      </c>
      <c r="AIV71" s="16" t="n">
        <v>0</v>
      </c>
      <c r="AIW71" s="16" t="n">
        <v>6.72</v>
      </c>
      <c r="AIX71" s="16" t="n">
        <v>0</v>
      </c>
      <c r="AIY71" s="16" t="n">
        <v>0</v>
      </c>
      <c r="AIZ71" s="0" t="n">
        <v>1</v>
      </c>
      <c r="AJA71" s="0" t="s">
        <v>304</v>
      </c>
      <c r="AJB71" s="0" t="n">
        <v>29</v>
      </c>
      <c r="AJC71" s="16" t="n">
        <v>84.9</v>
      </c>
      <c r="AJD71" s="16" t="n">
        <v>80.4</v>
      </c>
      <c r="AJE71" s="16" t="n">
        <v>22.7</v>
      </c>
      <c r="AJF71" s="0" t="n">
        <v>47.69</v>
      </c>
      <c r="AJG71" s="17" t="n">
        <v>0</v>
      </c>
      <c r="AJH71" s="0" t="n">
        <v>0</v>
      </c>
      <c r="AJI71" s="0" t="n">
        <v>0</v>
      </c>
      <c r="AJJ71" s="0" t="n">
        <v>22.69</v>
      </c>
      <c r="AJK71" s="0" t="n">
        <v>0</v>
      </c>
      <c r="AJL71" s="0" t="n">
        <v>28.56</v>
      </c>
      <c r="AJM71" s="0" t="n">
        <v>0</v>
      </c>
      <c r="AJN71" s="0" t="n">
        <v>0</v>
      </c>
      <c r="AJO71" s="0" t="n">
        <v>0</v>
      </c>
      <c r="AJP71" s="0" t="n">
        <v>0</v>
      </c>
      <c r="AJQ71" s="0" t="n">
        <v>30.64</v>
      </c>
      <c r="AJR71" s="0" t="n">
        <v>8.38</v>
      </c>
      <c r="AJS71" s="0" t="n">
        <v>43.35</v>
      </c>
      <c r="AJT71" s="0" t="n">
        <v>6.09</v>
      </c>
      <c r="AJU71" s="0" t="n">
        <v>0</v>
      </c>
      <c r="AJV71" s="0" t="n">
        <v>0</v>
      </c>
      <c r="AJW71" s="0" t="n">
        <v>0</v>
      </c>
      <c r="AKJ71" s="0" t="n">
        <v>2.5</v>
      </c>
      <c r="AKK71" s="0" t="n">
        <v>1</v>
      </c>
      <c r="AKL71" s="0" t="n">
        <v>35</v>
      </c>
      <c r="AKM71" s="0" t="n">
        <v>4</v>
      </c>
      <c r="AKN71" s="0" t="n">
        <v>0.54</v>
      </c>
      <c r="AKO71" s="0" t="n">
        <v>3</v>
      </c>
      <c r="AKV71" s="20"/>
      <c r="ALN71" s="0" t="n">
        <v>1</v>
      </c>
      <c r="ALO71" s="0" t="n">
        <v>40</v>
      </c>
      <c r="ALP71" s="0" t="n">
        <v>2</v>
      </c>
      <c r="ALQ71" s="0" t="n">
        <v>0.26</v>
      </c>
      <c r="ALR71" s="0" t="n">
        <v>3</v>
      </c>
    </row>
    <row r="72" customFormat="false" ht="13.8" hidden="false" customHeight="false" outlineLevel="0" collapsed="false">
      <c r="A72" s="1" t="s">
        <v>433</v>
      </c>
      <c r="B72" s="12" t="n">
        <v>42902</v>
      </c>
      <c r="C72" s="0" t="n">
        <v>1</v>
      </c>
      <c r="D72" s="13" t="n">
        <v>42786</v>
      </c>
      <c r="E72" s="12" t="n">
        <v>28212</v>
      </c>
      <c r="F72" s="14" t="n">
        <f aca="false">(B72-E72)/365.25</f>
        <v>40.2190280629706</v>
      </c>
      <c r="G72" s="14" t="n">
        <f aca="false">(B72-D72)/365.25</f>
        <v>0.317590691307324</v>
      </c>
      <c r="H72" s="15" t="s">
        <v>183</v>
      </c>
      <c r="I72" s="15" t="s">
        <v>298</v>
      </c>
      <c r="J72" s="15" t="s">
        <v>181</v>
      </c>
      <c r="K72" s="21" t="n">
        <v>8</v>
      </c>
      <c r="L72" s="19" t="n">
        <v>43</v>
      </c>
      <c r="M72" s="15" t="n">
        <v>1.56</v>
      </c>
      <c r="N72" s="16" t="n">
        <f aca="false">L72/(M72*M72)</f>
        <v>17.6692965154504</v>
      </c>
      <c r="O72" s="19" t="n">
        <v>0</v>
      </c>
      <c r="P72" s="19" t="n">
        <v>0</v>
      </c>
      <c r="Q72" s="19" t="n">
        <v>0</v>
      </c>
      <c r="R72" s="19" t="n">
        <v>0</v>
      </c>
      <c r="S72" s="19" t="n">
        <v>0</v>
      </c>
      <c r="T72" s="19" t="n">
        <v>0</v>
      </c>
      <c r="U72" s="19" t="n">
        <v>0</v>
      </c>
      <c r="V72" s="19" t="n">
        <v>0</v>
      </c>
      <c r="W72" s="19" t="n">
        <v>0</v>
      </c>
      <c r="X72" s="19" t="n">
        <v>0</v>
      </c>
      <c r="Y72" s="19" t="n">
        <v>0</v>
      </c>
      <c r="Z72" s="19" t="n">
        <v>0</v>
      </c>
      <c r="AA72" s="19" t="n">
        <v>0</v>
      </c>
      <c r="AB72" s="19" t="n">
        <v>0</v>
      </c>
      <c r="AC72" s="19" t="n">
        <v>1</v>
      </c>
      <c r="AD72" s="19" t="n">
        <v>10</v>
      </c>
      <c r="AE72" s="19" t="n">
        <v>0</v>
      </c>
      <c r="AF72" s="19" t="n">
        <v>0</v>
      </c>
      <c r="AG72" s="19" t="n">
        <v>0</v>
      </c>
      <c r="AH72" s="19" t="n">
        <v>0</v>
      </c>
      <c r="AI72" s="19" t="n">
        <v>0</v>
      </c>
      <c r="AJ72" s="19" t="n">
        <v>0</v>
      </c>
      <c r="AK72" s="19" t="n">
        <v>0</v>
      </c>
      <c r="AL72" s="19" t="n">
        <v>0</v>
      </c>
      <c r="AM72" s="19" t="n">
        <v>0</v>
      </c>
      <c r="AN72" s="19" t="n">
        <v>0</v>
      </c>
      <c r="AO72" s="19" t="n">
        <v>0</v>
      </c>
      <c r="AP72" s="19" t="n">
        <v>0</v>
      </c>
      <c r="AQ72" s="19" t="n">
        <v>0</v>
      </c>
      <c r="AR72" s="19" t="n">
        <v>0</v>
      </c>
      <c r="AS72" s="19" t="n">
        <v>0</v>
      </c>
      <c r="AT72" s="19" t="n">
        <v>0</v>
      </c>
      <c r="AU72" s="19" t="n">
        <v>0</v>
      </c>
      <c r="AV72" s="19" t="n">
        <v>0</v>
      </c>
      <c r="AW72" s="19" t="n">
        <v>0</v>
      </c>
      <c r="AX72" s="19" t="n">
        <v>0</v>
      </c>
      <c r="AY72" s="19" t="n">
        <v>0</v>
      </c>
      <c r="AZ72" s="19" t="n">
        <v>0</v>
      </c>
      <c r="BA72" s="19" t="n">
        <v>0</v>
      </c>
      <c r="BB72" s="19" t="n">
        <v>0</v>
      </c>
      <c r="BC72" s="19" t="n">
        <v>0</v>
      </c>
      <c r="BD72" s="19" t="n">
        <v>0</v>
      </c>
      <c r="BE72" s="19" t="n">
        <v>0</v>
      </c>
      <c r="BF72" s="19" t="n">
        <v>0</v>
      </c>
      <c r="BG72" s="19" t="n">
        <v>0</v>
      </c>
      <c r="BH72" s="19" t="n">
        <v>0</v>
      </c>
      <c r="BI72" s="19" t="n">
        <v>0</v>
      </c>
      <c r="BJ72" s="19" t="n">
        <v>0</v>
      </c>
      <c r="BK72" s="19" t="n">
        <v>0</v>
      </c>
      <c r="BL72" s="19" t="n">
        <v>0</v>
      </c>
      <c r="BM72" s="19" t="n">
        <v>0</v>
      </c>
      <c r="BN72" s="19" t="n">
        <v>0</v>
      </c>
      <c r="BO72" s="19" t="n">
        <v>0</v>
      </c>
      <c r="BP72" s="19" t="n">
        <v>0</v>
      </c>
      <c r="BQ72" s="19" t="n">
        <v>0</v>
      </c>
      <c r="BR72" s="19" t="n">
        <v>1</v>
      </c>
      <c r="BS72" s="19" t="n">
        <v>2</v>
      </c>
      <c r="BT72" s="19" t="n">
        <v>4</v>
      </c>
      <c r="BU72" s="19" t="n">
        <v>5</v>
      </c>
      <c r="BV72" s="19" t="n">
        <v>2</v>
      </c>
      <c r="BW72" s="19" t="n">
        <v>2</v>
      </c>
      <c r="BX72" s="19" t="n">
        <v>2</v>
      </c>
      <c r="BY72" s="19" t="n">
        <v>3</v>
      </c>
      <c r="BZ72" s="19" t="n">
        <v>4</v>
      </c>
      <c r="CA72" s="19" t="n">
        <v>4</v>
      </c>
      <c r="CB72" s="19" t="n">
        <v>4</v>
      </c>
      <c r="CC72" s="19" t="n">
        <v>4</v>
      </c>
      <c r="CD72" s="19" t="n">
        <v>4</v>
      </c>
      <c r="CE72" s="19" t="n">
        <v>4</v>
      </c>
      <c r="CF72" s="19" t="n">
        <v>5</v>
      </c>
      <c r="CG72" s="19" t="n">
        <v>5</v>
      </c>
      <c r="CH72" s="19" t="n">
        <v>5</v>
      </c>
      <c r="CI72" s="19" t="n">
        <v>5</v>
      </c>
      <c r="CJ72" s="19" t="n">
        <v>5</v>
      </c>
      <c r="CK72" s="19"/>
      <c r="CL72" s="0" t="s">
        <v>299</v>
      </c>
      <c r="CM72" s="0" t="n">
        <v>17.5</v>
      </c>
      <c r="CN72" s="16" t="n">
        <v>81.9</v>
      </c>
      <c r="CO72" s="16" t="n">
        <v>80.4</v>
      </c>
      <c r="CP72" s="16" t="n">
        <v>12.5</v>
      </c>
      <c r="CQ72" s="0" t="n">
        <v>85.79</v>
      </c>
      <c r="CS72" s="0" t="n">
        <v>10.02</v>
      </c>
      <c r="CT72" s="0" t="n">
        <v>0</v>
      </c>
      <c r="CU72" s="0" t="n">
        <v>0</v>
      </c>
      <c r="CV72" s="0" t="n">
        <v>0</v>
      </c>
      <c r="CW72" s="0" t="n">
        <v>4.19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53.51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U72" s="0" t="n">
        <v>0</v>
      </c>
      <c r="DV72" s="0" t="n">
        <v>0</v>
      </c>
      <c r="EG72" s="20"/>
      <c r="EY72" s="0" t="n">
        <v>0</v>
      </c>
      <c r="GJ72" s="16" t="n">
        <v>3.38</v>
      </c>
      <c r="GK72" s="16" t="n">
        <v>1</v>
      </c>
      <c r="GL72" s="16" t="n">
        <v>1</v>
      </c>
      <c r="GM72" s="16"/>
      <c r="GN72" s="16" t="n">
        <v>12.64</v>
      </c>
      <c r="GO72" s="16"/>
      <c r="GP72" s="16"/>
      <c r="GQ72" s="16"/>
      <c r="GR72" s="16"/>
      <c r="GS72" s="16"/>
      <c r="GT72" s="16"/>
      <c r="GU72" s="16" t="n">
        <v>0</v>
      </c>
      <c r="GV72" s="16" t="n">
        <v>0</v>
      </c>
      <c r="GW72" s="16" t="n">
        <v>0</v>
      </c>
      <c r="GX72" s="16" t="n">
        <v>0</v>
      </c>
      <c r="GY72" s="16" t="n">
        <v>0</v>
      </c>
      <c r="GZ72" s="16" t="n">
        <v>0</v>
      </c>
      <c r="HA72" s="16" t="n">
        <v>0</v>
      </c>
      <c r="HB72" s="0" t="n">
        <v>0</v>
      </c>
      <c r="HC72" s="0" t="s">
        <v>300</v>
      </c>
      <c r="HD72" s="0" t="n">
        <v>31</v>
      </c>
      <c r="HE72" s="16" t="n">
        <v>86.2</v>
      </c>
      <c r="HF72" s="16" t="n">
        <v>80.4</v>
      </c>
      <c r="HG72" s="16" t="n">
        <v>19.4</v>
      </c>
      <c r="HH72" s="0" t="n">
        <v>23.44</v>
      </c>
      <c r="HJ72" s="0" t="n">
        <v>0</v>
      </c>
      <c r="HK72" s="0" t="n">
        <v>0</v>
      </c>
      <c r="HL72" s="0" t="n">
        <v>0.94</v>
      </c>
      <c r="HM72" s="0" t="n">
        <v>0</v>
      </c>
      <c r="HN72" s="0" t="n">
        <v>75.62</v>
      </c>
      <c r="HO72" s="0" t="n">
        <v>16.83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6.9</v>
      </c>
      <c r="HU72" s="0" t="n">
        <v>42.32</v>
      </c>
      <c r="HV72" s="0" t="n">
        <v>0</v>
      </c>
      <c r="HW72" s="0" t="n">
        <v>0</v>
      </c>
      <c r="HX72" s="0" t="n">
        <v>0</v>
      </c>
      <c r="HY72" s="0" t="n">
        <v>0</v>
      </c>
      <c r="IL72" s="0" t="n">
        <v>0</v>
      </c>
      <c r="IM72" s="0" t="n">
        <v>0</v>
      </c>
      <c r="IX72" s="20"/>
      <c r="JP72" s="0" t="n">
        <v>0</v>
      </c>
      <c r="LA72" s="16" t="n">
        <v>5.06</v>
      </c>
      <c r="LB72" s="16" t="n">
        <v>1</v>
      </c>
      <c r="LC72" s="16" t="n">
        <v>1</v>
      </c>
      <c r="LD72" s="16"/>
      <c r="LE72" s="16" t="n">
        <v>6.74</v>
      </c>
      <c r="LF72" s="16" t="n">
        <v>2</v>
      </c>
      <c r="LG72" s="16"/>
      <c r="LH72" s="16" t="n">
        <v>10.7</v>
      </c>
      <c r="LI72" s="16"/>
      <c r="LJ72" s="16"/>
      <c r="LK72" s="16"/>
      <c r="LL72" s="16" t="n">
        <v>0</v>
      </c>
      <c r="LM72" s="16" t="n">
        <v>0</v>
      </c>
      <c r="LN72" s="16" t="n">
        <v>0</v>
      </c>
      <c r="LO72" s="16" t="n">
        <v>0</v>
      </c>
      <c r="LP72" s="16" t="n">
        <v>5.97</v>
      </c>
      <c r="LQ72" s="16" t="n">
        <v>0</v>
      </c>
      <c r="LR72" s="16" t="n">
        <v>0</v>
      </c>
      <c r="LS72" s="0" t="n">
        <v>1</v>
      </c>
      <c r="LT72" s="0" t="s">
        <v>301</v>
      </c>
      <c r="LU72" s="0" t="n">
        <v>44</v>
      </c>
      <c r="LV72" s="16" t="n">
        <v>88.4</v>
      </c>
      <c r="LW72" s="16" t="n">
        <v>80.4</v>
      </c>
      <c r="LX72" s="16" t="n">
        <v>40</v>
      </c>
      <c r="LY72" s="0" t="n">
        <v>11.38</v>
      </c>
      <c r="MA72" s="0" t="n">
        <v>0</v>
      </c>
      <c r="MB72" s="0" t="n">
        <v>0</v>
      </c>
      <c r="MC72" s="0" t="n">
        <v>0</v>
      </c>
      <c r="MD72" s="0" t="n">
        <v>0</v>
      </c>
      <c r="ME72" s="0" t="n">
        <v>88.62</v>
      </c>
      <c r="MF72" s="0" t="n">
        <v>22.58</v>
      </c>
      <c r="MG72" s="0" t="n">
        <v>24.22</v>
      </c>
      <c r="MH72" s="0" t="n">
        <v>0</v>
      </c>
      <c r="MI72" s="0" t="n">
        <v>0</v>
      </c>
      <c r="MJ72" s="0" t="n">
        <v>0</v>
      </c>
      <c r="MK72" s="0" t="n">
        <v>26.59</v>
      </c>
      <c r="ML72" s="0" t="n">
        <v>0.54</v>
      </c>
      <c r="MM72" s="0" t="n">
        <v>0</v>
      </c>
      <c r="MN72" s="0" t="n">
        <v>0</v>
      </c>
      <c r="MO72" s="0" t="n">
        <v>0</v>
      </c>
      <c r="MP72" s="0" t="n">
        <v>0</v>
      </c>
      <c r="NC72" s="0" t="n">
        <v>0</v>
      </c>
      <c r="ND72" s="0" t="n">
        <v>0</v>
      </c>
      <c r="NO72" s="20"/>
      <c r="OG72" s="0" t="n">
        <v>1</v>
      </c>
      <c r="OH72" s="0" t="n">
        <v>40</v>
      </c>
      <c r="OI72" s="0" t="n">
        <v>2</v>
      </c>
      <c r="OJ72" s="0" t="n">
        <v>0.26</v>
      </c>
      <c r="OK72" s="0" t="n">
        <v>3</v>
      </c>
      <c r="PR72" s="16" t="n">
        <v>3.77</v>
      </c>
      <c r="PS72" s="16" t="n">
        <v>1</v>
      </c>
      <c r="PT72" s="16" t="n">
        <v>1</v>
      </c>
      <c r="PU72" s="16"/>
      <c r="PV72" s="16" t="n">
        <v>25.78</v>
      </c>
      <c r="PW72" s="16"/>
      <c r="PX72" s="16"/>
      <c r="PY72" s="16"/>
      <c r="PZ72" s="16"/>
      <c r="QA72" s="16"/>
      <c r="QB72" s="16"/>
      <c r="QC72" s="16" t="n">
        <v>0</v>
      </c>
      <c r="QD72" s="16" t="n">
        <v>0</v>
      </c>
      <c r="QE72" s="16" t="n">
        <v>0</v>
      </c>
      <c r="QF72" s="16" t="n">
        <v>0</v>
      </c>
      <c r="QG72" s="16" t="n">
        <v>0</v>
      </c>
      <c r="QH72" s="16" t="n">
        <v>0</v>
      </c>
      <c r="QI72" s="16" t="n">
        <v>0</v>
      </c>
      <c r="QJ72" s="0" t="n">
        <v>0</v>
      </c>
      <c r="QK72" s="0" t="s">
        <v>207</v>
      </c>
      <c r="QL72" s="0" t="n">
        <v>20.5</v>
      </c>
      <c r="QM72" s="16" t="n">
        <v>85.6</v>
      </c>
      <c r="QN72" s="16" t="n">
        <v>80.4</v>
      </c>
      <c r="QO72" s="16" t="n">
        <v>17.7</v>
      </c>
      <c r="QP72" s="0" t="n">
        <v>63.65</v>
      </c>
      <c r="QR72" s="0" t="n">
        <v>0</v>
      </c>
      <c r="QS72" s="0" t="n">
        <v>0</v>
      </c>
      <c r="QT72" s="0" t="n">
        <v>47.03</v>
      </c>
      <c r="QU72" s="0" t="n">
        <v>0</v>
      </c>
      <c r="QV72" s="0" t="n">
        <v>11.64</v>
      </c>
      <c r="QW72" s="0" t="n">
        <v>0</v>
      </c>
      <c r="QX72" s="0" t="n">
        <v>0</v>
      </c>
      <c r="QY72" s="0" t="n">
        <v>5.03</v>
      </c>
      <c r="QZ72" s="0" t="n">
        <v>0</v>
      </c>
      <c r="RA72" s="0" t="n">
        <v>2.93</v>
      </c>
      <c r="RB72" s="0" t="n">
        <v>24.27</v>
      </c>
      <c r="RC72" s="0" t="n">
        <v>17.25</v>
      </c>
      <c r="RD72" s="0" t="n">
        <v>0</v>
      </c>
      <c r="RE72" s="0" t="n">
        <v>0</v>
      </c>
      <c r="RF72" s="0" t="n">
        <v>0</v>
      </c>
      <c r="RG72" s="0" t="n">
        <v>0</v>
      </c>
      <c r="RT72" s="0" t="n">
        <v>0</v>
      </c>
      <c r="RU72" s="0" t="n">
        <v>0</v>
      </c>
      <c r="SF72" s="20"/>
      <c r="SX72" s="0" t="n">
        <v>0</v>
      </c>
      <c r="UI72" s="16" t="n">
        <v>1.47</v>
      </c>
      <c r="UJ72" s="16" t="n">
        <v>1</v>
      </c>
      <c r="UK72" s="16" t="n">
        <v>1</v>
      </c>
      <c r="UL72" s="16"/>
      <c r="UM72" s="16" t="n">
        <v>2.94</v>
      </c>
      <c r="UN72" s="16"/>
      <c r="UO72" s="16"/>
      <c r="UP72" s="16"/>
      <c r="UQ72" s="16"/>
      <c r="UR72" s="16"/>
      <c r="US72" s="16"/>
      <c r="UT72" s="16" t="n">
        <v>0</v>
      </c>
      <c r="UU72" s="16" t="n">
        <v>0</v>
      </c>
      <c r="UV72" s="16" t="n">
        <v>0</v>
      </c>
      <c r="UW72" s="16" t="n">
        <v>0</v>
      </c>
      <c r="UX72" s="16" t="n">
        <v>0</v>
      </c>
      <c r="UY72" s="16" t="n">
        <v>0</v>
      </c>
      <c r="UZ72" s="16" t="n">
        <v>0</v>
      </c>
      <c r="VA72" s="0" t="n">
        <v>0</v>
      </c>
      <c r="VB72" s="0" t="s">
        <v>208</v>
      </c>
      <c r="VC72" s="0" t="n">
        <v>35</v>
      </c>
      <c r="VD72" s="16" t="n">
        <v>69.2</v>
      </c>
      <c r="VE72" s="16" t="n">
        <v>80.4</v>
      </c>
      <c r="VF72" s="16" t="n">
        <v>24</v>
      </c>
      <c r="VG72" s="0" t="n">
        <v>71.73</v>
      </c>
      <c r="VI72" s="0" t="n">
        <v>0</v>
      </c>
      <c r="VJ72" s="0" t="n">
        <v>6.09</v>
      </c>
      <c r="VK72" s="0" t="n">
        <v>19.28</v>
      </c>
      <c r="VL72" s="0" t="n">
        <v>0</v>
      </c>
      <c r="VM72" s="0" t="n">
        <v>2.83</v>
      </c>
      <c r="VN72" s="0" t="n">
        <v>0</v>
      </c>
      <c r="VO72" s="0" t="n">
        <v>0</v>
      </c>
      <c r="VP72" s="0" t="n">
        <v>0</v>
      </c>
      <c r="VQ72" s="0" t="n">
        <v>0</v>
      </c>
      <c r="VR72" s="0" t="n">
        <v>14.46</v>
      </c>
      <c r="VS72" s="0" t="n">
        <v>19.89</v>
      </c>
      <c r="VT72" s="0" t="n">
        <v>24.43</v>
      </c>
      <c r="VU72" s="0" t="n">
        <v>0</v>
      </c>
      <c r="VV72" s="0" t="n">
        <v>0.07</v>
      </c>
      <c r="VW72" s="0" t="n">
        <v>0</v>
      </c>
      <c r="VX72" s="0" t="n">
        <v>0</v>
      </c>
      <c r="WK72" s="0" t="n">
        <v>2</v>
      </c>
      <c r="WL72" s="0" t="n">
        <v>0</v>
      </c>
      <c r="WW72" s="20"/>
      <c r="XO72" s="0" t="n">
        <v>1</v>
      </c>
      <c r="XP72" s="0" t="n">
        <v>40</v>
      </c>
      <c r="XQ72" s="0" t="n">
        <v>2</v>
      </c>
      <c r="XR72" s="0" t="n">
        <v>1.52</v>
      </c>
      <c r="XS72" s="0" t="n">
        <v>3</v>
      </c>
      <c r="XT72" s="0" t="n">
        <v>50</v>
      </c>
      <c r="XU72" s="0" t="n">
        <v>4</v>
      </c>
      <c r="XV72" s="0" t="n">
        <v>0.54</v>
      </c>
      <c r="XW72" s="0" t="n">
        <v>1</v>
      </c>
      <c r="YZ72" s="16" t="n">
        <v>1.6</v>
      </c>
      <c r="ZA72" s="16" t="n">
        <v>1</v>
      </c>
      <c r="ZB72" s="16" t="n">
        <v>1</v>
      </c>
      <c r="ZC72" s="16"/>
      <c r="ZD72" s="16" t="n">
        <v>7.09</v>
      </c>
      <c r="ZE72" s="16"/>
      <c r="ZF72" s="16"/>
      <c r="ZG72" s="16"/>
      <c r="ZH72" s="16"/>
      <c r="ZI72" s="16"/>
      <c r="ZJ72" s="16"/>
      <c r="ZK72" s="16" t="n">
        <v>1.12</v>
      </c>
      <c r="ZL72" s="16" t="n">
        <v>0.27</v>
      </c>
      <c r="ZM72" s="16" t="n">
        <v>0</v>
      </c>
      <c r="ZN72" s="16" t="n">
        <v>0</v>
      </c>
      <c r="ZO72" s="16" t="n">
        <v>0</v>
      </c>
      <c r="ZP72" s="16" t="n">
        <v>0</v>
      </c>
      <c r="ZQ72" s="16" t="n">
        <v>3</v>
      </c>
      <c r="ZR72" s="0" t="n">
        <v>0</v>
      </c>
      <c r="ZS72" s="0" t="s">
        <v>302</v>
      </c>
      <c r="ZT72" s="0" t="n">
        <v>22</v>
      </c>
      <c r="ZU72" s="16" t="n">
        <v>87.6</v>
      </c>
      <c r="ZV72" s="16" t="n">
        <v>80.4</v>
      </c>
      <c r="ZW72" s="16" t="n">
        <v>4.5</v>
      </c>
      <c r="ZX72" s="0" t="n">
        <v>100</v>
      </c>
      <c r="ZZ72" s="0" t="n">
        <v>0</v>
      </c>
      <c r="AAA72" s="0" t="n">
        <v>0</v>
      </c>
      <c r="AAB72" s="0" t="n">
        <v>0</v>
      </c>
      <c r="AAC72" s="0" t="n">
        <v>0</v>
      </c>
      <c r="AAD72" s="0" t="n">
        <v>0</v>
      </c>
      <c r="AAE72" s="0" t="n">
        <v>0</v>
      </c>
      <c r="AAF72" s="0" t="n">
        <v>0</v>
      </c>
      <c r="AAG72" s="0" t="n">
        <v>0</v>
      </c>
      <c r="AAH72" s="0" t="n">
        <v>0</v>
      </c>
      <c r="AAI72" s="0" t="n">
        <v>1.14</v>
      </c>
      <c r="AAJ72" s="0" t="n">
        <v>27.07</v>
      </c>
      <c r="AAK72" s="0" t="n">
        <v>1.9</v>
      </c>
      <c r="AAL72" s="0" t="n">
        <v>0</v>
      </c>
      <c r="AAM72" s="0" t="n">
        <v>0</v>
      </c>
      <c r="AAN72" s="0" t="n">
        <v>0</v>
      </c>
      <c r="AAO72" s="0" t="n">
        <v>0</v>
      </c>
      <c r="ABB72" s="0" t="n">
        <v>8</v>
      </c>
      <c r="ABC72" s="0" t="n">
        <v>1</v>
      </c>
      <c r="ABD72" s="0" t="n">
        <v>35</v>
      </c>
      <c r="ABE72" s="0" t="n">
        <v>2</v>
      </c>
      <c r="ABF72" s="0" t="n">
        <v>1.52</v>
      </c>
      <c r="ABG72" s="0" t="n">
        <v>3</v>
      </c>
      <c r="ABN72" s="20"/>
      <c r="ACF72" s="0" t="n">
        <v>1</v>
      </c>
      <c r="ACG72" s="0" t="n">
        <v>40</v>
      </c>
      <c r="ACH72" s="0" t="n">
        <v>3</v>
      </c>
      <c r="ACI72" s="0" t="n">
        <v>2.28</v>
      </c>
      <c r="ACJ72" s="0" t="n">
        <v>3</v>
      </c>
      <c r="ADQ72" s="16" t="n">
        <v>1.12</v>
      </c>
      <c r="ADR72" s="16" t="n">
        <v>1</v>
      </c>
      <c r="ADS72" s="16" t="n">
        <v>1</v>
      </c>
      <c r="ADT72" s="16"/>
      <c r="ADU72" s="16" t="n">
        <v>2.24</v>
      </c>
      <c r="ADV72" s="16"/>
      <c r="ADW72" s="16"/>
      <c r="ADX72" s="16"/>
      <c r="ADY72" s="16"/>
      <c r="ADZ72" s="16"/>
      <c r="AEA72" s="16"/>
      <c r="AEB72" s="16" t="n">
        <v>6.72</v>
      </c>
      <c r="AEC72" s="16" t="n">
        <v>0</v>
      </c>
      <c r="AED72" s="16" t="n">
        <v>0</v>
      </c>
      <c r="AEE72" s="16" t="n">
        <v>0</v>
      </c>
      <c r="AEF72" s="16" t="n">
        <v>0</v>
      </c>
      <c r="AEG72" s="16" t="n">
        <v>0</v>
      </c>
      <c r="AEH72" s="16" t="n">
        <v>0</v>
      </c>
      <c r="AEI72" s="0" t="n">
        <v>1</v>
      </c>
      <c r="AEJ72" s="0" t="s">
        <v>303</v>
      </c>
      <c r="AEK72" s="0" t="n">
        <v>18</v>
      </c>
      <c r="AEL72" s="16" t="n">
        <v>84.7</v>
      </c>
      <c r="AEM72" s="16" t="n">
        <v>80.4</v>
      </c>
      <c r="AEN72" s="16" t="n">
        <v>6.7</v>
      </c>
      <c r="AEO72" s="0" t="n">
        <v>100</v>
      </c>
      <c r="AEQ72" s="0" t="n">
        <v>0</v>
      </c>
      <c r="AER72" s="0" t="n">
        <v>0</v>
      </c>
      <c r="AES72" s="0" t="n">
        <v>0</v>
      </c>
      <c r="AET72" s="0" t="n">
        <v>0</v>
      </c>
      <c r="AEU72" s="0" t="n">
        <v>0</v>
      </c>
      <c r="AEV72" s="0" t="n">
        <v>0</v>
      </c>
      <c r="AEW72" s="0" t="n">
        <v>0</v>
      </c>
      <c r="AEX72" s="0" t="n">
        <v>0</v>
      </c>
      <c r="AEY72" s="0" t="n">
        <v>0</v>
      </c>
      <c r="AEZ72" s="0" t="n">
        <v>14.84</v>
      </c>
      <c r="AFA72" s="0" t="n">
        <v>28.79</v>
      </c>
      <c r="AFB72" s="0" t="n">
        <v>1.9</v>
      </c>
      <c r="AFC72" s="0" t="n">
        <v>0</v>
      </c>
      <c r="AFD72" s="0" t="n">
        <v>0</v>
      </c>
      <c r="AFE72" s="0" t="n">
        <v>0</v>
      </c>
      <c r="AFF72" s="0" t="n">
        <v>0</v>
      </c>
      <c r="AFS72" s="0" t="n">
        <v>1.9</v>
      </c>
      <c r="AFT72" s="0" t="n">
        <v>0</v>
      </c>
      <c r="AGE72" s="20"/>
      <c r="AGW72" s="0" t="n">
        <v>1</v>
      </c>
      <c r="AGX72" s="0" t="n">
        <v>50</v>
      </c>
      <c r="AGY72" s="0" t="n">
        <v>3</v>
      </c>
      <c r="AGZ72" s="0" t="n">
        <v>2.28</v>
      </c>
      <c r="AHA72" s="0" t="n">
        <v>3</v>
      </c>
      <c r="AIH72" s="16" t="n">
        <v>1.12</v>
      </c>
      <c r="AII72" s="16" t="n">
        <v>1</v>
      </c>
      <c r="AIJ72" s="16" t="n">
        <v>1</v>
      </c>
      <c r="AIK72" s="16"/>
      <c r="AIL72" s="16" t="n">
        <v>2.24</v>
      </c>
      <c r="AIM72" s="16"/>
      <c r="AIN72" s="16"/>
      <c r="AIO72" s="16"/>
      <c r="AIP72" s="16"/>
      <c r="AIQ72" s="16"/>
      <c r="AIR72" s="16"/>
      <c r="AIS72" s="16" t="n">
        <v>0</v>
      </c>
      <c r="AIT72" s="16" t="n">
        <v>0</v>
      </c>
      <c r="AIU72" s="16" t="n">
        <v>0</v>
      </c>
      <c r="AIV72" s="16" t="n">
        <v>0</v>
      </c>
      <c r="AIW72" s="16" t="n">
        <v>6.72</v>
      </c>
      <c r="AIX72" s="16" t="n">
        <v>0</v>
      </c>
      <c r="AIY72" s="16" t="n">
        <v>0</v>
      </c>
      <c r="AIZ72" s="0" t="n">
        <v>1</v>
      </c>
      <c r="AJA72" s="0" t="s">
        <v>304</v>
      </c>
      <c r="AJB72" s="0" t="n">
        <v>29</v>
      </c>
      <c r="AJC72" s="16" t="n">
        <v>84.9</v>
      </c>
      <c r="AJD72" s="16" t="n">
        <v>80.4</v>
      </c>
      <c r="AJE72" s="16" t="n">
        <v>22.7</v>
      </c>
      <c r="AJF72" s="0" t="n">
        <v>47.69</v>
      </c>
      <c r="AJH72" s="0" t="n">
        <v>0</v>
      </c>
      <c r="AJI72" s="0" t="n">
        <v>0</v>
      </c>
      <c r="AJJ72" s="0" t="n">
        <v>22.69</v>
      </c>
      <c r="AJK72" s="0" t="n">
        <v>0</v>
      </c>
      <c r="AJL72" s="0" t="n">
        <v>28.56</v>
      </c>
      <c r="AJM72" s="0" t="n">
        <v>0</v>
      </c>
      <c r="AJN72" s="0" t="n">
        <v>0</v>
      </c>
      <c r="AJO72" s="0" t="n">
        <v>0</v>
      </c>
      <c r="AJP72" s="0" t="n">
        <v>0</v>
      </c>
      <c r="AJQ72" s="0" t="n">
        <v>30.64</v>
      </c>
      <c r="AJR72" s="0" t="n">
        <v>8.38</v>
      </c>
      <c r="AJS72" s="0" t="n">
        <v>43.35</v>
      </c>
      <c r="AJT72" s="0" t="n">
        <v>6.09</v>
      </c>
      <c r="AJU72" s="0" t="n">
        <v>0</v>
      </c>
      <c r="AJV72" s="0" t="n">
        <v>0</v>
      </c>
      <c r="AJW72" s="0" t="n">
        <v>0</v>
      </c>
      <c r="AKJ72" s="0" t="n">
        <v>2.5</v>
      </c>
      <c r="AKK72" s="0" t="n">
        <v>1</v>
      </c>
      <c r="AKL72" s="0" t="n">
        <v>35</v>
      </c>
      <c r="AKM72" s="0" t="n">
        <v>4</v>
      </c>
      <c r="AKN72" s="0" t="n">
        <v>0.54</v>
      </c>
      <c r="AKO72" s="0" t="n">
        <v>3</v>
      </c>
      <c r="AKV72" s="20"/>
      <c r="ALN72" s="0" t="n">
        <v>1</v>
      </c>
      <c r="ALO72" s="0" t="n">
        <v>40</v>
      </c>
      <c r="ALP72" s="0" t="n">
        <v>2</v>
      </c>
      <c r="ALQ72" s="0" t="n">
        <v>0.26</v>
      </c>
      <c r="ALR72" s="0" t="n">
        <v>3</v>
      </c>
    </row>
    <row r="73" customFormat="false" ht="13.8" hidden="false" customHeight="false" outlineLevel="0" collapsed="false">
      <c r="A73" s="1" t="s">
        <v>434</v>
      </c>
      <c r="B73" s="12" t="n">
        <v>42900</v>
      </c>
      <c r="C73" s="0" t="n">
        <v>2</v>
      </c>
      <c r="D73" s="13" t="n">
        <v>37139</v>
      </c>
      <c r="E73" s="12" t="n">
        <v>30055</v>
      </c>
      <c r="F73" s="14" t="n">
        <f aca="false">(B73-E73)/365.25</f>
        <v>35.1676933607118</v>
      </c>
      <c r="G73" s="14" t="n">
        <f aca="false">(B73-D73)/365.25</f>
        <v>15.772758384668</v>
      </c>
      <c r="H73" s="15" t="s">
        <v>228</v>
      </c>
      <c r="I73" s="15" t="s">
        <v>251</v>
      </c>
      <c r="J73" s="15" t="s">
        <v>181</v>
      </c>
      <c r="K73" s="21" t="n">
        <v>8</v>
      </c>
      <c r="L73" s="19" t="n">
        <v>70</v>
      </c>
      <c r="M73" s="15" t="n">
        <v>1.68</v>
      </c>
      <c r="N73" s="16" t="n">
        <f aca="false">L73/(M73*M73)</f>
        <v>24.8015873015873</v>
      </c>
      <c r="O73" s="19" t="n">
        <v>0</v>
      </c>
      <c r="P73" s="19" t="n">
        <v>0</v>
      </c>
      <c r="Q73" s="19" t="n">
        <v>0</v>
      </c>
      <c r="R73" s="19" t="n">
        <v>0</v>
      </c>
      <c r="S73" s="19" t="n">
        <v>0</v>
      </c>
      <c r="T73" s="19" t="n">
        <v>0</v>
      </c>
      <c r="U73" s="19" t="n">
        <v>0</v>
      </c>
      <c r="V73" s="19" t="n">
        <v>0</v>
      </c>
      <c r="W73" s="19" t="n">
        <v>1</v>
      </c>
      <c r="X73" s="19" t="n">
        <v>1</v>
      </c>
      <c r="Y73" s="19" t="n">
        <v>0</v>
      </c>
      <c r="Z73" s="19" t="n">
        <v>0</v>
      </c>
      <c r="AA73" s="19" t="n">
        <v>0</v>
      </c>
      <c r="AB73" s="19" t="n">
        <v>0</v>
      </c>
      <c r="AC73" s="19" t="n">
        <v>1</v>
      </c>
      <c r="AD73" s="19" t="n">
        <v>24</v>
      </c>
      <c r="AE73" s="19" t="n">
        <v>0</v>
      </c>
      <c r="AF73" s="19" t="n">
        <v>0</v>
      </c>
      <c r="AG73" s="19" t="n">
        <v>0</v>
      </c>
      <c r="AH73" s="19" t="n">
        <v>0</v>
      </c>
      <c r="AI73" s="19" t="n">
        <v>3</v>
      </c>
      <c r="AJ73" s="19" t="n">
        <v>3</v>
      </c>
      <c r="AK73" s="19" t="n">
        <v>0</v>
      </c>
      <c r="AL73" s="19" t="n">
        <v>0</v>
      </c>
      <c r="AM73" s="19" t="n">
        <v>0</v>
      </c>
      <c r="AN73" s="19" t="n">
        <v>3</v>
      </c>
      <c r="AO73" s="19" t="n">
        <v>3</v>
      </c>
      <c r="AP73" s="19" t="n">
        <v>0</v>
      </c>
      <c r="AQ73" s="19" t="n">
        <v>0</v>
      </c>
      <c r="AR73" s="19" t="n">
        <v>0</v>
      </c>
      <c r="AS73" s="19" t="n">
        <v>3</v>
      </c>
      <c r="AT73" s="19" t="n">
        <v>3</v>
      </c>
      <c r="AU73" s="19" t="n">
        <v>1</v>
      </c>
      <c r="AV73" s="19" t="n">
        <v>10</v>
      </c>
      <c r="AW73" s="19" t="n">
        <v>0</v>
      </c>
      <c r="AX73" s="19" t="n">
        <v>0</v>
      </c>
      <c r="AY73" s="19" t="n">
        <v>0</v>
      </c>
      <c r="AZ73" s="19" t="n">
        <v>0</v>
      </c>
      <c r="BA73" s="19" t="n">
        <v>0</v>
      </c>
      <c r="BB73" s="19" t="n">
        <v>0</v>
      </c>
      <c r="BC73" s="19" t="n">
        <v>0</v>
      </c>
      <c r="BD73" s="19" t="n">
        <v>0</v>
      </c>
      <c r="BE73" s="19" t="n">
        <v>0</v>
      </c>
      <c r="BF73" s="19" t="n">
        <v>1</v>
      </c>
      <c r="BG73" s="19" t="n">
        <v>1</v>
      </c>
      <c r="BH73" s="19" t="n">
        <v>1</v>
      </c>
      <c r="BI73" s="19" t="n">
        <v>10</v>
      </c>
      <c r="BJ73" s="19" t="n">
        <v>1</v>
      </c>
      <c r="BK73" s="19" t="n">
        <v>1</v>
      </c>
      <c r="BL73" s="19" t="n">
        <v>1</v>
      </c>
      <c r="BM73" s="19" t="n">
        <v>10</v>
      </c>
      <c r="BN73" s="19" t="n">
        <v>1</v>
      </c>
      <c r="BO73" s="19" t="n">
        <v>1</v>
      </c>
      <c r="BP73" s="19" t="n">
        <v>1</v>
      </c>
      <c r="BQ73" s="19" t="n">
        <v>9</v>
      </c>
      <c r="BR73" s="19" t="n">
        <v>4</v>
      </c>
      <c r="BS73" s="19" t="n">
        <v>3</v>
      </c>
      <c r="BT73" s="19" t="n">
        <v>5</v>
      </c>
      <c r="BU73" s="19" t="n">
        <v>5</v>
      </c>
      <c r="BV73" s="19" t="n">
        <v>5</v>
      </c>
      <c r="BW73" s="19" t="n">
        <v>5</v>
      </c>
      <c r="BX73" s="19" t="n">
        <v>5</v>
      </c>
      <c r="BY73" s="19" t="n">
        <v>3</v>
      </c>
      <c r="BZ73" s="19" t="n">
        <v>1</v>
      </c>
      <c r="CA73" s="19" t="n">
        <v>3</v>
      </c>
      <c r="CB73" s="19" t="n">
        <v>2</v>
      </c>
      <c r="CC73" s="19" t="n">
        <v>4</v>
      </c>
      <c r="CD73" s="19" t="n">
        <v>1</v>
      </c>
      <c r="CE73" s="19" t="n">
        <v>3</v>
      </c>
      <c r="CF73" s="19" t="n">
        <v>3</v>
      </c>
      <c r="CG73" s="19" t="n">
        <v>5</v>
      </c>
      <c r="CH73" s="19" t="n">
        <v>3</v>
      </c>
      <c r="CI73" s="19" t="n">
        <v>3</v>
      </c>
      <c r="CJ73" s="19" t="n">
        <v>1</v>
      </c>
      <c r="CK73" s="19" t="n">
        <v>5</v>
      </c>
      <c r="CL73" s="0" t="s">
        <v>253</v>
      </c>
      <c r="CM73" s="0" t="n">
        <v>30</v>
      </c>
      <c r="CN73" s="16" t="n">
        <v>85.5</v>
      </c>
      <c r="CO73" s="16" t="n">
        <v>81</v>
      </c>
      <c r="CP73" s="16" t="n">
        <v>15.2</v>
      </c>
      <c r="CQ73" s="0" t="n">
        <v>87.44</v>
      </c>
      <c r="CR73" s="0" t="n">
        <v>0</v>
      </c>
      <c r="CS73" s="0" t="n">
        <v>0.94</v>
      </c>
      <c r="CT73" s="0" t="n">
        <v>1.97</v>
      </c>
      <c r="CU73" s="0" t="n">
        <v>9.65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2.71</v>
      </c>
      <c r="DC73" s="0" t="n">
        <v>0.6</v>
      </c>
      <c r="DD73" s="0" t="n">
        <v>2.17</v>
      </c>
      <c r="DE73" s="0" t="n">
        <v>5.97</v>
      </c>
      <c r="DF73" s="0" t="n">
        <v>2.65</v>
      </c>
      <c r="DG73" s="0" t="n">
        <v>0</v>
      </c>
      <c r="DH73" s="0" t="n">
        <v>0</v>
      </c>
      <c r="DU73" s="0" t="n">
        <v>10.6</v>
      </c>
      <c r="DV73" s="0" t="n">
        <v>1</v>
      </c>
      <c r="DW73" s="0" t="n">
        <v>60</v>
      </c>
      <c r="DX73" s="0" t="n">
        <v>2</v>
      </c>
      <c r="DY73" s="0" t="n">
        <f aca="false">0.38+0.07</f>
        <v>0.45</v>
      </c>
      <c r="DZ73" s="0" t="n">
        <v>1</v>
      </c>
      <c r="EA73" s="0" t="n">
        <v>68</v>
      </c>
      <c r="EB73" s="0" t="n">
        <v>1</v>
      </c>
      <c r="EC73" s="16" t="n">
        <v>0.31</v>
      </c>
      <c r="ED73" s="0" t="n">
        <v>1</v>
      </c>
      <c r="EE73" s="0" t="n">
        <v>85</v>
      </c>
      <c r="EF73" s="0" t="n">
        <v>2</v>
      </c>
      <c r="EG73" s="18" t="n">
        <f aca="false">1.89+0.94</f>
        <v>2.83</v>
      </c>
      <c r="EH73" s="0" t="n">
        <v>2</v>
      </c>
      <c r="EI73" s="0" t="n">
        <v>25</v>
      </c>
      <c r="EJ73" s="0" t="n">
        <v>1</v>
      </c>
      <c r="EK73" s="16" t="n">
        <v>0.27</v>
      </c>
      <c r="EL73" s="0" t="n">
        <v>2</v>
      </c>
      <c r="EY73" s="0" t="n">
        <v>0</v>
      </c>
      <c r="GJ73" s="16" t="n">
        <v>0</v>
      </c>
      <c r="GK73" s="16" t="n">
        <v>0</v>
      </c>
      <c r="GL73" s="16"/>
      <c r="GM73" s="16"/>
      <c r="GN73" s="16"/>
      <c r="GO73" s="16"/>
      <c r="GP73" s="16"/>
      <c r="GQ73" s="16"/>
      <c r="GR73" s="16"/>
      <c r="GS73" s="16"/>
      <c r="GT73" s="16"/>
      <c r="GU73" s="16" t="n">
        <v>4.17</v>
      </c>
      <c r="GV73" s="16" t="n">
        <v>2.54</v>
      </c>
      <c r="GW73" s="16"/>
      <c r="GX73" s="16"/>
      <c r="GY73" s="16" t="n">
        <v>0</v>
      </c>
      <c r="GZ73" s="16" t="n">
        <v>0</v>
      </c>
      <c r="HA73" s="16" t="n">
        <v>0</v>
      </c>
      <c r="HB73" s="0" t="n">
        <v>0</v>
      </c>
      <c r="HC73" s="0" t="s">
        <v>256</v>
      </c>
      <c r="HD73" s="0" t="n">
        <v>40</v>
      </c>
      <c r="HE73" s="16" t="n">
        <v>89.1</v>
      </c>
      <c r="HF73" s="16" t="n">
        <v>81</v>
      </c>
      <c r="HG73" s="16" t="n">
        <v>5.4</v>
      </c>
      <c r="HH73" s="0" t="n">
        <v>99.83</v>
      </c>
      <c r="HI73" s="0" t="n">
        <v>0</v>
      </c>
      <c r="HJ73" s="0" t="n">
        <v>0</v>
      </c>
      <c r="HK73" s="0" t="n">
        <v>0.17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19.8</v>
      </c>
      <c r="HU73" s="0" t="n">
        <v>8.95</v>
      </c>
      <c r="HV73" s="0" t="n">
        <v>0</v>
      </c>
      <c r="HW73" s="0" t="n">
        <v>0</v>
      </c>
      <c r="HX73" s="0" t="n">
        <v>22.5</v>
      </c>
      <c r="HY73" s="0" t="n">
        <v>1</v>
      </c>
      <c r="HZ73" s="0" t="n">
        <v>5</v>
      </c>
      <c r="IB73" s="0" t="n">
        <v>8</v>
      </c>
      <c r="IL73" s="0" t="n">
        <v>0</v>
      </c>
      <c r="IM73" s="0" t="n">
        <v>0</v>
      </c>
      <c r="IX73" s="18"/>
      <c r="JP73" s="0" t="n">
        <v>1</v>
      </c>
      <c r="JQ73" s="0" t="n">
        <v>50</v>
      </c>
      <c r="JR73" s="0" t="n">
        <v>4</v>
      </c>
      <c r="JS73" s="0" t="n">
        <f aca="false">0.73*2+0.13*2</f>
        <v>1.72</v>
      </c>
      <c r="JT73" s="0" t="n">
        <v>3</v>
      </c>
      <c r="LA73" s="16" t="n">
        <v>1.48</v>
      </c>
      <c r="LB73" s="16" t="n">
        <v>1</v>
      </c>
      <c r="LC73" s="16" t="n">
        <v>1</v>
      </c>
      <c r="LD73" s="16"/>
      <c r="LE73" s="16" t="n">
        <f aca="false">2.1*2+0.37*2</f>
        <v>4.94</v>
      </c>
      <c r="LF73" s="16"/>
      <c r="LG73" s="16"/>
      <c r="LH73" s="16"/>
      <c r="LI73" s="16"/>
      <c r="LJ73" s="16"/>
      <c r="LK73" s="16"/>
      <c r="LL73" s="16" t="n">
        <v>7.71</v>
      </c>
      <c r="LM73" s="16" t="n">
        <v>4.35</v>
      </c>
      <c r="LN73" s="16"/>
      <c r="LO73" s="16"/>
      <c r="LP73" s="16" t="n">
        <v>0</v>
      </c>
      <c r="LQ73" s="16" t="n">
        <v>0</v>
      </c>
      <c r="LR73" s="16" t="n">
        <v>0</v>
      </c>
      <c r="LS73" s="0" t="n">
        <v>0</v>
      </c>
      <c r="LT73" s="0" t="s">
        <v>257</v>
      </c>
      <c r="LU73" s="0" t="n">
        <v>43</v>
      </c>
      <c r="LV73" s="16" t="n">
        <v>93.3</v>
      </c>
      <c r="LW73" s="16" t="n">
        <v>81</v>
      </c>
      <c r="LX73" s="16" t="n">
        <v>6.4</v>
      </c>
      <c r="LY73" s="0" t="n">
        <v>100</v>
      </c>
      <c r="LZ73" s="0" t="n">
        <v>0</v>
      </c>
      <c r="MA73" s="0" t="n">
        <v>0</v>
      </c>
      <c r="MB73" s="0" t="n">
        <v>0</v>
      </c>
      <c r="MC73" s="0" t="n">
        <v>0</v>
      </c>
      <c r="MD73" s="0" t="n">
        <v>0</v>
      </c>
      <c r="ME73" s="0" t="n">
        <v>0</v>
      </c>
      <c r="MF73" s="0" t="n">
        <v>0</v>
      </c>
      <c r="MG73" s="0" t="n">
        <v>0</v>
      </c>
      <c r="MH73" s="0" t="n">
        <v>0</v>
      </c>
      <c r="MI73" s="0" t="n">
        <v>0</v>
      </c>
      <c r="MJ73" s="0" t="n">
        <v>0</v>
      </c>
      <c r="MK73" s="0" t="n">
        <v>18.51</v>
      </c>
      <c r="ML73" s="0" t="n">
        <v>28.46</v>
      </c>
      <c r="MM73" s="0" t="n">
        <v>0</v>
      </c>
      <c r="MN73" s="0" t="n">
        <v>0</v>
      </c>
      <c r="MO73" s="0" t="n">
        <v>0</v>
      </c>
      <c r="MP73" s="0" t="n">
        <v>0</v>
      </c>
      <c r="NC73" s="0" t="n">
        <v>33</v>
      </c>
      <c r="ND73" s="0" t="n">
        <v>0</v>
      </c>
      <c r="NO73" s="18"/>
      <c r="OG73" s="0" t="n">
        <v>1</v>
      </c>
      <c r="OH73" s="0" t="n">
        <v>40</v>
      </c>
      <c r="OI73" s="0" t="n">
        <v>8</v>
      </c>
      <c r="OJ73" s="0" t="n">
        <f aca="false">1.51*2+3.02+0.27*2</f>
        <v>6.58</v>
      </c>
      <c r="OK73" s="0" t="n">
        <v>3</v>
      </c>
      <c r="OL73" s="0" t="n">
        <v>60</v>
      </c>
      <c r="OM73" s="0" t="n">
        <v>20</v>
      </c>
      <c r="ON73" s="0" t="n">
        <f aca="false">3.65*2+0.67*2</f>
        <v>8.64</v>
      </c>
      <c r="OO73" s="0" t="n">
        <v>3</v>
      </c>
      <c r="PR73" s="16" t="n">
        <v>0</v>
      </c>
      <c r="PS73" s="16" t="n">
        <v>0</v>
      </c>
      <c r="PT73" s="16"/>
      <c r="PU73" s="16"/>
      <c r="PV73" s="16"/>
      <c r="PW73" s="16"/>
      <c r="PX73" s="16"/>
      <c r="PY73" s="16"/>
      <c r="PZ73" s="16"/>
      <c r="QA73" s="16"/>
      <c r="QB73" s="16"/>
      <c r="QC73" s="16" t="n">
        <v>0</v>
      </c>
      <c r="QD73" s="16" t="n">
        <v>0</v>
      </c>
      <c r="QE73" s="16"/>
      <c r="QF73" s="16"/>
      <c r="QG73" s="16" t="n">
        <v>0</v>
      </c>
      <c r="QH73" s="16" t="n">
        <v>0</v>
      </c>
      <c r="QI73" s="16" t="n">
        <v>0</v>
      </c>
      <c r="QJ73" s="0" t="n">
        <v>0</v>
      </c>
      <c r="QK73" s="0" t="s">
        <v>258</v>
      </c>
      <c r="QL73" s="0" t="n">
        <v>40</v>
      </c>
      <c r="QM73" s="16" t="n">
        <v>90.1</v>
      </c>
      <c r="QN73" s="16" t="n">
        <v>81</v>
      </c>
      <c r="QO73" s="16" t="n">
        <v>5.9</v>
      </c>
      <c r="QP73" s="0" t="n">
        <v>99.34</v>
      </c>
      <c r="QQ73" s="0" t="n">
        <v>0</v>
      </c>
      <c r="QR73" s="0" t="n">
        <v>0</v>
      </c>
      <c r="QS73" s="0" t="n">
        <v>0.66</v>
      </c>
      <c r="QT73" s="0" t="n">
        <v>0</v>
      </c>
      <c r="QU73" s="0" t="n">
        <v>0</v>
      </c>
      <c r="QV73" s="0" t="n">
        <v>0</v>
      </c>
      <c r="QW73" s="0" t="n">
        <v>0</v>
      </c>
      <c r="QX73" s="0" t="n">
        <v>0</v>
      </c>
      <c r="QY73" s="0" t="n">
        <v>0</v>
      </c>
      <c r="QZ73" s="0" t="n">
        <v>0</v>
      </c>
      <c r="RA73" s="0" t="n">
        <v>0</v>
      </c>
      <c r="RB73" s="0" t="n">
        <v>19.8</v>
      </c>
      <c r="RC73" s="0" t="n">
        <v>8.95</v>
      </c>
      <c r="RD73" s="0" t="n">
        <v>0</v>
      </c>
      <c r="RE73" s="0" t="n">
        <v>0</v>
      </c>
      <c r="RF73" s="0" t="n">
        <v>22.3</v>
      </c>
      <c r="RG73" s="0" t="n">
        <v>1</v>
      </c>
      <c r="RH73" s="0" t="n">
        <v>5</v>
      </c>
      <c r="RJ73" s="0" t="n">
        <v>8</v>
      </c>
      <c r="RT73" s="0" t="n">
        <v>0</v>
      </c>
      <c r="RU73" s="0" t="n">
        <v>0</v>
      </c>
      <c r="SF73" s="18"/>
      <c r="SX73" s="0" t="n">
        <v>1</v>
      </c>
      <c r="SY73" s="0" t="n">
        <v>50</v>
      </c>
      <c r="SZ73" s="0" t="n">
        <v>4</v>
      </c>
      <c r="TA73" s="0" t="n">
        <f aca="false">0.73*2+0.13*2</f>
        <v>1.72</v>
      </c>
      <c r="TB73" s="0" t="n">
        <v>3</v>
      </c>
      <c r="UI73" s="16" t="n">
        <v>1.48</v>
      </c>
      <c r="UJ73" s="16" t="n">
        <v>1</v>
      </c>
      <c r="UK73" s="16" t="n">
        <v>1</v>
      </c>
      <c r="UL73" s="16"/>
      <c r="UM73" s="16" t="n">
        <f aca="false">2.1*2+0.37*2</f>
        <v>4.94</v>
      </c>
      <c r="UN73" s="16"/>
      <c r="UO73" s="16"/>
      <c r="UP73" s="16"/>
      <c r="UQ73" s="16"/>
      <c r="UR73" s="16"/>
      <c r="US73" s="16"/>
      <c r="UT73" s="16" t="n">
        <v>7.71</v>
      </c>
      <c r="UU73" s="16" t="n">
        <v>4.35</v>
      </c>
      <c r="UV73" s="16"/>
      <c r="UW73" s="16"/>
      <c r="UX73" s="16" t="n">
        <v>0</v>
      </c>
      <c r="UY73" s="16" t="n">
        <v>0</v>
      </c>
      <c r="UZ73" s="16" t="n">
        <v>0</v>
      </c>
      <c r="VA73" s="0" t="n">
        <v>0</v>
      </c>
      <c r="VB73" s="0" t="s">
        <v>259</v>
      </c>
      <c r="VC73" s="0" t="n">
        <v>43</v>
      </c>
      <c r="VD73" s="16" t="n">
        <v>93.3</v>
      </c>
      <c r="VE73" s="16" t="n">
        <v>81</v>
      </c>
      <c r="VF73" s="16" t="n">
        <v>6.4</v>
      </c>
      <c r="VG73" s="0" t="n">
        <v>100</v>
      </c>
      <c r="VH73" s="0" t="n">
        <v>0</v>
      </c>
      <c r="VI73" s="0" t="n">
        <v>0</v>
      </c>
      <c r="VJ73" s="0" t="n">
        <v>0</v>
      </c>
      <c r="VK73" s="0" t="n">
        <v>0</v>
      </c>
      <c r="VL73" s="0" t="n">
        <v>0</v>
      </c>
      <c r="VM73" s="0" t="n">
        <v>0</v>
      </c>
      <c r="VN73" s="0" t="n">
        <v>0</v>
      </c>
      <c r="VO73" s="0" t="n">
        <v>0</v>
      </c>
      <c r="VP73" s="0" t="n">
        <v>0</v>
      </c>
      <c r="VQ73" s="0" t="n">
        <v>0</v>
      </c>
      <c r="VR73" s="0" t="n">
        <v>0</v>
      </c>
      <c r="VS73" s="0" t="n">
        <v>18.51</v>
      </c>
      <c r="VT73" s="0" t="n">
        <v>28.46</v>
      </c>
      <c r="VU73" s="0" t="n">
        <v>0</v>
      </c>
      <c r="VV73" s="0" t="n">
        <v>0</v>
      </c>
      <c r="VW73" s="0" t="n">
        <v>0</v>
      </c>
      <c r="VX73" s="0" t="n">
        <v>0</v>
      </c>
      <c r="WK73" s="0" t="n">
        <v>33</v>
      </c>
      <c r="WL73" s="0" t="n">
        <v>0</v>
      </c>
      <c r="WW73" s="18"/>
      <c r="XO73" s="0" t="n">
        <v>1</v>
      </c>
      <c r="XP73" s="0" t="n">
        <v>40</v>
      </c>
      <c r="XQ73" s="0" t="n">
        <v>8</v>
      </c>
      <c r="XR73" s="0" t="n">
        <f aca="false">1.51*2+0.27*2+3.02</f>
        <v>6.58</v>
      </c>
      <c r="XS73" s="0" t="n">
        <v>3</v>
      </c>
      <c r="XT73" s="0" t="n">
        <v>60</v>
      </c>
      <c r="XU73" s="0" t="n">
        <v>20</v>
      </c>
      <c r="XV73" s="0" t="n">
        <f aca="false">3.65*2+0.67*2</f>
        <v>8.64</v>
      </c>
      <c r="XW73" s="0" t="n">
        <v>3</v>
      </c>
      <c r="YZ73" s="16" t="n">
        <v>0</v>
      </c>
      <c r="ZA73" s="16" t="n">
        <v>0</v>
      </c>
      <c r="ZB73" s="16"/>
      <c r="ZC73" s="16"/>
      <c r="ZD73" s="16"/>
      <c r="ZE73" s="16"/>
      <c r="ZF73" s="16"/>
      <c r="ZG73" s="16"/>
      <c r="ZH73" s="16"/>
      <c r="ZI73" s="16"/>
      <c r="ZJ73" s="16"/>
      <c r="ZK73" s="16" t="n">
        <v>0</v>
      </c>
      <c r="ZL73" s="16" t="n">
        <v>0</v>
      </c>
      <c r="ZM73" s="16"/>
      <c r="ZN73" s="16"/>
      <c r="ZO73" s="16" t="n">
        <v>0</v>
      </c>
      <c r="ZP73" s="16" t="n">
        <v>0</v>
      </c>
      <c r="ZQ73" s="16" t="n">
        <v>0</v>
      </c>
      <c r="ZR73" s="0" t="n">
        <v>0</v>
      </c>
      <c r="ZS73" s="0" t="s">
        <v>435</v>
      </c>
      <c r="ZT73" s="0" t="n">
        <v>52.5</v>
      </c>
      <c r="ZU73" s="16" t="n">
        <v>71.2</v>
      </c>
      <c r="ZV73" s="16" t="n">
        <v>81</v>
      </c>
      <c r="ZW73" s="16" t="n">
        <v>44.8</v>
      </c>
      <c r="ZX73" s="0" t="n">
        <v>59.03</v>
      </c>
      <c r="ZY73" s="0" t="n">
        <v>0</v>
      </c>
      <c r="ZZ73" s="0" t="n">
        <v>22.52</v>
      </c>
      <c r="AAA73" s="0" t="n">
        <v>17.8</v>
      </c>
      <c r="AAB73" s="0" t="n">
        <v>0.65</v>
      </c>
      <c r="AAC73" s="0" t="n">
        <v>0</v>
      </c>
      <c r="AAD73" s="0" t="n">
        <v>0</v>
      </c>
      <c r="AAE73" s="0" t="n">
        <v>0</v>
      </c>
      <c r="AAF73" s="0" t="n">
        <v>0</v>
      </c>
      <c r="AAG73" s="0" t="n">
        <v>0</v>
      </c>
      <c r="AAH73" s="0" t="n">
        <v>0</v>
      </c>
      <c r="AAI73" s="0" t="n">
        <v>0</v>
      </c>
      <c r="AAJ73" s="0" t="n">
        <v>3.42</v>
      </c>
      <c r="AAK73" s="0" t="n">
        <v>2.94</v>
      </c>
      <c r="AAL73" s="0" t="n">
        <v>0</v>
      </c>
      <c r="AAM73" s="0" t="n">
        <v>0</v>
      </c>
      <c r="AAN73" s="0" t="n">
        <v>0</v>
      </c>
      <c r="AAO73" s="0" t="n">
        <v>0</v>
      </c>
      <c r="ABB73" s="0" t="n">
        <v>0</v>
      </c>
      <c r="ABC73" s="0" t="n">
        <v>1</v>
      </c>
      <c r="ABD73" s="0" t="n">
        <v>34</v>
      </c>
      <c r="ABE73" s="0" t="n">
        <v>8</v>
      </c>
      <c r="ABF73" s="0" t="n">
        <v>5.35</v>
      </c>
      <c r="ABG73" s="0" t="n">
        <v>1</v>
      </c>
      <c r="ABN73" s="18"/>
      <c r="ACF73" s="0" t="n">
        <v>0</v>
      </c>
      <c r="ADQ73" s="16" t="n">
        <v>1.96</v>
      </c>
      <c r="ADR73" s="16" t="n">
        <v>1</v>
      </c>
      <c r="ADS73" s="16" t="n">
        <v>1</v>
      </c>
      <c r="ADT73" s="16"/>
      <c r="ADU73" s="16" t="n">
        <f aca="false">0.22+4.31+1.48+0.37*2</f>
        <v>6.75</v>
      </c>
      <c r="ADV73" s="16"/>
      <c r="ADW73" s="16"/>
      <c r="ADX73" s="16"/>
      <c r="ADY73" s="16"/>
      <c r="ADZ73" s="16"/>
      <c r="AEA73" s="16"/>
      <c r="AEB73" s="16" t="n">
        <v>4.75</v>
      </c>
      <c r="AEC73" s="16" t="n">
        <v>4.74</v>
      </c>
      <c r="AED73" s="16"/>
      <c r="AEE73" s="16"/>
      <c r="AEF73" s="16" t="n">
        <v>0</v>
      </c>
      <c r="AEG73" s="16" t="n">
        <v>0</v>
      </c>
      <c r="AEH73" s="16" t="n">
        <v>0</v>
      </c>
      <c r="AEI73" s="0" t="n">
        <v>0</v>
      </c>
      <c r="AEK73" s="15"/>
      <c r="AEL73" s="15"/>
      <c r="AES73" s="15"/>
      <c r="AET73" s="15"/>
      <c r="AFA73" s="15"/>
      <c r="AFB73" s="15"/>
      <c r="AFI73" s="15"/>
      <c r="AFJ73" s="15"/>
      <c r="AFQ73" s="15"/>
      <c r="AFR73" s="15"/>
      <c r="AFY73" s="15"/>
      <c r="AFZ73" s="15"/>
      <c r="AGG73" s="15"/>
      <c r="AGH73" s="15"/>
      <c r="AGO73" s="15"/>
      <c r="AGP73" s="15"/>
      <c r="AGW73" s="15"/>
      <c r="AGX73" s="15"/>
      <c r="AHE73" s="15"/>
      <c r="AHF73" s="15"/>
      <c r="AHM73" s="15"/>
      <c r="AHN73" s="15"/>
      <c r="AHU73" s="15"/>
      <c r="AHV73" s="15"/>
      <c r="AIC73" s="15"/>
      <c r="AID73" s="15"/>
      <c r="AIK73" s="15"/>
      <c r="AIL73" s="15"/>
      <c r="AIS73" s="15"/>
      <c r="AIT73" s="15"/>
      <c r="AJA73" s="15"/>
      <c r="AJB73" s="15"/>
      <c r="AJI73" s="15"/>
      <c r="AJJ73" s="15"/>
      <c r="AJQ73" s="15"/>
      <c r="AJR73" s="15"/>
      <c r="AJY73" s="15"/>
      <c r="AJZ73" s="15"/>
      <c r="AKG73" s="15"/>
      <c r="AKH73" s="15"/>
      <c r="AKO73" s="15"/>
      <c r="AKP73" s="15"/>
      <c r="AKW73" s="15"/>
      <c r="AKX73" s="15"/>
      <c r="ALE73" s="15"/>
      <c r="ALF73" s="15"/>
      <c r="ALM73" s="15"/>
      <c r="ALN73" s="15"/>
      <c r="ALU73" s="15"/>
      <c r="ALV73" s="15"/>
      <c r="AMC73" s="15"/>
      <c r="AMD73" s="15"/>
    </row>
    <row r="74" customFormat="false" ht="13.8" hidden="false" customHeight="false" outlineLevel="0" collapsed="false">
      <c r="A74" s="1" t="s">
        <v>436</v>
      </c>
      <c r="B74" s="12" t="n">
        <v>42901</v>
      </c>
      <c r="C74" s="0" t="n">
        <v>2</v>
      </c>
      <c r="D74" s="13" t="n">
        <v>42776</v>
      </c>
      <c r="E74" s="12" t="n">
        <v>33508</v>
      </c>
      <c r="F74" s="14" t="n">
        <f aca="false">(B74-E74)/365.25</f>
        <v>25.7166324435318</v>
      </c>
      <c r="G74" s="14" t="n">
        <f aca="false">(B74-D74)/365.25</f>
        <v>0.342231348391513</v>
      </c>
      <c r="H74" s="15" t="s">
        <v>228</v>
      </c>
      <c r="I74" s="15" t="s">
        <v>251</v>
      </c>
      <c r="J74" s="15" t="s">
        <v>181</v>
      </c>
      <c r="K74" s="21" t="n">
        <v>8</v>
      </c>
      <c r="L74" s="19"/>
      <c r="N74" s="16" t="e">
        <f aca="false">L74/(M74*M74)</f>
        <v>#DIV/0!</v>
      </c>
      <c r="O74" s="19" t="n">
        <v>0</v>
      </c>
      <c r="P74" s="19" t="n">
        <v>0</v>
      </c>
      <c r="Q74" s="19" t="n">
        <v>0</v>
      </c>
      <c r="R74" s="19" t="n">
        <v>0</v>
      </c>
      <c r="S74" s="19" t="n">
        <v>0</v>
      </c>
      <c r="T74" s="19" t="n">
        <v>0</v>
      </c>
      <c r="U74" s="19" t="n">
        <v>0</v>
      </c>
      <c r="V74" s="19" t="n">
        <v>0</v>
      </c>
      <c r="W74" s="19" t="n">
        <v>0</v>
      </c>
      <c r="X74" s="19" t="n">
        <v>0</v>
      </c>
      <c r="Y74" s="19" t="n">
        <v>1</v>
      </c>
      <c r="Z74" s="19" t="n">
        <v>1</v>
      </c>
      <c r="AA74" s="19" t="n">
        <v>60</v>
      </c>
      <c r="AB74" s="19" t="s">
        <v>343</v>
      </c>
      <c r="AC74" s="19" t="n">
        <v>1</v>
      </c>
      <c r="AD74" s="19" t="n">
        <v>10</v>
      </c>
      <c r="AE74" s="19" t="n">
        <v>0</v>
      </c>
      <c r="AF74" s="19" t="n">
        <v>0</v>
      </c>
      <c r="AG74" s="19" t="n">
        <v>0</v>
      </c>
      <c r="AH74" s="19" t="n">
        <v>0</v>
      </c>
      <c r="AI74" s="19" t="n">
        <v>0</v>
      </c>
      <c r="AJ74" s="19" t="n">
        <v>0</v>
      </c>
      <c r="AK74" s="19" t="n">
        <v>0</v>
      </c>
      <c r="AL74" s="19" t="n">
        <v>0</v>
      </c>
      <c r="AM74" s="19" t="n">
        <v>0</v>
      </c>
      <c r="AN74" s="19" t="n">
        <v>0</v>
      </c>
      <c r="AO74" s="19" t="n">
        <v>0</v>
      </c>
      <c r="AP74" s="19" t="n">
        <v>0</v>
      </c>
      <c r="AQ74" s="19" t="n">
        <v>0</v>
      </c>
      <c r="AR74" s="19" t="n">
        <v>0</v>
      </c>
      <c r="AS74" s="19" t="n">
        <v>0</v>
      </c>
      <c r="AT74" s="19" t="n">
        <v>0</v>
      </c>
      <c r="AU74" s="19" t="n">
        <v>0</v>
      </c>
      <c r="AV74" s="19" t="n">
        <v>0</v>
      </c>
      <c r="AW74" s="19" t="n">
        <v>0</v>
      </c>
      <c r="AX74" s="19" t="n">
        <v>0</v>
      </c>
      <c r="AY74" s="19" t="n">
        <v>0</v>
      </c>
      <c r="AZ74" s="19" t="n">
        <v>0</v>
      </c>
      <c r="BA74" s="19" t="n">
        <v>0</v>
      </c>
      <c r="BB74" s="19" t="n">
        <v>0</v>
      </c>
      <c r="BC74" s="19" t="n">
        <v>0</v>
      </c>
      <c r="BD74" s="19" t="n">
        <v>0</v>
      </c>
      <c r="BE74" s="19" t="n">
        <v>0</v>
      </c>
      <c r="BF74" s="19" t="n">
        <v>0</v>
      </c>
      <c r="BG74" s="19" t="n">
        <v>0</v>
      </c>
      <c r="BH74" s="19" t="n">
        <v>0</v>
      </c>
      <c r="BI74" s="19" t="n">
        <v>0</v>
      </c>
      <c r="BJ74" s="19" t="n">
        <v>0</v>
      </c>
      <c r="BK74" s="19" t="n">
        <v>0</v>
      </c>
      <c r="BL74" s="19" t="n">
        <v>0</v>
      </c>
      <c r="BM74" s="19" t="n">
        <v>0</v>
      </c>
      <c r="BN74" s="19" t="n">
        <v>0</v>
      </c>
      <c r="BO74" s="19" t="n">
        <v>0</v>
      </c>
      <c r="BP74" s="19" t="n">
        <v>0</v>
      </c>
      <c r="BQ74" s="19" t="n">
        <v>0</v>
      </c>
      <c r="BR74" s="19" t="n">
        <v>1</v>
      </c>
      <c r="BS74" s="19" t="n">
        <v>1</v>
      </c>
      <c r="BT74" s="19" t="n">
        <v>4</v>
      </c>
      <c r="BU74" s="19" t="n">
        <v>5</v>
      </c>
      <c r="BV74" s="19" t="n">
        <v>1</v>
      </c>
      <c r="BW74" s="19" t="n">
        <v>1</v>
      </c>
      <c r="BX74" s="19" t="n">
        <v>5</v>
      </c>
      <c r="BY74" s="19" t="n">
        <v>5</v>
      </c>
      <c r="BZ74" s="19" t="n">
        <v>4</v>
      </c>
      <c r="CA74" s="19" t="n">
        <v>5</v>
      </c>
      <c r="CB74" s="19" t="n">
        <v>5</v>
      </c>
      <c r="CC74" s="19" t="n">
        <v>5</v>
      </c>
      <c r="CD74" s="19" t="n">
        <v>5</v>
      </c>
      <c r="CE74" s="19" t="n">
        <v>5</v>
      </c>
      <c r="CF74" s="19" t="n">
        <v>2</v>
      </c>
      <c r="CG74" s="19" t="n">
        <v>5</v>
      </c>
      <c r="CH74" s="19" t="n">
        <v>5</v>
      </c>
      <c r="CI74" s="19" t="n">
        <v>5</v>
      </c>
      <c r="CJ74" s="19" t="n">
        <v>5</v>
      </c>
      <c r="CK74" s="19" t="n">
        <v>10</v>
      </c>
      <c r="CL74" s="0" t="s">
        <v>253</v>
      </c>
      <c r="CM74" s="0" t="n">
        <v>30</v>
      </c>
      <c r="CN74" s="16" t="n">
        <v>85.5</v>
      </c>
      <c r="CO74" s="16" t="n">
        <v>81</v>
      </c>
      <c r="CP74" s="16" t="n">
        <v>15.2</v>
      </c>
      <c r="CQ74" s="0" t="n">
        <v>87.44</v>
      </c>
      <c r="CR74" s="0" t="n">
        <v>0</v>
      </c>
      <c r="CS74" s="0" t="n">
        <v>0.94</v>
      </c>
      <c r="CT74" s="0" t="n">
        <v>1.97</v>
      </c>
      <c r="CU74" s="0" t="n">
        <v>9.65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2.71</v>
      </c>
      <c r="DC74" s="0" t="n">
        <v>0.6</v>
      </c>
      <c r="DD74" s="0" t="n">
        <v>2.17</v>
      </c>
      <c r="DE74" s="0" t="n">
        <v>5.97</v>
      </c>
      <c r="DF74" s="0" t="n">
        <v>2.65</v>
      </c>
      <c r="DG74" s="0" t="n">
        <v>0</v>
      </c>
      <c r="DH74" s="0" t="n">
        <v>0</v>
      </c>
      <c r="DU74" s="0" t="n">
        <v>10.6</v>
      </c>
      <c r="DV74" s="0" t="n">
        <v>1</v>
      </c>
      <c r="DW74" s="0" t="n">
        <v>60</v>
      </c>
      <c r="DX74" s="0" t="n">
        <v>2</v>
      </c>
      <c r="DY74" s="0" t="n">
        <f aca="false">0.38+0.07</f>
        <v>0.45</v>
      </c>
      <c r="DZ74" s="0" t="n">
        <v>1</v>
      </c>
      <c r="EA74" s="0" t="n">
        <v>68</v>
      </c>
      <c r="EB74" s="0" t="n">
        <v>1</v>
      </c>
      <c r="EC74" s="16" t="n">
        <v>0.31</v>
      </c>
      <c r="ED74" s="0" t="n">
        <v>1</v>
      </c>
      <c r="EE74" s="0" t="n">
        <v>85</v>
      </c>
      <c r="EF74" s="0" t="n">
        <v>2</v>
      </c>
      <c r="EG74" s="18" t="n">
        <f aca="false">1.89+0.94</f>
        <v>2.83</v>
      </c>
      <c r="EH74" s="0" t="n">
        <v>2</v>
      </c>
      <c r="EI74" s="0" t="n">
        <v>25</v>
      </c>
      <c r="EJ74" s="0" t="n">
        <v>1</v>
      </c>
      <c r="EK74" s="16" t="n">
        <v>0.27</v>
      </c>
      <c r="EL74" s="0" t="n">
        <v>2</v>
      </c>
      <c r="EY74" s="0" t="n">
        <v>0</v>
      </c>
      <c r="GJ74" s="16" t="n">
        <v>0</v>
      </c>
      <c r="GK74" s="16" t="n">
        <v>0</v>
      </c>
      <c r="GL74" s="16"/>
      <c r="GM74" s="16"/>
      <c r="GN74" s="16"/>
      <c r="GO74" s="16"/>
      <c r="GP74" s="16"/>
      <c r="GQ74" s="16"/>
      <c r="GR74" s="16"/>
      <c r="GS74" s="16"/>
      <c r="GT74" s="16"/>
      <c r="GU74" s="16" t="n">
        <v>4.17</v>
      </c>
      <c r="GV74" s="16" t="n">
        <v>2.54</v>
      </c>
      <c r="GW74" s="16"/>
      <c r="GX74" s="16"/>
      <c r="GY74" s="16" t="n">
        <v>0</v>
      </c>
      <c r="GZ74" s="16" t="n">
        <v>0</v>
      </c>
      <c r="HA74" s="16" t="n">
        <v>0</v>
      </c>
      <c r="HB74" s="0" t="n">
        <v>0</v>
      </c>
      <c r="HC74" s="0" t="s">
        <v>255</v>
      </c>
      <c r="HD74" s="0" t="n">
        <v>41</v>
      </c>
      <c r="HE74" s="16" t="n">
        <v>48.6</v>
      </c>
      <c r="HF74" s="16" t="n">
        <v>81</v>
      </c>
      <c r="HG74" s="16" t="n">
        <v>21.6</v>
      </c>
      <c r="HH74" s="0" t="n">
        <v>76.16</v>
      </c>
      <c r="HI74" s="0" t="n">
        <v>0</v>
      </c>
      <c r="HJ74" s="0" t="n">
        <v>0.07</v>
      </c>
      <c r="HK74" s="0" t="n">
        <v>0.13</v>
      </c>
      <c r="HL74" s="0" t="n">
        <v>23.64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6.53</v>
      </c>
      <c r="HT74" s="0" t="n">
        <v>0.2</v>
      </c>
      <c r="HU74" s="0" t="n">
        <v>27.15</v>
      </c>
      <c r="HV74" s="0" t="n">
        <v>4.11</v>
      </c>
      <c r="HW74" s="0" t="n">
        <v>0</v>
      </c>
      <c r="HX74" s="0" t="n">
        <v>3.9</v>
      </c>
      <c r="HY74" s="0" t="n">
        <v>1</v>
      </c>
      <c r="HZ74" s="0" t="n">
        <v>10</v>
      </c>
      <c r="IB74" s="0" t="n">
        <v>1</v>
      </c>
      <c r="IL74" s="0" t="n">
        <v>0.6</v>
      </c>
      <c r="IM74" s="0" t="n">
        <v>1</v>
      </c>
      <c r="IN74" s="0" t="n">
        <v>52</v>
      </c>
      <c r="IO74" s="0" t="n">
        <v>3</v>
      </c>
      <c r="IP74" s="16" t="n">
        <f aca="false">0.16+0.13</f>
        <v>0.29</v>
      </c>
      <c r="IQ74" s="0" t="n">
        <v>2</v>
      </c>
      <c r="IX74" s="18"/>
      <c r="JP74" s="0" t="n">
        <v>0</v>
      </c>
      <c r="LA74" s="16" t="n">
        <v>0.57</v>
      </c>
      <c r="LB74" s="16" t="n">
        <v>1</v>
      </c>
      <c r="LC74" s="16" t="n">
        <v>1</v>
      </c>
      <c r="LD74" s="16"/>
      <c r="LE74" s="16" t="n">
        <f aca="false">0.93</f>
        <v>0.93</v>
      </c>
      <c r="LF74" s="16" t="n">
        <v>2</v>
      </c>
      <c r="LG74" s="16"/>
      <c r="LH74" s="16" t="n">
        <f aca="false">0.31+0.22</f>
        <v>0.53</v>
      </c>
      <c r="LI74" s="16"/>
      <c r="LJ74" s="16"/>
      <c r="LK74" s="16"/>
      <c r="LL74" s="16" t="n">
        <v>5.72</v>
      </c>
      <c r="LM74" s="16" t="n">
        <v>5.75</v>
      </c>
      <c r="LN74" s="16"/>
      <c r="LO74" s="16"/>
      <c r="LP74" s="16" t="n">
        <v>7.41</v>
      </c>
      <c r="LQ74" s="16" t="n">
        <v>0</v>
      </c>
      <c r="LR74" s="16" t="n">
        <v>0.22</v>
      </c>
      <c r="LS74" s="0" t="n">
        <v>5</v>
      </c>
      <c r="LT74" s="0" t="s">
        <v>256</v>
      </c>
      <c r="LU74" s="0" t="n">
        <v>40</v>
      </c>
      <c r="LV74" s="16" t="n">
        <v>89.1</v>
      </c>
      <c r="LW74" s="16" t="n">
        <v>81</v>
      </c>
      <c r="LX74" s="16" t="n">
        <v>5.4</v>
      </c>
      <c r="LY74" s="0" t="n">
        <v>99.83</v>
      </c>
      <c r="LZ74" s="0" t="n">
        <v>0</v>
      </c>
      <c r="MA74" s="0" t="n">
        <v>0</v>
      </c>
      <c r="MB74" s="0" t="n">
        <v>0.17</v>
      </c>
      <c r="MC74" s="0" t="n">
        <v>0</v>
      </c>
      <c r="MD74" s="0" t="n">
        <v>0</v>
      </c>
      <c r="ME74" s="0" t="n">
        <v>0</v>
      </c>
      <c r="MF74" s="0" t="n">
        <v>0</v>
      </c>
      <c r="MG74" s="0" t="n">
        <v>0</v>
      </c>
      <c r="MH74" s="0" t="n">
        <v>0</v>
      </c>
      <c r="MI74" s="0" t="n">
        <v>0</v>
      </c>
      <c r="MJ74" s="0" t="n">
        <v>0</v>
      </c>
      <c r="MK74" s="0" t="n">
        <v>19.8</v>
      </c>
      <c r="ML74" s="0" t="n">
        <v>8.95</v>
      </c>
      <c r="MM74" s="0" t="n">
        <v>0</v>
      </c>
      <c r="MN74" s="0" t="n">
        <v>0</v>
      </c>
      <c r="MO74" s="0" t="n">
        <v>22.5</v>
      </c>
      <c r="MP74" s="0" t="n">
        <v>1</v>
      </c>
      <c r="MQ74" s="0" t="n">
        <v>5</v>
      </c>
      <c r="MS74" s="0" t="n">
        <v>8</v>
      </c>
      <c r="NC74" s="0" t="n">
        <v>0</v>
      </c>
      <c r="ND74" s="0" t="n">
        <v>0</v>
      </c>
      <c r="NO74" s="18"/>
      <c r="OG74" s="0" t="n">
        <v>1</v>
      </c>
      <c r="OH74" s="0" t="n">
        <v>50</v>
      </c>
      <c r="OI74" s="0" t="n">
        <v>4</v>
      </c>
      <c r="OJ74" s="0" t="n">
        <f aca="false">0.73*2+0.13*2</f>
        <v>1.72</v>
      </c>
      <c r="OK74" s="0" t="n">
        <v>3</v>
      </c>
      <c r="PR74" s="16" t="n">
        <v>1.48</v>
      </c>
      <c r="PS74" s="16" t="n">
        <v>1</v>
      </c>
      <c r="PT74" s="16" t="n">
        <v>1</v>
      </c>
      <c r="PU74" s="16"/>
      <c r="PV74" s="16" t="n">
        <f aca="false">2.1*2+0.37*2</f>
        <v>4.94</v>
      </c>
      <c r="PW74" s="16"/>
      <c r="PX74" s="16"/>
      <c r="PY74" s="16"/>
      <c r="PZ74" s="16"/>
      <c r="QA74" s="16"/>
      <c r="QB74" s="16"/>
      <c r="QC74" s="16" t="n">
        <v>7.71</v>
      </c>
      <c r="QD74" s="16" t="n">
        <v>4.35</v>
      </c>
      <c r="QE74" s="16"/>
      <c r="QF74" s="16"/>
      <c r="QG74" s="16" t="n">
        <v>0</v>
      </c>
      <c r="QH74" s="16" t="n">
        <v>0</v>
      </c>
      <c r="QI74" s="16" t="n">
        <v>0</v>
      </c>
      <c r="QJ74" s="0" t="n">
        <v>0</v>
      </c>
      <c r="QK74" s="0" t="s">
        <v>257</v>
      </c>
      <c r="QL74" s="0" t="n">
        <v>43</v>
      </c>
      <c r="QM74" s="16" t="n">
        <v>93.3</v>
      </c>
      <c r="QN74" s="16" t="n">
        <v>81</v>
      </c>
      <c r="QO74" s="16" t="n">
        <v>6.4</v>
      </c>
      <c r="QP74" s="0" t="n">
        <v>100</v>
      </c>
      <c r="QQ74" s="0" t="n">
        <v>0</v>
      </c>
      <c r="QR74" s="0" t="n">
        <v>0</v>
      </c>
      <c r="QS74" s="0" t="n">
        <v>0</v>
      </c>
      <c r="QT74" s="0" t="n">
        <v>0</v>
      </c>
      <c r="QU74" s="0" t="n">
        <v>0</v>
      </c>
      <c r="QV74" s="0" t="n">
        <v>0</v>
      </c>
      <c r="QW74" s="0" t="n">
        <v>0</v>
      </c>
      <c r="QX74" s="0" t="n">
        <v>0</v>
      </c>
      <c r="QY74" s="0" t="n">
        <v>0</v>
      </c>
      <c r="QZ74" s="0" t="n">
        <v>0</v>
      </c>
      <c r="RA74" s="0" t="n">
        <v>0</v>
      </c>
      <c r="RB74" s="0" t="n">
        <v>18.51</v>
      </c>
      <c r="RC74" s="0" t="n">
        <v>28.46</v>
      </c>
      <c r="RD74" s="0" t="n">
        <v>0</v>
      </c>
      <c r="RE74" s="0" t="n">
        <v>0</v>
      </c>
      <c r="RF74" s="0" t="n">
        <v>0</v>
      </c>
      <c r="RG74" s="0" t="n">
        <v>0</v>
      </c>
      <c r="RT74" s="0" t="n">
        <v>33</v>
      </c>
      <c r="RU74" s="0" t="n">
        <v>0</v>
      </c>
      <c r="SF74" s="18"/>
      <c r="SX74" s="0" t="n">
        <v>1</v>
      </c>
      <c r="SY74" s="0" t="n">
        <v>40</v>
      </c>
      <c r="SZ74" s="0" t="n">
        <v>8</v>
      </c>
      <c r="TA74" s="0" t="n">
        <f aca="false">1.51*2+3.02+0.27*2</f>
        <v>6.58</v>
      </c>
      <c r="TB74" s="0" t="n">
        <v>3</v>
      </c>
      <c r="TC74" s="0" t="n">
        <v>60</v>
      </c>
      <c r="TD74" s="0" t="n">
        <v>20</v>
      </c>
      <c r="TE74" s="0" t="n">
        <f aca="false">3.65*2+0.67*2</f>
        <v>8.64</v>
      </c>
      <c r="TF74" s="0" t="n">
        <v>3</v>
      </c>
      <c r="UI74" s="16" t="n">
        <v>0</v>
      </c>
      <c r="UJ74" s="16" t="n">
        <v>0</v>
      </c>
      <c r="UK74" s="16"/>
      <c r="UL74" s="16"/>
      <c r="UM74" s="16"/>
      <c r="UN74" s="16"/>
      <c r="UO74" s="16"/>
      <c r="UP74" s="16"/>
      <c r="UQ74" s="16"/>
      <c r="UR74" s="16"/>
      <c r="US74" s="16"/>
      <c r="UT74" s="16" t="n">
        <v>0</v>
      </c>
      <c r="UU74" s="16" t="n">
        <v>0</v>
      </c>
      <c r="UV74" s="16"/>
      <c r="UW74" s="16"/>
      <c r="UX74" s="16" t="n">
        <v>0</v>
      </c>
      <c r="UY74" s="16" t="n">
        <v>0</v>
      </c>
      <c r="UZ74" s="16" t="n">
        <v>0</v>
      </c>
      <c r="VA74" s="0" t="n">
        <v>0</v>
      </c>
      <c r="VB74" s="0" t="s">
        <v>258</v>
      </c>
      <c r="VC74" s="0" t="n">
        <v>40</v>
      </c>
      <c r="VD74" s="16" t="n">
        <v>90.1</v>
      </c>
      <c r="VE74" s="16" t="n">
        <v>81</v>
      </c>
      <c r="VF74" s="16" t="n">
        <v>5.9</v>
      </c>
      <c r="VG74" s="0" t="n">
        <v>99.34</v>
      </c>
      <c r="VH74" s="0" t="n">
        <v>0</v>
      </c>
      <c r="VI74" s="0" t="n">
        <v>0</v>
      </c>
      <c r="VJ74" s="0" t="n">
        <v>0.66</v>
      </c>
      <c r="VK74" s="0" t="n">
        <v>0</v>
      </c>
      <c r="VL74" s="0" t="n">
        <v>0</v>
      </c>
      <c r="VM74" s="0" t="n">
        <v>0</v>
      </c>
      <c r="VN74" s="0" t="n">
        <v>0</v>
      </c>
      <c r="VO74" s="0" t="n">
        <v>0</v>
      </c>
      <c r="VP74" s="0" t="n">
        <v>0</v>
      </c>
      <c r="VQ74" s="0" t="n">
        <v>0</v>
      </c>
      <c r="VR74" s="0" t="n">
        <v>0</v>
      </c>
      <c r="VS74" s="0" t="n">
        <v>19.8</v>
      </c>
      <c r="VT74" s="0" t="n">
        <v>8.95</v>
      </c>
      <c r="VU74" s="0" t="n">
        <v>0</v>
      </c>
      <c r="VV74" s="0" t="n">
        <v>0</v>
      </c>
      <c r="VW74" s="0" t="n">
        <v>22.3</v>
      </c>
      <c r="VX74" s="0" t="n">
        <v>1</v>
      </c>
      <c r="VY74" s="0" t="n">
        <v>5</v>
      </c>
      <c r="WA74" s="0" t="n">
        <v>8</v>
      </c>
      <c r="WK74" s="0" t="n">
        <v>0</v>
      </c>
      <c r="WL74" s="0" t="n">
        <v>0</v>
      </c>
      <c r="WW74" s="18"/>
      <c r="XO74" s="0" t="n">
        <v>1</v>
      </c>
      <c r="XP74" s="0" t="n">
        <v>50</v>
      </c>
      <c r="XQ74" s="0" t="n">
        <v>4</v>
      </c>
      <c r="XR74" s="0" t="n">
        <f aca="false">0.73*2+0.13*2</f>
        <v>1.72</v>
      </c>
      <c r="XS74" s="0" t="n">
        <v>3</v>
      </c>
      <c r="YZ74" s="16" t="n">
        <v>1.48</v>
      </c>
      <c r="ZA74" s="16" t="n">
        <v>1</v>
      </c>
      <c r="ZB74" s="16" t="n">
        <v>1</v>
      </c>
      <c r="ZC74" s="16"/>
      <c r="ZD74" s="16" t="n">
        <f aca="false">2.1*2+0.37*2</f>
        <v>4.94</v>
      </c>
      <c r="ZE74" s="16"/>
      <c r="ZF74" s="16"/>
      <c r="ZG74" s="16"/>
      <c r="ZH74" s="16"/>
      <c r="ZI74" s="16"/>
      <c r="ZJ74" s="16"/>
      <c r="ZK74" s="16" t="n">
        <v>7.71</v>
      </c>
      <c r="ZL74" s="16" t="n">
        <v>4.35</v>
      </c>
      <c r="ZM74" s="16"/>
      <c r="ZN74" s="16"/>
      <c r="ZO74" s="16" t="n">
        <v>0</v>
      </c>
      <c r="ZP74" s="16" t="n">
        <v>0</v>
      </c>
      <c r="ZQ74" s="16" t="n">
        <v>0</v>
      </c>
      <c r="ZR74" s="0" t="n">
        <v>0</v>
      </c>
      <c r="ZS74" s="0" t="s">
        <v>259</v>
      </c>
      <c r="ZT74" s="0" t="n">
        <v>43</v>
      </c>
      <c r="ZU74" s="16" t="n">
        <v>93.3</v>
      </c>
      <c r="ZV74" s="16" t="n">
        <v>81</v>
      </c>
      <c r="ZW74" s="16" t="n">
        <v>6.4</v>
      </c>
      <c r="ZX74" s="0" t="n">
        <v>100</v>
      </c>
      <c r="ZY74" s="0" t="n">
        <v>0</v>
      </c>
      <c r="ZZ74" s="0" t="n">
        <v>0</v>
      </c>
      <c r="AAA74" s="0" t="n">
        <v>0</v>
      </c>
      <c r="AAB74" s="0" t="n">
        <v>0</v>
      </c>
      <c r="AAC74" s="0" t="n">
        <v>0</v>
      </c>
      <c r="AAD74" s="0" t="n">
        <v>0</v>
      </c>
      <c r="AAE74" s="0" t="n">
        <v>0</v>
      </c>
      <c r="AAF74" s="0" t="n">
        <v>0</v>
      </c>
      <c r="AAG74" s="0" t="n">
        <v>0</v>
      </c>
      <c r="AAH74" s="0" t="n">
        <v>0</v>
      </c>
      <c r="AAI74" s="0" t="n">
        <v>0</v>
      </c>
      <c r="AAJ74" s="0" t="n">
        <v>18.51</v>
      </c>
      <c r="AAK74" s="0" t="n">
        <v>28.46</v>
      </c>
      <c r="AAL74" s="0" t="n">
        <v>0</v>
      </c>
      <c r="AAM74" s="0" t="n">
        <v>0</v>
      </c>
      <c r="AAN74" s="0" t="n">
        <v>0</v>
      </c>
      <c r="AAO74" s="0" t="n">
        <v>0</v>
      </c>
      <c r="ABB74" s="0" t="n">
        <v>33</v>
      </c>
      <c r="ABC74" s="0" t="n">
        <v>0</v>
      </c>
      <c r="ABN74" s="18"/>
      <c r="ACF74" s="0" t="n">
        <v>1</v>
      </c>
      <c r="ACG74" s="0" t="n">
        <v>40</v>
      </c>
      <c r="ACH74" s="0" t="n">
        <v>8</v>
      </c>
      <c r="ACI74" s="0" t="n">
        <f aca="false">1.51*2+0.27*2+3.02</f>
        <v>6.58</v>
      </c>
      <c r="ACJ74" s="0" t="n">
        <v>3</v>
      </c>
      <c r="ACK74" s="0" t="n">
        <v>60</v>
      </c>
      <c r="ACL74" s="0" t="n">
        <v>20</v>
      </c>
      <c r="ACM74" s="0" t="n">
        <f aca="false">3.65*2+0.67*2</f>
        <v>8.64</v>
      </c>
      <c r="ACN74" s="0" t="n">
        <v>3</v>
      </c>
      <c r="ADQ74" s="16" t="n">
        <v>0</v>
      </c>
      <c r="ADR74" s="16" t="n">
        <v>0</v>
      </c>
      <c r="ADS74" s="16"/>
      <c r="ADT74" s="16"/>
      <c r="ADU74" s="16"/>
      <c r="ADV74" s="16"/>
      <c r="ADW74" s="16"/>
      <c r="ADX74" s="16"/>
      <c r="ADY74" s="16"/>
      <c r="ADZ74" s="16"/>
      <c r="AEA74" s="16"/>
      <c r="AEB74" s="16" t="n">
        <v>0</v>
      </c>
      <c r="AEC74" s="16" t="n">
        <v>0</v>
      </c>
      <c r="AED74" s="16"/>
      <c r="AEE74" s="16"/>
      <c r="AEF74" s="16" t="n">
        <v>0</v>
      </c>
      <c r="AEG74" s="16" t="n">
        <v>0</v>
      </c>
      <c r="AEH74" s="16" t="n">
        <v>0</v>
      </c>
      <c r="AEI74" s="0" t="n">
        <v>0</v>
      </c>
      <c r="AEJ74" s="0" t="s">
        <v>260</v>
      </c>
      <c r="AEK74" s="0" t="n">
        <v>57.5</v>
      </c>
      <c r="AEL74" s="16" t="n">
        <v>91.5</v>
      </c>
      <c r="AEM74" s="16" t="n">
        <v>81</v>
      </c>
      <c r="AEN74" s="16" t="n">
        <v>49.9</v>
      </c>
      <c r="AEO74" s="0" t="n">
        <v>47.29</v>
      </c>
      <c r="AEP74" s="0" t="n">
        <v>0</v>
      </c>
      <c r="AEQ74" s="0" t="n">
        <v>45.65</v>
      </c>
      <c r="AER74" s="0" t="n">
        <v>6.91</v>
      </c>
      <c r="AES74" s="0" t="n">
        <v>0.15</v>
      </c>
      <c r="AET74" s="0" t="n">
        <v>0</v>
      </c>
      <c r="AEU74" s="0" t="n">
        <v>0</v>
      </c>
      <c r="AEV74" s="0" t="n">
        <v>0</v>
      </c>
      <c r="AEW74" s="0" t="n">
        <v>0</v>
      </c>
      <c r="AEX74" s="0" t="n">
        <v>0</v>
      </c>
      <c r="AEY74" s="0" t="n">
        <v>0</v>
      </c>
      <c r="AEZ74" s="0" t="n">
        <v>0</v>
      </c>
      <c r="AFA74" s="0" t="n">
        <v>9.23</v>
      </c>
      <c r="AFB74" s="0" t="n">
        <v>4.35</v>
      </c>
      <c r="AFC74" s="0" t="n">
        <v>6.63</v>
      </c>
      <c r="AFD74" s="0" t="n">
        <v>0</v>
      </c>
      <c r="AFE74" s="0" t="n">
        <v>0</v>
      </c>
      <c r="AFF74" s="0" t="n">
        <v>1</v>
      </c>
      <c r="AFG74" s="0" t="n">
        <v>5</v>
      </c>
      <c r="AFI74" s="0" t="n">
        <v>2</v>
      </c>
      <c r="AFS74" s="0" t="n">
        <v>1.1</v>
      </c>
      <c r="AFT74" s="0" t="n">
        <v>0</v>
      </c>
      <c r="AGE74" s="18"/>
      <c r="AGW74" s="0" t="n">
        <v>1</v>
      </c>
      <c r="AGX74" s="0" t="n">
        <v>50</v>
      </c>
      <c r="AGY74" s="0" t="n">
        <v>1</v>
      </c>
      <c r="AGZ74" s="0" t="n">
        <v>0.27</v>
      </c>
      <c r="AHA74" s="0" t="n">
        <v>2</v>
      </c>
      <c r="AIH74" s="16" t="n">
        <v>2.82</v>
      </c>
      <c r="AII74" s="16" t="n">
        <v>1</v>
      </c>
      <c r="AIJ74" s="16" t="n">
        <v>1</v>
      </c>
      <c r="AIK74" s="16"/>
      <c r="AIL74" s="16" t="n">
        <f aca="false">1.86+1.72+2.1+7.35+1.72+1.48+0.37*3</f>
        <v>17.34</v>
      </c>
      <c r="AIM74" s="16"/>
      <c r="AIN74" s="16"/>
      <c r="AIO74" s="16"/>
      <c r="AIP74" s="16"/>
      <c r="AIQ74" s="16"/>
      <c r="AIR74" s="16"/>
      <c r="AIS74" s="16" t="n">
        <v>3.33</v>
      </c>
      <c r="AIT74" s="16" t="n">
        <v>3.32</v>
      </c>
      <c r="AIU74" s="16"/>
      <c r="AIV74" s="16"/>
      <c r="AIW74" s="16" t="n">
        <v>0</v>
      </c>
      <c r="AIX74" s="16" t="n">
        <v>0</v>
      </c>
      <c r="AIY74" s="16" t="n">
        <v>0</v>
      </c>
      <c r="AIZ74" s="0" t="n">
        <v>0</v>
      </c>
      <c r="AJA74" s="0" t="s">
        <v>435</v>
      </c>
      <c r="AJB74" s="0" t="n">
        <v>52.5</v>
      </c>
      <c r="AJC74" s="16" t="n">
        <v>71.2</v>
      </c>
      <c r="AJD74" s="16" t="n">
        <v>81</v>
      </c>
      <c r="AJE74" s="16" t="n">
        <v>44.8</v>
      </c>
      <c r="AJF74" s="0" t="n">
        <v>59.03</v>
      </c>
      <c r="AJG74" s="0" t="n">
        <v>0</v>
      </c>
      <c r="AJH74" s="0" t="n">
        <v>22.52</v>
      </c>
      <c r="AJI74" s="0" t="n">
        <v>17.8</v>
      </c>
      <c r="AJJ74" s="0" t="n">
        <v>0.65</v>
      </c>
      <c r="AJK74" s="0" t="n">
        <v>0</v>
      </c>
      <c r="AJL74" s="0" t="n">
        <v>0</v>
      </c>
      <c r="AJM74" s="0" t="n">
        <v>0</v>
      </c>
      <c r="AJN74" s="0" t="n">
        <v>0</v>
      </c>
      <c r="AJO74" s="0" t="n">
        <v>0</v>
      </c>
      <c r="AJP74" s="0" t="n">
        <v>0</v>
      </c>
      <c r="AJQ74" s="0" t="n">
        <v>0</v>
      </c>
      <c r="AJR74" s="0" t="n">
        <v>3.42</v>
      </c>
      <c r="AJS74" s="0" t="n">
        <v>2.94</v>
      </c>
      <c r="AJT74" s="0" t="n">
        <v>0</v>
      </c>
      <c r="AJU74" s="0" t="n">
        <v>0</v>
      </c>
      <c r="AJV74" s="0" t="n">
        <v>0</v>
      </c>
      <c r="AJW74" s="0" t="n">
        <v>0</v>
      </c>
      <c r="AKJ74" s="0" t="n">
        <v>0</v>
      </c>
      <c r="AKK74" s="0" t="n">
        <v>1</v>
      </c>
      <c r="AKL74" s="0" t="n">
        <v>34</v>
      </c>
      <c r="AKM74" s="0" t="n">
        <v>8</v>
      </c>
      <c r="AKN74" s="0" t="n">
        <v>5.35</v>
      </c>
      <c r="AKO74" s="0" t="n">
        <v>1</v>
      </c>
      <c r="AKV74" s="18"/>
      <c r="ALN74" s="0" t="n">
        <v>0</v>
      </c>
    </row>
    <row r="75" customFormat="false" ht="13.8" hidden="false" customHeight="false" outlineLevel="0" collapsed="false">
      <c r="A75" s="1" t="s">
        <v>437</v>
      </c>
      <c r="B75" s="12" t="n">
        <v>42905</v>
      </c>
      <c r="C75" s="0" t="n">
        <v>2</v>
      </c>
      <c r="D75" s="13" t="n">
        <v>35744</v>
      </c>
      <c r="E75" s="12" t="n">
        <v>26814</v>
      </c>
      <c r="F75" s="14" t="n">
        <f aca="false">(B75-E75)/365.25</f>
        <v>44.0547570157426</v>
      </c>
      <c r="G75" s="14" t="n">
        <f aca="false">(B75-D75)/365.25</f>
        <v>19.605749486653</v>
      </c>
      <c r="H75" s="15" t="s">
        <v>228</v>
      </c>
      <c r="I75" s="15" t="s">
        <v>251</v>
      </c>
      <c r="J75" s="15" t="s">
        <v>181</v>
      </c>
      <c r="K75" s="21" t="n">
        <v>8</v>
      </c>
      <c r="L75" s="19" t="n">
        <v>80</v>
      </c>
      <c r="M75" s="0" t="n">
        <v>1.7</v>
      </c>
      <c r="N75" s="16" t="n">
        <f aca="false">L75/(M75*M75)</f>
        <v>27.681660899654</v>
      </c>
      <c r="O75" s="19" t="n">
        <v>1</v>
      </c>
      <c r="P75" s="19" t="n">
        <v>1</v>
      </c>
      <c r="Q75" s="19" t="s">
        <v>438</v>
      </c>
      <c r="R75" s="19" t="n">
        <v>0</v>
      </c>
      <c r="S75" s="19" t="n">
        <v>0</v>
      </c>
      <c r="T75" s="19" t="n">
        <v>0</v>
      </c>
      <c r="U75" s="19" t="n">
        <v>0</v>
      </c>
      <c r="V75" s="19" t="n">
        <v>0</v>
      </c>
      <c r="W75" s="19" t="n">
        <v>1</v>
      </c>
      <c r="X75" s="19" t="n">
        <v>0</v>
      </c>
      <c r="Y75" s="19" t="n">
        <v>0</v>
      </c>
      <c r="Z75" s="19" t="n">
        <v>0</v>
      </c>
      <c r="AA75" s="19" t="n">
        <v>0</v>
      </c>
      <c r="AB75" s="19" t="n">
        <v>0</v>
      </c>
      <c r="AC75" s="19" t="n">
        <v>0</v>
      </c>
      <c r="AD75" s="19" t="n">
        <v>0</v>
      </c>
      <c r="AE75" s="19" t="n">
        <v>1</v>
      </c>
      <c r="AF75" s="19" t="n">
        <v>0</v>
      </c>
      <c r="AG75" s="19" t="n">
        <v>1</v>
      </c>
      <c r="AH75" s="19" t="n">
        <v>8</v>
      </c>
      <c r="AI75" s="19" t="n">
        <v>0</v>
      </c>
      <c r="AJ75" s="19" t="n">
        <v>0</v>
      </c>
      <c r="AK75" s="19" t="n">
        <v>0</v>
      </c>
      <c r="AL75" s="19" t="n">
        <v>0</v>
      </c>
      <c r="AM75" s="19" t="n">
        <v>0</v>
      </c>
      <c r="AN75" s="19" t="n">
        <v>0</v>
      </c>
      <c r="AO75" s="19" t="n">
        <v>0</v>
      </c>
      <c r="AP75" s="19" t="n">
        <v>0</v>
      </c>
      <c r="AQ75" s="19" t="n">
        <v>0</v>
      </c>
      <c r="AR75" s="19" t="n">
        <v>0</v>
      </c>
      <c r="AS75" s="19" t="n">
        <v>0</v>
      </c>
      <c r="AT75" s="19" t="n">
        <v>0</v>
      </c>
      <c r="AU75" s="19" t="n">
        <v>0</v>
      </c>
      <c r="AV75" s="19" t="n">
        <v>0</v>
      </c>
      <c r="AW75" s="19" t="n">
        <v>0</v>
      </c>
      <c r="AX75" s="19" t="n">
        <v>0</v>
      </c>
      <c r="AY75" s="19" t="n">
        <v>0</v>
      </c>
      <c r="AZ75" s="19" t="n">
        <v>0</v>
      </c>
      <c r="BA75" s="19" t="n">
        <v>0</v>
      </c>
      <c r="BB75" s="19" t="n">
        <v>1</v>
      </c>
      <c r="BC75" s="19" t="n">
        <v>1</v>
      </c>
      <c r="BD75" s="19" t="n">
        <v>1</v>
      </c>
      <c r="BE75" s="19" t="n">
        <v>9</v>
      </c>
      <c r="BF75" s="19" t="n">
        <v>1</v>
      </c>
      <c r="BG75" s="19" t="n">
        <v>0</v>
      </c>
      <c r="BH75" s="19" t="n">
        <v>1</v>
      </c>
      <c r="BI75" s="19" t="n">
        <v>9</v>
      </c>
      <c r="BJ75" s="19" t="n">
        <v>0</v>
      </c>
      <c r="BK75" s="19" t="n">
        <v>0</v>
      </c>
      <c r="BL75" s="19" t="n">
        <v>0</v>
      </c>
      <c r="BM75" s="19" t="n">
        <v>0</v>
      </c>
      <c r="BN75" s="19" t="n">
        <v>0</v>
      </c>
      <c r="BO75" s="19" t="n">
        <v>0</v>
      </c>
      <c r="BP75" s="19" t="n">
        <v>0</v>
      </c>
      <c r="BQ75" s="19" t="n">
        <v>0</v>
      </c>
      <c r="BR75" s="19" t="n">
        <v>4</v>
      </c>
      <c r="BS75" s="19" t="n">
        <v>3</v>
      </c>
      <c r="BT75" s="19" t="n">
        <v>5</v>
      </c>
      <c r="BU75" s="19" t="n">
        <v>5</v>
      </c>
      <c r="BV75" s="19" t="n">
        <v>3</v>
      </c>
      <c r="BW75" s="19" t="n">
        <v>4</v>
      </c>
      <c r="BX75" s="19" t="n">
        <v>3</v>
      </c>
      <c r="BY75" s="19" t="n">
        <v>3</v>
      </c>
      <c r="BZ75" s="19" t="n">
        <v>2</v>
      </c>
      <c r="CA75" s="19" t="n">
        <v>2</v>
      </c>
      <c r="CB75" s="19" t="n">
        <v>4</v>
      </c>
      <c r="CC75" s="19" t="n">
        <v>5</v>
      </c>
      <c r="CD75" s="19" t="n">
        <v>4</v>
      </c>
      <c r="CE75" s="19" t="n">
        <v>5</v>
      </c>
      <c r="CF75" s="19" t="n">
        <v>4</v>
      </c>
      <c r="CG75" s="19" t="n">
        <v>5</v>
      </c>
      <c r="CH75" s="19" t="n">
        <v>2</v>
      </c>
      <c r="CI75" s="19" t="n">
        <v>5</v>
      </c>
      <c r="CJ75" s="19" t="n">
        <v>3</v>
      </c>
      <c r="CK75" s="19" t="n">
        <v>10</v>
      </c>
      <c r="CL75" s="0" t="s">
        <v>253</v>
      </c>
      <c r="CM75" s="0" t="n">
        <v>30</v>
      </c>
      <c r="CN75" s="16" t="n">
        <v>85.5</v>
      </c>
      <c r="CO75" s="16" t="n">
        <v>81</v>
      </c>
      <c r="CP75" s="16" t="n">
        <v>15.2</v>
      </c>
      <c r="CQ75" s="0" t="n">
        <v>87.44</v>
      </c>
      <c r="CR75" s="0" t="n">
        <v>0</v>
      </c>
      <c r="CS75" s="0" t="n">
        <v>0.94</v>
      </c>
      <c r="CT75" s="0" t="n">
        <v>1.97</v>
      </c>
      <c r="CU75" s="0" t="n">
        <v>9.65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2.71</v>
      </c>
      <c r="DC75" s="0" t="n">
        <v>0.6</v>
      </c>
      <c r="DD75" s="0" t="n">
        <v>2.17</v>
      </c>
      <c r="DE75" s="0" t="n">
        <v>5.97</v>
      </c>
      <c r="DF75" s="0" t="n">
        <v>2.65</v>
      </c>
      <c r="DG75" s="0" t="n">
        <v>0</v>
      </c>
      <c r="DH75" s="0" t="n">
        <v>0</v>
      </c>
      <c r="DU75" s="0" t="n">
        <v>10.6</v>
      </c>
      <c r="DV75" s="0" t="n">
        <v>1</v>
      </c>
      <c r="DW75" s="0" t="n">
        <v>60</v>
      </c>
      <c r="DX75" s="0" t="n">
        <v>2</v>
      </c>
      <c r="DY75" s="0" t="n">
        <f aca="false">0.38+0.07</f>
        <v>0.45</v>
      </c>
      <c r="DZ75" s="0" t="n">
        <v>1</v>
      </c>
      <c r="EA75" s="0" t="n">
        <v>68</v>
      </c>
      <c r="EB75" s="0" t="n">
        <v>1</v>
      </c>
      <c r="EC75" s="16" t="n">
        <v>0.31</v>
      </c>
      <c r="ED75" s="0" t="n">
        <v>1</v>
      </c>
      <c r="EE75" s="0" t="n">
        <v>85</v>
      </c>
      <c r="EF75" s="0" t="n">
        <v>2</v>
      </c>
      <c r="EG75" s="18" t="n">
        <f aca="false">1.89+0.94</f>
        <v>2.83</v>
      </c>
      <c r="EH75" s="0" t="n">
        <v>2</v>
      </c>
      <c r="EI75" s="0" t="n">
        <v>25</v>
      </c>
      <c r="EJ75" s="0" t="n">
        <v>1</v>
      </c>
      <c r="EK75" s="16" t="n">
        <v>0.27</v>
      </c>
      <c r="EL75" s="0" t="n">
        <v>2</v>
      </c>
      <c r="EY75" s="0" t="n">
        <v>0</v>
      </c>
      <c r="GJ75" s="16" t="n">
        <v>0</v>
      </c>
      <c r="GK75" s="16" t="n">
        <v>0</v>
      </c>
      <c r="GL75" s="16"/>
      <c r="GM75" s="16"/>
      <c r="GN75" s="16"/>
      <c r="GO75" s="16"/>
      <c r="GP75" s="16"/>
      <c r="GQ75" s="16"/>
      <c r="GR75" s="16"/>
      <c r="GS75" s="16"/>
      <c r="GT75" s="16"/>
      <c r="GU75" s="16" t="n">
        <v>4.17</v>
      </c>
      <c r="GV75" s="16" t="n">
        <v>2.54</v>
      </c>
      <c r="GW75" s="16"/>
      <c r="GX75" s="16"/>
      <c r="GY75" s="16" t="n">
        <v>0</v>
      </c>
      <c r="GZ75" s="16" t="n">
        <v>0</v>
      </c>
      <c r="HA75" s="16" t="n">
        <v>0</v>
      </c>
      <c r="HB75" s="0" t="n">
        <v>0</v>
      </c>
      <c r="HC75" s="0" t="s">
        <v>254</v>
      </c>
      <c r="HD75" s="0" t="n">
        <v>53</v>
      </c>
      <c r="HE75" s="16" t="n">
        <v>81.5</v>
      </c>
      <c r="HF75" s="16" t="n">
        <v>81</v>
      </c>
      <c r="HG75" s="16" t="n">
        <v>36.4</v>
      </c>
      <c r="HH75" s="0" t="n">
        <v>56.99</v>
      </c>
      <c r="HI75" s="0" t="n">
        <v>0</v>
      </c>
      <c r="HJ75" s="0" t="n">
        <v>0</v>
      </c>
      <c r="HK75" s="0" t="n">
        <v>0.12</v>
      </c>
      <c r="HL75" s="0" t="n">
        <v>42.89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25.37</v>
      </c>
      <c r="HT75" s="0" t="n">
        <v>0</v>
      </c>
      <c r="HU75" s="0" t="n">
        <v>42.65</v>
      </c>
      <c r="HV75" s="0" t="n">
        <v>6.3</v>
      </c>
      <c r="HW75" s="0" t="n">
        <v>0</v>
      </c>
      <c r="HX75" s="0" t="n">
        <v>0</v>
      </c>
      <c r="HY75" s="0" t="n">
        <v>0</v>
      </c>
      <c r="IL75" s="0" t="n">
        <v>8.7</v>
      </c>
      <c r="IM75" s="0" t="n">
        <v>1</v>
      </c>
      <c r="IN75" s="0" t="n">
        <v>137</v>
      </c>
      <c r="IO75" s="0" t="n">
        <v>2</v>
      </c>
      <c r="IP75" s="0" t="n">
        <f aca="false">0.65+0.05</f>
        <v>0.7</v>
      </c>
      <c r="IQ75" s="0" t="n">
        <v>1</v>
      </c>
      <c r="IR75" s="0" t="n">
        <v>103</v>
      </c>
      <c r="IS75" s="0" t="n">
        <v>2</v>
      </c>
      <c r="IT75" s="16" t="n">
        <f aca="false">0.65+0.05</f>
        <v>0.7</v>
      </c>
      <c r="IU75" s="0" t="n">
        <v>1</v>
      </c>
      <c r="IX75" s="18"/>
      <c r="JP75" s="0" t="n">
        <v>0</v>
      </c>
      <c r="LA75" s="16" t="n">
        <v>2.28</v>
      </c>
      <c r="LB75" s="16" t="n">
        <v>1</v>
      </c>
      <c r="LC75" s="16" t="n">
        <v>3</v>
      </c>
      <c r="LD75" s="16"/>
      <c r="LE75" s="16" t="n">
        <f aca="false">2.69+0.37+0.74</f>
        <v>3.8</v>
      </c>
      <c r="LF75" s="16"/>
      <c r="LG75" s="16"/>
      <c r="LH75" s="16"/>
      <c r="LI75" s="16"/>
      <c r="LJ75" s="16"/>
      <c r="LK75" s="16"/>
      <c r="LL75" s="16" t="n">
        <v>0.48</v>
      </c>
      <c r="LM75" s="16" t="n">
        <v>0.48</v>
      </c>
      <c r="LN75" s="16"/>
      <c r="LO75" s="16"/>
      <c r="LP75" s="16" t="n">
        <v>2.22</v>
      </c>
      <c r="LQ75" s="16" t="n">
        <v>23.08</v>
      </c>
      <c r="LR75" s="16" t="n">
        <v>0</v>
      </c>
      <c r="LS75" s="0" t="n">
        <v>0</v>
      </c>
      <c r="LT75" s="0" t="s">
        <v>255</v>
      </c>
      <c r="LU75" s="0" t="n">
        <v>41</v>
      </c>
      <c r="LV75" s="16" t="n">
        <v>48.6</v>
      </c>
      <c r="LW75" s="16" t="n">
        <v>81</v>
      </c>
      <c r="LX75" s="16" t="n">
        <v>21.6</v>
      </c>
      <c r="LY75" s="0" t="n">
        <v>76.16</v>
      </c>
      <c r="LZ75" s="0" t="n">
        <v>0</v>
      </c>
      <c r="MA75" s="0" t="n">
        <v>0.07</v>
      </c>
      <c r="MB75" s="0" t="n">
        <v>0.13</v>
      </c>
      <c r="MC75" s="0" t="n">
        <v>23.64</v>
      </c>
      <c r="MD75" s="0" t="n">
        <v>0</v>
      </c>
      <c r="ME75" s="0" t="n">
        <v>0</v>
      </c>
      <c r="MF75" s="0" t="n">
        <v>0</v>
      </c>
      <c r="MG75" s="0" t="n">
        <v>0</v>
      </c>
      <c r="MH75" s="0" t="n">
        <v>0</v>
      </c>
      <c r="MI75" s="0" t="n">
        <v>0</v>
      </c>
      <c r="MJ75" s="0" t="n">
        <v>6.53</v>
      </c>
      <c r="MK75" s="0" t="n">
        <v>0.2</v>
      </c>
      <c r="ML75" s="0" t="n">
        <v>27.15</v>
      </c>
      <c r="MM75" s="0" t="n">
        <v>4.11</v>
      </c>
      <c r="MN75" s="0" t="n">
        <v>0</v>
      </c>
      <c r="MO75" s="0" t="n">
        <v>3.9</v>
      </c>
      <c r="MP75" s="0" t="n">
        <v>1</v>
      </c>
      <c r="MQ75" s="0" t="n">
        <v>10</v>
      </c>
      <c r="MS75" s="0" t="n">
        <v>1</v>
      </c>
      <c r="NC75" s="0" t="n">
        <v>0.6</v>
      </c>
      <c r="ND75" s="0" t="n">
        <v>1</v>
      </c>
      <c r="NE75" s="0" t="n">
        <v>52</v>
      </c>
      <c r="NF75" s="0" t="n">
        <v>3</v>
      </c>
      <c r="NG75" s="16" t="n">
        <f aca="false">0.16+0.13</f>
        <v>0.29</v>
      </c>
      <c r="NH75" s="0" t="n">
        <v>2</v>
      </c>
      <c r="NO75" s="18"/>
      <c r="OG75" s="0" t="n">
        <v>0</v>
      </c>
      <c r="PR75" s="16" t="n">
        <v>0.57</v>
      </c>
      <c r="PS75" s="16" t="n">
        <v>1</v>
      </c>
      <c r="PT75" s="16" t="n">
        <v>1</v>
      </c>
      <c r="PU75" s="16"/>
      <c r="PV75" s="16" t="n">
        <f aca="false">0.93</f>
        <v>0.93</v>
      </c>
      <c r="PW75" s="16" t="n">
        <v>2</v>
      </c>
      <c r="PX75" s="16"/>
      <c r="PY75" s="16" t="n">
        <f aca="false">0.31+0.22</f>
        <v>0.53</v>
      </c>
      <c r="PZ75" s="16"/>
      <c r="QA75" s="16"/>
      <c r="QB75" s="16"/>
      <c r="QC75" s="16" t="n">
        <v>5.72</v>
      </c>
      <c r="QD75" s="16" t="n">
        <v>5.75</v>
      </c>
      <c r="QE75" s="16"/>
      <c r="QF75" s="16"/>
      <c r="QG75" s="16" t="n">
        <v>7.41</v>
      </c>
      <c r="QH75" s="16" t="n">
        <v>0</v>
      </c>
      <c r="QI75" s="16" t="n">
        <v>0.22</v>
      </c>
      <c r="QJ75" s="0" t="n">
        <v>5</v>
      </c>
      <c r="QK75" s="0" t="s">
        <v>256</v>
      </c>
      <c r="QL75" s="0" t="n">
        <v>40</v>
      </c>
      <c r="QM75" s="16" t="n">
        <v>89.1</v>
      </c>
      <c r="QN75" s="16" t="n">
        <v>81</v>
      </c>
      <c r="QO75" s="16" t="n">
        <v>5.4</v>
      </c>
      <c r="QP75" s="0" t="n">
        <v>99.83</v>
      </c>
      <c r="QQ75" s="0" t="n">
        <v>0</v>
      </c>
      <c r="QR75" s="0" t="n">
        <v>0</v>
      </c>
      <c r="QS75" s="0" t="n">
        <v>0.17</v>
      </c>
      <c r="QT75" s="0" t="n">
        <v>0</v>
      </c>
      <c r="QU75" s="0" t="n">
        <v>0</v>
      </c>
      <c r="QV75" s="0" t="n">
        <v>0</v>
      </c>
      <c r="QW75" s="0" t="n">
        <v>0</v>
      </c>
      <c r="QX75" s="0" t="n">
        <v>0</v>
      </c>
      <c r="QY75" s="0" t="n">
        <v>0</v>
      </c>
      <c r="QZ75" s="0" t="n">
        <v>0</v>
      </c>
      <c r="RA75" s="0" t="n">
        <v>0</v>
      </c>
      <c r="RB75" s="0" t="n">
        <v>19.8</v>
      </c>
      <c r="RC75" s="0" t="n">
        <v>8.95</v>
      </c>
      <c r="RD75" s="0" t="n">
        <v>0</v>
      </c>
      <c r="RE75" s="0" t="n">
        <v>0</v>
      </c>
      <c r="RF75" s="0" t="n">
        <v>22.5</v>
      </c>
      <c r="RG75" s="0" t="n">
        <v>1</v>
      </c>
      <c r="RH75" s="0" t="n">
        <v>5</v>
      </c>
      <c r="RJ75" s="0" t="n">
        <v>8</v>
      </c>
      <c r="RT75" s="0" t="n">
        <v>0</v>
      </c>
      <c r="RU75" s="0" t="n">
        <v>0</v>
      </c>
      <c r="SF75" s="18"/>
      <c r="SX75" s="0" t="n">
        <v>1</v>
      </c>
      <c r="SY75" s="0" t="n">
        <v>50</v>
      </c>
      <c r="SZ75" s="0" t="n">
        <v>4</v>
      </c>
      <c r="TA75" s="0" t="n">
        <f aca="false">0.73*2+0.13*2</f>
        <v>1.72</v>
      </c>
      <c r="TB75" s="0" t="n">
        <v>3</v>
      </c>
      <c r="UI75" s="16" t="n">
        <v>1.48</v>
      </c>
      <c r="UJ75" s="16" t="n">
        <v>1</v>
      </c>
      <c r="UK75" s="16" t="n">
        <v>1</v>
      </c>
      <c r="UL75" s="16"/>
      <c r="UM75" s="16" t="n">
        <f aca="false">2.1*2+0.37*2</f>
        <v>4.94</v>
      </c>
      <c r="UN75" s="16"/>
      <c r="UO75" s="16"/>
      <c r="UP75" s="16"/>
      <c r="UQ75" s="16"/>
      <c r="UR75" s="16"/>
      <c r="US75" s="16"/>
      <c r="UT75" s="16" t="n">
        <v>7.71</v>
      </c>
      <c r="UU75" s="16" t="n">
        <v>4.35</v>
      </c>
      <c r="UV75" s="16"/>
      <c r="UW75" s="16"/>
      <c r="UX75" s="16" t="n">
        <v>0</v>
      </c>
      <c r="UY75" s="16" t="n">
        <v>0</v>
      </c>
      <c r="UZ75" s="16" t="n">
        <v>0</v>
      </c>
      <c r="VA75" s="0" t="n">
        <v>0</v>
      </c>
      <c r="VB75" s="0" t="s">
        <v>257</v>
      </c>
      <c r="VC75" s="0" t="n">
        <v>43</v>
      </c>
      <c r="VD75" s="16" t="n">
        <v>93.3</v>
      </c>
      <c r="VE75" s="16" t="n">
        <v>81</v>
      </c>
      <c r="VF75" s="16" t="n">
        <v>6.4</v>
      </c>
      <c r="VG75" s="0" t="n">
        <v>100</v>
      </c>
      <c r="VH75" s="0" t="n">
        <v>0</v>
      </c>
      <c r="VI75" s="0" t="n">
        <v>0</v>
      </c>
      <c r="VJ75" s="0" t="n">
        <v>0</v>
      </c>
      <c r="VK75" s="0" t="n">
        <v>0</v>
      </c>
      <c r="VL75" s="0" t="n">
        <v>0</v>
      </c>
      <c r="VM75" s="0" t="n">
        <v>0</v>
      </c>
      <c r="VN75" s="0" t="n">
        <v>0</v>
      </c>
      <c r="VO75" s="0" t="n">
        <v>0</v>
      </c>
      <c r="VP75" s="0" t="n">
        <v>0</v>
      </c>
      <c r="VQ75" s="0" t="n">
        <v>0</v>
      </c>
      <c r="VR75" s="0" t="n">
        <v>0</v>
      </c>
      <c r="VS75" s="0" t="n">
        <v>18.51</v>
      </c>
      <c r="VT75" s="0" t="n">
        <v>28.46</v>
      </c>
      <c r="VU75" s="0" t="n">
        <v>0</v>
      </c>
      <c r="VV75" s="0" t="n">
        <v>0</v>
      </c>
      <c r="VW75" s="0" t="n">
        <v>0</v>
      </c>
      <c r="VX75" s="0" t="n">
        <v>0</v>
      </c>
      <c r="WK75" s="0" t="n">
        <v>33</v>
      </c>
      <c r="WL75" s="0" t="n">
        <v>0</v>
      </c>
      <c r="WW75" s="18"/>
      <c r="XO75" s="0" t="n">
        <v>1</v>
      </c>
      <c r="XP75" s="0" t="n">
        <v>40</v>
      </c>
      <c r="XQ75" s="0" t="n">
        <v>8</v>
      </c>
      <c r="XR75" s="0" t="n">
        <f aca="false">1.51*2+3.02+0.27*2</f>
        <v>6.58</v>
      </c>
      <c r="XS75" s="0" t="n">
        <v>3</v>
      </c>
      <c r="XT75" s="0" t="n">
        <v>60</v>
      </c>
      <c r="XU75" s="0" t="n">
        <v>20</v>
      </c>
      <c r="XV75" s="0" t="n">
        <f aca="false">3.65*2+0.67*2</f>
        <v>8.64</v>
      </c>
      <c r="XW75" s="0" t="n">
        <v>3</v>
      </c>
      <c r="YZ75" s="16" t="n">
        <v>0</v>
      </c>
      <c r="ZA75" s="16" t="n">
        <v>0</v>
      </c>
      <c r="ZB75" s="16"/>
      <c r="ZC75" s="16"/>
      <c r="ZD75" s="16"/>
      <c r="ZE75" s="16"/>
      <c r="ZF75" s="16"/>
      <c r="ZG75" s="16"/>
      <c r="ZH75" s="16"/>
      <c r="ZI75" s="16"/>
      <c r="ZJ75" s="16"/>
      <c r="ZK75" s="16" t="n">
        <v>0</v>
      </c>
      <c r="ZL75" s="16" t="n">
        <v>0</v>
      </c>
      <c r="ZM75" s="16"/>
      <c r="ZN75" s="16"/>
      <c r="ZO75" s="16" t="n">
        <v>0</v>
      </c>
      <c r="ZP75" s="16" t="n">
        <v>0</v>
      </c>
      <c r="ZQ75" s="16" t="n">
        <v>0</v>
      </c>
      <c r="ZR75" s="0" t="n">
        <v>0</v>
      </c>
      <c r="ZS75" s="0" t="s">
        <v>258</v>
      </c>
      <c r="ZT75" s="0" t="n">
        <v>40</v>
      </c>
      <c r="ZU75" s="16" t="n">
        <v>90.1</v>
      </c>
      <c r="ZV75" s="16" t="n">
        <v>81</v>
      </c>
      <c r="ZW75" s="16" t="n">
        <v>5.9</v>
      </c>
      <c r="ZX75" s="0" t="n">
        <v>99.34</v>
      </c>
      <c r="ZY75" s="0" t="n">
        <v>0</v>
      </c>
      <c r="ZZ75" s="0" t="n">
        <v>0</v>
      </c>
      <c r="AAA75" s="0" t="n">
        <v>0.66</v>
      </c>
      <c r="AAB75" s="0" t="n">
        <v>0</v>
      </c>
      <c r="AAC75" s="0" t="n">
        <v>0</v>
      </c>
      <c r="AAD75" s="0" t="n">
        <v>0</v>
      </c>
      <c r="AAE75" s="0" t="n">
        <v>0</v>
      </c>
      <c r="AAF75" s="0" t="n">
        <v>0</v>
      </c>
      <c r="AAG75" s="0" t="n">
        <v>0</v>
      </c>
      <c r="AAH75" s="0" t="n">
        <v>0</v>
      </c>
      <c r="AAI75" s="0" t="n">
        <v>0</v>
      </c>
      <c r="AAJ75" s="0" t="n">
        <v>19.8</v>
      </c>
      <c r="AAK75" s="0" t="n">
        <v>8.95</v>
      </c>
      <c r="AAL75" s="0" t="n">
        <v>0</v>
      </c>
      <c r="AAM75" s="0" t="n">
        <v>0</v>
      </c>
      <c r="AAN75" s="0" t="n">
        <v>22.3</v>
      </c>
      <c r="AAO75" s="0" t="n">
        <v>1</v>
      </c>
      <c r="AAP75" s="0" t="n">
        <v>5</v>
      </c>
      <c r="AAR75" s="0" t="n">
        <v>8</v>
      </c>
      <c r="ABB75" s="0" t="n">
        <v>0</v>
      </c>
      <c r="ABC75" s="0" t="n">
        <v>0</v>
      </c>
      <c r="ABN75" s="18"/>
      <c r="ACF75" s="0" t="n">
        <v>1</v>
      </c>
      <c r="ACG75" s="0" t="n">
        <v>50</v>
      </c>
      <c r="ACH75" s="0" t="n">
        <v>4</v>
      </c>
      <c r="ACI75" s="0" t="n">
        <f aca="false">0.73*2+0.13*2</f>
        <v>1.72</v>
      </c>
      <c r="ACJ75" s="0" t="n">
        <v>3</v>
      </c>
      <c r="ADQ75" s="16" t="n">
        <v>1.48</v>
      </c>
      <c r="ADR75" s="16" t="n">
        <v>1</v>
      </c>
      <c r="ADS75" s="16" t="n">
        <v>1</v>
      </c>
      <c r="ADT75" s="16"/>
      <c r="ADU75" s="16" t="n">
        <f aca="false">2.1*2+0.37*2</f>
        <v>4.94</v>
      </c>
      <c r="ADV75" s="16"/>
      <c r="ADW75" s="16"/>
      <c r="ADX75" s="16"/>
      <c r="ADY75" s="16"/>
      <c r="ADZ75" s="16"/>
      <c r="AEA75" s="16"/>
      <c r="AEB75" s="16" t="n">
        <v>7.71</v>
      </c>
      <c r="AEC75" s="16" t="n">
        <v>4.35</v>
      </c>
      <c r="AED75" s="16"/>
      <c r="AEE75" s="16"/>
      <c r="AEF75" s="16" t="n">
        <v>0</v>
      </c>
      <c r="AEG75" s="16" t="n">
        <v>0</v>
      </c>
      <c r="AEH75" s="16" t="n">
        <v>0</v>
      </c>
      <c r="AEI75" s="0" t="n">
        <v>0</v>
      </c>
      <c r="AEJ75" s="0" t="s">
        <v>259</v>
      </c>
      <c r="AEK75" s="0" t="n">
        <v>43</v>
      </c>
      <c r="AEL75" s="16" t="n">
        <v>93.3</v>
      </c>
      <c r="AEM75" s="16" t="n">
        <v>81</v>
      </c>
      <c r="AEN75" s="16" t="n">
        <v>6.4</v>
      </c>
      <c r="AEO75" s="0" t="n">
        <v>100</v>
      </c>
      <c r="AEP75" s="0" t="n">
        <v>0</v>
      </c>
      <c r="AEQ75" s="0" t="n">
        <v>0</v>
      </c>
      <c r="AER75" s="0" t="n">
        <v>0</v>
      </c>
      <c r="AES75" s="0" t="n">
        <v>0</v>
      </c>
      <c r="AET75" s="0" t="n">
        <v>0</v>
      </c>
      <c r="AEU75" s="0" t="n">
        <v>0</v>
      </c>
      <c r="AEV75" s="0" t="n">
        <v>0</v>
      </c>
      <c r="AEW75" s="0" t="n">
        <v>0</v>
      </c>
      <c r="AEX75" s="0" t="n">
        <v>0</v>
      </c>
      <c r="AEY75" s="0" t="n">
        <v>0</v>
      </c>
      <c r="AEZ75" s="0" t="n">
        <v>0</v>
      </c>
      <c r="AFA75" s="0" t="n">
        <v>18.51</v>
      </c>
      <c r="AFB75" s="0" t="n">
        <v>28.46</v>
      </c>
      <c r="AFC75" s="0" t="n">
        <v>0</v>
      </c>
      <c r="AFD75" s="0" t="n">
        <v>0</v>
      </c>
      <c r="AFE75" s="0" t="n">
        <v>0</v>
      </c>
      <c r="AFF75" s="0" t="n">
        <v>0</v>
      </c>
      <c r="AFS75" s="0" t="n">
        <v>33</v>
      </c>
      <c r="AFT75" s="0" t="n">
        <v>0</v>
      </c>
      <c r="AGE75" s="18"/>
      <c r="AGW75" s="0" t="n">
        <v>1</v>
      </c>
      <c r="AGX75" s="0" t="n">
        <v>40</v>
      </c>
      <c r="AGY75" s="0" t="n">
        <v>8</v>
      </c>
      <c r="AGZ75" s="0" t="n">
        <f aca="false">1.51*2+0.27*2+3.02</f>
        <v>6.58</v>
      </c>
      <c r="AHA75" s="0" t="n">
        <v>3</v>
      </c>
      <c r="AHB75" s="0" t="n">
        <v>60</v>
      </c>
      <c r="AHC75" s="0" t="n">
        <v>20</v>
      </c>
      <c r="AHD75" s="0" t="n">
        <f aca="false">3.65*2+0.67*2</f>
        <v>8.64</v>
      </c>
      <c r="AHE75" s="0" t="n">
        <v>3</v>
      </c>
      <c r="AIH75" s="16" t="n">
        <v>0</v>
      </c>
      <c r="AII75" s="16" t="n">
        <v>0</v>
      </c>
      <c r="AIJ75" s="16"/>
      <c r="AIK75" s="16"/>
      <c r="AIL75" s="16"/>
      <c r="AIM75" s="16"/>
      <c r="AIN75" s="16"/>
      <c r="AIO75" s="16"/>
      <c r="AIP75" s="16"/>
      <c r="AIQ75" s="16"/>
      <c r="AIR75" s="16"/>
      <c r="AIS75" s="16" t="n">
        <v>0</v>
      </c>
      <c r="AIT75" s="16" t="n">
        <v>0</v>
      </c>
      <c r="AIU75" s="16"/>
      <c r="AIV75" s="16"/>
      <c r="AIW75" s="16" t="n">
        <v>0</v>
      </c>
      <c r="AIX75" s="16" t="n">
        <v>0</v>
      </c>
      <c r="AIY75" s="16" t="n">
        <v>0</v>
      </c>
      <c r="AIZ75" s="0" t="n">
        <v>0</v>
      </c>
      <c r="AJA75" s="0" t="s">
        <v>435</v>
      </c>
      <c r="AJB75" s="0" t="n">
        <v>52.5</v>
      </c>
      <c r="AJC75" s="16" t="n">
        <v>71.2</v>
      </c>
      <c r="AJD75" s="16" t="n">
        <v>81</v>
      </c>
      <c r="AJE75" s="16" t="n">
        <v>44.8</v>
      </c>
      <c r="AJF75" s="0" t="n">
        <v>59.03</v>
      </c>
      <c r="AJG75" s="0" t="n">
        <v>0</v>
      </c>
      <c r="AJH75" s="0" t="n">
        <v>22.52</v>
      </c>
      <c r="AJI75" s="0" t="n">
        <v>17.8</v>
      </c>
      <c r="AJJ75" s="0" t="n">
        <v>0.65</v>
      </c>
      <c r="AJK75" s="0" t="n">
        <v>0</v>
      </c>
      <c r="AJL75" s="0" t="n">
        <v>0</v>
      </c>
      <c r="AJM75" s="0" t="n">
        <v>0</v>
      </c>
      <c r="AJN75" s="0" t="n">
        <v>0</v>
      </c>
      <c r="AJO75" s="0" t="n">
        <v>0</v>
      </c>
      <c r="AJP75" s="0" t="n">
        <v>0</v>
      </c>
      <c r="AJQ75" s="0" t="n">
        <v>0</v>
      </c>
      <c r="AJR75" s="0" t="n">
        <v>3.42</v>
      </c>
      <c r="AJS75" s="0" t="n">
        <v>2.94</v>
      </c>
      <c r="AJT75" s="0" t="n">
        <v>0</v>
      </c>
      <c r="AJU75" s="0" t="n">
        <v>0</v>
      </c>
      <c r="AJV75" s="0" t="n">
        <v>0</v>
      </c>
      <c r="AJW75" s="0" t="n">
        <v>0</v>
      </c>
      <c r="AKJ75" s="0" t="n">
        <v>0</v>
      </c>
      <c r="AKK75" s="0" t="n">
        <v>1</v>
      </c>
      <c r="AKL75" s="0" t="n">
        <v>34</v>
      </c>
      <c r="AKM75" s="0" t="n">
        <v>8</v>
      </c>
      <c r="AKN75" s="0" t="n">
        <v>5.35</v>
      </c>
      <c r="AKO75" s="0" t="n">
        <v>1</v>
      </c>
      <c r="AKV75" s="18"/>
      <c r="ALN75" s="0" t="n">
        <v>0</v>
      </c>
    </row>
    <row r="76" customFormat="false" ht="13.8" hidden="false" customHeight="false" outlineLevel="0" collapsed="false">
      <c r="A76" s="1" t="s">
        <v>439</v>
      </c>
      <c r="B76" s="12" t="n">
        <v>42902</v>
      </c>
      <c r="C76" s="0" t="n">
        <v>1</v>
      </c>
      <c r="D76" s="13" t="n">
        <v>42790</v>
      </c>
      <c r="E76" s="12" t="n">
        <v>28590</v>
      </c>
      <c r="F76" s="14" t="n">
        <f aca="false">(B76-E76)/365.25</f>
        <v>39.1841204654346</v>
      </c>
      <c r="G76" s="14" t="n">
        <f aca="false">(B76-D76)/365.25</f>
        <v>0.306639288158795</v>
      </c>
      <c r="H76" s="15" t="s">
        <v>228</v>
      </c>
      <c r="I76" s="15" t="s">
        <v>251</v>
      </c>
      <c r="J76" s="15" t="s">
        <v>181</v>
      </c>
      <c r="K76" s="21" t="n">
        <v>8</v>
      </c>
      <c r="L76" s="19" t="n">
        <v>63</v>
      </c>
      <c r="M76" s="0" t="n">
        <v>1.61</v>
      </c>
      <c r="N76" s="16" t="n">
        <f aca="false">L76/(M76*M76)</f>
        <v>24.3046178773967</v>
      </c>
      <c r="O76" s="19" t="n">
        <v>0</v>
      </c>
      <c r="P76" s="19" t="n">
        <v>0</v>
      </c>
      <c r="Q76" s="19" t="n">
        <v>0</v>
      </c>
      <c r="R76" s="19" t="n">
        <v>0</v>
      </c>
      <c r="S76" s="19" t="n">
        <v>0</v>
      </c>
      <c r="T76" s="19" t="n">
        <v>0</v>
      </c>
      <c r="U76" s="19" t="n">
        <v>0</v>
      </c>
      <c r="V76" s="19" t="n">
        <v>0</v>
      </c>
      <c r="W76" s="19" t="n">
        <v>0</v>
      </c>
      <c r="X76" s="19" t="n">
        <v>0</v>
      </c>
      <c r="Y76" s="19" t="n">
        <v>0</v>
      </c>
      <c r="Z76" s="19" t="n">
        <v>0</v>
      </c>
      <c r="AA76" s="19" t="n">
        <v>0</v>
      </c>
      <c r="AB76" s="19" t="n">
        <v>0</v>
      </c>
      <c r="AC76" s="19" t="n">
        <v>1</v>
      </c>
      <c r="AD76" s="19" t="n">
        <v>5</v>
      </c>
      <c r="AE76" s="19" t="n">
        <v>0</v>
      </c>
      <c r="AF76" s="19" t="n">
        <v>0</v>
      </c>
      <c r="AG76" s="19" t="n">
        <v>0</v>
      </c>
      <c r="AH76" s="19" t="n">
        <v>0</v>
      </c>
      <c r="AI76" s="19" t="n">
        <v>0</v>
      </c>
      <c r="AJ76" s="19" t="n">
        <v>0</v>
      </c>
      <c r="AK76" s="19" t="n">
        <v>0</v>
      </c>
      <c r="AL76" s="19" t="n">
        <v>0</v>
      </c>
      <c r="AM76" s="19" t="n">
        <v>0</v>
      </c>
      <c r="AN76" s="19" t="n">
        <v>0</v>
      </c>
      <c r="AO76" s="19" t="n">
        <v>0</v>
      </c>
      <c r="AP76" s="19" t="n">
        <v>0</v>
      </c>
      <c r="AQ76" s="19" t="n">
        <v>0</v>
      </c>
      <c r="AR76" s="19" t="n">
        <v>0</v>
      </c>
      <c r="AS76" s="19" t="n">
        <v>0</v>
      </c>
      <c r="AT76" s="19" t="n">
        <v>0</v>
      </c>
      <c r="AU76" s="19" t="n">
        <v>0</v>
      </c>
      <c r="AV76" s="19" t="n">
        <v>0</v>
      </c>
      <c r="AW76" s="19" t="n">
        <v>0</v>
      </c>
      <c r="AX76" s="19" t="n">
        <v>0</v>
      </c>
      <c r="AY76" s="19" t="n">
        <v>0</v>
      </c>
      <c r="AZ76" s="19" t="n">
        <v>0</v>
      </c>
      <c r="BA76" s="19" t="n">
        <v>0</v>
      </c>
      <c r="BB76" s="19" t="n">
        <v>0</v>
      </c>
      <c r="BC76" s="19" t="n">
        <v>0</v>
      </c>
      <c r="BD76" s="19" t="n">
        <v>0</v>
      </c>
      <c r="BE76" s="19" t="n">
        <v>0</v>
      </c>
      <c r="BF76" s="19" t="n">
        <v>0</v>
      </c>
      <c r="BG76" s="19" t="n">
        <v>0</v>
      </c>
      <c r="BH76" s="19" t="n">
        <v>0</v>
      </c>
      <c r="BI76" s="19" t="n">
        <v>0</v>
      </c>
      <c r="BJ76" s="19" t="n">
        <v>0</v>
      </c>
      <c r="BK76" s="19" t="n">
        <v>0</v>
      </c>
      <c r="BL76" s="19" t="n">
        <v>0</v>
      </c>
      <c r="BM76" s="19" t="n">
        <v>0</v>
      </c>
      <c r="BN76" s="19" t="n">
        <v>0</v>
      </c>
      <c r="BO76" s="19" t="n">
        <v>0</v>
      </c>
      <c r="BP76" s="19" t="n">
        <v>0</v>
      </c>
      <c r="BQ76" s="19" t="n">
        <v>0</v>
      </c>
      <c r="BR76" s="19" t="n">
        <v>2</v>
      </c>
      <c r="BS76" s="19" t="n">
        <v>1</v>
      </c>
      <c r="BT76" s="19" t="n">
        <v>2</v>
      </c>
      <c r="BU76" s="19" t="n">
        <v>5</v>
      </c>
      <c r="BV76" s="19" t="n">
        <v>2</v>
      </c>
      <c r="BW76" s="19" t="n">
        <v>1</v>
      </c>
      <c r="BX76" s="19" t="n">
        <v>2</v>
      </c>
      <c r="BY76" s="19" t="n">
        <v>5</v>
      </c>
      <c r="BZ76" s="19" t="n">
        <v>5</v>
      </c>
      <c r="CA76" s="19" t="n">
        <v>4</v>
      </c>
      <c r="CB76" s="19" t="n">
        <v>5</v>
      </c>
      <c r="CC76" s="19" t="n">
        <v>5</v>
      </c>
      <c r="CD76" s="19" t="n">
        <v>5</v>
      </c>
      <c r="CE76" s="19" t="n">
        <v>5</v>
      </c>
      <c r="CF76" s="19" t="n">
        <v>5</v>
      </c>
      <c r="CG76" s="19" t="n">
        <v>5</v>
      </c>
      <c r="CH76" s="19" t="n">
        <v>5</v>
      </c>
      <c r="CI76" s="19" t="n">
        <v>5</v>
      </c>
      <c r="CJ76" s="19" t="n">
        <v>5</v>
      </c>
      <c r="CK76" s="19" t="n">
        <v>8</v>
      </c>
      <c r="CL76" s="0" t="s">
        <v>253</v>
      </c>
      <c r="CM76" s="0" t="n">
        <v>30</v>
      </c>
      <c r="CN76" s="16" t="n">
        <v>85.5</v>
      </c>
      <c r="CO76" s="16" t="n">
        <v>81</v>
      </c>
      <c r="CP76" s="16" t="n">
        <v>15.2</v>
      </c>
      <c r="CQ76" s="0" t="n">
        <v>87.44</v>
      </c>
      <c r="CR76" s="0" t="n">
        <v>0</v>
      </c>
      <c r="CS76" s="0" t="n">
        <v>0.94</v>
      </c>
      <c r="CT76" s="0" t="n">
        <v>1.97</v>
      </c>
      <c r="CU76" s="0" t="n">
        <v>9.65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2.71</v>
      </c>
      <c r="DC76" s="0" t="n">
        <v>0.6</v>
      </c>
      <c r="DD76" s="0" t="n">
        <v>2.17</v>
      </c>
      <c r="DE76" s="0" t="n">
        <v>5.97</v>
      </c>
      <c r="DF76" s="0" t="n">
        <v>2.65</v>
      </c>
      <c r="DG76" s="0" t="n">
        <v>0</v>
      </c>
      <c r="DH76" s="0" t="n">
        <v>0</v>
      </c>
      <c r="DU76" s="0" t="n">
        <v>10.6</v>
      </c>
      <c r="DV76" s="0" t="n">
        <v>1</v>
      </c>
      <c r="DW76" s="0" t="n">
        <v>60</v>
      </c>
      <c r="DX76" s="0" t="n">
        <v>2</v>
      </c>
      <c r="DY76" s="0" t="n">
        <f aca="false">0.38+0.07</f>
        <v>0.45</v>
      </c>
      <c r="DZ76" s="0" t="n">
        <v>1</v>
      </c>
      <c r="EA76" s="0" t="n">
        <v>68</v>
      </c>
      <c r="EB76" s="0" t="n">
        <v>1</v>
      </c>
      <c r="EC76" s="16" t="n">
        <v>0.31</v>
      </c>
      <c r="ED76" s="0" t="n">
        <v>1</v>
      </c>
      <c r="EE76" s="0" t="n">
        <v>85</v>
      </c>
      <c r="EF76" s="0" t="n">
        <v>2</v>
      </c>
      <c r="EG76" s="18" t="n">
        <f aca="false">1.89+0.94</f>
        <v>2.83</v>
      </c>
      <c r="EH76" s="0" t="n">
        <v>2</v>
      </c>
      <c r="EI76" s="0" t="n">
        <v>25</v>
      </c>
      <c r="EJ76" s="0" t="n">
        <v>1</v>
      </c>
      <c r="EK76" s="16" t="n">
        <v>0.27</v>
      </c>
      <c r="EL76" s="0" t="n">
        <v>2</v>
      </c>
      <c r="EY76" s="0" t="n">
        <v>0</v>
      </c>
      <c r="GJ76" s="16" t="n">
        <v>0</v>
      </c>
      <c r="GK76" s="16" t="n">
        <v>0</v>
      </c>
      <c r="GL76" s="16"/>
      <c r="GM76" s="16"/>
      <c r="GN76" s="16"/>
      <c r="GO76" s="16"/>
      <c r="GP76" s="16"/>
      <c r="GQ76" s="16"/>
      <c r="GR76" s="16"/>
      <c r="GS76" s="16"/>
      <c r="GT76" s="16"/>
      <c r="GU76" s="16" t="n">
        <v>4.17</v>
      </c>
      <c r="GV76" s="16" t="n">
        <v>2.54</v>
      </c>
      <c r="GW76" s="16"/>
      <c r="GX76" s="16"/>
      <c r="GY76" s="16" t="n">
        <v>0</v>
      </c>
      <c r="GZ76" s="16" t="n">
        <v>0</v>
      </c>
      <c r="HA76" s="16" t="n">
        <v>0</v>
      </c>
      <c r="HB76" s="0" t="n">
        <v>0</v>
      </c>
      <c r="HC76" s="0" t="s">
        <v>254</v>
      </c>
      <c r="HD76" s="0" t="n">
        <v>53</v>
      </c>
      <c r="HE76" s="16" t="n">
        <v>81.5</v>
      </c>
      <c r="HF76" s="16" t="n">
        <v>81</v>
      </c>
      <c r="HG76" s="16" t="n">
        <v>36.4</v>
      </c>
      <c r="HH76" s="0" t="n">
        <v>56.99</v>
      </c>
      <c r="HI76" s="0" t="n">
        <v>0</v>
      </c>
      <c r="HJ76" s="0" t="n">
        <v>0</v>
      </c>
      <c r="HK76" s="0" t="n">
        <v>0.12</v>
      </c>
      <c r="HL76" s="0" t="n">
        <v>42.89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25.37</v>
      </c>
      <c r="HT76" s="0" t="n">
        <v>0</v>
      </c>
      <c r="HU76" s="0" t="n">
        <v>42.65</v>
      </c>
      <c r="HV76" s="0" t="n">
        <v>6.3</v>
      </c>
      <c r="HW76" s="0" t="n">
        <v>0</v>
      </c>
      <c r="HX76" s="0" t="n">
        <v>0</v>
      </c>
      <c r="HY76" s="0" t="n">
        <v>0</v>
      </c>
      <c r="IL76" s="0" t="n">
        <v>8.7</v>
      </c>
      <c r="IM76" s="0" t="n">
        <v>1</v>
      </c>
      <c r="IN76" s="0" t="n">
        <v>137</v>
      </c>
      <c r="IO76" s="0" t="n">
        <v>2</v>
      </c>
      <c r="IP76" s="0" t="n">
        <f aca="false">0.65+0.05</f>
        <v>0.7</v>
      </c>
      <c r="IQ76" s="0" t="n">
        <v>1</v>
      </c>
      <c r="IR76" s="0" t="n">
        <v>103</v>
      </c>
      <c r="IS76" s="0" t="n">
        <v>2</v>
      </c>
      <c r="IT76" s="16" t="n">
        <f aca="false">0.65+0.05</f>
        <v>0.7</v>
      </c>
      <c r="IU76" s="0" t="n">
        <v>1</v>
      </c>
      <c r="IX76" s="18"/>
      <c r="JP76" s="0" t="n">
        <v>0</v>
      </c>
      <c r="LA76" s="16" t="n">
        <v>2.28</v>
      </c>
      <c r="LB76" s="16" t="n">
        <v>1</v>
      </c>
      <c r="LC76" s="16" t="n">
        <v>3</v>
      </c>
      <c r="LD76" s="16"/>
      <c r="LE76" s="16" t="n">
        <f aca="false">2.69+0.37+0.74</f>
        <v>3.8</v>
      </c>
      <c r="LF76" s="16"/>
      <c r="LG76" s="16"/>
      <c r="LH76" s="16"/>
      <c r="LI76" s="16"/>
      <c r="LJ76" s="16"/>
      <c r="LK76" s="16"/>
      <c r="LL76" s="16" t="n">
        <v>0.48</v>
      </c>
      <c r="LM76" s="16" t="n">
        <v>0.48</v>
      </c>
      <c r="LN76" s="16"/>
      <c r="LO76" s="16"/>
      <c r="LP76" s="16" t="n">
        <v>2.22</v>
      </c>
      <c r="LQ76" s="16" t="n">
        <v>23.08</v>
      </c>
      <c r="LR76" s="16" t="n">
        <v>0</v>
      </c>
      <c r="LS76" s="0" t="n">
        <v>0</v>
      </c>
      <c r="LT76" s="0" t="s">
        <v>255</v>
      </c>
      <c r="LU76" s="0" t="n">
        <v>41</v>
      </c>
      <c r="LV76" s="16" t="n">
        <v>48.6</v>
      </c>
      <c r="LW76" s="16" t="n">
        <v>81</v>
      </c>
      <c r="LX76" s="16" t="n">
        <v>21.6</v>
      </c>
      <c r="LY76" s="0" t="n">
        <v>76.16</v>
      </c>
      <c r="LZ76" s="0" t="n">
        <v>0</v>
      </c>
      <c r="MA76" s="0" t="n">
        <v>0.07</v>
      </c>
      <c r="MB76" s="0" t="n">
        <v>0.13</v>
      </c>
      <c r="MC76" s="0" t="n">
        <v>23.64</v>
      </c>
      <c r="MD76" s="0" t="n">
        <v>0</v>
      </c>
      <c r="ME76" s="0" t="n">
        <v>0</v>
      </c>
      <c r="MF76" s="0" t="n">
        <v>0</v>
      </c>
      <c r="MG76" s="0" t="n">
        <v>0</v>
      </c>
      <c r="MH76" s="0" t="n">
        <v>0</v>
      </c>
      <c r="MI76" s="0" t="n">
        <v>0</v>
      </c>
      <c r="MJ76" s="0" t="n">
        <v>6.53</v>
      </c>
      <c r="MK76" s="0" t="n">
        <v>0.2</v>
      </c>
      <c r="ML76" s="0" t="n">
        <v>27.15</v>
      </c>
      <c r="MM76" s="0" t="n">
        <v>4.11</v>
      </c>
      <c r="MN76" s="0" t="n">
        <v>0</v>
      </c>
      <c r="MO76" s="0" t="n">
        <v>3.9</v>
      </c>
      <c r="MP76" s="0" t="n">
        <v>1</v>
      </c>
      <c r="MQ76" s="0" t="n">
        <v>10</v>
      </c>
      <c r="MS76" s="0" t="n">
        <v>1</v>
      </c>
      <c r="NC76" s="0" t="n">
        <v>0.6</v>
      </c>
      <c r="ND76" s="0" t="n">
        <v>1</v>
      </c>
      <c r="NE76" s="0" t="n">
        <v>52</v>
      </c>
      <c r="NF76" s="0" t="n">
        <v>3</v>
      </c>
      <c r="NG76" s="16" t="n">
        <f aca="false">0.16+0.13</f>
        <v>0.29</v>
      </c>
      <c r="NH76" s="0" t="n">
        <v>2</v>
      </c>
      <c r="NO76" s="18"/>
      <c r="OG76" s="0" t="n">
        <v>0</v>
      </c>
      <c r="PR76" s="16" t="n">
        <v>0.57</v>
      </c>
      <c r="PS76" s="16" t="n">
        <v>1</v>
      </c>
      <c r="PT76" s="16" t="n">
        <v>1</v>
      </c>
      <c r="PU76" s="16"/>
      <c r="PV76" s="16" t="n">
        <f aca="false">0.93</f>
        <v>0.93</v>
      </c>
      <c r="PW76" s="16" t="n">
        <v>2</v>
      </c>
      <c r="PX76" s="16"/>
      <c r="PY76" s="16" t="n">
        <f aca="false">0.31+0.22</f>
        <v>0.53</v>
      </c>
      <c r="PZ76" s="16"/>
      <c r="QA76" s="16"/>
      <c r="QB76" s="16"/>
      <c r="QC76" s="16" t="n">
        <v>5.72</v>
      </c>
      <c r="QD76" s="16" t="n">
        <v>5.75</v>
      </c>
      <c r="QE76" s="16"/>
      <c r="QF76" s="16"/>
      <c r="QG76" s="16" t="n">
        <v>7.41</v>
      </c>
      <c r="QH76" s="16" t="n">
        <v>0</v>
      </c>
      <c r="QI76" s="16" t="n">
        <v>0.22</v>
      </c>
      <c r="QJ76" s="0" t="n">
        <v>5</v>
      </c>
      <c r="QK76" s="0" t="s">
        <v>257</v>
      </c>
      <c r="QL76" s="0" t="n">
        <v>43</v>
      </c>
      <c r="QM76" s="16" t="n">
        <v>93.3</v>
      </c>
      <c r="QN76" s="16" t="n">
        <v>81</v>
      </c>
      <c r="QO76" s="16" t="n">
        <v>6.4</v>
      </c>
      <c r="QP76" s="0" t="n">
        <v>100</v>
      </c>
      <c r="QQ76" s="0" t="n">
        <v>0</v>
      </c>
      <c r="QR76" s="0" t="n">
        <v>0</v>
      </c>
      <c r="QS76" s="0" t="n">
        <v>0</v>
      </c>
      <c r="QT76" s="0" t="n">
        <v>0</v>
      </c>
      <c r="QU76" s="0" t="n">
        <v>0</v>
      </c>
      <c r="QV76" s="0" t="n">
        <v>0</v>
      </c>
      <c r="QW76" s="0" t="n">
        <v>0</v>
      </c>
      <c r="QX76" s="0" t="n">
        <v>0</v>
      </c>
      <c r="QY76" s="0" t="n">
        <v>0</v>
      </c>
      <c r="QZ76" s="0" t="n">
        <v>0</v>
      </c>
      <c r="RA76" s="0" t="n">
        <v>0</v>
      </c>
      <c r="RB76" s="0" t="n">
        <v>18.51</v>
      </c>
      <c r="RC76" s="0" t="n">
        <v>28.46</v>
      </c>
      <c r="RD76" s="0" t="n">
        <v>0</v>
      </c>
      <c r="RE76" s="0" t="n">
        <v>0</v>
      </c>
      <c r="RF76" s="0" t="n">
        <v>0</v>
      </c>
      <c r="RG76" s="0" t="n">
        <v>0</v>
      </c>
      <c r="RT76" s="0" t="n">
        <v>33</v>
      </c>
      <c r="RU76" s="0" t="n">
        <v>0</v>
      </c>
      <c r="SF76" s="18"/>
      <c r="SX76" s="0" t="n">
        <v>1</v>
      </c>
      <c r="SY76" s="0" t="n">
        <v>40</v>
      </c>
      <c r="SZ76" s="0" t="n">
        <v>8</v>
      </c>
      <c r="TA76" s="0" t="n">
        <f aca="false">1.51*2+3.02+0.27*2</f>
        <v>6.58</v>
      </c>
      <c r="TB76" s="0" t="n">
        <v>3</v>
      </c>
      <c r="TC76" s="0" t="n">
        <v>60</v>
      </c>
      <c r="TD76" s="0" t="n">
        <v>20</v>
      </c>
      <c r="TE76" s="0" t="n">
        <f aca="false">3.65*2+0.67*2</f>
        <v>8.64</v>
      </c>
      <c r="TF76" s="0" t="n">
        <v>3</v>
      </c>
      <c r="UI76" s="16" t="n">
        <v>0</v>
      </c>
      <c r="UJ76" s="16" t="n">
        <v>0</v>
      </c>
      <c r="UK76" s="16"/>
      <c r="UL76" s="16"/>
      <c r="UM76" s="16"/>
      <c r="UN76" s="16"/>
      <c r="UO76" s="16"/>
      <c r="UP76" s="16"/>
      <c r="UQ76" s="16"/>
      <c r="UR76" s="16"/>
      <c r="US76" s="16"/>
      <c r="UT76" s="16" t="n">
        <v>0</v>
      </c>
      <c r="UU76" s="16" t="n">
        <v>0</v>
      </c>
      <c r="UV76" s="16"/>
      <c r="UW76" s="16"/>
      <c r="UX76" s="16" t="n">
        <v>0</v>
      </c>
      <c r="UY76" s="16" t="n">
        <v>0</v>
      </c>
      <c r="UZ76" s="16" t="n">
        <v>0</v>
      </c>
      <c r="VA76" s="0" t="n">
        <v>0</v>
      </c>
      <c r="VB76" s="0" t="s">
        <v>258</v>
      </c>
      <c r="VC76" s="0" t="n">
        <v>40</v>
      </c>
      <c r="VD76" s="16" t="n">
        <v>90.1</v>
      </c>
      <c r="VE76" s="16" t="n">
        <v>81</v>
      </c>
      <c r="VF76" s="16" t="n">
        <v>5.9</v>
      </c>
      <c r="VG76" s="0" t="n">
        <v>99.34</v>
      </c>
      <c r="VH76" s="0" t="n">
        <v>0</v>
      </c>
      <c r="VI76" s="0" t="n">
        <v>0</v>
      </c>
      <c r="VJ76" s="0" t="n">
        <v>0.66</v>
      </c>
      <c r="VK76" s="0" t="n">
        <v>0</v>
      </c>
      <c r="VL76" s="0" t="n">
        <v>0</v>
      </c>
      <c r="VM76" s="0" t="n">
        <v>0</v>
      </c>
      <c r="VN76" s="0" t="n">
        <v>0</v>
      </c>
      <c r="VO76" s="0" t="n">
        <v>0</v>
      </c>
      <c r="VP76" s="0" t="n">
        <v>0</v>
      </c>
      <c r="VQ76" s="0" t="n">
        <v>0</v>
      </c>
      <c r="VR76" s="0" t="n">
        <v>0</v>
      </c>
      <c r="VS76" s="0" t="n">
        <v>19.8</v>
      </c>
      <c r="VT76" s="0" t="n">
        <v>8.95</v>
      </c>
      <c r="VU76" s="0" t="n">
        <v>0</v>
      </c>
      <c r="VV76" s="0" t="n">
        <v>0</v>
      </c>
      <c r="VW76" s="0" t="n">
        <v>22.3</v>
      </c>
      <c r="VX76" s="0" t="n">
        <v>1</v>
      </c>
      <c r="VY76" s="0" t="n">
        <v>5</v>
      </c>
      <c r="WA76" s="0" t="n">
        <v>8</v>
      </c>
      <c r="WK76" s="0" t="n">
        <v>0</v>
      </c>
      <c r="WL76" s="0" t="n">
        <v>0</v>
      </c>
      <c r="WW76" s="18"/>
      <c r="XO76" s="0" t="n">
        <v>1</v>
      </c>
      <c r="XP76" s="0" t="n">
        <v>50</v>
      </c>
      <c r="XQ76" s="0" t="n">
        <v>4</v>
      </c>
      <c r="XR76" s="0" t="n">
        <f aca="false">0.73*2+0.13*2</f>
        <v>1.72</v>
      </c>
      <c r="XS76" s="0" t="n">
        <v>3</v>
      </c>
      <c r="YZ76" s="16" t="n">
        <v>1.48</v>
      </c>
      <c r="ZA76" s="16" t="n">
        <v>1</v>
      </c>
      <c r="ZB76" s="16" t="n">
        <v>1</v>
      </c>
      <c r="ZC76" s="16"/>
      <c r="ZD76" s="16" t="n">
        <f aca="false">2.1*2+0.37*2</f>
        <v>4.94</v>
      </c>
      <c r="ZE76" s="16"/>
      <c r="ZF76" s="16"/>
      <c r="ZG76" s="16"/>
      <c r="ZH76" s="16"/>
      <c r="ZI76" s="16"/>
      <c r="ZJ76" s="16"/>
      <c r="ZK76" s="16" t="n">
        <v>7.71</v>
      </c>
      <c r="ZL76" s="16" t="n">
        <v>4.35</v>
      </c>
      <c r="ZM76" s="16"/>
      <c r="ZN76" s="16"/>
      <c r="ZO76" s="16" t="n">
        <v>0</v>
      </c>
      <c r="ZP76" s="16" t="n">
        <v>0</v>
      </c>
      <c r="ZQ76" s="16" t="n">
        <v>0</v>
      </c>
      <c r="ZR76" s="0" t="n">
        <v>0</v>
      </c>
      <c r="ZS76" s="0" t="s">
        <v>259</v>
      </c>
      <c r="ZT76" s="0" t="n">
        <v>43</v>
      </c>
      <c r="ZU76" s="16" t="n">
        <v>93.3</v>
      </c>
      <c r="ZV76" s="16" t="n">
        <v>81</v>
      </c>
      <c r="ZW76" s="16" t="n">
        <v>6.4</v>
      </c>
      <c r="ZX76" s="0" t="n">
        <v>100</v>
      </c>
      <c r="ZY76" s="0" t="n">
        <v>0</v>
      </c>
      <c r="ZZ76" s="0" t="n">
        <v>0</v>
      </c>
      <c r="AAA76" s="0" t="n">
        <v>0</v>
      </c>
      <c r="AAB76" s="0" t="n">
        <v>0</v>
      </c>
      <c r="AAC76" s="0" t="n">
        <v>0</v>
      </c>
      <c r="AAD76" s="0" t="n">
        <v>0</v>
      </c>
      <c r="AAE76" s="0" t="n">
        <v>0</v>
      </c>
      <c r="AAF76" s="0" t="n">
        <v>0</v>
      </c>
      <c r="AAG76" s="0" t="n">
        <v>0</v>
      </c>
      <c r="AAH76" s="0" t="n">
        <v>0</v>
      </c>
      <c r="AAI76" s="0" t="n">
        <v>0</v>
      </c>
      <c r="AAJ76" s="0" t="n">
        <v>18.51</v>
      </c>
      <c r="AAK76" s="0" t="n">
        <v>28.46</v>
      </c>
      <c r="AAL76" s="0" t="n">
        <v>0</v>
      </c>
      <c r="AAM76" s="0" t="n">
        <v>0</v>
      </c>
      <c r="AAN76" s="0" t="n">
        <v>0</v>
      </c>
      <c r="AAO76" s="0" t="n">
        <v>0</v>
      </c>
      <c r="ABB76" s="0" t="n">
        <v>33</v>
      </c>
      <c r="ABC76" s="0" t="n">
        <v>0</v>
      </c>
      <c r="ABN76" s="18"/>
      <c r="ACF76" s="0" t="n">
        <v>1</v>
      </c>
      <c r="ACG76" s="0" t="n">
        <v>40</v>
      </c>
      <c r="ACH76" s="0" t="n">
        <v>8</v>
      </c>
      <c r="ACI76" s="0" t="n">
        <f aca="false">1.51*2+0.27*2+3.02</f>
        <v>6.58</v>
      </c>
      <c r="ACJ76" s="0" t="n">
        <v>3</v>
      </c>
      <c r="ACK76" s="0" t="n">
        <v>60</v>
      </c>
      <c r="ACL76" s="0" t="n">
        <v>20</v>
      </c>
      <c r="ACM76" s="0" t="n">
        <f aca="false">3.65*2+0.67*2</f>
        <v>8.64</v>
      </c>
      <c r="ACN76" s="0" t="n">
        <v>3</v>
      </c>
      <c r="ADQ76" s="16" t="n">
        <v>0</v>
      </c>
      <c r="ADR76" s="16" t="n">
        <v>0</v>
      </c>
      <c r="ADS76" s="16"/>
      <c r="ADT76" s="16"/>
      <c r="ADU76" s="16"/>
      <c r="ADV76" s="16"/>
      <c r="ADW76" s="16"/>
      <c r="ADX76" s="16"/>
      <c r="ADY76" s="16"/>
      <c r="ADZ76" s="16"/>
      <c r="AEA76" s="16"/>
      <c r="AEB76" s="16" t="n">
        <v>0</v>
      </c>
      <c r="AEC76" s="16" t="n">
        <v>0</v>
      </c>
      <c r="AED76" s="16"/>
      <c r="AEE76" s="16"/>
      <c r="AEF76" s="16" t="n">
        <v>0</v>
      </c>
      <c r="AEG76" s="16" t="n">
        <v>0</v>
      </c>
      <c r="AEH76" s="16" t="n">
        <v>0</v>
      </c>
      <c r="AEI76" s="0" t="n">
        <v>0</v>
      </c>
      <c r="AEJ76" s="0" t="s">
        <v>260</v>
      </c>
      <c r="AEK76" s="0" t="n">
        <v>57.5</v>
      </c>
      <c r="AEL76" s="16" t="n">
        <v>91.5</v>
      </c>
      <c r="AEM76" s="16" t="n">
        <v>81</v>
      </c>
      <c r="AEN76" s="16" t="n">
        <v>49.9</v>
      </c>
      <c r="AEO76" s="0" t="n">
        <v>47.29</v>
      </c>
      <c r="AEP76" s="0" t="n">
        <v>0</v>
      </c>
      <c r="AEQ76" s="0" t="n">
        <v>45.65</v>
      </c>
      <c r="AER76" s="0" t="n">
        <v>6.91</v>
      </c>
      <c r="AES76" s="0" t="n">
        <v>0.15</v>
      </c>
      <c r="AET76" s="0" t="n">
        <v>0</v>
      </c>
      <c r="AEU76" s="0" t="n">
        <v>0</v>
      </c>
      <c r="AEV76" s="0" t="n">
        <v>0</v>
      </c>
      <c r="AEW76" s="0" t="n">
        <v>0</v>
      </c>
      <c r="AEX76" s="0" t="n">
        <v>0</v>
      </c>
      <c r="AEY76" s="0" t="n">
        <v>0</v>
      </c>
      <c r="AEZ76" s="0" t="n">
        <v>0</v>
      </c>
      <c r="AFA76" s="0" t="n">
        <v>9.23</v>
      </c>
      <c r="AFB76" s="0" t="n">
        <v>4.35</v>
      </c>
      <c r="AFC76" s="0" t="n">
        <v>6.63</v>
      </c>
      <c r="AFD76" s="0" t="n">
        <v>0</v>
      </c>
      <c r="AFE76" s="0" t="n">
        <v>0</v>
      </c>
      <c r="AFF76" s="0" t="n">
        <v>1</v>
      </c>
      <c r="AFG76" s="0" t="n">
        <v>5</v>
      </c>
      <c r="AFI76" s="0" t="n">
        <v>2</v>
      </c>
      <c r="AFS76" s="0" t="n">
        <v>1.1</v>
      </c>
      <c r="AFT76" s="0" t="n">
        <v>0</v>
      </c>
      <c r="AGE76" s="18"/>
      <c r="AGW76" s="0" t="n">
        <v>1</v>
      </c>
      <c r="AGX76" s="0" t="n">
        <v>50</v>
      </c>
      <c r="AGY76" s="0" t="n">
        <v>1</v>
      </c>
      <c r="AGZ76" s="0" t="n">
        <v>0.27</v>
      </c>
      <c r="AHA76" s="0" t="n">
        <v>2</v>
      </c>
      <c r="AIH76" s="16" t="n">
        <v>2.82</v>
      </c>
      <c r="AII76" s="16" t="n">
        <v>1</v>
      </c>
      <c r="AIJ76" s="16" t="n">
        <v>1</v>
      </c>
      <c r="AIK76" s="16"/>
      <c r="AIL76" s="16" t="n">
        <f aca="false">1.86+1.72+2.1+7.35+1.72+1.48+0.37*3</f>
        <v>17.34</v>
      </c>
      <c r="AIM76" s="16"/>
      <c r="AIN76" s="16"/>
      <c r="AIO76" s="16"/>
      <c r="AIP76" s="16"/>
      <c r="AIQ76" s="16"/>
      <c r="AIR76" s="16"/>
      <c r="AIS76" s="16" t="n">
        <v>3.33</v>
      </c>
      <c r="AIT76" s="16" t="n">
        <v>3.32</v>
      </c>
      <c r="AIU76" s="16"/>
      <c r="AIV76" s="16"/>
      <c r="AIW76" s="16" t="n">
        <v>0</v>
      </c>
      <c r="AIX76" s="16" t="n">
        <v>0</v>
      </c>
      <c r="AIY76" s="16" t="n">
        <v>0</v>
      </c>
      <c r="AIZ76" s="0" t="n">
        <v>0</v>
      </c>
      <c r="AJA76" s="0" t="s">
        <v>435</v>
      </c>
      <c r="AJB76" s="0" t="n">
        <v>52.5</v>
      </c>
      <c r="AJC76" s="16" t="n">
        <v>71.2</v>
      </c>
      <c r="AJD76" s="16" t="n">
        <v>81</v>
      </c>
      <c r="AJE76" s="16" t="n">
        <v>44.8</v>
      </c>
      <c r="AJF76" s="0" t="n">
        <v>59.03</v>
      </c>
      <c r="AJG76" s="0" t="n">
        <v>0</v>
      </c>
      <c r="AJH76" s="0" t="n">
        <v>22.52</v>
      </c>
      <c r="AJI76" s="0" t="n">
        <v>17.8</v>
      </c>
      <c r="AJJ76" s="0" t="n">
        <v>0.65</v>
      </c>
      <c r="AJK76" s="0" t="n">
        <v>0</v>
      </c>
      <c r="AJL76" s="0" t="n">
        <v>0</v>
      </c>
      <c r="AJM76" s="0" t="n">
        <v>0</v>
      </c>
      <c r="AJN76" s="0" t="n">
        <v>0</v>
      </c>
      <c r="AJO76" s="0" t="n">
        <v>0</v>
      </c>
      <c r="AJP76" s="0" t="n">
        <v>0</v>
      </c>
      <c r="AJQ76" s="0" t="n">
        <v>0</v>
      </c>
      <c r="AJR76" s="0" t="n">
        <v>3.42</v>
      </c>
      <c r="AJS76" s="0" t="n">
        <v>2.94</v>
      </c>
      <c r="AJT76" s="0" t="n">
        <v>0</v>
      </c>
      <c r="AJU76" s="0" t="n">
        <v>0</v>
      </c>
      <c r="AJV76" s="0" t="n">
        <v>0</v>
      </c>
      <c r="AJW76" s="0" t="n">
        <v>0</v>
      </c>
      <c r="AKJ76" s="0" t="n">
        <v>0</v>
      </c>
      <c r="AKK76" s="0" t="n">
        <v>1</v>
      </c>
      <c r="AKL76" s="0" t="n">
        <v>34</v>
      </c>
      <c r="AKM76" s="0" t="n">
        <v>8</v>
      </c>
      <c r="AKN76" s="0" t="n">
        <v>5.35</v>
      </c>
      <c r="AKO76" s="0" t="n">
        <v>1</v>
      </c>
      <c r="AKV76" s="18"/>
      <c r="ALN76" s="0" t="n">
        <v>0</v>
      </c>
    </row>
    <row r="77" customFormat="false" ht="13.8" hidden="false" customHeight="false" outlineLevel="0" collapsed="false">
      <c r="A77" s="1" t="s">
        <v>440</v>
      </c>
      <c r="B77" s="12" t="n">
        <v>42901</v>
      </c>
      <c r="C77" s="0" t="n">
        <v>2</v>
      </c>
      <c r="D77" s="13" t="n">
        <v>42786</v>
      </c>
      <c r="E77" s="12" t="n">
        <v>26547</v>
      </c>
      <c r="F77" s="14" t="n">
        <f aca="false">(B77-E77)/365.25</f>
        <v>44.7748117727584</v>
      </c>
      <c r="G77" s="14" t="n">
        <f aca="false">(B77-D77)/365.25</f>
        <v>0.314852840520192</v>
      </c>
      <c r="H77" s="15" t="s">
        <v>228</v>
      </c>
      <c r="I77" s="15" t="s">
        <v>251</v>
      </c>
      <c r="J77" s="15" t="s">
        <v>181</v>
      </c>
      <c r="K77" s="21" t="n">
        <v>8</v>
      </c>
      <c r="L77" s="19" t="n">
        <v>83</v>
      </c>
      <c r="M77" s="0" t="n">
        <v>1.76</v>
      </c>
      <c r="N77" s="16" t="n">
        <f aca="false">L77/(M77*M77)</f>
        <v>26.7949380165289</v>
      </c>
      <c r="O77" s="19" t="n">
        <v>0</v>
      </c>
      <c r="P77" s="19" t="n">
        <v>0</v>
      </c>
      <c r="Q77" s="19" t="n">
        <v>0</v>
      </c>
      <c r="R77" s="19" t="n">
        <v>0</v>
      </c>
      <c r="S77" s="19" t="n">
        <v>0</v>
      </c>
      <c r="T77" s="19" t="n">
        <v>0</v>
      </c>
      <c r="U77" s="19" t="n">
        <v>0</v>
      </c>
      <c r="V77" s="19" t="n">
        <v>0</v>
      </c>
      <c r="W77" s="19" t="n">
        <v>1</v>
      </c>
      <c r="X77" s="19" t="n">
        <v>0</v>
      </c>
      <c r="Y77" s="19" t="n">
        <v>1</v>
      </c>
      <c r="Z77" s="19" t="n">
        <v>2</v>
      </c>
      <c r="AA77" s="19" t="n">
        <v>40</v>
      </c>
      <c r="AB77" s="19" t="s">
        <v>441</v>
      </c>
      <c r="AC77" s="19" t="n">
        <v>0</v>
      </c>
      <c r="AD77" s="19" t="n">
        <v>0</v>
      </c>
      <c r="AE77" s="19" t="n">
        <v>0</v>
      </c>
      <c r="AF77" s="19" t="n">
        <v>0</v>
      </c>
      <c r="AG77" s="19" t="n">
        <v>0</v>
      </c>
      <c r="AH77" s="19" t="n">
        <v>0</v>
      </c>
      <c r="AI77" s="19" t="n">
        <v>0</v>
      </c>
      <c r="AJ77" s="19" t="n">
        <v>0</v>
      </c>
      <c r="AK77" s="19" t="n">
        <v>0</v>
      </c>
      <c r="AL77" s="19" t="n">
        <v>0</v>
      </c>
      <c r="AM77" s="19" t="n">
        <v>0</v>
      </c>
      <c r="AN77" s="19" t="n">
        <v>0</v>
      </c>
      <c r="AO77" s="19" t="n">
        <v>0</v>
      </c>
      <c r="AP77" s="19" t="n">
        <v>0</v>
      </c>
      <c r="AQ77" s="19" t="n">
        <v>0</v>
      </c>
      <c r="AR77" s="19" t="n">
        <v>0</v>
      </c>
      <c r="AS77" s="19" t="n">
        <v>0</v>
      </c>
      <c r="AT77" s="19" t="n">
        <v>0</v>
      </c>
      <c r="AU77" s="19" t="n">
        <v>0</v>
      </c>
      <c r="AV77" s="19" t="n">
        <v>0</v>
      </c>
      <c r="AW77" s="19" t="n">
        <v>0</v>
      </c>
      <c r="AX77" s="19" t="n">
        <v>0</v>
      </c>
      <c r="AY77" s="19" t="n">
        <v>0</v>
      </c>
      <c r="AZ77" s="19" t="n">
        <v>0</v>
      </c>
      <c r="BA77" s="19" t="n">
        <v>0</v>
      </c>
      <c r="BB77" s="19" t="n">
        <v>0</v>
      </c>
      <c r="BC77" s="19" t="n">
        <v>0</v>
      </c>
      <c r="BD77" s="19" t="n">
        <v>0</v>
      </c>
      <c r="BE77" s="19" t="n">
        <v>0</v>
      </c>
      <c r="BF77" s="19" t="n">
        <v>0</v>
      </c>
      <c r="BG77" s="19" t="n">
        <v>0</v>
      </c>
      <c r="BH77" s="19" t="n">
        <v>0</v>
      </c>
      <c r="BI77" s="19" t="n">
        <v>0</v>
      </c>
      <c r="BJ77" s="19" t="n">
        <v>0</v>
      </c>
      <c r="BK77" s="19" t="n">
        <v>0</v>
      </c>
      <c r="BL77" s="19" t="n">
        <v>0</v>
      </c>
      <c r="BM77" s="19" t="n">
        <v>0</v>
      </c>
      <c r="BN77" s="19" t="n">
        <v>0</v>
      </c>
      <c r="BO77" s="19" t="n">
        <v>0</v>
      </c>
      <c r="BP77" s="19" t="n">
        <v>0</v>
      </c>
      <c r="BQ77" s="19" t="n">
        <v>0</v>
      </c>
      <c r="BR77" s="19" t="n">
        <v>2</v>
      </c>
      <c r="BS77" s="19" t="n">
        <v>2</v>
      </c>
      <c r="BT77" s="19" t="n">
        <v>3</v>
      </c>
      <c r="BU77" s="19" t="n">
        <v>5</v>
      </c>
      <c r="BV77" s="19" t="n">
        <v>2</v>
      </c>
      <c r="BW77" s="19" t="n">
        <v>3</v>
      </c>
      <c r="BX77" s="19" t="n">
        <v>5</v>
      </c>
      <c r="BY77" s="19" t="n">
        <v>3</v>
      </c>
      <c r="BZ77" s="19" t="n">
        <v>4</v>
      </c>
      <c r="CA77" s="19" t="n">
        <v>5</v>
      </c>
      <c r="CB77" s="19" t="n">
        <v>5</v>
      </c>
      <c r="CC77" s="19" t="n">
        <v>5</v>
      </c>
      <c r="CD77" s="19" t="n">
        <v>5</v>
      </c>
      <c r="CE77" s="19" t="n">
        <v>5</v>
      </c>
      <c r="CF77" s="19" t="n">
        <v>5</v>
      </c>
      <c r="CG77" s="19" t="n">
        <v>5</v>
      </c>
      <c r="CH77" s="19" t="n">
        <v>5</v>
      </c>
      <c r="CI77" s="19" t="n">
        <v>5</v>
      </c>
      <c r="CJ77" s="19" t="n">
        <v>5</v>
      </c>
      <c r="CK77" s="19" t="n">
        <v>8</v>
      </c>
      <c r="CL77" s="0" t="s">
        <v>253</v>
      </c>
      <c r="CM77" s="0" t="n">
        <v>30</v>
      </c>
      <c r="CN77" s="16" t="n">
        <v>85.5</v>
      </c>
      <c r="CO77" s="16" t="n">
        <v>81</v>
      </c>
      <c r="CP77" s="16" t="n">
        <v>15.2</v>
      </c>
      <c r="CQ77" s="0" t="n">
        <v>87.44</v>
      </c>
      <c r="CR77" s="0" t="n">
        <v>0</v>
      </c>
      <c r="CS77" s="0" t="n">
        <v>0.94</v>
      </c>
      <c r="CT77" s="0" t="n">
        <v>1.97</v>
      </c>
      <c r="CU77" s="0" t="n">
        <v>9.65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2.71</v>
      </c>
      <c r="DC77" s="0" t="n">
        <v>0.6</v>
      </c>
      <c r="DD77" s="0" t="n">
        <v>2.17</v>
      </c>
      <c r="DE77" s="0" t="n">
        <v>5.97</v>
      </c>
      <c r="DF77" s="0" t="n">
        <v>2.65</v>
      </c>
      <c r="DG77" s="0" t="n">
        <v>0</v>
      </c>
      <c r="DH77" s="0" t="n">
        <v>0</v>
      </c>
      <c r="DU77" s="0" t="n">
        <v>10.6</v>
      </c>
      <c r="DV77" s="0" t="n">
        <v>1</v>
      </c>
      <c r="DW77" s="0" t="n">
        <v>60</v>
      </c>
      <c r="DX77" s="0" t="n">
        <v>2</v>
      </c>
      <c r="DY77" s="0" t="n">
        <f aca="false">0.38+0.07</f>
        <v>0.45</v>
      </c>
      <c r="DZ77" s="0" t="n">
        <v>1</v>
      </c>
      <c r="EA77" s="0" t="n">
        <v>68</v>
      </c>
      <c r="EB77" s="0" t="n">
        <v>1</v>
      </c>
      <c r="EC77" s="16" t="n">
        <v>0.31</v>
      </c>
      <c r="ED77" s="0" t="n">
        <v>1</v>
      </c>
      <c r="EE77" s="0" t="n">
        <v>85</v>
      </c>
      <c r="EF77" s="0" t="n">
        <v>2</v>
      </c>
      <c r="EG77" s="18" t="n">
        <f aca="false">1.89+0.94</f>
        <v>2.83</v>
      </c>
      <c r="EH77" s="0" t="n">
        <v>2</v>
      </c>
      <c r="EI77" s="0" t="n">
        <v>25</v>
      </c>
      <c r="EJ77" s="0" t="n">
        <v>1</v>
      </c>
      <c r="EK77" s="16" t="n">
        <v>0.27</v>
      </c>
      <c r="EL77" s="0" t="n">
        <v>2</v>
      </c>
      <c r="EY77" s="0" t="n">
        <v>0</v>
      </c>
      <c r="GJ77" s="16" t="n">
        <v>0</v>
      </c>
      <c r="GK77" s="16" t="n">
        <v>0</v>
      </c>
      <c r="GL77" s="16"/>
      <c r="GM77" s="16"/>
      <c r="GN77" s="16"/>
      <c r="GO77" s="16"/>
      <c r="GP77" s="16"/>
      <c r="GQ77" s="16"/>
      <c r="GR77" s="16"/>
      <c r="GS77" s="16"/>
      <c r="GT77" s="16"/>
      <c r="GU77" s="16" t="n">
        <v>4.17</v>
      </c>
      <c r="GV77" s="16" t="n">
        <v>2.54</v>
      </c>
      <c r="GW77" s="16"/>
      <c r="GX77" s="16"/>
      <c r="GY77" s="16" t="n">
        <v>0</v>
      </c>
      <c r="GZ77" s="16" t="n">
        <v>0</v>
      </c>
      <c r="HA77" s="16" t="n">
        <v>0</v>
      </c>
      <c r="HB77" s="0" t="n">
        <v>0</v>
      </c>
      <c r="HC77" s="0" t="s">
        <v>254</v>
      </c>
      <c r="HD77" s="0" t="n">
        <v>53</v>
      </c>
      <c r="HE77" s="16" t="n">
        <v>81.5</v>
      </c>
      <c r="HF77" s="16" t="n">
        <v>81</v>
      </c>
      <c r="HG77" s="16" t="n">
        <v>36.4</v>
      </c>
      <c r="HH77" s="0" t="n">
        <v>56.99</v>
      </c>
      <c r="HI77" s="0" t="n">
        <v>0</v>
      </c>
      <c r="HJ77" s="0" t="n">
        <v>0</v>
      </c>
      <c r="HK77" s="0" t="n">
        <v>0.12</v>
      </c>
      <c r="HL77" s="0" t="n">
        <v>42.89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25.37</v>
      </c>
      <c r="HT77" s="0" t="n">
        <v>0</v>
      </c>
      <c r="HU77" s="0" t="n">
        <v>42.65</v>
      </c>
      <c r="HV77" s="0" t="n">
        <v>6.3</v>
      </c>
      <c r="HW77" s="0" t="n">
        <v>0</v>
      </c>
      <c r="HX77" s="0" t="n">
        <v>0</v>
      </c>
      <c r="HY77" s="0" t="n">
        <v>0</v>
      </c>
      <c r="IL77" s="0" t="n">
        <v>8.7</v>
      </c>
      <c r="IM77" s="0" t="n">
        <v>1</v>
      </c>
      <c r="IN77" s="0" t="n">
        <v>137</v>
      </c>
      <c r="IO77" s="0" t="n">
        <v>2</v>
      </c>
      <c r="IP77" s="0" t="n">
        <f aca="false">0.65+0.05</f>
        <v>0.7</v>
      </c>
      <c r="IQ77" s="0" t="n">
        <v>1</v>
      </c>
      <c r="IR77" s="0" t="n">
        <v>103</v>
      </c>
      <c r="IS77" s="0" t="n">
        <v>2</v>
      </c>
      <c r="IT77" s="16" t="n">
        <f aca="false">0.65+0.05</f>
        <v>0.7</v>
      </c>
      <c r="IU77" s="0" t="n">
        <v>1</v>
      </c>
      <c r="IX77" s="18"/>
      <c r="JP77" s="0" t="n">
        <v>0</v>
      </c>
      <c r="LA77" s="16" t="n">
        <v>2.28</v>
      </c>
      <c r="LB77" s="16" t="n">
        <v>1</v>
      </c>
      <c r="LC77" s="16" t="n">
        <v>3</v>
      </c>
      <c r="LD77" s="16"/>
      <c r="LE77" s="16" t="n">
        <f aca="false">2.69+0.37+0.74</f>
        <v>3.8</v>
      </c>
      <c r="LF77" s="16"/>
      <c r="LG77" s="16"/>
      <c r="LH77" s="16"/>
      <c r="LI77" s="16"/>
      <c r="LJ77" s="16"/>
      <c r="LK77" s="16"/>
      <c r="LL77" s="16" t="n">
        <v>0.48</v>
      </c>
      <c r="LM77" s="16" t="n">
        <v>0.48</v>
      </c>
      <c r="LN77" s="16"/>
      <c r="LO77" s="16"/>
      <c r="LP77" s="16" t="n">
        <v>2.22</v>
      </c>
      <c r="LQ77" s="16" t="n">
        <v>23.08</v>
      </c>
      <c r="LR77" s="16" t="n">
        <v>0</v>
      </c>
      <c r="LS77" s="0" t="n">
        <v>0</v>
      </c>
      <c r="LT77" s="0" t="s">
        <v>255</v>
      </c>
      <c r="LU77" s="0" t="n">
        <v>41</v>
      </c>
      <c r="LV77" s="16" t="n">
        <v>48.6</v>
      </c>
      <c r="LW77" s="16" t="n">
        <v>81</v>
      </c>
      <c r="LX77" s="16" t="n">
        <v>21.6</v>
      </c>
      <c r="LY77" s="0" t="n">
        <v>76.16</v>
      </c>
      <c r="LZ77" s="0" t="n">
        <v>0</v>
      </c>
      <c r="MA77" s="0" t="n">
        <v>0.07</v>
      </c>
      <c r="MB77" s="0" t="n">
        <v>0.13</v>
      </c>
      <c r="MC77" s="0" t="n">
        <v>23.64</v>
      </c>
      <c r="MD77" s="0" t="n">
        <v>0</v>
      </c>
      <c r="ME77" s="0" t="n">
        <v>0</v>
      </c>
      <c r="MF77" s="0" t="n">
        <v>0</v>
      </c>
      <c r="MG77" s="0" t="n">
        <v>0</v>
      </c>
      <c r="MH77" s="0" t="n">
        <v>0</v>
      </c>
      <c r="MI77" s="0" t="n">
        <v>0</v>
      </c>
      <c r="MJ77" s="0" t="n">
        <v>6.53</v>
      </c>
      <c r="MK77" s="0" t="n">
        <v>0.2</v>
      </c>
      <c r="ML77" s="0" t="n">
        <v>27.15</v>
      </c>
      <c r="MM77" s="0" t="n">
        <v>4.11</v>
      </c>
      <c r="MN77" s="0" t="n">
        <v>0</v>
      </c>
      <c r="MO77" s="0" t="n">
        <v>3.9</v>
      </c>
      <c r="MP77" s="0" t="n">
        <v>1</v>
      </c>
      <c r="MQ77" s="0" t="n">
        <v>10</v>
      </c>
      <c r="MS77" s="0" t="n">
        <v>1</v>
      </c>
      <c r="NC77" s="0" t="n">
        <v>0.6</v>
      </c>
      <c r="ND77" s="0" t="n">
        <v>1</v>
      </c>
      <c r="NE77" s="0" t="n">
        <v>52</v>
      </c>
      <c r="NF77" s="0" t="n">
        <v>3</v>
      </c>
      <c r="NG77" s="16" t="n">
        <f aca="false">0.16+0.13</f>
        <v>0.29</v>
      </c>
      <c r="NH77" s="0" t="n">
        <v>2</v>
      </c>
      <c r="NO77" s="18"/>
      <c r="OG77" s="0" t="n">
        <v>0</v>
      </c>
      <c r="PR77" s="16" t="n">
        <v>0.57</v>
      </c>
      <c r="PS77" s="16" t="n">
        <v>1</v>
      </c>
      <c r="PT77" s="16" t="n">
        <v>1</v>
      </c>
      <c r="PU77" s="16"/>
      <c r="PV77" s="16" t="n">
        <f aca="false">0.93</f>
        <v>0.93</v>
      </c>
      <c r="PW77" s="16" t="n">
        <v>2</v>
      </c>
      <c r="PX77" s="16"/>
      <c r="PY77" s="16" t="n">
        <f aca="false">0.31+0.22</f>
        <v>0.53</v>
      </c>
      <c r="PZ77" s="16"/>
      <c r="QA77" s="16"/>
      <c r="QB77" s="16"/>
      <c r="QC77" s="16" t="n">
        <v>5.72</v>
      </c>
      <c r="QD77" s="16" t="n">
        <v>5.75</v>
      </c>
      <c r="QE77" s="16"/>
      <c r="QF77" s="16"/>
      <c r="QG77" s="16" t="n">
        <v>7.41</v>
      </c>
      <c r="QH77" s="16" t="n">
        <v>0</v>
      </c>
      <c r="QI77" s="16" t="n">
        <v>0.22</v>
      </c>
      <c r="QJ77" s="0" t="n">
        <v>5</v>
      </c>
      <c r="QK77" s="0" t="s">
        <v>256</v>
      </c>
      <c r="QL77" s="0" t="n">
        <v>40</v>
      </c>
      <c r="QM77" s="16" t="n">
        <v>89.1</v>
      </c>
      <c r="QN77" s="16" t="n">
        <v>81</v>
      </c>
      <c r="QO77" s="16" t="n">
        <v>5.4</v>
      </c>
      <c r="QP77" s="0" t="n">
        <v>99.83</v>
      </c>
      <c r="QQ77" s="0" t="n">
        <v>0</v>
      </c>
      <c r="QR77" s="0" t="n">
        <v>0</v>
      </c>
      <c r="QS77" s="0" t="n">
        <v>0.17</v>
      </c>
      <c r="QT77" s="0" t="n">
        <v>0</v>
      </c>
      <c r="QU77" s="0" t="n">
        <v>0</v>
      </c>
      <c r="QV77" s="0" t="n">
        <v>0</v>
      </c>
      <c r="QW77" s="0" t="n">
        <v>0</v>
      </c>
      <c r="QX77" s="0" t="n">
        <v>0</v>
      </c>
      <c r="QY77" s="0" t="n">
        <v>0</v>
      </c>
      <c r="QZ77" s="0" t="n">
        <v>0</v>
      </c>
      <c r="RA77" s="0" t="n">
        <v>0</v>
      </c>
      <c r="RB77" s="0" t="n">
        <v>19.8</v>
      </c>
      <c r="RC77" s="0" t="n">
        <v>8.95</v>
      </c>
      <c r="RD77" s="0" t="n">
        <v>0</v>
      </c>
      <c r="RE77" s="0" t="n">
        <v>0</v>
      </c>
      <c r="RF77" s="0" t="n">
        <v>22.5</v>
      </c>
      <c r="RG77" s="0" t="n">
        <v>1</v>
      </c>
      <c r="RH77" s="0" t="n">
        <v>5</v>
      </c>
      <c r="RJ77" s="0" t="n">
        <v>8</v>
      </c>
      <c r="RT77" s="0" t="n">
        <v>0</v>
      </c>
      <c r="RU77" s="0" t="n">
        <v>0</v>
      </c>
      <c r="SF77" s="18"/>
      <c r="SX77" s="0" t="n">
        <v>1</v>
      </c>
      <c r="SY77" s="0" t="n">
        <v>50</v>
      </c>
      <c r="SZ77" s="0" t="n">
        <v>4</v>
      </c>
      <c r="TA77" s="0" t="n">
        <f aca="false">0.73*2+0.13*2</f>
        <v>1.72</v>
      </c>
      <c r="TB77" s="0" t="n">
        <v>3</v>
      </c>
      <c r="UI77" s="16" t="n">
        <v>1.48</v>
      </c>
      <c r="UJ77" s="16" t="n">
        <v>1</v>
      </c>
      <c r="UK77" s="16" t="n">
        <v>1</v>
      </c>
      <c r="UL77" s="16"/>
      <c r="UM77" s="16" t="n">
        <f aca="false">2.1*2+0.37*2</f>
        <v>4.94</v>
      </c>
      <c r="UN77" s="16"/>
      <c r="UO77" s="16"/>
      <c r="UP77" s="16"/>
      <c r="UQ77" s="16"/>
      <c r="UR77" s="16"/>
      <c r="US77" s="16"/>
      <c r="UT77" s="16" t="n">
        <v>7.71</v>
      </c>
      <c r="UU77" s="16" t="n">
        <v>4.35</v>
      </c>
      <c r="UV77" s="16"/>
      <c r="UW77" s="16"/>
      <c r="UX77" s="16" t="n">
        <v>0</v>
      </c>
      <c r="UY77" s="16" t="n">
        <v>0</v>
      </c>
      <c r="UZ77" s="16" t="n">
        <v>0</v>
      </c>
      <c r="VA77" s="0" t="n">
        <v>0</v>
      </c>
      <c r="VB77" s="0" t="s">
        <v>257</v>
      </c>
      <c r="VC77" s="0" t="n">
        <v>43</v>
      </c>
      <c r="VD77" s="16" t="n">
        <v>93.3</v>
      </c>
      <c r="VE77" s="16" t="n">
        <v>81</v>
      </c>
      <c r="VF77" s="16" t="n">
        <v>6.4</v>
      </c>
      <c r="VG77" s="0" t="n">
        <v>100</v>
      </c>
      <c r="VH77" s="0" t="n">
        <v>0</v>
      </c>
      <c r="VI77" s="0" t="n">
        <v>0</v>
      </c>
      <c r="VJ77" s="0" t="n">
        <v>0</v>
      </c>
      <c r="VK77" s="0" t="n">
        <v>0</v>
      </c>
      <c r="VL77" s="0" t="n">
        <v>0</v>
      </c>
      <c r="VM77" s="0" t="n">
        <v>0</v>
      </c>
      <c r="VN77" s="0" t="n">
        <v>0</v>
      </c>
      <c r="VO77" s="0" t="n">
        <v>0</v>
      </c>
      <c r="VP77" s="0" t="n">
        <v>0</v>
      </c>
      <c r="VQ77" s="0" t="n">
        <v>0</v>
      </c>
      <c r="VR77" s="0" t="n">
        <v>0</v>
      </c>
      <c r="VS77" s="0" t="n">
        <v>18.51</v>
      </c>
      <c r="VT77" s="0" t="n">
        <v>28.46</v>
      </c>
      <c r="VU77" s="0" t="n">
        <v>0</v>
      </c>
      <c r="VV77" s="0" t="n">
        <v>0</v>
      </c>
      <c r="VW77" s="0" t="n">
        <v>0</v>
      </c>
      <c r="VX77" s="0" t="n">
        <v>0</v>
      </c>
      <c r="WK77" s="0" t="n">
        <v>33</v>
      </c>
      <c r="WL77" s="0" t="n">
        <v>0</v>
      </c>
      <c r="WW77" s="18"/>
      <c r="XO77" s="0" t="n">
        <v>1</v>
      </c>
      <c r="XP77" s="0" t="n">
        <v>40</v>
      </c>
      <c r="XQ77" s="0" t="n">
        <v>8</v>
      </c>
      <c r="XR77" s="0" t="n">
        <f aca="false">1.51*2+3.02+0.27*2</f>
        <v>6.58</v>
      </c>
      <c r="XS77" s="0" t="n">
        <v>3</v>
      </c>
      <c r="XT77" s="0" t="n">
        <v>60</v>
      </c>
      <c r="XU77" s="0" t="n">
        <v>20</v>
      </c>
      <c r="XV77" s="0" t="n">
        <f aca="false">3.65*2+0.67*2</f>
        <v>8.64</v>
      </c>
      <c r="XW77" s="0" t="n">
        <v>3</v>
      </c>
      <c r="YZ77" s="16" t="n">
        <v>0</v>
      </c>
      <c r="ZA77" s="16" t="n">
        <v>0</v>
      </c>
      <c r="ZB77" s="16"/>
      <c r="ZC77" s="16"/>
      <c r="ZD77" s="16"/>
      <c r="ZE77" s="16"/>
      <c r="ZF77" s="16"/>
      <c r="ZG77" s="16"/>
      <c r="ZH77" s="16"/>
      <c r="ZI77" s="16"/>
      <c r="ZJ77" s="16"/>
      <c r="ZK77" s="16" t="n">
        <v>0</v>
      </c>
      <c r="ZL77" s="16" t="n">
        <v>0</v>
      </c>
      <c r="ZM77" s="16"/>
      <c r="ZN77" s="16"/>
      <c r="ZO77" s="16" t="n">
        <v>0</v>
      </c>
      <c r="ZP77" s="16" t="n">
        <v>0</v>
      </c>
      <c r="ZQ77" s="16" t="n">
        <v>0</v>
      </c>
      <c r="ZR77" s="0" t="n">
        <v>0</v>
      </c>
      <c r="ZS77" s="0" t="s">
        <v>258</v>
      </c>
      <c r="ZT77" s="0" t="n">
        <v>40</v>
      </c>
      <c r="ZU77" s="16" t="n">
        <v>90.1</v>
      </c>
      <c r="ZV77" s="16" t="n">
        <v>81</v>
      </c>
      <c r="ZW77" s="16" t="n">
        <v>5.9</v>
      </c>
      <c r="ZX77" s="0" t="n">
        <v>99.34</v>
      </c>
      <c r="ZY77" s="0" t="n">
        <v>0</v>
      </c>
      <c r="ZZ77" s="0" t="n">
        <v>0</v>
      </c>
      <c r="AAA77" s="0" t="n">
        <v>0.66</v>
      </c>
      <c r="AAB77" s="0" t="n">
        <v>0</v>
      </c>
      <c r="AAC77" s="0" t="n">
        <v>0</v>
      </c>
      <c r="AAD77" s="0" t="n">
        <v>0</v>
      </c>
      <c r="AAE77" s="0" t="n">
        <v>0</v>
      </c>
      <c r="AAF77" s="0" t="n">
        <v>0</v>
      </c>
      <c r="AAG77" s="0" t="n">
        <v>0</v>
      </c>
      <c r="AAH77" s="0" t="n">
        <v>0</v>
      </c>
      <c r="AAI77" s="0" t="n">
        <v>0</v>
      </c>
      <c r="AAJ77" s="0" t="n">
        <v>19.8</v>
      </c>
      <c r="AAK77" s="0" t="n">
        <v>8.95</v>
      </c>
      <c r="AAL77" s="0" t="n">
        <v>0</v>
      </c>
      <c r="AAM77" s="0" t="n">
        <v>0</v>
      </c>
      <c r="AAN77" s="0" t="n">
        <v>22.3</v>
      </c>
      <c r="AAO77" s="0" t="n">
        <v>1</v>
      </c>
      <c r="AAP77" s="0" t="n">
        <v>5</v>
      </c>
      <c r="AAR77" s="0" t="n">
        <v>8</v>
      </c>
      <c r="ABB77" s="0" t="n">
        <v>0</v>
      </c>
      <c r="ABC77" s="0" t="n">
        <v>0</v>
      </c>
      <c r="ABN77" s="18"/>
      <c r="ACF77" s="0" t="n">
        <v>1</v>
      </c>
      <c r="ACG77" s="0" t="n">
        <v>50</v>
      </c>
      <c r="ACH77" s="0" t="n">
        <v>4</v>
      </c>
      <c r="ACI77" s="0" t="n">
        <f aca="false">0.73*2+0.13*2</f>
        <v>1.72</v>
      </c>
      <c r="ACJ77" s="0" t="n">
        <v>3</v>
      </c>
      <c r="ADQ77" s="16" t="n">
        <v>1.48</v>
      </c>
      <c r="ADR77" s="16" t="n">
        <v>1</v>
      </c>
      <c r="ADS77" s="16" t="n">
        <v>1</v>
      </c>
      <c r="ADT77" s="16"/>
      <c r="ADU77" s="16" t="n">
        <f aca="false">2.1*2+0.37*2</f>
        <v>4.94</v>
      </c>
      <c r="ADV77" s="16"/>
      <c r="ADW77" s="16"/>
      <c r="ADX77" s="16"/>
      <c r="ADY77" s="16"/>
      <c r="ADZ77" s="16"/>
      <c r="AEA77" s="16"/>
      <c r="AEB77" s="16" t="n">
        <v>7.71</v>
      </c>
      <c r="AEC77" s="16" t="n">
        <v>4.35</v>
      </c>
      <c r="AED77" s="16"/>
      <c r="AEE77" s="16"/>
      <c r="AEF77" s="16" t="n">
        <v>0</v>
      </c>
      <c r="AEG77" s="16" t="n">
        <v>0</v>
      </c>
      <c r="AEH77" s="16" t="n">
        <v>0</v>
      </c>
      <c r="AEI77" s="0" t="n">
        <v>0</v>
      </c>
      <c r="AEJ77" s="0" t="s">
        <v>259</v>
      </c>
      <c r="AEK77" s="0" t="n">
        <v>43</v>
      </c>
      <c r="AEL77" s="16" t="n">
        <v>93.3</v>
      </c>
      <c r="AEM77" s="16" t="n">
        <v>81</v>
      </c>
      <c r="AEN77" s="16" t="n">
        <v>6.4</v>
      </c>
      <c r="AEO77" s="0" t="n">
        <v>100</v>
      </c>
      <c r="AEP77" s="0" t="n">
        <v>0</v>
      </c>
      <c r="AEQ77" s="0" t="n">
        <v>0</v>
      </c>
      <c r="AER77" s="0" t="n">
        <v>0</v>
      </c>
      <c r="AES77" s="0" t="n">
        <v>0</v>
      </c>
      <c r="AET77" s="0" t="n">
        <v>0</v>
      </c>
      <c r="AEU77" s="0" t="n">
        <v>0</v>
      </c>
      <c r="AEV77" s="0" t="n">
        <v>0</v>
      </c>
      <c r="AEW77" s="0" t="n">
        <v>0</v>
      </c>
      <c r="AEX77" s="0" t="n">
        <v>0</v>
      </c>
      <c r="AEY77" s="0" t="n">
        <v>0</v>
      </c>
      <c r="AEZ77" s="0" t="n">
        <v>0</v>
      </c>
      <c r="AFA77" s="0" t="n">
        <v>18.51</v>
      </c>
      <c r="AFB77" s="0" t="n">
        <v>28.46</v>
      </c>
      <c r="AFC77" s="0" t="n">
        <v>0</v>
      </c>
      <c r="AFD77" s="0" t="n">
        <v>0</v>
      </c>
      <c r="AFE77" s="0" t="n">
        <v>0</v>
      </c>
      <c r="AFF77" s="0" t="n">
        <v>0</v>
      </c>
      <c r="AFS77" s="0" t="n">
        <v>33</v>
      </c>
      <c r="AFT77" s="0" t="n">
        <v>0</v>
      </c>
      <c r="AGE77" s="18"/>
      <c r="AGW77" s="0" t="n">
        <v>1</v>
      </c>
      <c r="AGX77" s="0" t="n">
        <v>40</v>
      </c>
      <c r="AGY77" s="0" t="n">
        <v>8</v>
      </c>
      <c r="AGZ77" s="0" t="n">
        <f aca="false">1.51*2+0.27*2+3.02</f>
        <v>6.58</v>
      </c>
      <c r="AHA77" s="0" t="n">
        <v>3</v>
      </c>
      <c r="AHB77" s="0" t="n">
        <v>60</v>
      </c>
      <c r="AHC77" s="0" t="n">
        <v>20</v>
      </c>
      <c r="AHD77" s="0" t="n">
        <f aca="false">3.65*2+0.67*2</f>
        <v>8.64</v>
      </c>
      <c r="AHE77" s="0" t="n">
        <v>3</v>
      </c>
      <c r="AIH77" s="16" t="n">
        <v>0</v>
      </c>
      <c r="AII77" s="16" t="n">
        <v>0</v>
      </c>
      <c r="AIJ77" s="16"/>
      <c r="AIK77" s="16"/>
      <c r="AIL77" s="16"/>
      <c r="AIM77" s="16"/>
      <c r="AIN77" s="16"/>
      <c r="AIO77" s="16"/>
      <c r="AIP77" s="16"/>
      <c r="AIQ77" s="16"/>
      <c r="AIR77" s="16"/>
      <c r="AIS77" s="16" t="n">
        <v>0</v>
      </c>
      <c r="AIT77" s="16" t="n">
        <v>0</v>
      </c>
      <c r="AIU77" s="16"/>
      <c r="AIV77" s="16"/>
      <c r="AIW77" s="16" t="n">
        <v>0</v>
      </c>
      <c r="AIX77" s="16" t="n">
        <v>0</v>
      </c>
      <c r="AIY77" s="16" t="n">
        <v>0</v>
      </c>
      <c r="AIZ77" s="0" t="n">
        <v>0</v>
      </c>
      <c r="AJA77" s="0" t="s">
        <v>435</v>
      </c>
      <c r="AJB77" s="0" t="n">
        <v>52.5</v>
      </c>
      <c r="AJC77" s="16" t="n">
        <v>71.2</v>
      </c>
      <c r="AJD77" s="16" t="n">
        <v>81</v>
      </c>
      <c r="AJE77" s="16" t="n">
        <v>44.8</v>
      </c>
      <c r="AJF77" s="0" t="n">
        <v>59.03</v>
      </c>
      <c r="AJG77" s="0" t="n">
        <v>0</v>
      </c>
      <c r="AJH77" s="0" t="n">
        <v>22.52</v>
      </c>
      <c r="AJI77" s="0" t="n">
        <v>17.8</v>
      </c>
      <c r="AJJ77" s="0" t="n">
        <v>0.65</v>
      </c>
      <c r="AJK77" s="0" t="n">
        <v>0</v>
      </c>
      <c r="AJL77" s="0" t="n">
        <v>0</v>
      </c>
      <c r="AJM77" s="0" t="n">
        <v>0</v>
      </c>
      <c r="AJN77" s="0" t="n">
        <v>0</v>
      </c>
      <c r="AJO77" s="0" t="n">
        <v>0</v>
      </c>
      <c r="AJP77" s="0" t="n">
        <v>0</v>
      </c>
      <c r="AJQ77" s="0" t="n">
        <v>0</v>
      </c>
      <c r="AJR77" s="0" t="n">
        <v>3.42</v>
      </c>
      <c r="AJS77" s="0" t="n">
        <v>2.94</v>
      </c>
      <c r="AJT77" s="0" t="n">
        <v>0</v>
      </c>
      <c r="AJU77" s="0" t="n">
        <v>0</v>
      </c>
      <c r="AJV77" s="0" t="n">
        <v>0</v>
      </c>
      <c r="AJW77" s="0" t="n">
        <v>0</v>
      </c>
      <c r="AKJ77" s="0" t="n">
        <v>0</v>
      </c>
      <c r="AKK77" s="0" t="n">
        <v>1</v>
      </c>
      <c r="AKL77" s="0" t="n">
        <v>34</v>
      </c>
      <c r="AKM77" s="0" t="n">
        <v>8</v>
      </c>
      <c r="AKN77" s="0" t="n">
        <v>5.35</v>
      </c>
      <c r="AKO77" s="0" t="n">
        <v>1</v>
      </c>
      <c r="AKV77" s="18"/>
      <c r="ALN77" s="0" t="n">
        <v>0</v>
      </c>
    </row>
    <row r="78" customFormat="false" ht="13.8" hidden="false" customHeight="false" outlineLevel="0" collapsed="false">
      <c r="A78" s="1" t="s">
        <v>442</v>
      </c>
      <c r="B78" s="12" t="n">
        <v>42901</v>
      </c>
      <c r="C78" s="0" t="n">
        <v>1</v>
      </c>
      <c r="D78" s="13" t="n">
        <v>42807</v>
      </c>
      <c r="E78" s="12" t="n">
        <v>29565</v>
      </c>
      <c r="F78" s="14" t="n">
        <f aca="false">(B78-E78)/365.25</f>
        <v>36.5119780971937</v>
      </c>
      <c r="G78" s="14" t="n">
        <f aca="false">(B78-D78)/365.25</f>
        <v>0.257357973990418</v>
      </c>
      <c r="H78" s="15" t="s">
        <v>228</v>
      </c>
      <c r="I78" s="15" t="s">
        <v>251</v>
      </c>
      <c r="J78" s="15" t="s">
        <v>181</v>
      </c>
      <c r="K78" s="21" t="n">
        <v>8</v>
      </c>
      <c r="L78" s="19" t="n">
        <v>63</v>
      </c>
      <c r="M78" s="0" t="n">
        <v>1.65</v>
      </c>
      <c r="N78" s="16" t="n">
        <f aca="false">L78/(M78*M78)</f>
        <v>23.1404958677686</v>
      </c>
      <c r="O78" s="19" t="n">
        <v>0</v>
      </c>
      <c r="P78" s="19" t="n">
        <v>0</v>
      </c>
      <c r="Q78" s="19" t="n">
        <v>0</v>
      </c>
      <c r="R78" s="19" t="n">
        <v>0</v>
      </c>
      <c r="S78" s="19" t="n">
        <v>0</v>
      </c>
      <c r="T78" s="19" t="n">
        <v>0</v>
      </c>
      <c r="U78" s="19" t="n">
        <v>1</v>
      </c>
      <c r="V78" s="19" t="n">
        <v>5</v>
      </c>
      <c r="W78" s="19" t="n">
        <v>1</v>
      </c>
      <c r="X78" s="19" t="n">
        <v>0</v>
      </c>
      <c r="Y78" s="19" t="n">
        <v>0</v>
      </c>
      <c r="Z78" s="19" t="n">
        <v>0</v>
      </c>
      <c r="AA78" s="19" t="n">
        <v>0</v>
      </c>
      <c r="AB78" s="19" t="n">
        <v>0</v>
      </c>
      <c r="AC78" s="19" t="n">
        <v>0</v>
      </c>
      <c r="AD78" s="19" t="n">
        <v>0</v>
      </c>
      <c r="AE78" s="19" t="n">
        <v>0</v>
      </c>
      <c r="AF78" s="19" t="n">
        <v>0</v>
      </c>
      <c r="AG78" s="19" t="n">
        <v>0</v>
      </c>
      <c r="AH78" s="19" t="n">
        <v>0</v>
      </c>
      <c r="AI78" s="19" t="n">
        <v>0</v>
      </c>
      <c r="AJ78" s="19" t="n">
        <v>0</v>
      </c>
      <c r="AK78" s="19" t="n">
        <v>0</v>
      </c>
      <c r="AL78" s="19" t="n">
        <v>0</v>
      </c>
      <c r="AM78" s="19" t="n">
        <v>0</v>
      </c>
      <c r="AN78" s="19" t="n">
        <v>0</v>
      </c>
      <c r="AO78" s="19" t="n">
        <v>0</v>
      </c>
      <c r="AP78" s="19" t="n">
        <v>0</v>
      </c>
      <c r="AQ78" s="19" t="n">
        <v>0</v>
      </c>
      <c r="AR78" s="19" t="n">
        <v>0</v>
      </c>
      <c r="AS78" s="19" t="n">
        <v>1</v>
      </c>
      <c r="AT78" s="19" t="n">
        <v>1</v>
      </c>
      <c r="AU78" s="19" t="n">
        <v>0</v>
      </c>
      <c r="AV78" s="19" t="n">
        <v>0</v>
      </c>
      <c r="AW78" s="19" t="n">
        <v>0</v>
      </c>
      <c r="AX78" s="19" t="n">
        <v>0</v>
      </c>
      <c r="AY78" s="19" t="n">
        <v>0</v>
      </c>
      <c r="AZ78" s="19" t="n">
        <v>0</v>
      </c>
      <c r="BA78" s="19" t="n">
        <v>0</v>
      </c>
      <c r="BB78" s="19" t="n">
        <v>0</v>
      </c>
      <c r="BC78" s="19" t="n">
        <v>0</v>
      </c>
      <c r="BD78" s="19" t="n">
        <v>0</v>
      </c>
      <c r="BE78" s="19" t="n">
        <v>0</v>
      </c>
      <c r="BF78" s="19" t="n">
        <v>0</v>
      </c>
      <c r="BG78" s="19" t="n">
        <v>0</v>
      </c>
      <c r="BH78" s="19" t="n">
        <v>0</v>
      </c>
      <c r="BI78" s="19" t="n">
        <v>0</v>
      </c>
      <c r="BJ78" s="19" t="n">
        <v>0</v>
      </c>
      <c r="BK78" s="19" t="n">
        <v>0</v>
      </c>
      <c r="BL78" s="19" t="n">
        <v>0</v>
      </c>
      <c r="BM78" s="19" t="n">
        <v>0</v>
      </c>
      <c r="BN78" s="19" t="n">
        <v>0</v>
      </c>
      <c r="BO78" s="19" t="n">
        <v>0</v>
      </c>
      <c r="BP78" s="19" t="n">
        <v>0</v>
      </c>
      <c r="BQ78" s="19" t="n">
        <v>0</v>
      </c>
      <c r="BR78" s="19" t="n">
        <v>2</v>
      </c>
      <c r="BS78" s="19" t="n">
        <v>3</v>
      </c>
      <c r="BT78" s="19" t="n">
        <v>4</v>
      </c>
      <c r="BU78" s="19" t="n">
        <v>1</v>
      </c>
      <c r="BV78" s="19" t="n">
        <v>1</v>
      </c>
      <c r="BW78" s="19" t="n">
        <v>1</v>
      </c>
      <c r="BX78" s="19" t="n">
        <v>1</v>
      </c>
      <c r="BY78" s="19" t="n">
        <v>3</v>
      </c>
      <c r="BZ78" s="19" t="n">
        <v>2</v>
      </c>
      <c r="CA78" s="19" t="n">
        <v>2</v>
      </c>
      <c r="CB78" s="19" t="n">
        <v>3</v>
      </c>
      <c r="CC78" s="19" t="n">
        <v>3</v>
      </c>
      <c r="CD78" s="19" t="n">
        <v>2</v>
      </c>
      <c r="CE78" s="19" t="n">
        <v>3</v>
      </c>
      <c r="CF78" s="19" t="n">
        <v>3</v>
      </c>
      <c r="CG78" s="19" t="n">
        <v>4</v>
      </c>
      <c r="CH78" s="19" t="n">
        <v>2</v>
      </c>
      <c r="CI78" s="19" t="n">
        <v>2</v>
      </c>
      <c r="CJ78" s="19" t="n">
        <v>2</v>
      </c>
      <c r="CK78" s="19" t="n">
        <v>3</v>
      </c>
      <c r="CL78" s="0" t="s">
        <v>253</v>
      </c>
      <c r="CM78" s="0" t="n">
        <v>30</v>
      </c>
      <c r="CN78" s="16" t="n">
        <v>85.5</v>
      </c>
      <c r="CO78" s="16" t="n">
        <v>81</v>
      </c>
      <c r="CP78" s="16" t="n">
        <v>15.2</v>
      </c>
      <c r="CQ78" s="0" t="n">
        <v>87.44</v>
      </c>
      <c r="CR78" s="0" t="n">
        <v>0</v>
      </c>
      <c r="CS78" s="0" t="n">
        <v>0.94</v>
      </c>
      <c r="CT78" s="0" t="n">
        <v>1.97</v>
      </c>
      <c r="CU78" s="0" t="n">
        <v>9.65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2.71</v>
      </c>
      <c r="DC78" s="0" t="n">
        <v>0.6</v>
      </c>
      <c r="DD78" s="0" t="n">
        <v>2.17</v>
      </c>
      <c r="DE78" s="0" t="n">
        <v>5.97</v>
      </c>
      <c r="DF78" s="0" t="n">
        <v>2.65</v>
      </c>
      <c r="DG78" s="0" t="n">
        <v>0</v>
      </c>
      <c r="DH78" s="0" t="n">
        <v>0</v>
      </c>
      <c r="DU78" s="0" t="n">
        <v>10.6</v>
      </c>
      <c r="DV78" s="0" t="n">
        <v>1</v>
      </c>
      <c r="DW78" s="0" t="n">
        <v>60</v>
      </c>
      <c r="DX78" s="0" t="n">
        <v>2</v>
      </c>
      <c r="DY78" s="0" t="n">
        <f aca="false">0.38+0.07</f>
        <v>0.45</v>
      </c>
      <c r="DZ78" s="0" t="n">
        <v>1</v>
      </c>
      <c r="EA78" s="0" t="n">
        <v>68</v>
      </c>
      <c r="EB78" s="0" t="n">
        <v>1</v>
      </c>
      <c r="EC78" s="16" t="n">
        <v>0.31</v>
      </c>
      <c r="ED78" s="0" t="n">
        <v>1</v>
      </c>
      <c r="EE78" s="0" t="n">
        <v>85</v>
      </c>
      <c r="EF78" s="0" t="n">
        <v>2</v>
      </c>
      <c r="EG78" s="18" t="n">
        <f aca="false">1.89+0.94</f>
        <v>2.83</v>
      </c>
      <c r="EH78" s="0" t="n">
        <v>2</v>
      </c>
      <c r="EI78" s="0" t="n">
        <v>25</v>
      </c>
      <c r="EJ78" s="0" t="n">
        <v>1</v>
      </c>
      <c r="EK78" s="16" t="n">
        <v>0.27</v>
      </c>
      <c r="EL78" s="0" t="n">
        <v>2</v>
      </c>
      <c r="EY78" s="0" t="n">
        <v>0</v>
      </c>
      <c r="GJ78" s="16" t="n">
        <v>0</v>
      </c>
      <c r="GK78" s="16" t="n">
        <v>0</v>
      </c>
      <c r="GL78" s="16"/>
      <c r="GM78" s="16"/>
      <c r="GN78" s="16"/>
      <c r="GO78" s="16"/>
      <c r="GP78" s="16"/>
      <c r="GQ78" s="16"/>
      <c r="GR78" s="16"/>
      <c r="GS78" s="16"/>
      <c r="GT78" s="16"/>
      <c r="GU78" s="16" t="n">
        <v>4.17</v>
      </c>
      <c r="GV78" s="16" t="n">
        <v>2.54</v>
      </c>
      <c r="GW78" s="16"/>
      <c r="GX78" s="16"/>
      <c r="GY78" s="16" t="n">
        <v>0</v>
      </c>
      <c r="GZ78" s="16" t="n">
        <v>0</v>
      </c>
      <c r="HA78" s="16" t="n">
        <v>0</v>
      </c>
      <c r="HB78" s="0" t="n">
        <v>0</v>
      </c>
      <c r="HC78" s="0" t="s">
        <v>256</v>
      </c>
      <c r="HD78" s="0" t="n">
        <v>40</v>
      </c>
      <c r="HE78" s="16" t="n">
        <v>89.1</v>
      </c>
      <c r="HF78" s="16" t="n">
        <v>81</v>
      </c>
      <c r="HG78" s="16" t="n">
        <v>5.4</v>
      </c>
      <c r="HH78" s="0" t="n">
        <v>99.83</v>
      </c>
      <c r="HI78" s="0" t="n">
        <v>0</v>
      </c>
      <c r="HJ78" s="0" t="n">
        <v>0</v>
      </c>
      <c r="HK78" s="0" t="n">
        <v>0.17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19.8</v>
      </c>
      <c r="HU78" s="0" t="n">
        <v>8.95</v>
      </c>
      <c r="HV78" s="0" t="n">
        <v>0</v>
      </c>
      <c r="HW78" s="0" t="n">
        <v>0</v>
      </c>
      <c r="HX78" s="0" t="n">
        <v>22.5</v>
      </c>
      <c r="HY78" s="0" t="n">
        <v>1</v>
      </c>
      <c r="HZ78" s="0" t="n">
        <v>5</v>
      </c>
      <c r="IB78" s="0" t="n">
        <v>8</v>
      </c>
      <c r="IL78" s="0" t="n">
        <v>0</v>
      </c>
      <c r="IM78" s="0" t="n">
        <v>0</v>
      </c>
      <c r="IX78" s="18"/>
      <c r="JP78" s="0" t="n">
        <v>1</v>
      </c>
      <c r="JQ78" s="0" t="n">
        <v>50</v>
      </c>
      <c r="JR78" s="0" t="n">
        <v>4</v>
      </c>
      <c r="JS78" s="0" t="n">
        <f aca="false">0.73*2+0.13*2</f>
        <v>1.72</v>
      </c>
      <c r="JT78" s="0" t="n">
        <v>3</v>
      </c>
      <c r="LA78" s="16" t="n">
        <v>1.48</v>
      </c>
      <c r="LB78" s="16" t="n">
        <v>1</v>
      </c>
      <c r="LC78" s="16" t="n">
        <v>1</v>
      </c>
      <c r="LD78" s="16"/>
      <c r="LE78" s="16" t="n">
        <f aca="false">2.1*2+0.37*2</f>
        <v>4.94</v>
      </c>
      <c r="LF78" s="16"/>
      <c r="LG78" s="16"/>
      <c r="LH78" s="16"/>
      <c r="LI78" s="16"/>
      <c r="LJ78" s="16"/>
      <c r="LK78" s="16"/>
      <c r="LL78" s="16" t="n">
        <v>7.71</v>
      </c>
      <c r="LM78" s="16" t="n">
        <v>4.35</v>
      </c>
      <c r="LN78" s="16"/>
      <c r="LO78" s="16"/>
      <c r="LP78" s="16" t="n">
        <v>0</v>
      </c>
      <c r="LQ78" s="16" t="n">
        <v>0</v>
      </c>
      <c r="LR78" s="16" t="n">
        <v>0</v>
      </c>
      <c r="LS78" s="0" t="n">
        <v>0</v>
      </c>
      <c r="LT78" s="0" t="s">
        <v>257</v>
      </c>
      <c r="LU78" s="0" t="n">
        <v>43</v>
      </c>
      <c r="LV78" s="16" t="n">
        <v>93.3</v>
      </c>
      <c r="LW78" s="16" t="n">
        <v>81</v>
      </c>
      <c r="LX78" s="16" t="n">
        <v>6.4</v>
      </c>
      <c r="LY78" s="0" t="n">
        <v>100</v>
      </c>
      <c r="LZ78" s="0" t="n">
        <v>0</v>
      </c>
      <c r="MA78" s="0" t="n">
        <v>0</v>
      </c>
      <c r="MB78" s="0" t="n">
        <v>0</v>
      </c>
      <c r="MC78" s="0" t="n">
        <v>0</v>
      </c>
      <c r="MD78" s="0" t="n">
        <v>0</v>
      </c>
      <c r="ME78" s="0" t="n">
        <v>0</v>
      </c>
      <c r="MF78" s="0" t="n">
        <v>0</v>
      </c>
      <c r="MG78" s="0" t="n">
        <v>0</v>
      </c>
      <c r="MH78" s="0" t="n">
        <v>0</v>
      </c>
      <c r="MI78" s="0" t="n">
        <v>0</v>
      </c>
      <c r="MJ78" s="0" t="n">
        <v>0</v>
      </c>
      <c r="MK78" s="0" t="n">
        <v>18.51</v>
      </c>
      <c r="ML78" s="0" t="n">
        <v>28.46</v>
      </c>
      <c r="MM78" s="0" t="n">
        <v>0</v>
      </c>
      <c r="MN78" s="0" t="n">
        <v>0</v>
      </c>
      <c r="MO78" s="0" t="n">
        <v>0</v>
      </c>
      <c r="MP78" s="0" t="n">
        <v>0</v>
      </c>
      <c r="NC78" s="0" t="n">
        <v>33</v>
      </c>
      <c r="ND78" s="0" t="n">
        <v>0</v>
      </c>
      <c r="NO78" s="18"/>
      <c r="OG78" s="0" t="n">
        <v>1</v>
      </c>
      <c r="OH78" s="0" t="n">
        <v>40</v>
      </c>
      <c r="OI78" s="0" t="n">
        <v>8</v>
      </c>
      <c r="OJ78" s="0" t="n">
        <f aca="false">1.51*2+3.02+0.27*2</f>
        <v>6.58</v>
      </c>
      <c r="OK78" s="0" t="n">
        <v>3</v>
      </c>
      <c r="OL78" s="0" t="n">
        <v>60</v>
      </c>
      <c r="OM78" s="0" t="n">
        <v>20</v>
      </c>
      <c r="ON78" s="0" t="n">
        <f aca="false">3.65*2+0.67*2</f>
        <v>8.64</v>
      </c>
      <c r="OO78" s="0" t="n">
        <v>3</v>
      </c>
      <c r="PR78" s="16" t="n">
        <v>0</v>
      </c>
      <c r="PS78" s="16" t="n">
        <v>0</v>
      </c>
      <c r="PT78" s="16"/>
      <c r="PU78" s="16"/>
      <c r="PV78" s="16"/>
      <c r="PW78" s="16"/>
      <c r="PX78" s="16"/>
      <c r="PY78" s="16"/>
      <c r="PZ78" s="16"/>
      <c r="QA78" s="16"/>
      <c r="QB78" s="16"/>
      <c r="QC78" s="16" t="n">
        <v>0</v>
      </c>
      <c r="QD78" s="16" t="n">
        <v>0</v>
      </c>
      <c r="QE78" s="16"/>
      <c r="QF78" s="16"/>
      <c r="QG78" s="16" t="n">
        <v>0</v>
      </c>
      <c r="QH78" s="16" t="n">
        <v>0</v>
      </c>
      <c r="QI78" s="16" t="n">
        <v>0</v>
      </c>
      <c r="QJ78" s="0" t="n">
        <v>0</v>
      </c>
      <c r="QK78" s="0" t="s">
        <v>258</v>
      </c>
      <c r="QL78" s="0" t="n">
        <v>40</v>
      </c>
      <c r="QM78" s="16" t="n">
        <v>90.1</v>
      </c>
      <c r="QN78" s="16" t="n">
        <v>81</v>
      </c>
      <c r="QO78" s="16" t="n">
        <v>5.9</v>
      </c>
      <c r="QP78" s="0" t="n">
        <v>99.34</v>
      </c>
      <c r="QQ78" s="0" t="n">
        <v>0</v>
      </c>
      <c r="QR78" s="0" t="n">
        <v>0</v>
      </c>
      <c r="QS78" s="0" t="n">
        <v>0.66</v>
      </c>
      <c r="QT78" s="0" t="n">
        <v>0</v>
      </c>
      <c r="QU78" s="0" t="n">
        <v>0</v>
      </c>
      <c r="QV78" s="0" t="n">
        <v>0</v>
      </c>
      <c r="QW78" s="0" t="n">
        <v>0</v>
      </c>
      <c r="QX78" s="0" t="n">
        <v>0</v>
      </c>
      <c r="QY78" s="0" t="n">
        <v>0</v>
      </c>
      <c r="QZ78" s="0" t="n">
        <v>0</v>
      </c>
      <c r="RA78" s="0" t="n">
        <v>0</v>
      </c>
      <c r="RB78" s="0" t="n">
        <v>19.8</v>
      </c>
      <c r="RC78" s="0" t="n">
        <v>8.95</v>
      </c>
      <c r="RD78" s="0" t="n">
        <v>0</v>
      </c>
      <c r="RE78" s="0" t="n">
        <v>0</v>
      </c>
      <c r="RF78" s="0" t="n">
        <v>22.3</v>
      </c>
      <c r="RG78" s="0" t="n">
        <v>1</v>
      </c>
      <c r="RH78" s="0" t="n">
        <v>5</v>
      </c>
      <c r="RJ78" s="0" t="n">
        <v>8</v>
      </c>
      <c r="RT78" s="0" t="n">
        <v>0</v>
      </c>
      <c r="RU78" s="0" t="n">
        <v>0</v>
      </c>
      <c r="SF78" s="18"/>
      <c r="SX78" s="0" t="n">
        <v>1</v>
      </c>
      <c r="SY78" s="0" t="n">
        <v>50</v>
      </c>
      <c r="SZ78" s="0" t="n">
        <v>4</v>
      </c>
      <c r="TA78" s="0" t="n">
        <f aca="false">0.73*2+0.13*2</f>
        <v>1.72</v>
      </c>
      <c r="TB78" s="0" t="n">
        <v>3</v>
      </c>
      <c r="UI78" s="16" t="n">
        <v>1.48</v>
      </c>
      <c r="UJ78" s="16" t="n">
        <v>1</v>
      </c>
      <c r="UK78" s="16" t="n">
        <v>1</v>
      </c>
      <c r="UL78" s="16"/>
      <c r="UM78" s="16" t="n">
        <f aca="false">2.1*2+0.37*2</f>
        <v>4.94</v>
      </c>
      <c r="UN78" s="16"/>
      <c r="UO78" s="16"/>
      <c r="UP78" s="16"/>
      <c r="UQ78" s="16"/>
      <c r="UR78" s="16"/>
      <c r="US78" s="16"/>
      <c r="UT78" s="16" t="n">
        <v>7.71</v>
      </c>
      <c r="UU78" s="16" t="n">
        <v>4.35</v>
      </c>
      <c r="UV78" s="16"/>
      <c r="UW78" s="16"/>
      <c r="UX78" s="16" t="n">
        <v>0</v>
      </c>
      <c r="UY78" s="16" t="n">
        <v>0</v>
      </c>
      <c r="UZ78" s="16" t="n">
        <v>0</v>
      </c>
      <c r="VA78" s="0" t="n">
        <v>0</v>
      </c>
      <c r="VB78" s="0" t="s">
        <v>259</v>
      </c>
      <c r="VC78" s="0" t="n">
        <v>43</v>
      </c>
      <c r="VD78" s="16" t="n">
        <v>93.3</v>
      </c>
      <c r="VE78" s="16" t="n">
        <v>81</v>
      </c>
      <c r="VF78" s="16" t="n">
        <v>6.4</v>
      </c>
      <c r="VG78" s="0" t="n">
        <v>100</v>
      </c>
      <c r="VH78" s="0" t="n">
        <v>0</v>
      </c>
      <c r="VI78" s="0" t="n">
        <v>0</v>
      </c>
      <c r="VJ78" s="0" t="n">
        <v>0</v>
      </c>
      <c r="VK78" s="0" t="n">
        <v>0</v>
      </c>
      <c r="VL78" s="0" t="n">
        <v>0</v>
      </c>
      <c r="VM78" s="0" t="n">
        <v>0</v>
      </c>
      <c r="VN78" s="0" t="n">
        <v>0</v>
      </c>
      <c r="VO78" s="0" t="n">
        <v>0</v>
      </c>
      <c r="VP78" s="0" t="n">
        <v>0</v>
      </c>
      <c r="VQ78" s="0" t="n">
        <v>0</v>
      </c>
      <c r="VR78" s="0" t="n">
        <v>0</v>
      </c>
      <c r="VS78" s="0" t="n">
        <v>18.51</v>
      </c>
      <c r="VT78" s="0" t="n">
        <v>28.46</v>
      </c>
      <c r="VU78" s="0" t="n">
        <v>0</v>
      </c>
      <c r="VV78" s="0" t="n">
        <v>0</v>
      </c>
      <c r="VW78" s="0" t="n">
        <v>0</v>
      </c>
      <c r="VX78" s="0" t="n">
        <v>0</v>
      </c>
      <c r="WK78" s="0" t="n">
        <v>33</v>
      </c>
      <c r="WL78" s="0" t="n">
        <v>0</v>
      </c>
      <c r="WW78" s="18"/>
      <c r="XO78" s="0" t="n">
        <v>1</v>
      </c>
      <c r="XP78" s="0" t="n">
        <v>40</v>
      </c>
      <c r="XQ78" s="0" t="n">
        <v>8</v>
      </c>
      <c r="XR78" s="0" t="n">
        <f aca="false">1.51*2+0.27*2+3.02</f>
        <v>6.58</v>
      </c>
      <c r="XS78" s="0" t="n">
        <v>3</v>
      </c>
      <c r="XT78" s="0" t="n">
        <v>60</v>
      </c>
      <c r="XU78" s="0" t="n">
        <v>20</v>
      </c>
      <c r="XV78" s="0" t="n">
        <f aca="false">3.65*2+0.67*2</f>
        <v>8.64</v>
      </c>
      <c r="XW78" s="0" t="n">
        <v>3</v>
      </c>
      <c r="YZ78" s="16" t="n">
        <v>0</v>
      </c>
      <c r="ZA78" s="16" t="n">
        <v>0</v>
      </c>
      <c r="ZB78" s="16"/>
      <c r="ZC78" s="16"/>
      <c r="ZD78" s="16"/>
      <c r="ZE78" s="16"/>
      <c r="ZF78" s="16"/>
      <c r="ZG78" s="16"/>
      <c r="ZH78" s="16"/>
      <c r="ZI78" s="16"/>
      <c r="ZJ78" s="16"/>
      <c r="ZK78" s="16" t="n">
        <v>0</v>
      </c>
      <c r="ZL78" s="16" t="n">
        <v>0</v>
      </c>
      <c r="ZM78" s="16"/>
      <c r="ZN78" s="16"/>
      <c r="ZO78" s="16" t="n">
        <v>0</v>
      </c>
      <c r="ZP78" s="16" t="n">
        <v>0</v>
      </c>
      <c r="ZQ78" s="16" t="n">
        <v>0</v>
      </c>
      <c r="ZR78" s="0" t="n">
        <v>0</v>
      </c>
      <c r="ZS78" s="0" t="s">
        <v>260</v>
      </c>
      <c r="ZT78" s="0" t="n">
        <v>57.5</v>
      </c>
      <c r="ZU78" s="16" t="n">
        <v>91.5</v>
      </c>
      <c r="ZV78" s="16" t="n">
        <v>81</v>
      </c>
      <c r="ZW78" s="16" t="n">
        <v>49.9</v>
      </c>
      <c r="ZX78" s="0" t="n">
        <v>47.29</v>
      </c>
      <c r="ZY78" s="0" t="n">
        <v>0</v>
      </c>
      <c r="ZZ78" s="0" t="n">
        <v>45.65</v>
      </c>
      <c r="AAA78" s="0" t="n">
        <v>6.91</v>
      </c>
      <c r="AAB78" s="0" t="n">
        <v>0.15</v>
      </c>
      <c r="AAC78" s="0" t="n">
        <v>0</v>
      </c>
      <c r="AAD78" s="0" t="n">
        <v>0</v>
      </c>
      <c r="AAE78" s="0" t="n">
        <v>0</v>
      </c>
      <c r="AAF78" s="0" t="n">
        <v>0</v>
      </c>
      <c r="AAG78" s="0" t="n">
        <v>0</v>
      </c>
      <c r="AAH78" s="0" t="n">
        <v>0</v>
      </c>
      <c r="AAI78" s="0" t="n">
        <v>0</v>
      </c>
      <c r="AAJ78" s="0" t="n">
        <v>9.23</v>
      </c>
      <c r="AAK78" s="0" t="n">
        <v>4.35</v>
      </c>
      <c r="AAL78" s="0" t="n">
        <v>6.63</v>
      </c>
      <c r="AAM78" s="0" t="n">
        <v>0</v>
      </c>
      <c r="AAN78" s="0" t="n">
        <v>0</v>
      </c>
      <c r="AAO78" s="0" t="n">
        <v>1</v>
      </c>
      <c r="AAP78" s="0" t="n">
        <v>5</v>
      </c>
      <c r="AAR78" s="0" t="n">
        <v>2</v>
      </c>
      <c r="ABB78" s="0" t="n">
        <v>1.1</v>
      </c>
      <c r="ABC78" s="0" t="n">
        <v>0</v>
      </c>
      <c r="ABN78" s="18"/>
      <c r="ACF78" s="0" t="n">
        <v>1</v>
      </c>
      <c r="ACG78" s="0" t="n">
        <v>50</v>
      </c>
      <c r="ACH78" s="0" t="n">
        <v>1</v>
      </c>
      <c r="ACI78" s="0" t="n">
        <v>0.27</v>
      </c>
      <c r="ACJ78" s="0" t="n">
        <v>2</v>
      </c>
      <c r="ADQ78" s="16" t="n">
        <v>2.82</v>
      </c>
      <c r="ADR78" s="16" t="n">
        <v>1</v>
      </c>
      <c r="ADS78" s="16" t="n">
        <v>1</v>
      </c>
      <c r="ADT78" s="16"/>
      <c r="ADU78" s="16" t="n">
        <f aca="false">1.86+1.72+2.1+7.35+1.72+1.48+0.37*3</f>
        <v>17.34</v>
      </c>
      <c r="ADV78" s="16"/>
      <c r="ADW78" s="16"/>
      <c r="ADX78" s="16"/>
      <c r="ADY78" s="16"/>
      <c r="ADZ78" s="16"/>
      <c r="AEA78" s="16"/>
      <c r="AEB78" s="16" t="n">
        <v>3.33</v>
      </c>
      <c r="AEC78" s="16" t="n">
        <v>3.32</v>
      </c>
      <c r="AED78" s="16"/>
      <c r="AEE78" s="16"/>
      <c r="AEF78" s="16" t="n">
        <v>0</v>
      </c>
      <c r="AEG78" s="16" t="n">
        <v>0</v>
      </c>
      <c r="AEH78" s="16" t="n">
        <v>0</v>
      </c>
      <c r="AEI78" s="0" t="n">
        <v>0</v>
      </c>
      <c r="AEJ78" s="0" t="s">
        <v>435</v>
      </c>
      <c r="AEK78" s="0" t="n">
        <v>52.5</v>
      </c>
      <c r="AEL78" s="16" t="n">
        <v>71.2</v>
      </c>
      <c r="AEM78" s="16" t="n">
        <v>81</v>
      </c>
      <c r="AEN78" s="16" t="n">
        <v>44.8</v>
      </c>
      <c r="AEO78" s="0" t="n">
        <v>59.03</v>
      </c>
      <c r="AEP78" s="0" t="n">
        <v>0</v>
      </c>
      <c r="AEQ78" s="0" t="n">
        <v>22.52</v>
      </c>
      <c r="AER78" s="0" t="n">
        <v>17.8</v>
      </c>
      <c r="AES78" s="0" t="n">
        <v>0.65</v>
      </c>
      <c r="AET78" s="0" t="n">
        <v>0</v>
      </c>
      <c r="AEU78" s="0" t="n">
        <v>0</v>
      </c>
      <c r="AEV78" s="0" t="n">
        <v>0</v>
      </c>
      <c r="AEW78" s="0" t="n">
        <v>0</v>
      </c>
      <c r="AEX78" s="0" t="n">
        <v>0</v>
      </c>
      <c r="AEY78" s="0" t="n">
        <v>0</v>
      </c>
      <c r="AEZ78" s="0" t="n">
        <v>0</v>
      </c>
      <c r="AFA78" s="0" t="n">
        <v>3.42</v>
      </c>
      <c r="AFB78" s="0" t="n">
        <v>2.94</v>
      </c>
      <c r="AFC78" s="0" t="n">
        <v>0</v>
      </c>
      <c r="AFD78" s="0" t="n">
        <v>0</v>
      </c>
      <c r="AFE78" s="0" t="n">
        <v>0</v>
      </c>
      <c r="AFF78" s="0" t="n">
        <v>0</v>
      </c>
      <c r="AFS78" s="0" t="n">
        <v>0</v>
      </c>
      <c r="AFT78" s="0" t="n">
        <v>1</v>
      </c>
      <c r="AFU78" s="0" t="n">
        <v>34</v>
      </c>
      <c r="AFV78" s="0" t="n">
        <v>8</v>
      </c>
      <c r="AFW78" s="0" t="n">
        <v>5.35</v>
      </c>
      <c r="AFX78" s="0" t="n">
        <v>1</v>
      </c>
      <c r="AGE78" s="18"/>
      <c r="AGW78" s="0" t="n">
        <v>0</v>
      </c>
      <c r="AIH78" s="16" t="n">
        <v>1.96</v>
      </c>
      <c r="AII78" s="16" t="n">
        <v>1</v>
      </c>
      <c r="AIJ78" s="16" t="n">
        <v>1</v>
      </c>
      <c r="AIK78" s="16"/>
      <c r="AIL78" s="16" t="n">
        <f aca="false">0.22+4.31+1.48+0.37*2</f>
        <v>6.75</v>
      </c>
      <c r="AIM78" s="16"/>
      <c r="AIN78" s="16"/>
      <c r="AIO78" s="16"/>
      <c r="AIP78" s="16"/>
      <c r="AIQ78" s="16"/>
      <c r="AIR78" s="16"/>
      <c r="AIS78" s="16" t="n">
        <v>4.75</v>
      </c>
      <c r="AIT78" s="16" t="n">
        <v>4.74</v>
      </c>
      <c r="AIU78" s="16"/>
      <c r="AIV78" s="16"/>
      <c r="AIW78" s="16" t="n">
        <v>0</v>
      </c>
      <c r="AIX78" s="16" t="n">
        <v>0</v>
      </c>
      <c r="AIY78" s="16" t="n">
        <v>0</v>
      </c>
      <c r="AIZ78" s="0" t="n">
        <v>0</v>
      </c>
      <c r="AJA78" s="15"/>
      <c r="AJB78" s="15"/>
      <c r="AJI78" s="15"/>
      <c r="AJJ78" s="15"/>
      <c r="AJQ78" s="15"/>
      <c r="AJR78" s="15"/>
      <c r="AJY78" s="15"/>
      <c r="AJZ78" s="15"/>
      <c r="AKG78" s="15"/>
      <c r="AKH78" s="15"/>
      <c r="AKO78" s="15"/>
      <c r="AKP78" s="15"/>
      <c r="AKW78" s="15"/>
      <c r="AKX78" s="15"/>
      <c r="ALE78" s="15"/>
      <c r="ALF78" s="15"/>
      <c r="ALM78" s="15"/>
      <c r="ALN78" s="15"/>
      <c r="ALU78" s="15"/>
      <c r="ALV78" s="15"/>
      <c r="AMC78" s="15"/>
      <c r="AMD78" s="15"/>
    </row>
    <row r="79" customFormat="false" ht="13.8" hidden="false" customHeight="false" outlineLevel="0" collapsed="false">
      <c r="A79" s="1" t="s">
        <v>443</v>
      </c>
      <c r="B79" s="12" t="n">
        <v>42903</v>
      </c>
      <c r="C79" s="0" t="n">
        <v>2</v>
      </c>
      <c r="D79" s="13" t="n">
        <v>42811</v>
      </c>
      <c r="E79" s="12" t="n">
        <v>35096</v>
      </c>
      <c r="F79" s="14" t="n">
        <f aca="false">(B79-E79)/365.25</f>
        <v>21.3744010951403</v>
      </c>
      <c r="G79" s="14" t="n">
        <f aca="false">(B79-D79)/365.25</f>
        <v>0.251882272416153</v>
      </c>
      <c r="H79" s="15" t="s">
        <v>228</v>
      </c>
      <c r="I79" s="15" t="s">
        <v>251</v>
      </c>
      <c r="J79" s="15" t="s">
        <v>181</v>
      </c>
      <c r="K79" s="21" t="n">
        <v>8</v>
      </c>
      <c r="L79" s="19" t="n">
        <v>70</v>
      </c>
      <c r="M79" s="0" t="n">
        <v>1.74</v>
      </c>
      <c r="N79" s="16" t="n">
        <f aca="false">L79/(M79*M79)</f>
        <v>23.1206235962479</v>
      </c>
      <c r="O79" s="19" t="n">
        <v>0</v>
      </c>
      <c r="P79" s="19" t="n">
        <v>0</v>
      </c>
      <c r="Q79" s="19" t="n">
        <v>0</v>
      </c>
      <c r="R79" s="19" t="n">
        <v>0</v>
      </c>
      <c r="S79" s="19" t="n">
        <v>0</v>
      </c>
      <c r="T79" s="19" t="n">
        <v>0</v>
      </c>
      <c r="U79" s="19" t="n">
        <v>0</v>
      </c>
      <c r="V79" s="19" t="n">
        <v>0</v>
      </c>
      <c r="W79" s="19" t="n">
        <v>0</v>
      </c>
      <c r="X79" s="19" t="n">
        <v>0</v>
      </c>
      <c r="Y79" s="19" t="n">
        <v>1</v>
      </c>
      <c r="Z79" s="19" t="n">
        <v>3</v>
      </c>
      <c r="AA79" s="19" t="n">
        <v>120</v>
      </c>
      <c r="AB79" s="19" t="s">
        <v>308</v>
      </c>
      <c r="AC79" s="19" t="n">
        <v>0</v>
      </c>
      <c r="AD79" s="19" t="n">
        <v>0</v>
      </c>
      <c r="AE79" s="19" t="n">
        <v>0</v>
      </c>
      <c r="AF79" s="19" t="n">
        <v>0</v>
      </c>
      <c r="AG79" s="19" t="n">
        <v>0</v>
      </c>
      <c r="AH79" s="19" t="n">
        <v>0</v>
      </c>
      <c r="AI79" s="19" t="n">
        <v>0</v>
      </c>
      <c r="AJ79" s="19" t="n">
        <v>0</v>
      </c>
      <c r="AK79" s="19" t="n">
        <v>0</v>
      </c>
      <c r="AL79" s="19" t="n">
        <v>0</v>
      </c>
      <c r="AM79" s="19" t="n">
        <v>0</v>
      </c>
      <c r="AN79" s="19" t="n">
        <v>0</v>
      </c>
      <c r="AO79" s="19" t="n">
        <v>0</v>
      </c>
      <c r="AP79" s="19" t="n">
        <v>0</v>
      </c>
      <c r="AQ79" s="19" t="n">
        <v>0</v>
      </c>
      <c r="AR79" s="19" t="n">
        <v>0</v>
      </c>
      <c r="AS79" s="19" t="n">
        <v>1</v>
      </c>
      <c r="AT79" s="19" t="n">
        <v>1</v>
      </c>
      <c r="AU79" s="19" t="n">
        <v>0</v>
      </c>
      <c r="AV79" s="19" t="n">
        <v>0</v>
      </c>
      <c r="AW79" s="19" t="n">
        <v>0</v>
      </c>
      <c r="AX79" s="19" t="n">
        <v>0</v>
      </c>
      <c r="AY79" s="19" t="n">
        <v>0</v>
      </c>
      <c r="AZ79" s="19" t="n">
        <v>0</v>
      </c>
      <c r="BA79" s="19" t="n">
        <v>0</v>
      </c>
      <c r="BB79" s="19" t="n">
        <v>0</v>
      </c>
      <c r="BC79" s="19" t="n">
        <v>0</v>
      </c>
      <c r="BD79" s="19" t="n">
        <v>0</v>
      </c>
      <c r="BE79" s="19" t="n">
        <v>0</v>
      </c>
      <c r="BF79" s="19" t="n">
        <v>0</v>
      </c>
      <c r="BG79" s="19" t="n">
        <v>0</v>
      </c>
      <c r="BH79" s="19" t="n">
        <v>0</v>
      </c>
      <c r="BI79" s="19" t="n">
        <v>0</v>
      </c>
      <c r="BJ79" s="19" t="n">
        <v>0</v>
      </c>
      <c r="BK79" s="19" t="n">
        <v>0</v>
      </c>
      <c r="BL79" s="19" t="n">
        <v>0</v>
      </c>
      <c r="BM79" s="19" t="n">
        <v>0</v>
      </c>
      <c r="BN79" s="19" t="n">
        <v>0</v>
      </c>
      <c r="BO79" s="19" t="n">
        <v>0</v>
      </c>
      <c r="BP79" s="19" t="n">
        <v>0</v>
      </c>
      <c r="BQ79" s="19" t="n">
        <v>0</v>
      </c>
      <c r="BR79" s="19" t="n">
        <v>1</v>
      </c>
      <c r="BS79" s="19" t="n">
        <v>3</v>
      </c>
      <c r="BT79" s="19" t="n">
        <v>5</v>
      </c>
      <c r="BU79" s="19" t="n">
        <v>5</v>
      </c>
      <c r="BV79" s="19" t="n">
        <v>3</v>
      </c>
      <c r="BW79" s="19" t="n">
        <v>5</v>
      </c>
      <c r="BX79" s="19" t="n">
        <v>3</v>
      </c>
      <c r="BY79" s="19" t="n">
        <v>4</v>
      </c>
      <c r="BZ79" s="19" t="n">
        <v>4</v>
      </c>
      <c r="CA79" s="19" t="n">
        <v>4</v>
      </c>
      <c r="CB79" s="19" t="n">
        <v>4</v>
      </c>
      <c r="CC79" s="19" t="n">
        <v>5</v>
      </c>
      <c r="CD79" s="19" t="n">
        <v>3</v>
      </c>
      <c r="CE79" s="19" t="n">
        <v>4</v>
      </c>
      <c r="CF79" s="19" t="n">
        <v>5</v>
      </c>
      <c r="CG79" s="19" t="n">
        <v>5</v>
      </c>
      <c r="CH79" s="19" t="n">
        <v>5</v>
      </c>
      <c r="CI79" s="19" t="n">
        <v>5</v>
      </c>
      <c r="CJ79" s="19" t="n">
        <v>5</v>
      </c>
      <c r="CK79" s="19" t="n">
        <v>9</v>
      </c>
      <c r="CL79" s="0" t="s">
        <v>253</v>
      </c>
      <c r="CM79" s="0" t="n">
        <v>30</v>
      </c>
      <c r="CN79" s="16" t="n">
        <v>85.5</v>
      </c>
      <c r="CO79" s="16" t="n">
        <v>81</v>
      </c>
      <c r="CP79" s="16" t="n">
        <v>15.2</v>
      </c>
      <c r="CQ79" s="0" t="n">
        <v>87.44</v>
      </c>
      <c r="CR79" s="0" t="n">
        <v>0</v>
      </c>
      <c r="CS79" s="0" t="n">
        <v>0.94</v>
      </c>
      <c r="CT79" s="0" t="n">
        <v>1.97</v>
      </c>
      <c r="CU79" s="0" t="n">
        <v>9.65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2.71</v>
      </c>
      <c r="DC79" s="0" t="n">
        <v>0.6</v>
      </c>
      <c r="DD79" s="0" t="n">
        <v>2.17</v>
      </c>
      <c r="DE79" s="0" t="n">
        <v>5.97</v>
      </c>
      <c r="DF79" s="0" t="n">
        <v>2.65</v>
      </c>
      <c r="DG79" s="0" t="n">
        <v>0</v>
      </c>
      <c r="DH79" s="0" t="n">
        <v>0</v>
      </c>
      <c r="DU79" s="0" t="n">
        <v>10.6</v>
      </c>
      <c r="DV79" s="0" t="n">
        <v>1</v>
      </c>
      <c r="DW79" s="0" t="n">
        <v>60</v>
      </c>
      <c r="DX79" s="0" t="n">
        <v>2</v>
      </c>
      <c r="DY79" s="0" t="n">
        <f aca="false">0.38+0.07</f>
        <v>0.45</v>
      </c>
      <c r="DZ79" s="0" t="n">
        <v>1</v>
      </c>
      <c r="EA79" s="0" t="n">
        <v>68</v>
      </c>
      <c r="EB79" s="0" t="n">
        <v>1</v>
      </c>
      <c r="EC79" s="16" t="n">
        <v>0.31</v>
      </c>
      <c r="ED79" s="0" t="n">
        <v>1</v>
      </c>
      <c r="EE79" s="0" t="n">
        <v>85</v>
      </c>
      <c r="EF79" s="0" t="n">
        <v>2</v>
      </c>
      <c r="EG79" s="18" t="n">
        <f aca="false">1.89+0.94</f>
        <v>2.83</v>
      </c>
      <c r="EH79" s="0" t="n">
        <v>2</v>
      </c>
      <c r="EI79" s="0" t="n">
        <v>25</v>
      </c>
      <c r="EJ79" s="0" t="n">
        <v>1</v>
      </c>
      <c r="EK79" s="16" t="n">
        <v>0.27</v>
      </c>
      <c r="EL79" s="0" t="n">
        <v>2</v>
      </c>
      <c r="EY79" s="0" t="n">
        <v>0</v>
      </c>
      <c r="GJ79" s="16" t="n">
        <v>0</v>
      </c>
      <c r="GK79" s="16" t="n">
        <v>0</v>
      </c>
      <c r="GL79" s="16"/>
      <c r="GM79" s="16"/>
      <c r="GN79" s="16"/>
      <c r="GO79" s="16"/>
      <c r="GP79" s="16"/>
      <c r="GQ79" s="16"/>
      <c r="GR79" s="16"/>
      <c r="GS79" s="16"/>
      <c r="GT79" s="16"/>
      <c r="GU79" s="16" t="n">
        <v>4.17</v>
      </c>
      <c r="GV79" s="16" t="n">
        <v>2.54</v>
      </c>
      <c r="GW79" s="16"/>
      <c r="GX79" s="16"/>
      <c r="GY79" s="16" t="n">
        <v>0</v>
      </c>
      <c r="GZ79" s="16" t="n">
        <v>0</v>
      </c>
      <c r="HA79" s="16" t="n">
        <v>0</v>
      </c>
      <c r="HB79" s="0" t="n">
        <v>0</v>
      </c>
      <c r="HC79" s="0" t="s">
        <v>254</v>
      </c>
      <c r="HD79" s="0" t="n">
        <v>53</v>
      </c>
      <c r="HE79" s="16" t="n">
        <v>81.5</v>
      </c>
      <c r="HF79" s="16" t="n">
        <v>81</v>
      </c>
      <c r="HG79" s="16" t="n">
        <v>36.4</v>
      </c>
      <c r="HH79" s="0" t="n">
        <v>56.99</v>
      </c>
      <c r="HI79" s="0" t="n">
        <v>0</v>
      </c>
      <c r="HJ79" s="0" t="n">
        <v>0</v>
      </c>
      <c r="HK79" s="0" t="n">
        <v>0.12</v>
      </c>
      <c r="HL79" s="0" t="n">
        <v>42.89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25.37</v>
      </c>
      <c r="HT79" s="0" t="n">
        <v>0</v>
      </c>
      <c r="HU79" s="0" t="n">
        <v>42.65</v>
      </c>
      <c r="HV79" s="0" t="n">
        <v>6.3</v>
      </c>
      <c r="HW79" s="0" t="n">
        <v>0</v>
      </c>
      <c r="HX79" s="0" t="n">
        <v>0</v>
      </c>
      <c r="HY79" s="0" t="n">
        <v>0</v>
      </c>
      <c r="IL79" s="0" t="n">
        <v>8.7</v>
      </c>
      <c r="IM79" s="0" t="n">
        <v>1</v>
      </c>
      <c r="IN79" s="0" t="n">
        <v>137</v>
      </c>
      <c r="IO79" s="0" t="n">
        <v>2</v>
      </c>
      <c r="IP79" s="0" t="n">
        <f aca="false">0.65+0.05</f>
        <v>0.7</v>
      </c>
      <c r="IQ79" s="0" t="n">
        <v>1</v>
      </c>
      <c r="IR79" s="0" t="n">
        <v>103</v>
      </c>
      <c r="IS79" s="0" t="n">
        <v>2</v>
      </c>
      <c r="IT79" s="16" t="n">
        <f aca="false">0.65+0.05</f>
        <v>0.7</v>
      </c>
      <c r="IU79" s="0" t="n">
        <v>1</v>
      </c>
      <c r="IX79" s="18"/>
      <c r="JP79" s="0" t="n">
        <v>0</v>
      </c>
      <c r="LA79" s="16" t="n">
        <v>2.28</v>
      </c>
      <c r="LB79" s="16" t="n">
        <v>1</v>
      </c>
      <c r="LC79" s="16" t="n">
        <v>3</v>
      </c>
      <c r="LD79" s="16"/>
      <c r="LE79" s="16" t="n">
        <f aca="false">2.69+0.37+0.74</f>
        <v>3.8</v>
      </c>
      <c r="LF79" s="16"/>
      <c r="LG79" s="16"/>
      <c r="LH79" s="16"/>
      <c r="LI79" s="16"/>
      <c r="LJ79" s="16"/>
      <c r="LK79" s="16"/>
      <c r="LL79" s="16" t="n">
        <v>0.48</v>
      </c>
      <c r="LM79" s="16" t="n">
        <v>0.48</v>
      </c>
      <c r="LN79" s="16"/>
      <c r="LO79" s="16"/>
      <c r="LP79" s="16" t="n">
        <v>2.22</v>
      </c>
      <c r="LQ79" s="16" t="n">
        <v>23.08</v>
      </c>
      <c r="LR79" s="16" t="n">
        <v>0</v>
      </c>
      <c r="LS79" s="0" t="n">
        <v>0</v>
      </c>
      <c r="LT79" s="0" t="s">
        <v>255</v>
      </c>
      <c r="LU79" s="0" t="n">
        <v>41</v>
      </c>
      <c r="LV79" s="16" t="n">
        <v>48.6</v>
      </c>
      <c r="LW79" s="16" t="n">
        <v>81</v>
      </c>
      <c r="LX79" s="16" t="n">
        <v>21.6</v>
      </c>
      <c r="LY79" s="0" t="n">
        <v>76.16</v>
      </c>
      <c r="LZ79" s="0" t="n">
        <v>0</v>
      </c>
      <c r="MA79" s="0" t="n">
        <v>0.07</v>
      </c>
      <c r="MB79" s="0" t="n">
        <v>0.13</v>
      </c>
      <c r="MC79" s="0" t="n">
        <v>23.64</v>
      </c>
      <c r="MD79" s="0" t="n">
        <v>0</v>
      </c>
      <c r="ME79" s="0" t="n">
        <v>0</v>
      </c>
      <c r="MF79" s="0" t="n">
        <v>0</v>
      </c>
      <c r="MG79" s="0" t="n">
        <v>0</v>
      </c>
      <c r="MH79" s="0" t="n">
        <v>0</v>
      </c>
      <c r="MI79" s="0" t="n">
        <v>0</v>
      </c>
      <c r="MJ79" s="0" t="n">
        <v>6.53</v>
      </c>
      <c r="MK79" s="0" t="n">
        <v>0.2</v>
      </c>
      <c r="ML79" s="0" t="n">
        <v>27.15</v>
      </c>
      <c r="MM79" s="0" t="n">
        <v>4.11</v>
      </c>
      <c r="MN79" s="0" t="n">
        <v>0</v>
      </c>
      <c r="MO79" s="0" t="n">
        <v>3.9</v>
      </c>
      <c r="MP79" s="0" t="n">
        <v>1</v>
      </c>
      <c r="MQ79" s="0" t="n">
        <v>10</v>
      </c>
      <c r="MS79" s="0" t="n">
        <v>1</v>
      </c>
      <c r="NC79" s="0" t="n">
        <v>0.6</v>
      </c>
      <c r="ND79" s="0" t="n">
        <v>1</v>
      </c>
      <c r="NE79" s="0" t="n">
        <v>52</v>
      </c>
      <c r="NF79" s="0" t="n">
        <v>3</v>
      </c>
      <c r="NG79" s="16" t="n">
        <f aca="false">0.16+0.13</f>
        <v>0.29</v>
      </c>
      <c r="NH79" s="0" t="n">
        <v>2</v>
      </c>
      <c r="NO79" s="18"/>
      <c r="OG79" s="0" t="n">
        <v>0</v>
      </c>
      <c r="PR79" s="16" t="n">
        <v>0.57</v>
      </c>
      <c r="PS79" s="16" t="n">
        <v>1</v>
      </c>
      <c r="PT79" s="16" t="n">
        <v>1</v>
      </c>
      <c r="PU79" s="16"/>
      <c r="PV79" s="16" t="n">
        <f aca="false">0.93</f>
        <v>0.93</v>
      </c>
      <c r="PW79" s="16" t="n">
        <v>2</v>
      </c>
      <c r="PX79" s="16"/>
      <c r="PY79" s="16" t="n">
        <f aca="false">0.31+0.22</f>
        <v>0.53</v>
      </c>
      <c r="PZ79" s="16"/>
      <c r="QA79" s="16"/>
      <c r="QB79" s="16"/>
      <c r="QC79" s="16" t="n">
        <v>5.72</v>
      </c>
      <c r="QD79" s="16" t="n">
        <v>5.75</v>
      </c>
      <c r="QE79" s="16"/>
      <c r="QF79" s="16"/>
      <c r="QG79" s="16" t="n">
        <v>7.41</v>
      </c>
      <c r="QH79" s="16" t="n">
        <v>0</v>
      </c>
      <c r="QI79" s="16" t="n">
        <v>0.22</v>
      </c>
      <c r="QJ79" s="0" t="n">
        <v>5</v>
      </c>
      <c r="QK79" s="0" t="s">
        <v>256</v>
      </c>
      <c r="QL79" s="0" t="n">
        <v>40</v>
      </c>
      <c r="QM79" s="16" t="n">
        <v>89.1</v>
      </c>
      <c r="QN79" s="16" t="n">
        <v>81</v>
      </c>
      <c r="QO79" s="16" t="n">
        <v>5.4</v>
      </c>
      <c r="QP79" s="0" t="n">
        <v>99.83</v>
      </c>
      <c r="QQ79" s="0" t="n">
        <v>0</v>
      </c>
      <c r="QR79" s="0" t="n">
        <v>0</v>
      </c>
      <c r="QS79" s="0" t="n">
        <v>0.17</v>
      </c>
      <c r="QT79" s="0" t="n">
        <v>0</v>
      </c>
      <c r="QU79" s="0" t="n">
        <v>0</v>
      </c>
      <c r="QV79" s="0" t="n">
        <v>0</v>
      </c>
      <c r="QW79" s="0" t="n">
        <v>0</v>
      </c>
      <c r="QX79" s="0" t="n">
        <v>0</v>
      </c>
      <c r="QY79" s="0" t="n">
        <v>0</v>
      </c>
      <c r="QZ79" s="0" t="n">
        <v>0</v>
      </c>
      <c r="RA79" s="0" t="n">
        <v>0</v>
      </c>
      <c r="RB79" s="0" t="n">
        <v>19.8</v>
      </c>
      <c r="RC79" s="0" t="n">
        <v>8.95</v>
      </c>
      <c r="RD79" s="0" t="n">
        <v>0</v>
      </c>
      <c r="RE79" s="0" t="n">
        <v>0</v>
      </c>
      <c r="RF79" s="0" t="n">
        <v>22.5</v>
      </c>
      <c r="RG79" s="0" t="n">
        <v>1</v>
      </c>
      <c r="RH79" s="0" t="n">
        <v>5</v>
      </c>
      <c r="RJ79" s="0" t="n">
        <v>8</v>
      </c>
      <c r="RT79" s="0" t="n">
        <v>0</v>
      </c>
      <c r="RU79" s="0" t="n">
        <v>0</v>
      </c>
      <c r="SF79" s="18"/>
      <c r="SX79" s="0" t="n">
        <v>1</v>
      </c>
      <c r="SY79" s="0" t="n">
        <v>50</v>
      </c>
      <c r="SZ79" s="0" t="n">
        <v>4</v>
      </c>
      <c r="TA79" s="0" t="n">
        <f aca="false">0.73*2+0.13*2</f>
        <v>1.72</v>
      </c>
      <c r="TB79" s="0" t="n">
        <v>3</v>
      </c>
      <c r="UI79" s="16" t="n">
        <v>1.48</v>
      </c>
      <c r="UJ79" s="16" t="n">
        <v>1</v>
      </c>
      <c r="UK79" s="16" t="n">
        <v>1</v>
      </c>
      <c r="UL79" s="16"/>
      <c r="UM79" s="16" t="n">
        <f aca="false">2.1*2+0.37*2</f>
        <v>4.94</v>
      </c>
      <c r="UN79" s="16"/>
      <c r="UO79" s="16"/>
      <c r="UP79" s="16"/>
      <c r="UQ79" s="16"/>
      <c r="UR79" s="16"/>
      <c r="US79" s="16"/>
      <c r="UT79" s="16" t="n">
        <v>7.71</v>
      </c>
      <c r="UU79" s="16" t="n">
        <v>4.35</v>
      </c>
      <c r="UV79" s="16"/>
      <c r="UW79" s="16"/>
      <c r="UX79" s="16" t="n">
        <v>0</v>
      </c>
      <c r="UY79" s="16" t="n">
        <v>0</v>
      </c>
      <c r="UZ79" s="16" t="n">
        <v>0</v>
      </c>
      <c r="VA79" s="0" t="n">
        <v>0</v>
      </c>
      <c r="VB79" s="0" t="s">
        <v>257</v>
      </c>
      <c r="VC79" s="0" t="n">
        <v>43</v>
      </c>
      <c r="VD79" s="16" t="n">
        <v>93.3</v>
      </c>
      <c r="VE79" s="16" t="n">
        <v>81</v>
      </c>
      <c r="VF79" s="16" t="n">
        <v>6.4</v>
      </c>
      <c r="VG79" s="0" t="n">
        <v>100</v>
      </c>
      <c r="VH79" s="0" t="n">
        <v>0</v>
      </c>
      <c r="VI79" s="0" t="n">
        <v>0</v>
      </c>
      <c r="VJ79" s="0" t="n">
        <v>0</v>
      </c>
      <c r="VK79" s="0" t="n">
        <v>0</v>
      </c>
      <c r="VL79" s="0" t="n">
        <v>0</v>
      </c>
      <c r="VM79" s="0" t="n">
        <v>0</v>
      </c>
      <c r="VN79" s="0" t="n">
        <v>0</v>
      </c>
      <c r="VO79" s="0" t="n">
        <v>0</v>
      </c>
      <c r="VP79" s="0" t="n">
        <v>0</v>
      </c>
      <c r="VQ79" s="0" t="n">
        <v>0</v>
      </c>
      <c r="VR79" s="0" t="n">
        <v>0</v>
      </c>
      <c r="VS79" s="0" t="n">
        <v>18.51</v>
      </c>
      <c r="VT79" s="0" t="n">
        <v>28.46</v>
      </c>
      <c r="VU79" s="0" t="n">
        <v>0</v>
      </c>
      <c r="VV79" s="0" t="n">
        <v>0</v>
      </c>
      <c r="VW79" s="0" t="n">
        <v>0</v>
      </c>
      <c r="VX79" s="0" t="n">
        <v>0</v>
      </c>
      <c r="WK79" s="0" t="n">
        <v>33</v>
      </c>
      <c r="WL79" s="0" t="n">
        <v>0</v>
      </c>
      <c r="WW79" s="18"/>
      <c r="XO79" s="0" t="n">
        <v>1</v>
      </c>
      <c r="XP79" s="0" t="n">
        <v>40</v>
      </c>
      <c r="XQ79" s="0" t="n">
        <v>8</v>
      </c>
      <c r="XR79" s="0" t="n">
        <f aca="false">1.51*2+3.02+0.27*2</f>
        <v>6.58</v>
      </c>
      <c r="XS79" s="0" t="n">
        <v>3</v>
      </c>
      <c r="XT79" s="0" t="n">
        <v>60</v>
      </c>
      <c r="XU79" s="0" t="n">
        <v>20</v>
      </c>
      <c r="XV79" s="0" t="n">
        <f aca="false">3.65*2+0.67*2</f>
        <v>8.64</v>
      </c>
      <c r="XW79" s="0" t="n">
        <v>3</v>
      </c>
      <c r="YZ79" s="16" t="n">
        <v>0</v>
      </c>
      <c r="ZA79" s="16" t="n">
        <v>0</v>
      </c>
      <c r="ZB79" s="16"/>
      <c r="ZC79" s="16"/>
      <c r="ZD79" s="16"/>
      <c r="ZE79" s="16"/>
      <c r="ZF79" s="16"/>
      <c r="ZG79" s="16"/>
      <c r="ZH79" s="16"/>
      <c r="ZI79" s="16"/>
      <c r="ZJ79" s="16"/>
      <c r="ZK79" s="16" t="n">
        <v>0</v>
      </c>
      <c r="ZL79" s="16" t="n">
        <v>0</v>
      </c>
      <c r="ZM79" s="16"/>
      <c r="ZN79" s="16"/>
      <c r="ZO79" s="16" t="n">
        <v>0</v>
      </c>
      <c r="ZP79" s="16" t="n">
        <v>0</v>
      </c>
      <c r="ZQ79" s="16" t="n">
        <v>0</v>
      </c>
      <c r="ZR79" s="0" t="n">
        <v>0</v>
      </c>
      <c r="ZS79" s="0" t="s">
        <v>257</v>
      </c>
      <c r="ZT79" s="0" t="n">
        <v>43</v>
      </c>
      <c r="ZU79" s="16" t="n">
        <v>93.3</v>
      </c>
      <c r="ZV79" s="16" t="n">
        <v>81</v>
      </c>
      <c r="ZW79" s="16" t="n">
        <v>6.4</v>
      </c>
      <c r="ZX79" s="0" t="n">
        <v>100</v>
      </c>
      <c r="ZY79" s="0" t="n">
        <v>0</v>
      </c>
      <c r="ZZ79" s="0" t="n">
        <v>0</v>
      </c>
      <c r="AAA79" s="0" t="n">
        <v>0</v>
      </c>
      <c r="AAB79" s="0" t="n">
        <v>0</v>
      </c>
      <c r="AAC79" s="0" t="n">
        <v>0</v>
      </c>
      <c r="AAD79" s="0" t="n">
        <v>0</v>
      </c>
      <c r="AAE79" s="0" t="n">
        <v>0</v>
      </c>
      <c r="AAF79" s="0" t="n">
        <v>0</v>
      </c>
      <c r="AAG79" s="0" t="n">
        <v>0</v>
      </c>
      <c r="AAH79" s="0" t="n">
        <v>0</v>
      </c>
      <c r="AAI79" s="0" t="n">
        <v>0</v>
      </c>
      <c r="AAJ79" s="0" t="n">
        <v>18.51</v>
      </c>
      <c r="AAK79" s="0" t="n">
        <v>28.46</v>
      </c>
      <c r="AAL79" s="0" t="n">
        <v>0</v>
      </c>
      <c r="AAM79" s="0" t="n">
        <v>0</v>
      </c>
      <c r="AAN79" s="0" t="n">
        <v>0</v>
      </c>
      <c r="AAO79" s="0" t="n">
        <v>0</v>
      </c>
      <c r="ABB79" s="0" t="n">
        <v>33</v>
      </c>
      <c r="ABC79" s="0" t="n">
        <v>0</v>
      </c>
      <c r="ABN79" s="18"/>
      <c r="ACF79" s="0" t="n">
        <v>1</v>
      </c>
      <c r="ACG79" s="0" t="n">
        <v>40</v>
      </c>
      <c r="ACH79" s="0" t="n">
        <v>8</v>
      </c>
      <c r="ACI79" s="0" t="n">
        <f aca="false">1.51*2+3.02+0.27*2</f>
        <v>6.58</v>
      </c>
      <c r="ACJ79" s="0" t="n">
        <v>3</v>
      </c>
      <c r="ACK79" s="0" t="n">
        <v>60</v>
      </c>
      <c r="ACL79" s="0" t="n">
        <v>20</v>
      </c>
      <c r="ACM79" s="0" t="n">
        <f aca="false">3.65*2+0.67*2</f>
        <v>8.64</v>
      </c>
      <c r="ACN79" s="0" t="n">
        <v>3</v>
      </c>
      <c r="ADQ79" s="16" t="n">
        <v>0</v>
      </c>
      <c r="ADR79" s="16" t="n">
        <v>0</v>
      </c>
      <c r="ADS79" s="16"/>
      <c r="ADT79" s="16"/>
      <c r="ADU79" s="16"/>
      <c r="ADV79" s="16"/>
      <c r="ADW79" s="16"/>
      <c r="ADX79" s="16"/>
      <c r="ADY79" s="16"/>
      <c r="ADZ79" s="16"/>
      <c r="AEA79" s="16"/>
      <c r="AEB79" s="16" t="n">
        <v>0</v>
      </c>
      <c r="AEC79" s="16" t="n">
        <v>0</v>
      </c>
      <c r="AED79" s="16"/>
      <c r="AEE79" s="16"/>
      <c r="AEF79" s="16" t="n">
        <v>0</v>
      </c>
      <c r="AEG79" s="16" t="n">
        <v>0</v>
      </c>
      <c r="AEH79" s="16" t="n">
        <v>0</v>
      </c>
      <c r="AEI79" s="0" t="n">
        <v>0</v>
      </c>
      <c r="AEJ79" s="0" t="s">
        <v>258</v>
      </c>
      <c r="AEK79" s="0" t="n">
        <v>40</v>
      </c>
      <c r="AEL79" s="16" t="n">
        <v>90.1</v>
      </c>
      <c r="AEM79" s="16" t="n">
        <v>81</v>
      </c>
      <c r="AEN79" s="16" t="n">
        <v>5.9</v>
      </c>
      <c r="AEO79" s="0" t="n">
        <v>99.34</v>
      </c>
      <c r="AEP79" s="0" t="n">
        <v>0</v>
      </c>
      <c r="AEQ79" s="0" t="n">
        <v>0</v>
      </c>
      <c r="AER79" s="0" t="n">
        <v>0.66</v>
      </c>
      <c r="AES79" s="0" t="n">
        <v>0</v>
      </c>
      <c r="AET79" s="0" t="n">
        <v>0</v>
      </c>
      <c r="AEU79" s="0" t="n">
        <v>0</v>
      </c>
      <c r="AEV79" s="0" t="n">
        <v>0</v>
      </c>
      <c r="AEW79" s="0" t="n">
        <v>0</v>
      </c>
      <c r="AEX79" s="0" t="n">
        <v>0</v>
      </c>
      <c r="AEY79" s="0" t="n">
        <v>0</v>
      </c>
      <c r="AEZ79" s="0" t="n">
        <v>0</v>
      </c>
      <c r="AFA79" s="0" t="n">
        <v>19.8</v>
      </c>
      <c r="AFB79" s="0" t="n">
        <v>8.95</v>
      </c>
      <c r="AFC79" s="0" t="n">
        <v>0</v>
      </c>
      <c r="AFD79" s="0" t="n">
        <v>0</v>
      </c>
      <c r="AFE79" s="0" t="n">
        <v>22.3</v>
      </c>
      <c r="AFF79" s="0" t="n">
        <v>1</v>
      </c>
      <c r="AFG79" s="0" t="n">
        <v>5</v>
      </c>
      <c r="AFI79" s="0" t="n">
        <v>8</v>
      </c>
      <c r="AFS79" s="0" t="n">
        <v>0</v>
      </c>
      <c r="AFT79" s="0" t="n">
        <v>0</v>
      </c>
      <c r="AGE79" s="18"/>
      <c r="AGW79" s="0" t="n">
        <v>1</v>
      </c>
      <c r="AGX79" s="0" t="n">
        <v>50</v>
      </c>
      <c r="AGY79" s="0" t="n">
        <v>4</v>
      </c>
      <c r="AGZ79" s="0" t="n">
        <f aca="false">0.73*2+0.13*2</f>
        <v>1.72</v>
      </c>
      <c r="AHA79" s="0" t="n">
        <v>3</v>
      </c>
      <c r="AIH79" s="16" t="n">
        <v>1.48</v>
      </c>
      <c r="AII79" s="16" t="n">
        <v>1</v>
      </c>
      <c r="AIJ79" s="16" t="n">
        <v>1</v>
      </c>
      <c r="AIK79" s="16"/>
      <c r="AIL79" s="16" t="n">
        <f aca="false">2.1*2+0.37*2</f>
        <v>4.94</v>
      </c>
      <c r="AIM79" s="16"/>
      <c r="AIN79" s="16"/>
      <c r="AIO79" s="16"/>
      <c r="AIP79" s="16"/>
      <c r="AIQ79" s="16"/>
      <c r="AIR79" s="16"/>
      <c r="AIS79" s="16" t="n">
        <v>7.71</v>
      </c>
      <c r="AIT79" s="16" t="n">
        <v>4.35</v>
      </c>
      <c r="AIU79" s="16"/>
      <c r="AIV79" s="16"/>
      <c r="AIW79" s="16" t="n">
        <v>0</v>
      </c>
      <c r="AIX79" s="16" t="n">
        <v>0</v>
      </c>
      <c r="AIY79" s="16" t="n">
        <v>0</v>
      </c>
      <c r="AIZ79" s="0" t="n">
        <v>0</v>
      </c>
      <c r="AJA79" s="0" t="s">
        <v>259</v>
      </c>
      <c r="AJB79" s="0" t="n">
        <v>43</v>
      </c>
      <c r="AJC79" s="16" t="n">
        <v>93.3</v>
      </c>
      <c r="AJD79" s="16" t="n">
        <v>81</v>
      </c>
      <c r="AJE79" s="16" t="n">
        <v>6.4</v>
      </c>
      <c r="AJF79" s="0" t="n">
        <v>100</v>
      </c>
      <c r="AJG79" s="0" t="n">
        <v>0</v>
      </c>
      <c r="AJH79" s="0" t="n">
        <v>0</v>
      </c>
      <c r="AJI79" s="0" t="n">
        <v>0</v>
      </c>
      <c r="AJJ79" s="0" t="n">
        <v>0</v>
      </c>
      <c r="AJK79" s="0" t="n">
        <v>0</v>
      </c>
      <c r="AJL79" s="0" t="n">
        <v>0</v>
      </c>
      <c r="AJM79" s="0" t="n">
        <v>0</v>
      </c>
      <c r="AJN79" s="0" t="n">
        <v>0</v>
      </c>
      <c r="AJO79" s="0" t="n">
        <v>0</v>
      </c>
      <c r="AJP79" s="0" t="n">
        <v>0</v>
      </c>
      <c r="AJQ79" s="0" t="n">
        <v>0</v>
      </c>
      <c r="AJR79" s="0" t="n">
        <v>18.51</v>
      </c>
      <c r="AJS79" s="0" t="n">
        <v>28.46</v>
      </c>
      <c r="AJT79" s="0" t="n">
        <v>0</v>
      </c>
      <c r="AJU79" s="0" t="n">
        <v>0</v>
      </c>
      <c r="AJV79" s="0" t="n">
        <v>0</v>
      </c>
      <c r="AJW79" s="0" t="n">
        <v>0</v>
      </c>
      <c r="AKJ79" s="0" t="n">
        <v>33</v>
      </c>
      <c r="AKK79" s="0" t="n">
        <v>0</v>
      </c>
      <c r="AKV79" s="18"/>
      <c r="ALN79" s="0" t="n">
        <v>1</v>
      </c>
      <c r="ALO79" s="0" t="n">
        <v>40</v>
      </c>
      <c r="ALP79" s="0" t="n">
        <v>8</v>
      </c>
      <c r="ALQ79" s="0" t="n">
        <f aca="false">1.51*2+0.27*2+3.02</f>
        <v>6.58</v>
      </c>
      <c r="ALR79" s="0" t="n">
        <v>3</v>
      </c>
      <c r="ALS79" s="0" t="n">
        <v>60</v>
      </c>
      <c r="ALT79" s="0" t="n">
        <v>20</v>
      </c>
      <c r="ALU79" s="0" t="n">
        <f aca="false">3.65*2+0.67*2</f>
        <v>8.64</v>
      </c>
      <c r="ALV79" s="0" t="n">
        <v>3</v>
      </c>
    </row>
    <row r="80" customFormat="false" ht="13.8" hidden="false" customHeight="false" outlineLevel="0" collapsed="false">
      <c r="A80" s="1" t="s">
        <v>444</v>
      </c>
      <c r="B80" s="12" t="n">
        <v>42899</v>
      </c>
      <c r="C80" s="0" t="n">
        <v>2</v>
      </c>
      <c r="D80" s="13" t="n">
        <v>42793</v>
      </c>
      <c r="E80" s="12" t="n">
        <v>32948</v>
      </c>
      <c r="F80" s="14" t="n">
        <f aca="false">(B80-E80)/365.25</f>
        <v>27.2443531827515</v>
      </c>
      <c r="G80" s="14" t="n">
        <f aca="false">(B80-D80)/365.25</f>
        <v>0.290212183436003</v>
      </c>
      <c r="H80" s="15" t="s">
        <v>228</v>
      </c>
      <c r="I80" s="15" t="s">
        <v>251</v>
      </c>
      <c r="J80" s="15" t="s">
        <v>181</v>
      </c>
      <c r="K80" s="21" t="n">
        <v>4</v>
      </c>
      <c r="L80" s="19" t="n">
        <v>80</v>
      </c>
      <c r="M80" s="0" t="n">
        <v>1.78</v>
      </c>
      <c r="N80" s="16" t="n">
        <f aca="false">L80/(M80*M80)</f>
        <v>25.2493372048984</v>
      </c>
      <c r="O80" s="19" t="n">
        <v>0</v>
      </c>
      <c r="P80" s="19" t="n">
        <v>0</v>
      </c>
      <c r="Q80" s="19" t="n">
        <v>0</v>
      </c>
      <c r="R80" s="19" t="n">
        <v>0</v>
      </c>
      <c r="S80" s="19" t="n">
        <v>0</v>
      </c>
      <c r="T80" s="19" t="n">
        <v>0</v>
      </c>
      <c r="U80" s="19" t="n">
        <v>0</v>
      </c>
      <c r="V80" s="19" t="n">
        <v>0</v>
      </c>
      <c r="W80" s="19" t="n">
        <v>0</v>
      </c>
      <c r="X80" s="19" t="n">
        <v>0</v>
      </c>
      <c r="Y80" s="19" t="n">
        <v>1</v>
      </c>
      <c r="Z80" s="19" t="n">
        <v>2</v>
      </c>
      <c r="AA80" s="19" t="n">
        <v>60</v>
      </c>
      <c r="AB80" s="19" t="s">
        <v>445</v>
      </c>
      <c r="AC80" s="19" t="n">
        <v>0</v>
      </c>
      <c r="AD80" s="19" t="n">
        <v>0</v>
      </c>
      <c r="AE80" s="19" t="n">
        <v>0</v>
      </c>
      <c r="AF80" s="19" t="n">
        <v>0</v>
      </c>
      <c r="AG80" s="19" t="n">
        <v>0</v>
      </c>
      <c r="AH80" s="19" t="n">
        <v>0</v>
      </c>
      <c r="AI80" s="19" t="n">
        <v>0</v>
      </c>
      <c r="AJ80" s="19" t="n">
        <v>0</v>
      </c>
      <c r="AK80" s="19" t="n">
        <v>0</v>
      </c>
      <c r="AL80" s="19" t="n">
        <v>0</v>
      </c>
      <c r="AM80" s="19" t="n">
        <v>0</v>
      </c>
      <c r="AN80" s="19" t="n">
        <v>0</v>
      </c>
      <c r="AO80" s="19" t="n">
        <v>0</v>
      </c>
      <c r="AP80" s="19" t="n">
        <v>0</v>
      </c>
      <c r="AQ80" s="19" t="n">
        <v>0</v>
      </c>
      <c r="AR80" s="19" t="n">
        <v>0</v>
      </c>
      <c r="AS80" s="19" t="n">
        <v>0</v>
      </c>
      <c r="AT80" s="19" t="n">
        <v>0</v>
      </c>
      <c r="AU80" s="19" t="n">
        <v>0</v>
      </c>
      <c r="AV80" s="19" t="n">
        <v>0</v>
      </c>
      <c r="AW80" s="19" t="n">
        <v>0</v>
      </c>
      <c r="AX80" s="19" t="n">
        <v>0</v>
      </c>
      <c r="AY80" s="19" t="n">
        <v>0</v>
      </c>
      <c r="AZ80" s="19" t="n">
        <v>0</v>
      </c>
      <c r="BA80" s="19" t="n">
        <v>0</v>
      </c>
      <c r="BB80" s="19" t="n">
        <v>0</v>
      </c>
      <c r="BC80" s="19" t="n">
        <v>0</v>
      </c>
      <c r="BD80" s="19" t="n">
        <v>0</v>
      </c>
      <c r="BE80" s="19" t="n">
        <v>0</v>
      </c>
      <c r="BF80" s="19" t="n">
        <v>0</v>
      </c>
      <c r="BG80" s="19" t="n">
        <v>0</v>
      </c>
      <c r="BH80" s="19" t="n">
        <v>0</v>
      </c>
      <c r="BI80" s="19" t="n">
        <v>0</v>
      </c>
      <c r="BJ80" s="19" t="n">
        <v>0</v>
      </c>
      <c r="BK80" s="19" t="n">
        <v>0</v>
      </c>
      <c r="BL80" s="19" t="n">
        <v>0</v>
      </c>
      <c r="BM80" s="19" t="n">
        <v>0</v>
      </c>
      <c r="BN80" s="19" t="n">
        <v>0</v>
      </c>
      <c r="BO80" s="19" t="n">
        <v>0</v>
      </c>
      <c r="BP80" s="19" t="n">
        <v>0</v>
      </c>
      <c r="BQ80" s="19" t="n">
        <v>0</v>
      </c>
      <c r="BR80" s="19" t="n">
        <v>2</v>
      </c>
      <c r="BS80" s="19" t="n">
        <v>1</v>
      </c>
      <c r="BT80" s="19" t="n">
        <v>4</v>
      </c>
      <c r="BU80" s="19" t="n">
        <v>4</v>
      </c>
      <c r="BV80" s="19" t="n">
        <v>3</v>
      </c>
      <c r="BW80" s="19" t="n">
        <v>3</v>
      </c>
      <c r="BX80" s="19" t="n">
        <v>3</v>
      </c>
      <c r="BY80" s="19" t="n">
        <v>5</v>
      </c>
      <c r="BZ80" s="19" t="n">
        <v>5</v>
      </c>
      <c r="CA80" s="19" t="n">
        <v>5</v>
      </c>
      <c r="CB80" s="19" t="n">
        <v>4</v>
      </c>
      <c r="CC80" s="19" t="n">
        <v>4</v>
      </c>
      <c r="CD80" s="19" t="n">
        <v>3</v>
      </c>
      <c r="CE80" s="19" t="n">
        <v>3</v>
      </c>
      <c r="CF80" s="19" t="n">
        <v>4</v>
      </c>
      <c r="CG80" s="19" t="n">
        <v>5</v>
      </c>
      <c r="CH80" s="19" t="n">
        <v>5</v>
      </c>
      <c r="CI80" s="19" t="n">
        <v>4</v>
      </c>
      <c r="CJ80" s="19" t="n">
        <v>3</v>
      </c>
      <c r="CK80" s="19" t="n">
        <v>8</v>
      </c>
      <c r="CL80" s="0" t="s">
        <v>253</v>
      </c>
      <c r="CM80" s="0" t="n">
        <v>30</v>
      </c>
      <c r="CN80" s="16" t="n">
        <v>85.5</v>
      </c>
      <c r="CO80" s="16" t="n">
        <v>81</v>
      </c>
      <c r="CP80" s="16" t="n">
        <v>15.2</v>
      </c>
      <c r="CQ80" s="0" t="n">
        <v>87.44</v>
      </c>
      <c r="CR80" s="0" t="n">
        <v>0</v>
      </c>
      <c r="CS80" s="0" t="n">
        <v>0.94</v>
      </c>
      <c r="CT80" s="0" t="n">
        <v>1.97</v>
      </c>
      <c r="CU80" s="0" t="n">
        <v>9.65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2.71</v>
      </c>
      <c r="DC80" s="0" t="n">
        <v>0.6</v>
      </c>
      <c r="DD80" s="0" t="n">
        <v>2.17</v>
      </c>
      <c r="DE80" s="0" t="n">
        <v>5.97</v>
      </c>
      <c r="DF80" s="0" t="n">
        <v>2.65</v>
      </c>
      <c r="DG80" s="0" t="n">
        <v>0</v>
      </c>
      <c r="DH80" s="0" t="n">
        <v>0</v>
      </c>
      <c r="DU80" s="0" t="n">
        <v>10.6</v>
      </c>
      <c r="DV80" s="0" t="n">
        <v>1</v>
      </c>
      <c r="DW80" s="0" t="n">
        <v>60</v>
      </c>
      <c r="DX80" s="0" t="n">
        <v>2</v>
      </c>
      <c r="DY80" s="0" t="n">
        <f aca="false">0.38+0.07</f>
        <v>0.45</v>
      </c>
      <c r="DZ80" s="0" t="n">
        <v>1</v>
      </c>
      <c r="EA80" s="0" t="n">
        <v>68</v>
      </c>
      <c r="EB80" s="0" t="n">
        <v>1</v>
      </c>
      <c r="EC80" s="16" t="n">
        <v>0.31</v>
      </c>
      <c r="ED80" s="0" t="n">
        <v>1</v>
      </c>
      <c r="EE80" s="0" t="n">
        <v>85</v>
      </c>
      <c r="EF80" s="0" t="n">
        <v>2</v>
      </c>
      <c r="EG80" s="18" t="n">
        <f aca="false">1.89+0.94</f>
        <v>2.83</v>
      </c>
      <c r="EH80" s="0" t="n">
        <v>2</v>
      </c>
      <c r="EI80" s="0" t="n">
        <v>25</v>
      </c>
      <c r="EJ80" s="0" t="n">
        <v>1</v>
      </c>
      <c r="EK80" s="16" t="n">
        <v>0.27</v>
      </c>
      <c r="EL80" s="0" t="n">
        <v>2</v>
      </c>
      <c r="EY80" s="0" t="n">
        <v>0</v>
      </c>
      <c r="GJ80" s="16" t="n">
        <v>0</v>
      </c>
      <c r="GK80" s="16" t="n">
        <v>0</v>
      </c>
      <c r="GL80" s="16"/>
      <c r="GM80" s="16"/>
      <c r="GN80" s="16"/>
      <c r="GO80" s="16"/>
      <c r="GP80" s="16"/>
      <c r="GQ80" s="16"/>
      <c r="GR80" s="16"/>
      <c r="GS80" s="16"/>
      <c r="GT80" s="16"/>
      <c r="GU80" s="16" t="n">
        <v>4.17</v>
      </c>
      <c r="GV80" s="16" t="n">
        <v>2.54</v>
      </c>
      <c r="GW80" s="16"/>
      <c r="GX80" s="16"/>
      <c r="GY80" s="16" t="n">
        <v>0</v>
      </c>
      <c r="GZ80" s="16" t="n">
        <v>0</v>
      </c>
      <c r="HA80" s="16" t="n">
        <v>0</v>
      </c>
      <c r="HB80" s="0" t="n">
        <v>0</v>
      </c>
      <c r="HC80" s="0" t="s">
        <v>255</v>
      </c>
      <c r="HD80" s="0" t="n">
        <v>41</v>
      </c>
      <c r="HE80" s="16" t="n">
        <v>48.6</v>
      </c>
      <c r="HF80" s="16" t="n">
        <v>81</v>
      </c>
      <c r="HG80" s="16" t="n">
        <v>21.6</v>
      </c>
      <c r="HH80" s="0" t="n">
        <v>76.16</v>
      </c>
      <c r="HI80" s="0" t="n">
        <v>0</v>
      </c>
      <c r="HJ80" s="0" t="n">
        <v>0.07</v>
      </c>
      <c r="HK80" s="0" t="n">
        <v>0.13</v>
      </c>
      <c r="HL80" s="0" t="n">
        <v>23.64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6.53</v>
      </c>
      <c r="HT80" s="0" t="n">
        <v>0.2</v>
      </c>
      <c r="HU80" s="0" t="n">
        <v>27.15</v>
      </c>
      <c r="HV80" s="0" t="n">
        <v>4.11</v>
      </c>
      <c r="HW80" s="0" t="n">
        <v>0</v>
      </c>
      <c r="HX80" s="0" t="n">
        <v>3.9</v>
      </c>
      <c r="HY80" s="0" t="n">
        <v>1</v>
      </c>
      <c r="HZ80" s="0" t="n">
        <v>10</v>
      </c>
      <c r="IB80" s="0" t="n">
        <v>1</v>
      </c>
      <c r="IL80" s="0" t="n">
        <v>0.6</v>
      </c>
      <c r="IM80" s="0" t="n">
        <v>1</v>
      </c>
      <c r="IN80" s="0" t="n">
        <v>52</v>
      </c>
      <c r="IO80" s="0" t="n">
        <v>3</v>
      </c>
      <c r="IP80" s="16" t="n">
        <f aca="false">0.16+0.13</f>
        <v>0.29</v>
      </c>
      <c r="IQ80" s="0" t="n">
        <v>2</v>
      </c>
      <c r="IX80" s="18"/>
      <c r="JP80" s="0" t="n">
        <v>0</v>
      </c>
      <c r="LA80" s="16" t="n">
        <v>0.57</v>
      </c>
      <c r="LB80" s="16" t="n">
        <v>1</v>
      </c>
      <c r="LC80" s="16" t="n">
        <v>1</v>
      </c>
      <c r="LD80" s="16"/>
      <c r="LE80" s="16" t="n">
        <f aca="false">0.93</f>
        <v>0.93</v>
      </c>
      <c r="LF80" s="16" t="n">
        <v>2</v>
      </c>
      <c r="LG80" s="16"/>
      <c r="LH80" s="16" t="n">
        <f aca="false">0.31+0.22</f>
        <v>0.53</v>
      </c>
      <c r="LI80" s="16"/>
      <c r="LJ80" s="16"/>
      <c r="LK80" s="16"/>
      <c r="LL80" s="16" t="n">
        <v>5.72</v>
      </c>
      <c r="LM80" s="16" t="n">
        <v>5.75</v>
      </c>
      <c r="LN80" s="16"/>
      <c r="LO80" s="16"/>
      <c r="LP80" s="16" t="n">
        <v>7.41</v>
      </c>
      <c r="LQ80" s="16" t="n">
        <v>0</v>
      </c>
      <c r="LR80" s="16" t="n">
        <v>0.22</v>
      </c>
      <c r="LS80" s="0" t="n">
        <v>5</v>
      </c>
      <c r="LT80" s="0" t="s">
        <v>256</v>
      </c>
      <c r="LU80" s="0" t="n">
        <v>40</v>
      </c>
      <c r="LV80" s="16" t="n">
        <v>89.1</v>
      </c>
      <c r="LW80" s="16" t="n">
        <v>81</v>
      </c>
      <c r="LX80" s="16" t="n">
        <v>5.4</v>
      </c>
      <c r="LY80" s="0" t="n">
        <v>99.83</v>
      </c>
      <c r="LZ80" s="0" t="n">
        <v>0</v>
      </c>
      <c r="MA80" s="0" t="n">
        <v>0</v>
      </c>
      <c r="MB80" s="0" t="n">
        <v>0.17</v>
      </c>
      <c r="MC80" s="0" t="n">
        <v>0</v>
      </c>
      <c r="MD80" s="0" t="n">
        <v>0</v>
      </c>
      <c r="ME80" s="0" t="n">
        <v>0</v>
      </c>
      <c r="MF80" s="0" t="n">
        <v>0</v>
      </c>
      <c r="MG80" s="0" t="n">
        <v>0</v>
      </c>
      <c r="MH80" s="0" t="n">
        <v>0</v>
      </c>
      <c r="MI80" s="0" t="n">
        <v>0</v>
      </c>
      <c r="MJ80" s="0" t="n">
        <v>0</v>
      </c>
      <c r="MK80" s="0" t="n">
        <v>19.8</v>
      </c>
      <c r="ML80" s="0" t="n">
        <v>8.95</v>
      </c>
      <c r="MM80" s="0" t="n">
        <v>0</v>
      </c>
      <c r="MN80" s="0" t="n">
        <v>0</v>
      </c>
      <c r="MO80" s="0" t="n">
        <v>22.5</v>
      </c>
      <c r="MP80" s="0" t="n">
        <v>1</v>
      </c>
      <c r="MQ80" s="0" t="n">
        <v>5</v>
      </c>
      <c r="MS80" s="0" t="n">
        <v>8</v>
      </c>
      <c r="NC80" s="0" t="n">
        <v>0</v>
      </c>
      <c r="ND80" s="0" t="n">
        <v>0</v>
      </c>
      <c r="NO80" s="18"/>
      <c r="OG80" s="0" t="n">
        <v>1</v>
      </c>
      <c r="OH80" s="0" t="n">
        <v>50</v>
      </c>
      <c r="OI80" s="0" t="n">
        <v>4</v>
      </c>
      <c r="OJ80" s="0" t="n">
        <f aca="false">0.73*2+0.13*2</f>
        <v>1.72</v>
      </c>
      <c r="OK80" s="0" t="n">
        <v>3</v>
      </c>
      <c r="PR80" s="16" t="n">
        <v>1.48</v>
      </c>
      <c r="PS80" s="16" t="n">
        <v>1</v>
      </c>
      <c r="PT80" s="16" t="n">
        <v>1</v>
      </c>
      <c r="PU80" s="16"/>
      <c r="PV80" s="16" t="n">
        <f aca="false">2.1*2+0.37*2</f>
        <v>4.94</v>
      </c>
      <c r="PW80" s="16"/>
      <c r="PX80" s="16"/>
      <c r="PY80" s="16"/>
      <c r="PZ80" s="16"/>
      <c r="QA80" s="16"/>
      <c r="QB80" s="16"/>
      <c r="QC80" s="16" t="n">
        <v>7.71</v>
      </c>
      <c r="QD80" s="16" t="n">
        <v>4.35</v>
      </c>
      <c r="QE80" s="16"/>
      <c r="QF80" s="16"/>
      <c r="QG80" s="16" t="n">
        <v>0</v>
      </c>
      <c r="QH80" s="16" t="n">
        <v>0</v>
      </c>
      <c r="QI80" s="16" t="n">
        <v>0</v>
      </c>
      <c r="QJ80" s="0" t="n">
        <v>0</v>
      </c>
      <c r="QK80" s="0" t="s">
        <v>257</v>
      </c>
      <c r="QL80" s="0" t="n">
        <v>43</v>
      </c>
      <c r="QM80" s="16" t="n">
        <v>93.3</v>
      </c>
      <c r="QN80" s="16" t="n">
        <v>81</v>
      </c>
      <c r="QO80" s="16" t="n">
        <v>6.4</v>
      </c>
      <c r="QP80" s="0" t="n">
        <v>100</v>
      </c>
      <c r="QQ80" s="0" t="n">
        <v>0</v>
      </c>
      <c r="QR80" s="0" t="n">
        <v>0</v>
      </c>
      <c r="QS80" s="0" t="n">
        <v>0</v>
      </c>
      <c r="QT80" s="0" t="n">
        <v>0</v>
      </c>
      <c r="QU80" s="0" t="n">
        <v>0</v>
      </c>
      <c r="QV80" s="0" t="n">
        <v>0</v>
      </c>
      <c r="QW80" s="0" t="n">
        <v>0</v>
      </c>
      <c r="QX80" s="0" t="n">
        <v>0</v>
      </c>
      <c r="QY80" s="0" t="n">
        <v>0</v>
      </c>
      <c r="QZ80" s="0" t="n">
        <v>0</v>
      </c>
      <c r="RA80" s="0" t="n">
        <v>0</v>
      </c>
      <c r="RB80" s="0" t="n">
        <v>18.51</v>
      </c>
      <c r="RC80" s="0" t="n">
        <v>28.46</v>
      </c>
      <c r="RD80" s="0" t="n">
        <v>0</v>
      </c>
      <c r="RE80" s="0" t="n">
        <v>0</v>
      </c>
      <c r="RF80" s="0" t="n">
        <v>0</v>
      </c>
      <c r="RG80" s="0" t="n">
        <v>0</v>
      </c>
      <c r="RT80" s="0" t="n">
        <v>33</v>
      </c>
      <c r="RU80" s="0" t="n">
        <v>0</v>
      </c>
      <c r="SF80" s="18"/>
      <c r="SX80" s="0" t="n">
        <v>1</v>
      </c>
      <c r="SY80" s="0" t="n">
        <v>40</v>
      </c>
      <c r="SZ80" s="0" t="n">
        <v>8</v>
      </c>
      <c r="TA80" s="0" t="n">
        <f aca="false">1.51*2+3.02+0.27*2</f>
        <v>6.58</v>
      </c>
      <c r="TB80" s="0" t="n">
        <v>3</v>
      </c>
      <c r="TC80" s="0" t="n">
        <v>60</v>
      </c>
      <c r="TD80" s="0" t="n">
        <v>20</v>
      </c>
      <c r="TE80" s="0" t="n">
        <f aca="false">3.65*2+0.67*2</f>
        <v>8.64</v>
      </c>
      <c r="TF80" s="0" t="n">
        <v>3</v>
      </c>
      <c r="UI80" s="16" t="n">
        <v>0</v>
      </c>
      <c r="UJ80" s="16" t="n">
        <v>0</v>
      </c>
      <c r="UK80" s="16"/>
      <c r="UL80" s="16"/>
      <c r="UM80" s="16"/>
      <c r="UN80" s="16"/>
      <c r="UO80" s="16"/>
      <c r="UP80" s="16"/>
      <c r="UQ80" s="16"/>
      <c r="UR80" s="16"/>
      <c r="US80" s="16"/>
      <c r="UT80" s="16" t="n">
        <v>0</v>
      </c>
      <c r="UU80" s="16" t="n">
        <v>0</v>
      </c>
      <c r="UV80" s="16"/>
      <c r="UW80" s="16"/>
      <c r="UX80" s="16" t="n">
        <v>0</v>
      </c>
      <c r="UY80" s="16" t="n">
        <v>0</v>
      </c>
      <c r="UZ80" s="16" t="n">
        <v>0</v>
      </c>
      <c r="VA80" s="0" t="n">
        <v>0</v>
      </c>
      <c r="VB80" s="0" t="s">
        <v>258</v>
      </c>
      <c r="VC80" s="0" t="n">
        <v>40</v>
      </c>
      <c r="VD80" s="16" t="n">
        <v>90.1</v>
      </c>
      <c r="VE80" s="16" t="n">
        <v>81</v>
      </c>
      <c r="VF80" s="16" t="n">
        <v>5.9</v>
      </c>
      <c r="VG80" s="0" t="n">
        <v>99.34</v>
      </c>
      <c r="VH80" s="0" t="n">
        <v>0</v>
      </c>
      <c r="VI80" s="0" t="n">
        <v>0</v>
      </c>
      <c r="VJ80" s="0" t="n">
        <v>0.66</v>
      </c>
      <c r="VK80" s="0" t="n">
        <v>0</v>
      </c>
      <c r="VL80" s="0" t="n">
        <v>0</v>
      </c>
      <c r="VM80" s="0" t="n">
        <v>0</v>
      </c>
      <c r="VN80" s="0" t="n">
        <v>0</v>
      </c>
      <c r="VO80" s="0" t="n">
        <v>0</v>
      </c>
      <c r="VP80" s="0" t="n">
        <v>0</v>
      </c>
      <c r="VQ80" s="0" t="n">
        <v>0</v>
      </c>
      <c r="VR80" s="0" t="n">
        <v>0</v>
      </c>
      <c r="VS80" s="0" t="n">
        <v>19.8</v>
      </c>
      <c r="VT80" s="0" t="n">
        <v>8.95</v>
      </c>
      <c r="VU80" s="0" t="n">
        <v>0</v>
      </c>
      <c r="VV80" s="0" t="n">
        <v>0</v>
      </c>
      <c r="VW80" s="0" t="n">
        <v>22.3</v>
      </c>
      <c r="VX80" s="0" t="n">
        <v>1</v>
      </c>
      <c r="VY80" s="0" t="n">
        <v>5</v>
      </c>
      <c r="WA80" s="0" t="n">
        <v>8</v>
      </c>
      <c r="WK80" s="0" t="n">
        <v>0</v>
      </c>
      <c r="WL80" s="0" t="n">
        <v>0</v>
      </c>
      <c r="WW80" s="18"/>
      <c r="XO80" s="0" t="n">
        <v>1</v>
      </c>
      <c r="XP80" s="0" t="n">
        <v>50</v>
      </c>
      <c r="XQ80" s="0" t="n">
        <v>4</v>
      </c>
      <c r="XR80" s="0" t="n">
        <f aca="false">0.73*2+0.13*2</f>
        <v>1.72</v>
      </c>
      <c r="XS80" s="0" t="n">
        <v>3</v>
      </c>
      <c r="YZ80" s="16" t="n">
        <v>1.48</v>
      </c>
      <c r="ZA80" s="16" t="n">
        <v>1</v>
      </c>
      <c r="ZB80" s="16" t="n">
        <v>1</v>
      </c>
      <c r="ZC80" s="16"/>
      <c r="ZD80" s="16" t="n">
        <f aca="false">2.1*2+0.37*2</f>
        <v>4.94</v>
      </c>
      <c r="ZE80" s="16"/>
      <c r="ZF80" s="16"/>
      <c r="ZG80" s="16"/>
      <c r="ZH80" s="16"/>
      <c r="ZI80" s="16"/>
      <c r="ZJ80" s="16"/>
      <c r="ZK80" s="16" t="n">
        <v>7.71</v>
      </c>
      <c r="ZL80" s="16" t="n">
        <v>4.35</v>
      </c>
      <c r="ZM80" s="16"/>
      <c r="ZN80" s="16"/>
      <c r="ZO80" s="16" t="n">
        <v>0</v>
      </c>
      <c r="ZP80" s="16" t="n">
        <v>0</v>
      </c>
      <c r="ZQ80" s="16" t="n">
        <v>0</v>
      </c>
      <c r="ZR80" s="0" t="n">
        <v>0</v>
      </c>
      <c r="ZS80" s="0" t="s">
        <v>259</v>
      </c>
      <c r="ZT80" s="0" t="n">
        <v>43</v>
      </c>
      <c r="ZU80" s="16" t="n">
        <v>93.3</v>
      </c>
      <c r="ZV80" s="16" t="n">
        <v>81</v>
      </c>
      <c r="ZW80" s="16" t="n">
        <v>6.4</v>
      </c>
      <c r="ZX80" s="0" t="n">
        <v>100</v>
      </c>
      <c r="ZY80" s="0" t="n">
        <v>0</v>
      </c>
      <c r="ZZ80" s="0" t="n">
        <v>0</v>
      </c>
      <c r="AAA80" s="0" t="n">
        <v>0</v>
      </c>
      <c r="AAB80" s="0" t="n">
        <v>0</v>
      </c>
      <c r="AAC80" s="0" t="n">
        <v>0</v>
      </c>
      <c r="AAD80" s="0" t="n">
        <v>0</v>
      </c>
      <c r="AAE80" s="0" t="n">
        <v>0</v>
      </c>
      <c r="AAF80" s="0" t="n">
        <v>0</v>
      </c>
      <c r="AAG80" s="0" t="n">
        <v>0</v>
      </c>
      <c r="AAH80" s="0" t="n">
        <v>0</v>
      </c>
      <c r="AAI80" s="0" t="n">
        <v>0</v>
      </c>
      <c r="AAJ80" s="0" t="n">
        <v>18.51</v>
      </c>
      <c r="AAK80" s="0" t="n">
        <v>28.46</v>
      </c>
      <c r="AAL80" s="0" t="n">
        <v>0</v>
      </c>
      <c r="AAM80" s="0" t="n">
        <v>0</v>
      </c>
      <c r="AAN80" s="0" t="n">
        <v>0</v>
      </c>
      <c r="AAO80" s="0" t="n">
        <v>0</v>
      </c>
      <c r="ABB80" s="0" t="n">
        <v>33</v>
      </c>
      <c r="ABC80" s="0" t="n">
        <v>0</v>
      </c>
      <c r="ABN80" s="18"/>
      <c r="ACF80" s="0" t="n">
        <v>1</v>
      </c>
      <c r="ACG80" s="0" t="n">
        <v>40</v>
      </c>
      <c r="ACH80" s="0" t="n">
        <v>8</v>
      </c>
      <c r="ACI80" s="0" t="n">
        <f aca="false">1.51*2+0.27*2+3.02</f>
        <v>6.58</v>
      </c>
      <c r="ACJ80" s="0" t="n">
        <v>3</v>
      </c>
      <c r="ACK80" s="0" t="n">
        <v>60</v>
      </c>
      <c r="ACL80" s="0" t="n">
        <v>20</v>
      </c>
      <c r="ACM80" s="0" t="n">
        <f aca="false">3.65*2+0.67*2</f>
        <v>8.64</v>
      </c>
      <c r="ACN80" s="0" t="n">
        <v>3</v>
      </c>
      <c r="ADQ80" s="16" t="n">
        <v>0</v>
      </c>
      <c r="ADR80" s="16" t="n">
        <v>0</v>
      </c>
      <c r="ADS80" s="16"/>
      <c r="ADT80" s="16"/>
      <c r="ADU80" s="16"/>
      <c r="ADV80" s="16"/>
      <c r="ADW80" s="16"/>
      <c r="ADX80" s="16"/>
      <c r="ADY80" s="16"/>
      <c r="ADZ80" s="16"/>
      <c r="AEA80" s="16"/>
      <c r="AEB80" s="16" t="n">
        <v>0</v>
      </c>
      <c r="AEC80" s="16" t="n">
        <v>0</v>
      </c>
      <c r="AED80" s="16"/>
      <c r="AEE80" s="16"/>
      <c r="AEF80" s="16" t="n">
        <v>0</v>
      </c>
      <c r="AEG80" s="16" t="n">
        <v>0</v>
      </c>
      <c r="AEH80" s="16" t="n">
        <v>0</v>
      </c>
      <c r="AEI80" s="0" t="n">
        <v>0</v>
      </c>
      <c r="AEJ80" s="0" t="s">
        <v>260</v>
      </c>
      <c r="AEK80" s="0" t="n">
        <v>57.5</v>
      </c>
      <c r="AEL80" s="16" t="n">
        <v>91.5</v>
      </c>
      <c r="AEM80" s="16" t="n">
        <v>81</v>
      </c>
      <c r="AEN80" s="16" t="n">
        <v>49.9</v>
      </c>
      <c r="AEO80" s="0" t="n">
        <v>47.29</v>
      </c>
      <c r="AEP80" s="0" t="n">
        <v>0</v>
      </c>
      <c r="AEQ80" s="0" t="n">
        <v>45.65</v>
      </c>
      <c r="AER80" s="0" t="n">
        <v>6.91</v>
      </c>
      <c r="AES80" s="0" t="n">
        <v>0.15</v>
      </c>
      <c r="AET80" s="0" t="n">
        <v>0</v>
      </c>
      <c r="AEU80" s="0" t="n">
        <v>0</v>
      </c>
      <c r="AEV80" s="0" t="n">
        <v>0</v>
      </c>
      <c r="AEW80" s="0" t="n">
        <v>0</v>
      </c>
      <c r="AEX80" s="0" t="n">
        <v>0</v>
      </c>
      <c r="AEY80" s="0" t="n">
        <v>0</v>
      </c>
      <c r="AEZ80" s="0" t="n">
        <v>0</v>
      </c>
      <c r="AFA80" s="0" t="n">
        <v>9.23</v>
      </c>
      <c r="AFB80" s="0" t="n">
        <v>4.35</v>
      </c>
      <c r="AFC80" s="0" t="n">
        <v>6.63</v>
      </c>
      <c r="AFD80" s="0" t="n">
        <v>0</v>
      </c>
      <c r="AFE80" s="0" t="n">
        <v>0</v>
      </c>
      <c r="AFF80" s="0" t="n">
        <v>1</v>
      </c>
      <c r="AFG80" s="0" t="n">
        <v>5</v>
      </c>
      <c r="AFI80" s="0" t="n">
        <v>2</v>
      </c>
      <c r="AFS80" s="0" t="n">
        <v>1.1</v>
      </c>
      <c r="AFT80" s="0" t="n">
        <v>0</v>
      </c>
      <c r="AGE80" s="18"/>
      <c r="AGW80" s="0" t="n">
        <v>1</v>
      </c>
      <c r="AGX80" s="0" t="n">
        <v>50</v>
      </c>
      <c r="AGY80" s="0" t="n">
        <v>1</v>
      </c>
      <c r="AGZ80" s="0" t="n">
        <v>0.27</v>
      </c>
      <c r="AHA80" s="0" t="n">
        <v>2</v>
      </c>
      <c r="AIH80" s="16" t="n">
        <v>2.82</v>
      </c>
      <c r="AII80" s="16" t="n">
        <v>1</v>
      </c>
      <c r="AIJ80" s="16" t="n">
        <v>1</v>
      </c>
      <c r="AIK80" s="16"/>
      <c r="AIL80" s="16" t="n">
        <f aca="false">1.86+1.72+2.1+7.35+1.72+1.48+0.37*3</f>
        <v>17.34</v>
      </c>
      <c r="AIM80" s="16"/>
      <c r="AIN80" s="16"/>
      <c r="AIO80" s="16"/>
      <c r="AIP80" s="16"/>
      <c r="AIQ80" s="16"/>
      <c r="AIR80" s="16"/>
      <c r="AIS80" s="16" t="n">
        <v>3.33</v>
      </c>
      <c r="AIT80" s="16" t="n">
        <v>3.32</v>
      </c>
      <c r="AIU80" s="16"/>
      <c r="AIV80" s="16"/>
      <c r="AIW80" s="16" t="n">
        <v>0</v>
      </c>
      <c r="AIX80" s="16" t="n">
        <v>0</v>
      </c>
      <c r="AIY80" s="16" t="n">
        <v>0</v>
      </c>
      <c r="AIZ80" s="0" t="n">
        <v>0</v>
      </c>
      <c r="AJA80" s="0" t="s">
        <v>435</v>
      </c>
      <c r="AJB80" s="0" t="n">
        <v>52.5</v>
      </c>
      <c r="AJC80" s="16" t="n">
        <v>71.2</v>
      </c>
      <c r="AJD80" s="16" t="n">
        <v>81</v>
      </c>
      <c r="AJE80" s="16" t="n">
        <v>44.8</v>
      </c>
      <c r="AJF80" s="0" t="n">
        <v>59.03</v>
      </c>
      <c r="AJG80" s="0" t="n">
        <v>0</v>
      </c>
      <c r="AJH80" s="0" t="n">
        <v>22.52</v>
      </c>
      <c r="AJI80" s="0" t="n">
        <v>17.8</v>
      </c>
      <c r="AJJ80" s="0" t="n">
        <v>0.65</v>
      </c>
      <c r="AJK80" s="0" t="n">
        <v>0</v>
      </c>
      <c r="AJL80" s="0" t="n">
        <v>0</v>
      </c>
      <c r="AJM80" s="0" t="n">
        <v>0</v>
      </c>
      <c r="AJN80" s="0" t="n">
        <v>0</v>
      </c>
      <c r="AJO80" s="0" t="n">
        <v>0</v>
      </c>
      <c r="AJP80" s="0" t="n">
        <v>0</v>
      </c>
      <c r="AJQ80" s="0" t="n">
        <v>0</v>
      </c>
      <c r="AJR80" s="0" t="n">
        <v>3.42</v>
      </c>
      <c r="AJS80" s="0" t="n">
        <v>2.94</v>
      </c>
      <c r="AJT80" s="0" t="n">
        <v>0</v>
      </c>
      <c r="AJU80" s="0" t="n">
        <v>0</v>
      </c>
      <c r="AJV80" s="0" t="n">
        <v>0</v>
      </c>
      <c r="AJW80" s="0" t="n">
        <v>0</v>
      </c>
      <c r="AKJ80" s="0" t="n">
        <v>0</v>
      </c>
      <c r="AKK80" s="0" t="n">
        <v>1</v>
      </c>
      <c r="AKL80" s="0" t="n">
        <v>34</v>
      </c>
      <c r="AKM80" s="0" t="n">
        <v>8</v>
      </c>
      <c r="AKN80" s="0" t="n">
        <v>5.35</v>
      </c>
      <c r="AKO80" s="0" t="n">
        <v>1</v>
      </c>
      <c r="AKV80" s="18"/>
      <c r="ALN80" s="0" t="n">
        <v>0</v>
      </c>
    </row>
    <row r="81" customFormat="false" ht="13.8" hidden="false" customHeight="false" outlineLevel="0" collapsed="false">
      <c r="A81" s="1" t="s">
        <v>446</v>
      </c>
      <c r="B81" s="12" t="n">
        <v>42900</v>
      </c>
      <c r="C81" s="0" t="n">
        <v>1</v>
      </c>
      <c r="D81" s="13" t="n">
        <v>42790</v>
      </c>
      <c r="E81" s="12" t="n">
        <v>27940</v>
      </c>
      <c r="F81" s="14" t="n">
        <f aca="false">(B81-E81)/365.25</f>
        <v>40.9582477754962</v>
      </c>
      <c r="G81" s="14" t="n">
        <f aca="false">(B81-D81)/365.25</f>
        <v>0.301163586584531</v>
      </c>
      <c r="H81" s="15" t="s">
        <v>228</v>
      </c>
      <c r="I81" s="15" t="s">
        <v>447</v>
      </c>
      <c r="J81" s="15" t="s">
        <v>183</v>
      </c>
      <c r="K81" s="21" t="n">
        <v>8</v>
      </c>
      <c r="L81" s="19" t="n">
        <v>64</v>
      </c>
      <c r="M81" s="0" t="n">
        <v>1.55</v>
      </c>
      <c r="N81" s="16" t="n">
        <f aca="false">L81/(M81*M81)</f>
        <v>26.6389177939646</v>
      </c>
      <c r="O81" s="19" t="n">
        <v>0</v>
      </c>
      <c r="P81" s="19" t="n">
        <v>0</v>
      </c>
      <c r="Q81" s="19" t="n">
        <v>0</v>
      </c>
      <c r="R81" s="19" t="n">
        <v>0</v>
      </c>
      <c r="S81" s="19" t="n">
        <v>0</v>
      </c>
      <c r="T81" s="19" t="n">
        <v>0</v>
      </c>
      <c r="U81" s="19" t="n">
        <v>0</v>
      </c>
      <c r="V81" s="19" t="n">
        <v>0</v>
      </c>
      <c r="W81" s="19" t="n">
        <v>0</v>
      </c>
      <c r="X81" s="19" t="n">
        <v>0</v>
      </c>
      <c r="Y81" s="19" t="n">
        <v>0</v>
      </c>
      <c r="Z81" s="19" t="n">
        <v>0</v>
      </c>
      <c r="AA81" s="19" t="n">
        <v>0</v>
      </c>
      <c r="AB81" s="19" t="n">
        <v>0</v>
      </c>
      <c r="AC81" s="19" t="n">
        <v>0</v>
      </c>
      <c r="AD81" s="19" t="n">
        <v>0</v>
      </c>
      <c r="AE81" s="19" t="n">
        <v>0</v>
      </c>
      <c r="AF81" s="19" t="n">
        <v>0</v>
      </c>
      <c r="AG81" s="19" t="n">
        <v>0</v>
      </c>
      <c r="AH81" s="19" t="n">
        <v>0</v>
      </c>
      <c r="AI81" s="19" t="n">
        <v>0</v>
      </c>
      <c r="AJ81" s="19" t="n">
        <v>0</v>
      </c>
      <c r="AK81" s="19" t="n">
        <v>0</v>
      </c>
      <c r="AL81" s="19" t="n">
        <v>0</v>
      </c>
      <c r="AM81" s="19" t="n">
        <v>0</v>
      </c>
      <c r="AN81" s="19" t="n">
        <v>0</v>
      </c>
      <c r="AO81" s="19" t="n">
        <v>0</v>
      </c>
      <c r="AP81" s="19" t="n">
        <v>0</v>
      </c>
      <c r="AQ81" s="19" t="n">
        <v>0</v>
      </c>
      <c r="AR81" s="19" t="n">
        <v>0</v>
      </c>
      <c r="AS81" s="19" t="n">
        <v>0</v>
      </c>
      <c r="AT81" s="19" t="n">
        <v>0</v>
      </c>
      <c r="AU81" s="19" t="n">
        <v>0</v>
      </c>
      <c r="AV81" s="19" t="n">
        <v>0</v>
      </c>
      <c r="AW81" s="19" t="n">
        <v>0</v>
      </c>
      <c r="AX81" s="19" t="n">
        <v>0</v>
      </c>
      <c r="AY81" s="19" t="n">
        <v>0</v>
      </c>
      <c r="AZ81" s="19" t="n">
        <v>0</v>
      </c>
      <c r="BA81" s="19" t="n">
        <v>0</v>
      </c>
      <c r="BB81" s="19" t="n">
        <v>0</v>
      </c>
      <c r="BC81" s="19" t="n">
        <v>0</v>
      </c>
      <c r="BD81" s="19" t="n">
        <v>0</v>
      </c>
      <c r="BE81" s="19" t="n">
        <v>0</v>
      </c>
      <c r="BF81" s="19" t="n">
        <v>0</v>
      </c>
      <c r="BG81" s="19" t="n">
        <v>0</v>
      </c>
      <c r="BH81" s="19" t="n">
        <v>0</v>
      </c>
      <c r="BI81" s="19" t="n">
        <v>0</v>
      </c>
      <c r="BJ81" s="19" t="n">
        <v>0</v>
      </c>
      <c r="BK81" s="19" t="n">
        <v>0</v>
      </c>
      <c r="BL81" s="19" t="n">
        <v>0</v>
      </c>
      <c r="BM81" s="19" t="n">
        <v>0</v>
      </c>
      <c r="BN81" s="19" t="n">
        <v>0</v>
      </c>
      <c r="BO81" s="19" t="n">
        <v>0</v>
      </c>
      <c r="BP81" s="19" t="n">
        <v>0</v>
      </c>
      <c r="BQ81" s="19" t="n">
        <v>0</v>
      </c>
      <c r="BR81" s="19" t="n">
        <v>1</v>
      </c>
      <c r="BS81" s="19" t="n">
        <v>1</v>
      </c>
      <c r="BT81" s="19" t="n">
        <v>1</v>
      </c>
      <c r="BU81" s="19" t="n">
        <v>2</v>
      </c>
      <c r="BV81" s="19" t="n">
        <v>2</v>
      </c>
      <c r="BW81" s="19" t="n">
        <v>1</v>
      </c>
      <c r="BX81" s="19" t="n">
        <v>1</v>
      </c>
      <c r="BY81" s="19" t="n">
        <v>1</v>
      </c>
      <c r="BZ81" s="19" t="n">
        <v>3</v>
      </c>
      <c r="CA81" s="19" t="n">
        <v>3</v>
      </c>
      <c r="CB81" s="19" t="n">
        <v>4</v>
      </c>
      <c r="CC81" s="19" t="n">
        <v>5</v>
      </c>
      <c r="CD81" s="19" t="n">
        <v>3</v>
      </c>
      <c r="CE81" s="19" t="n">
        <v>5</v>
      </c>
      <c r="CF81" s="19" t="n">
        <v>4</v>
      </c>
      <c r="CG81" s="19" t="n">
        <v>5</v>
      </c>
      <c r="CH81" s="19" t="n">
        <v>3</v>
      </c>
      <c r="CI81" s="19" t="n">
        <v>3</v>
      </c>
      <c r="CJ81" s="19" t="n">
        <v>4</v>
      </c>
      <c r="CK81" s="19" t="n">
        <v>10</v>
      </c>
      <c r="CL81" s="0" t="s">
        <v>448</v>
      </c>
      <c r="CM81" s="0" t="n">
        <v>47</v>
      </c>
      <c r="CN81" s="16" t="n">
        <v>90.2</v>
      </c>
      <c r="CO81" s="16" t="n">
        <v>80.4</v>
      </c>
      <c r="CP81" s="16" t="n">
        <v>15.2</v>
      </c>
      <c r="CQ81" s="0" t="n">
        <v>86.39</v>
      </c>
      <c r="CR81" s="0" t="n">
        <v>0</v>
      </c>
      <c r="CS81" s="0" t="n">
        <v>0</v>
      </c>
      <c r="CT81" s="0" t="n">
        <v>0</v>
      </c>
      <c r="CU81" s="0" t="n">
        <v>13.61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16.36</v>
      </c>
      <c r="DD81" s="0" t="n">
        <v>23.57</v>
      </c>
      <c r="DE81" s="0" t="n">
        <v>29.14</v>
      </c>
      <c r="DF81" s="0" t="n">
        <v>0</v>
      </c>
      <c r="DG81" s="0" t="n">
        <v>0</v>
      </c>
      <c r="DH81" s="0" t="n">
        <v>0</v>
      </c>
      <c r="DU81" s="0" t="n">
        <v>23.6</v>
      </c>
      <c r="DV81" s="0" t="n">
        <v>1</v>
      </c>
      <c r="DW81" s="0" t="n">
        <v>68</v>
      </c>
      <c r="DX81" s="0" t="n">
        <v>8</v>
      </c>
      <c r="DY81" s="0" t="n">
        <f aca="false">0.76+0.03+0.27+0.05+0.03</f>
        <v>1.14</v>
      </c>
      <c r="DZ81" s="0" t="n">
        <v>1</v>
      </c>
      <c r="EA81" s="0" t="n">
        <v>35</v>
      </c>
      <c r="EB81" s="0" t="n">
        <v>4</v>
      </c>
      <c r="EC81" s="0" t="n">
        <f aca="false">1.52+0.27</f>
        <v>1.79</v>
      </c>
      <c r="ED81" s="0" t="n">
        <v>3</v>
      </c>
      <c r="EE81" s="0" t="n">
        <v>103</v>
      </c>
      <c r="EF81" s="0" t="n">
        <v>3</v>
      </c>
      <c r="EG81" s="18" t="n">
        <v>2.02</v>
      </c>
      <c r="EH81" s="0" t="n">
        <v>3</v>
      </c>
      <c r="EY81" s="0" t="n">
        <v>1</v>
      </c>
      <c r="EZ81" s="0" t="n">
        <v>80</v>
      </c>
      <c r="FA81" s="0" t="n">
        <v>3</v>
      </c>
      <c r="FB81" s="0" t="n">
        <f aca="false">0.04*2+0.45</f>
        <v>0.53</v>
      </c>
      <c r="FC81" s="0" t="n">
        <v>3</v>
      </c>
      <c r="GJ81" s="16" t="n">
        <v>0.4</v>
      </c>
      <c r="GK81" s="16" t="n">
        <v>1</v>
      </c>
      <c r="GL81" s="16" t="n">
        <v>1</v>
      </c>
      <c r="GM81" s="16"/>
      <c r="GN81" s="16" t="n">
        <f aca="false">1.25+0.1</f>
        <v>1.35</v>
      </c>
      <c r="GO81" s="16"/>
      <c r="GP81" s="16"/>
      <c r="GQ81" s="16"/>
      <c r="GR81" s="16"/>
      <c r="GS81" s="16"/>
      <c r="GT81" s="16"/>
      <c r="GU81" s="16" t="n">
        <v>4.96</v>
      </c>
      <c r="GV81" s="16" t="n">
        <v>2.6</v>
      </c>
      <c r="GW81" s="16"/>
      <c r="GX81" s="16"/>
      <c r="GY81" s="16" t="n">
        <v>0</v>
      </c>
      <c r="GZ81" s="16" t="n">
        <v>0</v>
      </c>
      <c r="HA81" s="16" t="n">
        <v>0</v>
      </c>
      <c r="HB81" s="0" t="n">
        <v>0</v>
      </c>
      <c r="HC81" s="0" t="s">
        <v>449</v>
      </c>
      <c r="HD81" s="0" t="n">
        <v>46.5</v>
      </c>
      <c r="HE81" s="16" t="n">
        <v>82.8</v>
      </c>
      <c r="HF81" s="16" t="n">
        <v>80.4</v>
      </c>
      <c r="HG81" s="16" t="n">
        <v>14.9</v>
      </c>
      <c r="HH81" s="0" t="n">
        <v>82.52</v>
      </c>
      <c r="HI81" s="0" t="n">
        <v>0</v>
      </c>
      <c r="HJ81" s="0" t="n">
        <v>0</v>
      </c>
      <c r="HK81" s="0" t="n">
        <v>0</v>
      </c>
      <c r="HL81" s="0" t="n">
        <v>17.48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37.3</v>
      </c>
      <c r="HU81" s="0" t="n">
        <v>16.79</v>
      </c>
      <c r="HV81" s="0" t="n">
        <v>15.04</v>
      </c>
      <c r="HW81" s="0" t="n">
        <v>0</v>
      </c>
      <c r="HX81" s="0" t="n">
        <v>0</v>
      </c>
      <c r="HY81" s="0" t="n">
        <v>0</v>
      </c>
      <c r="IL81" s="0" t="n">
        <v>18.9</v>
      </c>
      <c r="IM81" s="0" t="n">
        <v>1</v>
      </c>
      <c r="IN81" s="0" t="n">
        <v>68</v>
      </c>
      <c r="IO81" s="0" t="n">
        <v>1</v>
      </c>
      <c r="IP81" s="0" t="n">
        <v>0.13</v>
      </c>
      <c r="IQ81" s="0" t="n">
        <v>1</v>
      </c>
      <c r="IR81" s="0" t="n">
        <v>35</v>
      </c>
      <c r="IS81" s="0" t="n">
        <v>3</v>
      </c>
      <c r="IT81" s="0" t="n">
        <v>2.25</v>
      </c>
      <c r="IU81" s="0" t="n">
        <v>3</v>
      </c>
      <c r="IV81" s="0" t="n">
        <v>47</v>
      </c>
      <c r="IW81" s="0" t="n">
        <v>10</v>
      </c>
      <c r="IX81" s="18" t="n">
        <f aca="false">0.27+0.08+0.08+0.11+0.61+0.04</f>
        <v>1.19</v>
      </c>
      <c r="IY81" s="0" t="n">
        <v>3</v>
      </c>
      <c r="JP81" s="0" t="n">
        <v>1</v>
      </c>
      <c r="JQ81" s="0" t="n">
        <v>80</v>
      </c>
      <c r="JR81" s="0" t="n">
        <v>1</v>
      </c>
      <c r="JS81" s="0" t="n">
        <v>0.13</v>
      </c>
      <c r="JT81" s="0" t="n">
        <v>3</v>
      </c>
      <c r="LA81" s="16" t="n">
        <v>1.15</v>
      </c>
      <c r="LB81" s="16" t="n">
        <v>1</v>
      </c>
      <c r="LC81" s="16" t="n">
        <v>3</v>
      </c>
      <c r="LD81" s="16"/>
      <c r="LE81" s="16" t="n">
        <f aca="false">1.06+0.37*2</f>
        <v>1.8</v>
      </c>
      <c r="LF81" s="16"/>
      <c r="LG81" s="16"/>
      <c r="LH81" s="16"/>
      <c r="LI81" s="16"/>
      <c r="LJ81" s="16"/>
      <c r="LK81" s="16"/>
      <c r="LL81" s="16" t="n">
        <v>9.75</v>
      </c>
      <c r="LM81" s="16" t="n">
        <v>11.26</v>
      </c>
      <c r="LN81" s="16"/>
      <c r="LO81" s="16"/>
      <c r="LP81" s="16" t="n">
        <v>0</v>
      </c>
      <c r="LQ81" s="16" t="n">
        <v>0</v>
      </c>
      <c r="LR81" s="16" t="n">
        <v>0</v>
      </c>
      <c r="LS81" s="0" t="n">
        <v>0</v>
      </c>
      <c r="LT81" s="0" t="s">
        <v>450</v>
      </c>
      <c r="LU81" s="0" t="n">
        <v>33.5</v>
      </c>
      <c r="LV81" s="16" t="n">
        <v>82.2</v>
      </c>
      <c r="LW81" s="16" t="n">
        <v>80.4</v>
      </c>
      <c r="LX81" s="16" t="n">
        <v>19.5</v>
      </c>
      <c r="LY81" s="0" t="n">
        <v>80.12</v>
      </c>
      <c r="LZ81" s="0" t="n">
        <v>0</v>
      </c>
      <c r="MA81" s="0" t="n">
        <v>0</v>
      </c>
      <c r="MB81" s="0" t="n">
        <v>0</v>
      </c>
      <c r="MC81" s="0" t="n">
        <v>19.88</v>
      </c>
      <c r="MD81" s="0" t="n">
        <v>0</v>
      </c>
      <c r="ME81" s="0" t="n">
        <v>0</v>
      </c>
      <c r="MF81" s="0" t="n">
        <v>0</v>
      </c>
      <c r="MG81" s="0" t="n">
        <v>0</v>
      </c>
      <c r="MH81" s="0" t="n">
        <v>0</v>
      </c>
      <c r="MI81" s="0" t="n">
        <v>0</v>
      </c>
      <c r="MJ81" s="0" t="n">
        <v>0</v>
      </c>
      <c r="MK81" s="0" t="n">
        <v>0</v>
      </c>
      <c r="ML81" s="0" t="n">
        <v>16.82</v>
      </c>
      <c r="MM81" s="0" t="n">
        <v>20.29</v>
      </c>
      <c r="MN81" s="0" t="n">
        <v>0</v>
      </c>
      <c r="MO81" s="0" t="n">
        <v>0</v>
      </c>
      <c r="MP81" s="0" t="n">
        <v>0</v>
      </c>
      <c r="NC81" s="0" t="n">
        <v>0</v>
      </c>
      <c r="ND81" s="0" t="n">
        <v>0</v>
      </c>
      <c r="NO81" s="18"/>
      <c r="OG81" s="0" t="n">
        <v>0</v>
      </c>
      <c r="PR81" s="16" t="n">
        <v>2.43</v>
      </c>
      <c r="PS81" s="16" t="n">
        <v>1</v>
      </c>
      <c r="PT81" s="16" t="n">
        <v>2</v>
      </c>
      <c r="PU81" s="16"/>
      <c r="PV81" s="16" t="n">
        <f aca="false">8.46+0.21+0.37</f>
        <v>9.04</v>
      </c>
      <c r="PW81" s="16"/>
      <c r="PX81" s="16"/>
      <c r="PY81" s="16"/>
      <c r="PZ81" s="16"/>
      <c r="QA81" s="16"/>
      <c r="QB81" s="16"/>
      <c r="QC81" s="16" t="n">
        <v>9.41</v>
      </c>
      <c r="QD81" s="16" t="n">
        <v>22.76</v>
      </c>
      <c r="QE81" s="16"/>
      <c r="QF81" s="16"/>
      <c r="QG81" s="16" t="n">
        <v>0</v>
      </c>
      <c r="QH81" s="16" t="n">
        <v>0</v>
      </c>
      <c r="QI81" s="16" t="n">
        <v>0</v>
      </c>
      <c r="QJ81" s="0" t="n">
        <v>0</v>
      </c>
      <c r="QK81" s="0" t="s">
        <v>451</v>
      </c>
      <c r="QL81" s="0" t="n">
        <v>48.5</v>
      </c>
      <c r="QM81" s="16" t="n">
        <v>83.8</v>
      </c>
      <c r="QN81" s="16" t="n">
        <v>80.4</v>
      </c>
      <c r="QO81" s="16" t="n">
        <v>34.3</v>
      </c>
      <c r="QP81" s="0" t="n">
        <v>70.08</v>
      </c>
      <c r="QQ81" s="0" t="n">
        <v>0</v>
      </c>
      <c r="QR81" s="0" t="n">
        <v>18.24</v>
      </c>
      <c r="QS81" s="0" t="n">
        <v>1.05</v>
      </c>
      <c r="QT81" s="0" t="n">
        <v>1.14</v>
      </c>
      <c r="QU81" s="0" t="n">
        <v>0</v>
      </c>
      <c r="QV81" s="0" t="n">
        <v>0</v>
      </c>
      <c r="QW81" s="0" t="n">
        <v>0</v>
      </c>
      <c r="QX81" s="0" t="n">
        <v>0</v>
      </c>
      <c r="QY81" s="0" t="n">
        <v>0</v>
      </c>
      <c r="QZ81" s="0" t="n">
        <v>0</v>
      </c>
      <c r="RA81" s="0" t="n">
        <v>19.39</v>
      </c>
      <c r="RB81" s="0" t="n">
        <v>3.64</v>
      </c>
      <c r="RC81" s="0" t="n">
        <v>13.61</v>
      </c>
      <c r="RD81" s="0" t="n">
        <v>5.23</v>
      </c>
      <c r="RE81" s="0" t="n">
        <v>9.49</v>
      </c>
      <c r="RF81" s="0" t="n">
        <v>2.6</v>
      </c>
      <c r="RG81" s="0" t="n">
        <v>2</v>
      </c>
      <c r="RH81" s="0" t="n">
        <v>3</v>
      </c>
      <c r="RI81" s="0" t="n">
        <v>1.01</v>
      </c>
      <c r="RN81" s="0" t="n">
        <v>3</v>
      </c>
      <c r="RO81" s="0" t="n">
        <v>1.01</v>
      </c>
      <c r="RT81" s="0" t="n">
        <v>1.7</v>
      </c>
      <c r="RU81" s="0" t="n">
        <v>0</v>
      </c>
      <c r="SF81" s="18"/>
      <c r="SX81" s="0" t="n">
        <v>1</v>
      </c>
      <c r="SY81" s="0" t="n">
        <v>60</v>
      </c>
      <c r="SZ81" s="0" t="n">
        <v>1</v>
      </c>
      <c r="TA81" s="0" t="n">
        <v>1.05</v>
      </c>
      <c r="TB81" s="0" t="n">
        <v>1</v>
      </c>
      <c r="UI81" s="16" t="n">
        <v>3.52</v>
      </c>
      <c r="UJ81" s="16" t="n">
        <v>1</v>
      </c>
      <c r="UK81" s="16" t="n">
        <v>2</v>
      </c>
      <c r="UL81" s="16"/>
      <c r="UM81" s="16" t="n">
        <f aca="false">4.23+0.13</f>
        <v>4.36</v>
      </c>
      <c r="UN81" s="16"/>
      <c r="UO81" s="16"/>
      <c r="UP81" s="16"/>
      <c r="UQ81" s="16"/>
      <c r="UR81" s="16"/>
      <c r="US81" s="16"/>
      <c r="UT81" s="16" t="n">
        <v>0</v>
      </c>
      <c r="UU81" s="16" t="n">
        <v>0</v>
      </c>
      <c r="UV81" s="16"/>
      <c r="UW81" s="16"/>
      <c r="UX81" s="16" t="n">
        <v>5.97</v>
      </c>
      <c r="UY81" s="16" t="n">
        <v>0</v>
      </c>
      <c r="UZ81" s="16" t="n">
        <v>0</v>
      </c>
      <c r="VA81" s="0" t="n">
        <v>1</v>
      </c>
      <c r="VB81" s="0" t="s">
        <v>452</v>
      </c>
      <c r="VC81" s="0" t="n">
        <v>48</v>
      </c>
      <c r="VD81" s="16" t="n">
        <v>86.2</v>
      </c>
      <c r="VE81" s="16" t="n">
        <v>80.4</v>
      </c>
      <c r="VF81" s="16" t="n">
        <v>34.3</v>
      </c>
      <c r="VG81" s="0" t="n">
        <v>70.08</v>
      </c>
      <c r="VH81" s="0" t="n">
        <v>0</v>
      </c>
      <c r="VI81" s="0" t="n">
        <v>18.24</v>
      </c>
      <c r="VJ81" s="0" t="n">
        <v>1.05</v>
      </c>
      <c r="VK81" s="0" t="n">
        <v>1.14</v>
      </c>
      <c r="VL81" s="0" t="n">
        <v>0</v>
      </c>
      <c r="VM81" s="0" t="n">
        <v>0</v>
      </c>
      <c r="VN81" s="0" t="n">
        <v>0</v>
      </c>
      <c r="VO81" s="0" t="n">
        <v>0</v>
      </c>
      <c r="VP81" s="0" t="n">
        <v>0</v>
      </c>
      <c r="VQ81" s="0" t="n">
        <v>0</v>
      </c>
      <c r="VR81" s="0" t="n">
        <v>19.39</v>
      </c>
      <c r="VS81" s="0" t="n">
        <v>3.64</v>
      </c>
      <c r="VT81" s="0" t="n">
        <v>13.61</v>
      </c>
      <c r="VU81" s="0" t="n">
        <v>5.23</v>
      </c>
      <c r="VV81" s="0" t="n">
        <v>9.49</v>
      </c>
      <c r="VW81" s="0" t="n">
        <v>2.6</v>
      </c>
      <c r="VX81" s="0" t="n">
        <v>2</v>
      </c>
      <c r="VY81" s="0" t="n">
        <v>3</v>
      </c>
      <c r="VZ81" s="0" t="n">
        <v>1.01</v>
      </c>
      <c r="WE81" s="0" t="n">
        <v>3</v>
      </c>
      <c r="WF81" s="0" t="n">
        <v>1.01</v>
      </c>
      <c r="WK81" s="0" t="n">
        <v>1.7</v>
      </c>
      <c r="WL81" s="0" t="n">
        <v>0</v>
      </c>
      <c r="WW81" s="18"/>
      <c r="XO81" s="0" t="n">
        <v>1</v>
      </c>
      <c r="XP81" s="0" t="n">
        <v>60</v>
      </c>
      <c r="XQ81" s="0" t="n">
        <v>1</v>
      </c>
      <c r="XR81" s="0" t="n">
        <v>1.05</v>
      </c>
      <c r="XS81" s="0" t="n">
        <v>1</v>
      </c>
      <c r="YZ81" s="16" t="n">
        <v>3.52</v>
      </c>
      <c r="ZA81" s="16" t="n">
        <v>1</v>
      </c>
      <c r="ZB81" s="16" t="n">
        <v>2</v>
      </c>
      <c r="ZC81" s="16"/>
      <c r="ZD81" s="16" t="n">
        <f aca="false">4.23+0.13</f>
        <v>4.36</v>
      </c>
      <c r="ZE81" s="16"/>
      <c r="ZF81" s="16"/>
      <c r="ZG81" s="16"/>
      <c r="ZH81" s="16"/>
      <c r="ZI81" s="16"/>
      <c r="ZJ81" s="16"/>
      <c r="ZK81" s="16" t="n">
        <v>0</v>
      </c>
      <c r="ZL81" s="16" t="n">
        <v>0</v>
      </c>
      <c r="ZM81" s="16"/>
      <c r="ZN81" s="16"/>
      <c r="ZO81" s="16" t="n">
        <v>5.97</v>
      </c>
      <c r="ZP81" s="16" t="n">
        <v>0</v>
      </c>
      <c r="ZQ81" s="16" t="n">
        <v>0</v>
      </c>
      <c r="ZR81" s="0" t="n">
        <v>0</v>
      </c>
      <c r="ZS81" s="0" t="s">
        <v>453</v>
      </c>
      <c r="ZT81" s="0" t="n">
        <v>37.5</v>
      </c>
      <c r="ZU81" s="16" t="n">
        <v>79.4</v>
      </c>
      <c r="ZV81" s="16" t="n">
        <v>80.4</v>
      </c>
      <c r="ZW81" s="16" t="n">
        <v>10.9</v>
      </c>
      <c r="ZX81" s="0" t="n">
        <v>97.51</v>
      </c>
      <c r="ZY81" s="0" t="n">
        <v>0</v>
      </c>
      <c r="ZZ81" s="0" t="n">
        <v>2.49</v>
      </c>
      <c r="AAA81" s="0" t="n">
        <v>0</v>
      </c>
      <c r="AAB81" s="0" t="n">
        <v>0</v>
      </c>
      <c r="AAC81" s="0" t="n">
        <v>0</v>
      </c>
      <c r="AAD81" s="0" t="n">
        <v>0</v>
      </c>
      <c r="AAE81" s="0" t="n">
        <v>0</v>
      </c>
      <c r="AAF81" s="0" t="n">
        <v>0</v>
      </c>
      <c r="AAG81" s="0" t="n">
        <v>0</v>
      </c>
      <c r="AAH81" s="0" t="n">
        <v>0</v>
      </c>
      <c r="AAI81" s="0" t="n">
        <v>0</v>
      </c>
      <c r="AAJ81" s="0" t="n">
        <v>7.79</v>
      </c>
      <c r="AAK81" s="0" t="n">
        <v>20.08</v>
      </c>
      <c r="AAL81" s="0" t="n">
        <v>23.98</v>
      </c>
      <c r="AAM81" s="0" t="n">
        <v>0</v>
      </c>
      <c r="AAN81" s="0" t="n">
        <v>0</v>
      </c>
      <c r="AAO81" s="0" t="n">
        <v>0</v>
      </c>
      <c r="ABB81" s="0" t="n">
        <v>5.1</v>
      </c>
      <c r="ABC81" s="0" t="n">
        <v>1</v>
      </c>
      <c r="ABD81" s="0" t="n">
        <v>52</v>
      </c>
      <c r="ABE81" s="0" t="n">
        <v>3</v>
      </c>
      <c r="ABF81" s="0" t="n">
        <v>0.14</v>
      </c>
      <c r="ABG81" s="0" t="n">
        <v>2</v>
      </c>
      <c r="ABH81" s="0" t="n">
        <v>47</v>
      </c>
      <c r="ABI81" s="0" t="n">
        <v>7</v>
      </c>
      <c r="ABJ81" s="0" t="n">
        <f aca="false">0.13+0.27+0.04+0.04+0.13+0.13</f>
        <v>0.74</v>
      </c>
      <c r="ABK81" s="0" t="n">
        <v>3</v>
      </c>
      <c r="ABN81" s="18"/>
      <c r="ACF81" s="0" t="n">
        <v>0</v>
      </c>
      <c r="ADQ81" s="16" t="n">
        <v>4.48</v>
      </c>
      <c r="ADR81" s="16" t="n">
        <v>1</v>
      </c>
      <c r="ADS81" s="16" t="n">
        <v>2</v>
      </c>
      <c r="ADT81" s="16"/>
      <c r="ADU81" s="16" t="n">
        <f aca="false">3.17+6.34+0.56+1.12</f>
        <v>11.19</v>
      </c>
      <c r="ADV81" s="16"/>
      <c r="ADW81" s="16"/>
      <c r="ADX81" s="16"/>
      <c r="ADY81" s="16"/>
      <c r="ADZ81" s="16"/>
      <c r="AEA81" s="16"/>
      <c r="AEB81" s="16" t="n">
        <v>13.79</v>
      </c>
      <c r="AEC81" s="16" t="n">
        <v>38.27</v>
      </c>
      <c r="AED81" s="16"/>
      <c r="AEE81" s="16"/>
      <c r="AEF81" s="16" t="n">
        <v>0</v>
      </c>
      <c r="AEG81" s="16" t="n">
        <v>0</v>
      </c>
      <c r="AEH81" s="16" t="n">
        <v>0</v>
      </c>
      <c r="AEI81" s="0" t="n">
        <v>0</v>
      </c>
      <c r="AEK81" s="15"/>
      <c r="AEL81" s="15"/>
      <c r="AES81" s="15"/>
      <c r="AET81" s="15"/>
      <c r="AFA81" s="15"/>
      <c r="AFB81" s="15"/>
      <c r="AFI81" s="15"/>
      <c r="AFJ81" s="15"/>
      <c r="AFQ81" s="15"/>
      <c r="AFR81" s="15"/>
      <c r="AFY81" s="15"/>
      <c r="AFZ81" s="15"/>
      <c r="AGG81" s="15"/>
      <c r="AGH81" s="15"/>
      <c r="AGO81" s="15"/>
      <c r="AGP81" s="15"/>
      <c r="AGW81" s="15"/>
      <c r="AGX81" s="15"/>
      <c r="AHE81" s="15"/>
      <c r="AHF81" s="15"/>
      <c r="AHM81" s="15"/>
      <c r="AHN81" s="15"/>
      <c r="AHU81" s="15"/>
      <c r="AHV81" s="15"/>
      <c r="AIC81" s="15"/>
      <c r="AID81" s="15"/>
      <c r="AIK81" s="15"/>
      <c r="AIL81" s="15"/>
      <c r="AIS81" s="15"/>
      <c r="AIT81" s="15"/>
      <c r="AJA81" s="15"/>
      <c r="AJB81" s="15"/>
      <c r="AJI81" s="15"/>
      <c r="AJJ81" s="15"/>
      <c r="AJQ81" s="15"/>
      <c r="AJR81" s="15"/>
      <c r="AJY81" s="15"/>
      <c r="AJZ81" s="15"/>
      <c r="AKG81" s="15"/>
      <c r="AKH81" s="15"/>
      <c r="AKO81" s="15"/>
      <c r="AKP81" s="15"/>
      <c r="AKW81" s="15"/>
      <c r="AKX81" s="15"/>
      <c r="ALE81" s="15"/>
      <c r="ALF81" s="15"/>
      <c r="ALM81" s="15"/>
      <c r="ALN81" s="15"/>
      <c r="ALU81" s="15"/>
      <c r="ALV81" s="15"/>
      <c r="AMC81" s="15"/>
      <c r="AMD81" s="15"/>
    </row>
    <row r="82" customFormat="false" ht="13.8" hidden="false" customHeight="false" outlineLevel="0" collapsed="false">
      <c r="A82" s="1" t="s">
        <v>454</v>
      </c>
      <c r="B82" s="12" t="n">
        <v>42899</v>
      </c>
      <c r="C82" s="0" t="n">
        <v>2</v>
      </c>
      <c r="D82" s="13" t="n">
        <v>40700</v>
      </c>
      <c r="E82" s="12" t="n">
        <v>28414</v>
      </c>
      <c r="F82" s="14" t="n">
        <f aca="false">(B82-E82)/365.25</f>
        <v>39.6577686516085</v>
      </c>
      <c r="G82" s="14" t="n">
        <f aca="false">(B82-D82)/365.25</f>
        <v>6.02053388090349</v>
      </c>
      <c r="H82" s="15" t="s">
        <v>228</v>
      </c>
      <c r="I82" s="15" t="s">
        <v>447</v>
      </c>
      <c r="J82" s="15" t="s">
        <v>181</v>
      </c>
      <c r="K82" s="21" t="n">
        <v>4</v>
      </c>
      <c r="L82" s="19" t="n">
        <v>68</v>
      </c>
      <c r="M82" s="0" t="n">
        <v>1.67</v>
      </c>
      <c r="N82" s="16" t="n">
        <f aca="false">L82/(M82*M82)</f>
        <v>24.3823729785937</v>
      </c>
      <c r="O82" s="19" t="n">
        <v>0</v>
      </c>
      <c r="P82" s="19" t="n">
        <v>0</v>
      </c>
      <c r="Q82" s="19" t="n">
        <v>0</v>
      </c>
      <c r="R82" s="19" t="n">
        <v>0</v>
      </c>
      <c r="S82" s="19" t="n">
        <v>0</v>
      </c>
      <c r="T82" s="19" t="n">
        <v>0</v>
      </c>
      <c r="U82" s="19" t="n">
        <v>0</v>
      </c>
      <c r="V82" s="19" t="n">
        <v>0</v>
      </c>
      <c r="W82" s="19" t="n">
        <v>1</v>
      </c>
      <c r="X82" s="19" t="n">
        <v>0</v>
      </c>
      <c r="Y82" s="19" t="n">
        <v>0</v>
      </c>
      <c r="Z82" s="19" t="n">
        <v>0</v>
      </c>
      <c r="AA82" s="19" t="n">
        <v>0</v>
      </c>
      <c r="AB82" s="19" t="n">
        <v>0</v>
      </c>
      <c r="AC82" s="19" t="n">
        <v>0</v>
      </c>
      <c r="AD82" s="19" t="n">
        <v>0</v>
      </c>
      <c r="AE82" s="19" t="n">
        <v>0</v>
      </c>
      <c r="AF82" s="19" t="n">
        <v>0</v>
      </c>
      <c r="AG82" s="19" t="n">
        <v>0</v>
      </c>
      <c r="AH82" s="19" t="n">
        <v>0</v>
      </c>
      <c r="AI82" s="19" t="n">
        <v>0</v>
      </c>
      <c r="AJ82" s="19" t="n">
        <v>0</v>
      </c>
      <c r="AK82" s="19" t="n">
        <v>0</v>
      </c>
      <c r="AL82" s="19" t="n">
        <v>0</v>
      </c>
      <c r="AM82" s="19" t="n">
        <v>0</v>
      </c>
      <c r="AN82" s="19" t="n">
        <v>0</v>
      </c>
      <c r="AO82" s="19" t="n">
        <v>0</v>
      </c>
      <c r="AP82" s="19" t="n">
        <v>0</v>
      </c>
      <c r="AQ82" s="19" t="n">
        <v>0</v>
      </c>
      <c r="AR82" s="19" t="n">
        <v>0</v>
      </c>
      <c r="AS82" s="19" t="n">
        <v>1</v>
      </c>
      <c r="AT82" s="19" t="n">
        <v>1</v>
      </c>
      <c r="AU82" s="19" t="n">
        <v>1</v>
      </c>
      <c r="AV82" s="19" t="n">
        <v>3</v>
      </c>
      <c r="AW82" s="19" t="n">
        <v>0</v>
      </c>
      <c r="AX82" s="19" t="n">
        <v>0</v>
      </c>
      <c r="AY82" s="19" t="n">
        <v>0</v>
      </c>
      <c r="AZ82" s="19" t="n">
        <v>0</v>
      </c>
      <c r="BA82" s="19" t="n">
        <v>0</v>
      </c>
      <c r="BB82" s="19" t="n">
        <v>1</v>
      </c>
      <c r="BC82" s="19" t="n">
        <v>1</v>
      </c>
      <c r="BD82" s="19" t="n">
        <v>1</v>
      </c>
      <c r="BE82" s="19" t="n">
        <v>2</v>
      </c>
      <c r="BF82" s="19" t="n">
        <v>0</v>
      </c>
      <c r="BG82" s="19" t="n">
        <v>0</v>
      </c>
      <c r="BH82" s="19" t="n">
        <v>0</v>
      </c>
      <c r="BI82" s="19" t="n">
        <v>0</v>
      </c>
      <c r="BJ82" s="19" t="n">
        <v>0</v>
      </c>
      <c r="BK82" s="19" t="n">
        <v>0</v>
      </c>
      <c r="BL82" s="19" t="n">
        <v>0</v>
      </c>
      <c r="BM82" s="19" t="n">
        <v>0</v>
      </c>
      <c r="BN82" s="19" t="n">
        <v>0</v>
      </c>
      <c r="BO82" s="19" t="n">
        <v>0</v>
      </c>
      <c r="BP82" s="19" t="n">
        <v>0</v>
      </c>
      <c r="BQ82" s="19" t="n">
        <v>0</v>
      </c>
      <c r="BR82" s="19" t="n">
        <v>1</v>
      </c>
      <c r="BS82" s="19" t="n">
        <v>1</v>
      </c>
      <c r="BT82" s="19" t="n">
        <v>1</v>
      </c>
      <c r="BU82" s="19" t="n">
        <v>3</v>
      </c>
      <c r="BV82" s="19" t="n">
        <v>1</v>
      </c>
      <c r="BW82" s="19" t="n">
        <v>1</v>
      </c>
      <c r="BX82" s="19" t="n">
        <v>1</v>
      </c>
      <c r="BY82" s="19" t="n">
        <v>3</v>
      </c>
      <c r="BZ82" s="19" t="n">
        <v>3</v>
      </c>
      <c r="CA82" s="19" t="n">
        <v>3</v>
      </c>
      <c r="CB82" s="19" t="n">
        <v>5</v>
      </c>
      <c r="CC82" s="19" t="n">
        <v>5</v>
      </c>
      <c r="CD82" s="19" t="n">
        <v>3</v>
      </c>
      <c r="CE82" s="19" t="n">
        <v>5</v>
      </c>
      <c r="CF82" s="19" t="n">
        <v>5</v>
      </c>
      <c r="CG82" s="19" t="n">
        <v>5</v>
      </c>
      <c r="CH82" s="19" t="n">
        <v>3</v>
      </c>
      <c r="CI82" s="19" t="n">
        <v>3</v>
      </c>
      <c r="CJ82" s="19" t="n">
        <v>5</v>
      </c>
      <c r="CK82" s="19"/>
      <c r="CL82" s="0" t="n">
        <v>57</v>
      </c>
      <c r="CM82" s="0" t="n">
        <v>24.5</v>
      </c>
      <c r="CN82" s="16" t="n">
        <v>70</v>
      </c>
      <c r="CO82" s="16" t="n">
        <v>80.4</v>
      </c>
      <c r="CP82" s="16" t="n">
        <v>15.5</v>
      </c>
      <c r="CQ82" s="0" t="n">
        <v>85.6</v>
      </c>
      <c r="CR82" s="0" t="n">
        <v>0</v>
      </c>
      <c r="CS82" s="0" t="n">
        <v>0</v>
      </c>
      <c r="CT82" s="0" t="n">
        <v>0</v>
      </c>
      <c r="CU82" s="0" t="n">
        <v>14.4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6.46</v>
      </c>
      <c r="DD82" s="0" t="n">
        <v>24.97</v>
      </c>
      <c r="DE82" s="0" t="n">
        <v>15</v>
      </c>
      <c r="DF82" s="0" t="n">
        <v>0</v>
      </c>
      <c r="DG82" s="0" t="n">
        <v>0</v>
      </c>
      <c r="DH82" s="0" t="n">
        <v>0</v>
      </c>
      <c r="DU82" s="0" t="n">
        <v>3.6</v>
      </c>
      <c r="DV82" s="0" t="n">
        <v>1</v>
      </c>
      <c r="DW82" s="0" t="n">
        <v>35</v>
      </c>
      <c r="DX82" s="0" t="n">
        <v>1</v>
      </c>
      <c r="DY82" s="0" t="n">
        <v>0.76</v>
      </c>
      <c r="DZ82" s="0" t="n">
        <v>3</v>
      </c>
      <c r="EG82" s="18"/>
      <c r="EY82" s="0" t="n">
        <v>1</v>
      </c>
      <c r="EZ82" s="0" t="n">
        <v>60</v>
      </c>
      <c r="FA82" s="0" t="n">
        <v>5</v>
      </c>
      <c r="FB82" s="0" t="n">
        <f aca="false">2.04+0.14</f>
        <v>2.18</v>
      </c>
      <c r="FC82" s="0" t="n">
        <v>3</v>
      </c>
      <c r="GJ82" s="16" t="n">
        <v>0.63</v>
      </c>
      <c r="GK82" s="16" t="n">
        <v>1</v>
      </c>
      <c r="GL82" s="16" t="n">
        <v>1</v>
      </c>
      <c r="GM82" s="16"/>
      <c r="GN82" s="16" t="n">
        <v>4.23</v>
      </c>
      <c r="GO82" s="16"/>
      <c r="GP82" s="16"/>
      <c r="GQ82" s="16"/>
      <c r="GR82" s="16"/>
      <c r="GS82" s="16"/>
      <c r="GT82" s="16"/>
      <c r="GU82" s="16" t="n">
        <v>3.25</v>
      </c>
      <c r="GV82" s="16" t="n">
        <v>3.26</v>
      </c>
      <c r="GW82" s="16"/>
      <c r="GX82" s="16"/>
      <c r="GY82" s="16" t="n">
        <v>0</v>
      </c>
      <c r="GZ82" s="16" t="n">
        <v>0</v>
      </c>
      <c r="HA82" s="16" t="n">
        <v>0</v>
      </c>
      <c r="HB82" s="0" t="n">
        <v>0</v>
      </c>
      <c r="HC82" s="0" t="s">
        <v>455</v>
      </c>
      <c r="HD82" s="0" t="n">
        <v>48.5</v>
      </c>
      <c r="HE82" s="16" t="n">
        <v>90.8</v>
      </c>
      <c r="HF82" s="16" t="n">
        <v>80.4</v>
      </c>
      <c r="HG82" s="16" t="n">
        <v>27.5</v>
      </c>
      <c r="HH82" s="0" t="n">
        <v>74.34</v>
      </c>
      <c r="HI82" s="0" t="n">
        <v>0</v>
      </c>
      <c r="HJ82" s="0" t="n">
        <v>12.29</v>
      </c>
      <c r="HK82" s="0" t="n">
        <v>0</v>
      </c>
      <c r="HL82" s="0" t="n">
        <v>13.37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14.01</v>
      </c>
      <c r="HV82" s="0" t="n">
        <v>63.09</v>
      </c>
      <c r="HW82" s="0" t="n">
        <v>0</v>
      </c>
      <c r="HX82" s="0" t="n">
        <v>0</v>
      </c>
      <c r="HY82" s="0" t="n">
        <v>0</v>
      </c>
      <c r="IL82" s="0" t="n">
        <v>13</v>
      </c>
      <c r="IM82" s="0" t="n">
        <v>1</v>
      </c>
      <c r="IN82" s="0" t="n">
        <v>34</v>
      </c>
      <c r="IO82" s="0" t="n">
        <v>11</v>
      </c>
      <c r="IP82" s="0" t="n">
        <f aca="false">11.42+1.34</f>
        <v>12.76</v>
      </c>
      <c r="IQ82" s="0" t="n">
        <v>1</v>
      </c>
      <c r="IR82" s="0" t="n">
        <v>68</v>
      </c>
      <c r="IS82" s="0" t="n">
        <v>15</v>
      </c>
      <c r="IT82" s="0" t="n">
        <v>2.8</v>
      </c>
      <c r="IU82" s="0" t="n">
        <v>1</v>
      </c>
      <c r="IX82" s="18"/>
      <c r="JP82" s="0" t="n">
        <v>1</v>
      </c>
      <c r="JQ82" s="0" t="n">
        <v>60</v>
      </c>
      <c r="JR82" s="0" t="n">
        <v>20</v>
      </c>
      <c r="JS82" s="0" t="n">
        <v>15.23</v>
      </c>
      <c r="JT82" s="0" t="n">
        <v>3</v>
      </c>
      <c r="LA82" s="16" t="n">
        <v>0</v>
      </c>
      <c r="LB82" s="16" t="n">
        <v>0</v>
      </c>
      <c r="LC82" s="16"/>
      <c r="LD82" s="16"/>
      <c r="LE82" s="16"/>
      <c r="LF82" s="16"/>
      <c r="LG82" s="16"/>
      <c r="LH82" s="16"/>
      <c r="LI82" s="16"/>
      <c r="LJ82" s="16"/>
      <c r="LK82" s="16"/>
      <c r="LL82" s="16" t="n">
        <v>0</v>
      </c>
      <c r="LM82" s="16" t="n">
        <v>0</v>
      </c>
      <c r="LN82" s="16"/>
      <c r="LO82" s="16"/>
      <c r="LP82" s="16" t="n">
        <v>7.46</v>
      </c>
      <c r="LQ82" s="16" t="n">
        <v>0</v>
      </c>
      <c r="LR82" s="16" t="n">
        <v>0</v>
      </c>
      <c r="LS82" s="0" t="n">
        <v>1</v>
      </c>
      <c r="LT82" s="0" t="s">
        <v>448</v>
      </c>
      <c r="LU82" s="0" t="n">
        <v>47</v>
      </c>
      <c r="LV82" s="16" t="n">
        <v>90.2</v>
      </c>
      <c r="LW82" s="16" t="n">
        <v>80.4</v>
      </c>
      <c r="LX82" s="16" t="n">
        <v>15.2</v>
      </c>
      <c r="LY82" s="0" t="n">
        <v>86.39</v>
      </c>
      <c r="LZ82" s="0" t="n">
        <v>0</v>
      </c>
      <c r="MA82" s="0" t="n">
        <v>0</v>
      </c>
      <c r="MB82" s="0" t="n">
        <v>0</v>
      </c>
      <c r="MC82" s="0" t="n">
        <v>13.61</v>
      </c>
      <c r="MD82" s="0" t="n">
        <v>0</v>
      </c>
      <c r="ME82" s="0" t="n">
        <v>0</v>
      </c>
      <c r="MF82" s="0" t="n">
        <v>0</v>
      </c>
      <c r="MG82" s="0" t="n">
        <v>0</v>
      </c>
      <c r="MH82" s="0" t="n">
        <v>0</v>
      </c>
      <c r="MI82" s="0" t="n">
        <v>0</v>
      </c>
      <c r="MJ82" s="0" t="n">
        <v>0</v>
      </c>
      <c r="MK82" s="0" t="n">
        <v>16.36</v>
      </c>
      <c r="ML82" s="0" t="n">
        <v>23.57</v>
      </c>
      <c r="MM82" s="0" t="n">
        <v>29.14</v>
      </c>
      <c r="MN82" s="0" t="n">
        <v>0</v>
      </c>
      <c r="MO82" s="0" t="n">
        <v>0</v>
      </c>
      <c r="MP82" s="0" t="n">
        <v>0</v>
      </c>
      <c r="NC82" s="0" t="n">
        <v>23.6</v>
      </c>
      <c r="ND82" s="0" t="n">
        <v>1</v>
      </c>
      <c r="NE82" s="0" t="n">
        <v>68</v>
      </c>
      <c r="NF82" s="0" t="n">
        <v>8</v>
      </c>
      <c r="NG82" s="0" t="n">
        <f aca="false">0.76+0.03+0.27+0.05+0.03</f>
        <v>1.14</v>
      </c>
      <c r="NH82" s="0" t="n">
        <v>1</v>
      </c>
      <c r="NI82" s="0" t="n">
        <v>35</v>
      </c>
      <c r="NJ82" s="0" t="n">
        <v>4</v>
      </c>
      <c r="NK82" s="0" t="n">
        <f aca="false">1.52+0.27</f>
        <v>1.79</v>
      </c>
      <c r="NL82" s="0" t="n">
        <v>3</v>
      </c>
      <c r="NM82" s="0" t="n">
        <v>103</v>
      </c>
      <c r="NN82" s="0" t="n">
        <v>3</v>
      </c>
      <c r="NO82" s="18" t="n">
        <v>2.02</v>
      </c>
      <c r="NP82" s="0" t="n">
        <v>3</v>
      </c>
      <c r="OG82" s="0" t="n">
        <v>1</v>
      </c>
      <c r="OH82" s="0" t="n">
        <v>80</v>
      </c>
      <c r="OI82" s="0" t="n">
        <v>3</v>
      </c>
      <c r="OJ82" s="0" t="n">
        <f aca="false">0.04*2+0.45</f>
        <v>0.53</v>
      </c>
      <c r="OK82" s="0" t="n">
        <v>3</v>
      </c>
      <c r="PR82" s="16" t="n">
        <v>0.4</v>
      </c>
      <c r="PS82" s="16" t="n">
        <v>1</v>
      </c>
      <c r="PT82" s="16" t="n">
        <v>1</v>
      </c>
      <c r="PU82" s="16"/>
      <c r="PV82" s="16" t="n">
        <f aca="false">1.25+0.1</f>
        <v>1.35</v>
      </c>
      <c r="PW82" s="16"/>
      <c r="PX82" s="16"/>
      <c r="PY82" s="16"/>
      <c r="PZ82" s="16"/>
      <c r="QA82" s="16"/>
      <c r="QB82" s="16"/>
      <c r="QC82" s="16" t="n">
        <v>4.96</v>
      </c>
      <c r="QD82" s="16" t="n">
        <v>2.6</v>
      </c>
      <c r="QE82" s="16"/>
      <c r="QF82" s="16"/>
      <c r="QG82" s="16" t="n">
        <v>0</v>
      </c>
      <c r="QH82" s="16" t="n">
        <v>0</v>
      </c>
      <c r="QI82" s="16" t="n">
        <v>0</v>
      </c>
      <c r="QJ82" s="0" t="n">
        <v>0</v>
      </c>
      <c r="QK82" s="0" t="s">
        <v>449</v>
      </c>
      <c r="QL82" s="0" t="n">
        <v>46.5</v>
      </c>
      <c r="QM82" s="16" t="n">
        <v>82.8</v>
      </c>
      <c r="QN82" s="16" t="n">
        <v>80.4</v>
      </c>
      <c r="QO82" s="16" t="n">
        <v>14.9</v>
      </c>
      <c r="QP82" s="0" t="n">
        <v>82.52</v>
      </c>
      <c r="QQ82" s="0" t="n">
        <v>0</v>
      </c>
      <c r="QR82" s="0" t="n">
        <v>0</v>
      </c>
      <c r="QS82" s="0" t="n">
        <v>0</v>
      </c>
      <c r="QT82" s="0" t="n">
        <v>17.48</v>
      </c>
      <c r="QU82" s="0" t="n">
        <v>0</v>
      </c>
      <c r="QV82" s="0" t="n">
        <v>0</v>
      </c>
      <c r="QW82" s="0" t="n">
        <v>0</v>
      </c>
      <c r="QX82" s="0" t="n">
        <v>0</v>
      </c>
      <c r="QY82" s="0" t="n">
        <v>0</v>
      </c>
      <c r="QZ82" s="0" t="n">
        <v>0</v>
      </c>
      <c r="RA82" s="0" t="n">
        <v>0</v>
      </c>
      <c r="RB82" s="0" t="n">
        <v>37.3</v>
      </c>
      <c r="RC82" s="0" t="n">
        <v>16.79</v>
      </c>
      <c r="RD82" s="0" t="n">
        <v>15.04</v>
      </c>
      <c r="RE82" s="0" t="n">
        <v>0</v>
      </c>
      <c r="RF82" s="0" t="n">
        <v>0</v>
      </c>
      <c r="RG82" s="0" t="n">
        <v>0</v>
      </c>
      <c r="RT82" s="0" t="n">
        <v>18.9</v>
      </c>
      <c r="RU82" s="0" t="n">
        <v>1</v>
      </c>
      <c r="RV82" s="0" t="n">
        <v>68</v>
      </c>
      <c r="RW82" s="0" t="n">
        <v>1</v>
      </c>
      <c r="RX82" s="0" t="n">
        <v>0.13</v>
      </c>
      <c r="RY82" s="0" t="n">
        <v>1</v>
      </c>
      <c r="RZ82" s="0" t="n">
        <v>35</v>
      </c>
      <c r="SA82" s="0" t="n">
        <v>3</v>
      </c>
      <c r="SB82" s="0" t="n">
        <v>2.25</v>
      </c>
      <c r="SC82" s="0" t="n">
        <v>3</v>
      </c>
      <c r="SD82" s="0" t="n">
        <v>47</v>
      </c>
      <c r="SE82" s="0" t="n">
        <v>10</v>
      </c>
      <c r="SF82" s="18" t="n">
        <f aca="false">0.27+0.08+0.08+0.11+0.61+0.04</f>
        <v>1.19</v>
      </c>
      <c r="SG82" s="0" t="n">
        <v>3</v>
      </c>
      <c r="SX82" s="0" t="n">
        <v>1</v>
      </c>
      <c r="SY82" s="0" t="n">
        <v>80</v>
      </c>
      <c r="SZ82" s="0" t="n">
        <v>1</v>
      </c>
      <c r="TA82" s="0" t="n">
        <v>0.13</v>
      </c>
      <c r="TB82" s="0" t="n">
        <v>3</v>
      </c>
      <c r="UI82" s="16" t="n">
        <v>1.15</v>
      </c>
      <c r="UJ82" s="16" t="n">
        <v>1</v>
      </c>
      <c r="UK82" s="16" t="n">
        <v>3</v>
      </c>
      <c r="UL82" s="16"/>
      <c r="UM82" s="16" t="n">
        <f aca="false">1.06+0.37*2</f>
        <v>1.8</v>
      </c>
      <c r="UN82" s="16"/>
      <c r="UO82" s="16"/>
      <c r="UP82" s="16"/>
      <c r="UQ82" s="16"/>
      <c r="UR82" s="16"/>
      <c r="US82" s="16"/>
      <c r="UT82" s="16" t="n">
        <v>9.75</v>
      </c>
      <c r="UU82" s="16" t="n">
        <v>11.26</v>
      </c>
      <c r="UV82" s="16"/>
      <c r="UW82" s="16"/>
      <c r="UX82" s="16" t="n">
        <v>0</v>
      </c>
      <c r="UY82" s="16" t="n">
        <v>0</v>
      </c>
      <c r="UZ82" s="16" t="n">
        <v>0</v>
      </c>
      <c r="VA82" s="0" t="n">
        <v>0</v>
      </c>
      <c r="VB82" s="0" t="s">
        <v>456</v>
      </c>
      <c r="VC82" s="0" t="n">
        <v>79.5</v>
      </c>
      <c r="VD82" s="16" t="n">
        <v>92.6</v>
      </c>
      <c r="VE82" s="16" t="n">
        <v>80.4</v>
      </c>
      <c r="VF82" s="16" t="n">
        <v>25.3</v>
      </c>
      <c r="VG82" s="0" t="n">
        <v>77.91</v>
      </c>
      <c r="VH82" s="0" t="n">
        <v>0</v>
      </c>
      <c r="VI82" s="0" t="n">
        <v>0.76</v>
      </c>
      <c r="VJ82" s="0" t="n">
        <v>0</v>
      </c>
      <c r="VK82" s="0" t="n">
        <v>21.33</v>
      </c>
      <c r="VL82" s="0" t="n">
        <v>0</v>
      </c>
      <c r="VM82" s="0" t="n">
        <v>0</v>
      </c>
      <c r="VN82" s="0" t="n">
        <v>0</v>
      </c>
      <c r="VO82" s="0" t="n">
        <v>0</v>
      </c>
      <c r="VP82" s="0" t="n">
        <v>0</v>
      </c>
      <c r="VQ82" s="0" t="n">
        <v>0</v>
      </c>
      <c r="VR82" s="0" t="n">
        <v>4.99</v>
      </c>
      <c r="VS82" s="0" t="n">
        <v>0</v>
      </c>
      <c r="VT82" s="0" t="n">
        <v>5.93</v>
      </c>
      <c r="VU82" s="0" t="n">
        <v>41.31</v>
      </c>
      <c r="VV82" s="0" t="n">
        <v>0</v>
      </c>
      <c r="VW82" s="0" t="n">
        <v>10.6</v>
      </c>
      <c r="VX82" s="0" t="n">
        <v>2</v>
      </c>
      <c r="VY82" s="0" t="n">
        <v>3</v>
      </c>
      <c r="VZ82" s="0" t="n">
        <v>6.39</v>
      </c>
      <c r="WE82" s="0" t="n">
        <v>3</v>
      </c>
      <c r="WF82" s="0" t="n">
        <v>6.39</v>
      </c>
      <c r="WK82" s="0" t="n">
        <v>19.9</v>
      </c>
      <c r="WL82" s="0" t="n">
        <v>1</v>
      </c>
      <c r="WM82" s="0" t="n">
        <v>52</v>
      </c>
      <c r="WN82" s="0" t="n">
        <v>2</v>
      </c>
      <c r="WO82" s="0" t="n">
        <f aca="false">0.05+0.08</f>
        <v>0.13</v>
      </c>
      <c r="WP82" s="0" t="n">
        <v>2</v>
      </c>
      <c r="WQ82" s="0" t="n">
        <v>47</v>
      </c>
      <c r="WR82" s="0" t="n">
        <v>12</v>
      </c>
      <c r="WS82" s="0" t="n">
        <f aca="false">1.52+0.11+0.27+0.07+0.1+0.16+0.13+0.13</f>
        <v>2.49</v>
      </c>
      <c r="WT82" s="0" t="n">
        <v>3</v>
      </c>
      <c r="WW82" s="18"/>
      <c r="XO82" s="0" t="n">
        <v>0</v>
      </c>
      <c r="YZ82" s="16" t="n">
        <v>6.39</v>
      </c>
      <c r="ZA82" s="16" t="n">
        <v>1</v>
      </c>
      <c r="ZB82" s="16" t="n">
        <v>2</v>
      </c>
      <c r="ZC82" s="16"/>
      <c r="ZD82" s="16" t="n">
        <f aca="false">2.11+1.52+2.11+0.3+0.22*2</f>
        <v>6.48</v>
      </c>
      <c r="ZE82" s="16"/>
      <c r="ZF82" s="16"/>
      <c r="ZG82" s="16"/>
      <c r="ZH82" s="16"/>
      <c r="ZI82" s="16"/>
      <c r="ZJ82" s="16"/>
      <c r="ZK82" s="16" t="n">
        <v>14.55</v>
      </c>
      <c r="ZL82" s="16" t="n">
        <v>28.78</v>
      </c>
      <c r="ZM82" s="16"/>
      <c r="ZN82" s="16"/>
      <c r="ZO82" s="16" t="n">
        <v>0</v>
      </c>
      <c r="ZP82" s="16" t="n">
        <v>0</v>
      </c>
      <c r="ZQ82" s="16" t="n">
        <v>0</v>
      </c>
      <c r="ZR82" s="0" t="n">
        <v>0</v>
      </c>
      <c r="ZS82" s="0" t="s">
        <v>450</v>
      </c>
      <c r="ZT82" s="0" t="n">
        <v>33.5</v>
      </c>
      <c r="ZU82" s="16" t="n">
        <v>82.2</v>
      </c>
      <c r="ZV82" s="16" t="n">
        <v>80.4</v>
      </c>
      <c r="ZW82" s="16" t="n">
        <v>19.5</v>
      </c>
      <c r="ZX82" s="0" t="n">
        <v>80.12</v>
      </c>
      <c r="ZY82" s="0" t="n">
        <v>0</v>
      </c>
      <c r="ZZ82" s="0" t="n">
        <v>0</v>
      </c>
      <c r="AAA82" s="0" t="n">
        <v>0</v>
      </c>
      <c r="AAB82" s="0" t="n">
        <v>19.88</v>
      </c>
      <c r="AAC82" s="0" t="n">
        <v>0</v>
      </c>
      <c r="AAD82" s="0" t="n">
        <v>0</v>
      </c>
      <c r="AAE82" s="0" t="n">
        <v>0</v>
      </c>
      <c r="AAF82" s="0" t="n">
        <v>0</v>
      </c>
      <c r="AAG82" s="0" t="n">
        <v>0</v>
      </c>
      <c r="AAH82" s="0" t="n">
        <v>0</v>
      </c>
      <c r="AAI82" s="0" t="n">
        <v>0</v>
      </c>
      <c r="AAJ82" s="0" t="n">
        <v>0</v>
      </c>
      <c r="AAK82" s="0" t="n">
        <v>16.82</v>
      </c>
      <c r="AAL82" s="0" t="n">
        <v>20.29</v>
      </c>
      <c r="AAM82" s="0" t="n">
        <v>0</v>
      </c>
      <c r="AAN82" s="0" t="n">
        <v>0</v>
      </c>
      <c r="AAO82" s="0" t="n">
        <v>0</v>
      </c>
      <c r="ABB82" s="0" t="n">
        <v>0</v>
      </c>
      <c r="ABC82" s="0" t="n">
        <v>0</v>
      </c>
      <c r="ABN82" s="18"/>
      <c r="ACF82" s="0" t="n">
        <v>0</v>
      </c>
      <c r="ADQ82" s="16" t="n">
        <v>2.43</v>
      </c>
      <c r="ADR82" s="16" t="n">
        <v>1</v>
      </c>
      <c r="ADS82" s="16" t="n">
        <v>2</v>
      </c>
      <c r="ADT82" s="16"/>
      <c r="ADU82" s="16" t="n">
        <f aca="false">8.46+0.21+0.37</f>
        <v>9.04</v>
      </c>
      <c r="ADV82" s="16"/>
      <c r="ADW82" s="16"/>
      <c r="ADX82" s="16"/>
      <c r="ADY82" s="16"/>
      <c r="ADZ82" s="16"/>
      <c r="AEA82" s="16"/>
      <c r="AEB82" s="16" t="n">
        <v>9.41</v>
      </c>
      <c r="AEC82" s="16" t="n">
        <v>22.76</v>
      </c>
      <c r="AED82" s="16"/>
      <c r="AEE82" s="16"/>
      <c r="AEF82" s="16" t="n">
        <v>0</v>
      </c>
      <c r="AEG82" s="16" t="n">
        <v>0</v>
      </c>
      <c r="AEH82" s="16" t="n">
        <v>0</v>
      </c>
      <c r="AEI82" s="0" t="n">
        <v>0</v>
      </c>
      <c r="AEJ82" s="0" t="s">
        <v>457</v>
      </c>
      <c r="AEK82" s="0" t="n">
        <v>21</v>
      </c>
      <c r="AEL82" s="16" t="n">
        <v>68.8</v>
      </c>
      <c r="AEM82" s="16" t="n">
        <v>80.4</v>
      </c>
      <c r="AEN82" s="16" t="n">
        <v>11.1</v>
      </c>
      <c r="AEO82" s="0" t="n">
        <v>92.71</v>
      </c>
      <c r="AEP82" s="0" t="n">
        <v>0</v>
      </c>
      <c r="AEQ82" s="0" t="n">
        <v>0</v>
      </c>
      <c r="AER82" s="0" t="n">
        <v>0</v>
      </c>
      <c r="AES82" s="0" t="n">
        <v>7.29</v>
      </c>
      <c r="AET82" s="0" t="n">
        <v>0</v>
      </c>
      <c r="AEU82" s="0" t="n">
        <v>0</v>
      </c>
      <c r="AEV82" s="0" t="n">
        <v>0</v>
      </c>
      <c r="AEW82" s="0" t="n">
        <v>0</v>
      </c>
      <c r="AEX82" s="0" t="n">
        <v>0</v>
      </c>
      <c r="AEY82" s="0" t="n">
        <v>0</v>
      </c>
      <c r="AEZ82" s="0" t="n">
        <v>0</v>
      </c>
      <c r="AFA82" s="0" t="n">
        <v>0</v>
      </c>
      <c r="AFB82" s="0" t="n">
        <v>2.43</v>
      </c>
      <c r="AFC82" s="0" t="n">
        <v>9.89</v>
      </c>
      <c r="AFD82" s="0" t="n">
        <v>0</v>
      </c>
      <c r="AFE82" s="0" t="n">
        <v>0</v>
      </c>
      <c r="AFF82" s="0" t="n">
        <v>0</v>
      </c>
      <c r="AFS82" s="0" t="n">
        <v>1</v>
      </c>
      <c r="AFT82" s="0" t="n">
        <v>1</v>
      </c>
      <c r="AFU82" s="0" t="n">
        <v>68</v>
      </c>
      <c r="AFV82" s="0" t="n">
        <v>7</v>
      </c>
      <c r="AFW82" s="0" t="n">
        <f aca="false">0.05+0.03+0.27+0.03</f>
        <v>0.38</v>
      </c>
      <c r="AFX82" s="0" t="n">
        <v>1</v>
      </c>
      <c r="AGE82" s="18"/>
      <c r="AGW82" s="0" t="n">
        <v>0</v>
      </c>
      <c r="AIH82" s="16" t="n">
        <v>0.67</v>
      </c>
      <c r="AII82" s="16" t="n">
        <v>1</v>
      </c>
      <c r="AIJ82" s="16" t="n">
        <v>2</v>
      </c>
      <c r="AIK82" s="16"/>
      <c r="AIL82" s="16" t="n">
        <f aca="false">0.28*2</f>
        <v>0.56</v>
      </c>
      <c r="AIM82" s="16"/>
      <c r="AIN82" s="16"/>
      <c r="AIO82" s="16"/>
      <c r="AIP82" s="16"/>
      <c r="AIQ82" s="16"/>
      <c r="AIR82" s="16"/>
      <c r="AIS82" s="16" t="n">
        <v>7.38</v>
      </c>
      <c r="AIT82" s="16" t="n">
        <v>10.32</v>
      </c>
      <c r="AIU82" s="16"/>
      <c r="AIV82" s="16"/>
      <c r="AIW82" s="16" t="n">
        <v>0</v>
      </c>
      <c r="AIX82" s="16" t="n">
        <v>0</v>
      </c>
      <c r="AIY82" s="16" t="n">
        <v>0</v>
      </c>
      <c r="AIZ82" s="0" t="n">
        <v>0</v>
      </c>
      <c r="AJA82" s="0" t="s">
        <v>451</v>
      </c>
      <c r="AJB82" s="0" t="n">
        <v>48.5</v>
      </c>
      <c r="AJC82" s="16" t="n">
        <v>83.8</v>
      </c>
      <c r="AJD82" s="16" t="n">
        <v>80.4</v>
      </c>
      <c r="AJE82" s="16" t="n">
        <v>34.3</v>
      </c>
      <c r="AJF82" s="0" t="n">
        <v>70.08</v>
      </c>
      <c r="AJG82" s="0" t="n">
        <v>0</v>
      </c>
      <c r="AJH82" s="0" t="n">
        <v>18.24</v>
      </c>
      <c r="AJI82" s="0" t="n">
        <v>1.05</v>
      </c>
      <c r="AJJ82" s="0" t="n">
        <v>1.14</v>
      </c>
      <c r="AJK82" s="0" t="n">
        <v>0</v>
      </c>
      <c r="AJL82" s="0" t="n">
        <v>0</v>
      </c>
      <c r="AJM82" s="0" t="n">
        <v>0</v>
      </c>
      <c r="AJN82" s="0" t="n">
        <v>0</v>
      </c>
      <c r="AJO82" s="0" t="n">
        <v>0</v>
      </c>
      <c r="AJP82" s="0" t="n">
        <v>0</v>
      </c>
      <c r="AJQ82" s="0" t="n">
        <v>19.39</v>
      </c>
      <c r="AJR82" s="0" t="n">
        <v>3.64</v>
      </c>
      <c r="AJS82" s="0" t="n">
        <v>13.61</v>
      </c>
      <c r="AJT82" s="0" t="n">
        <v>5.23</v>
      </c>
      <c r="AJU82" s="0" t="n">
        <v>9.49</v>
      </c>
      <c r="AJV82" s="0" t="n">
        <v>2.6</v>
      </c>
      <c r="AJW82" s="0" t="n">
        <v>2</v>
      </c>
      <c r="AJX82" s="0" t="n">
        <v>3</v>
      </c>
      <c r="AJY82" s="0" t="n">
        <v>1.01</v>
      </c>
      <c r="AKD82" s="0" t="n">
        <v>3</v>
      </c>
      <c r="AKE82" s="0" t="n">
        <v>1.01</v>
      </c>
      <c r="AKJ82" s="0" t="n">
        <v>1.7</v>
      </c>
      <c r="AKK82" s="0" t="n">
        <v>0</v>
      </c>
      <c r="AKV82" s="18"/>
      <c r="ALN82" s="0" t="n">
        <v>1</v>
      </c>
      <c r="ALO82" s="0" t="n">
        <v>60</v>
      </c>
      <c r="ALP82" s="0" t="n">
        <v>1</v>
      </c>
      <c r="ALQ82" s="0" t="n">
        <v>1.05</v>
      </c>
      <c r="ALR82" s="0" t="n">
        <v>1</v>
      </c>
    </row>
    <row r="83" customFormat="false" ht="13.8" hidden="false" customHeight="false" outlineLevel="0" collapsed="false">
      <c r="A83" s="1" t="s">
        <v>458</v>
      </c>
      <c r="B83" s="12" t="n">
        <v>42900</v>
      </c>
      <c r="C83" s="0" t="n">
        <v>2</v>
      </c>
      <c r="D83" s="13" t="n">
        <v>36487</v>
      </c>
      <c r="E83" s="12" t="n">
        <v>28502</v>
      </c>
      <c r="F83" s="14" t="n">
        <f aca="false">(B83-E83)/365.25</f>
        <v>39.419575633128</v>
      </c>
      <c r="G83" s="14" t="n">
        <f aca="false">(B83-D83)/365.25</f>
        <v>17.5578370978782</v>
      </c>
      <c r="H83" s="15" t="s">
        <v>228</v>
      </c>
      <c r="I83" s="15" t="s">
        <v>447</v>
      </c>
      <c r="J83" s="15" t="s">
        <v>183</v>
      </c>
      <c r="K83" s="21" t="n">
        <v>8</v>
      </c>
      <c r="L83" s="19" t="n">
        <v>75</v>
      </c>
      <c r="M83" s="0" t="n">
        <v>1.7</v>
      </c>
      <c r="N83" s="16" t="n">
        <f aca="false">L83/(M83*M83)</f>
        <v>25.9515570934256</v>
      </c>
      <c r="O83" s="19" t="n">
        <v>0</v>
      </c>
      <c r="P83" s="19" t="n">
        <v>0</v>
      </c>
      <c r="Q83" s="19" t="n">
        <v>0</v>
      </c>
      <c r="R83" s="19" t="n">
        <v>0</v>
      </c>
      <c r="S83" s="19" t="n">
        <v>0</v>
      </c>
      <c r="T83" s="19" t="n">
        <v>0</v>
      </c>
      <c r="U83" s="19" t="n">
        <v>0</v>
      </c>
      <c r="V83" s="19" t="n">
        <v>0</v>
      </c>
      <c r="W83" s="19" t="n">
        <v>1</v>
      </c>
      <c r="X83" s="19"/>
      <c r="Y83" s="19" t="n">
        <v>1</v>
      </c>
      <c r="Z83" s="19" t="n">
        <v>1</v>
      </c>
      <c r="AA83" s="19" t="n">
        <v>40</v>
      </c>
      <c r="AB83" s="19" t="s">
        <v>459</v>
      </c>
      <c r="AC83" s="19" t="n">
        <v>0</v>
      </c>
      <c r="AD83" s="19" t="n">
        <v>0</v>
      </c>
      <c r="AE83" s="19" t="n">
        <v>1</v>
      </c>
      <c r="AF83" s="19" t="n">
        <v>1</v>
      </c>
      <c r="AG83" s="19" t="n">
        <v>0</v>
      </c>
      <c r="AH83" s="19" t="n">
        <v>0</v>
      </c>
      <c r="AI83" s="19"/>
      <c r="AJ83" s="19" t="n">
        <v>1</v>
      </c>
      <c r="AK83" s="19" t="n">
        <v>0</v>
      </c>
      <c r="AL83" s="19" t="n">
        <v>0</v>
      </c>
      <c r="AM83" s="19" t="n">
        <v>0</v>
      </c>
      <c r="AN83" s="19" t="n">
        <v>1</v>
      </c>
      <c r="AO83" s="19" t="n">
        <v>0</v>
      </c>
      <c r="AP83" s="19" t="n">
        <v>1</v>
      </c>
      <c r="AQ83" s="19" t="n">
        <v>6</v>
      </c>
      <c r="AR83" s="19" t="n">
        <v>0</v>
      </c>
      <c r="AS83" s="19" t="n">
        <v>0</v>
      </c>
      <c r="AT83" s="19"/>
      <c r="AU83" s="19"/>
      <c r="AV83" s="19"/>
      <c r="AW83" s="19"/>
      <c r="AX83" s="19" t="n">
        <v>0</v>
      </c>
      <c r="AY83" s="19" t="n">
        <v>0</v>
      </c>
      <c r="AZ83" s="19" t="n">
        <v>0</v>
      </c>
      <c r="BA83" s="19" t="n">
        <v>0</v>
      </c>
      <c r="BB83" s="19" t="n">
        <v>0</v>
      </c>
      <c r="BC83" s="19" t="n">
        <v>0</v>
      </c>
      <c r="BD83" s="19" t="n">
        <v>0</v>
      </c>
      <c r="BE83" s="19" t="n">
        <v>0</v>
      </c>
      <c r="BF83" s="19" t="n">
        <v>0</v>
      </c>
      <c r="BG83" s="19" t="n">
        <v>0</v>
      </c>
      <c r="BH83" s="19" t="n">
        <v>0</v>
      </c>
      <c r="BI83" s="19" t="n">
        <v>0</v>
      </c>
      <c r="BJ83" s="19" t="n">
        <v>1</v>
      </c>
      <c r="BK83" s="19" t="n">
        <v>0</v>
      </c>
      <c r="BL83" s="19" t="n">
        <v>1</v>
      </c>
      <c r="BM83" s="19" t="n">
        <v>5</v>
      </c>
      <c r="BN83" s="19" t="n">
        <v>0</v>
      </c>
      <c r="BO83" s="19" t="n">
        <v>0</v>
      </c>
      <c r="BP83" s="19" t="n">
        <v>0</v>
      </c>
      <c r="BQ83" s="19" t="n">
        <v>0</v>
      </c>
      <c r="BR83" s="19" t="n">
        <v>4</v>
      </c>
      <c r="BS83" s="19" t="n">
        <v>3</v>
      </c>
      <c r="BT83" s="19" t="n">
        <v>3</v>
      </c>
      <c r="BU83" s="19" t="n">
        <v>5</v>
      </c>
      <c r="BV83" s="19" t="n">
        <v>3</v>
      </c>
      <c r="BW83" s="19" t="n">
        <v>3</v>
      </c>
      <c r="BX83" s="19" t="n">
        <v>2</v>
      </c>
      <c r="BY83" s="19" t="n">
        <v>1</v>
      </c>
      <c r="BZ83" s="19" t="n">
        <v>1</v>
      </c>
      <c r="CA83" s="19" t="n">
        <v>1</v>
      </c>
      <c r="CB83" s="19" t="n">
        <v>3</v>
      </c>
      <c r="CC83" s="19" t="n">
        <v>5</v>
      </c>
      <c r="CD83" s="19" t="n">
        <v>3</v>
      </c>
      <c r="CE83" s="19" t="n">
        <v>2</v>
      </c>
      <c r="CF83" s="19" t="n">
        <v>3</v>
      </c>
      <c r="CG83" s="19" t="n">
        <v>4</v>
      </c>
      <c r="CH83" s="19" t="n">
        <v>3</v>
      </c>
      <c r="CI83" s="19" t="n">
        <v>3</v>
      </c>
      <c r="CJ83" s="19" t="n">
        <v>4</v>
      </c>
      <c r="CK83" s="19" t="n">
        <v>6</v>
      </c>
      <c r="CL83" s="0" t="n">
        <v>57</v>
      </c>
      <c r="CM83" s="0" t="n">
        <v>24.5</v>
      </c>
      <c r="CN83" s="16" t="n">
        <v>70</v>
      </c>
      <c r="CO83" s="16" t="n">
        <v>80.4</v>
      </c>
      <c r="CP83" s="16" t="n">
        <v>15.5</v>
      </c>
      <c r="CQ83" s="0" t="n">
        <v>85.6</v>
      </c>
      <c r="CR83" s="0" t="n">
        <v>0</v>
      </c>
      <c r="CS83" s="0" t="n">
        <v>0</v>
      </c>
      <c r="CT83" s="0" t="n">
        <v>0</v>
      </c>
      <c r="CU83" s="0" t="n">
        <v>14.4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6.46</v>
      </c>
      <c r="DD83" s="0" t="n">
        <v>24.97</v>
      </c>
      <c r="DE83" s="0" t="n">
        <v>15</v>
      </c>
      <c r="DF83" s="0" t="n">
        <v>0</v>
      </c>
      <c r="DG83" s="0" t="n">
        <v>0</v>
      </c>
      <c r="DH83" s="0" t="n">
        <v>0</v>
      </c>
      <c r="DU83" s="0" t="n">
        <v>3.6</v>
      </c>
      <c r="DV83" s="0" t="n">
        <v>1</v>
      </c>
      <c r="DW83" s="0" t="n">
        <v>35</v>
      </c>
      <c r="DX83" s="0" t="n">
        <v>1</v>
      </c>
      <c r="DY83" s="0" t="n">
        <v>0.76</v>
      </c>
      <c r="DZ83" s="0" t="n">
        <v>3</v>
      </c>
      <c r="EG83" s="18"/>
      <c r="EY83" s="0" t="n">
        <v>1</v>
      </c>
      <c r="EZ83" s="0" t="n">
        <v>60</v>
      </c>
      <c r="FA83" s="0" t="n">
        <v>5</v>
      </c>
      <c r="FB83" s="0" t="n">
        <f aca="false">2.04+0.14</f>
        <v>2.18</v>
      </c>
      <c r="FC83" s="0" t="n">
        <v>3</v>
      </c>
      <c r="GJ83" s="16" t="n">
        <v>0.63</v>
      </c>
      <c r="GK83" s="16" t="n">
        <v>1</v>
      </c>
      <c r="GL83" s="16" t="n">
        <v>1</v>
      </c>
      <c r="GM83" s="16"/>
      <c r="GN83" s="16" t="n">
        <v>4.23</v>
      </c>
      <c r="GO83" s="16"/>
      <c r="GP83" s="16"/>
      <c r="GQ83" s="16"/>
      <c r="GR83" s="16"/>
      <c r="GS83" s="16"/>
      <c r="GT83" s="16"/>
      <c r="GU83" s="16" t="n">
        <v>3.25</v>
      </c>
      <c r="GV83" s="16" t="n">
        <v>3.26</v>
      </c>
      <c r="GW83" s="16"/>
      <c r="GX83" s="16"/>
      <c r="GY83" s="16" t="n">
        <v>0</v>
      </c>
      <c r="GZ83" s="16" t="n">
        <v>0</v>
      </c>
      <c r="HA83" s="16" t="n">
        <v>0</v>
      </c>
      <c r="HB83" s="0" t="n">
        <v>0</v>
      </c>
      <c r="HC83" s="0" t="s">
        <v>455</v>
      </c>
      <c r="HD83" s="0" t="n">
        <v>48.5</v>
      </c>
      <c r="HE83" s="16" t="n">
        <v>90.8</v>
      </c>
      <c r="HF83" s="16" t="n">
        <v>80.4</v>
      </c>
      <c r="HG83" s="16" t="n">
        <v>27.5</v>
      </c>
      <c r="HH83" s="0" t="n">
        <v>74.34</v>
      </c>
      <c r="HI83" s="0" t="n">
        <v>0</v>
      </c>
      <c r="HJ83" s="0" t="n">
        <v>12.29</v>
      </c>
      <c r="HK83" s="0" t="n">
        <v>0</v>
      </c>
      <c r="HL83" s="0" t="n">
        <v>13.37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14.01</v>
      </c>
      <c r="HV83" s="0" t="n">
        <v>63.09</v>
      </c>
      <c r="HW83" s="0" t="n">
        <v>0</v>
      </c>
      <c r="HX83" s="0" t="n">
        <v>0</v>
      </c>
      <c r="HY83" s="0" t="n">
        <v>0</v>
      </c>
      <c r="IL83" s="0" t="n">
        <v>13</v>
      </c>
      <c r="IM83" s="0" t="n">
        <v>1</v>
      </c>
      <c r="IN83" s="0" t="n">
        <v>34</v>
      </c>
      <c r="IO83" s="0" t="n">
        <v>11</v>
      </c>
      <c r="IP83" s="0" t="n">
        <f aca="false">11.42+1.34</f>
        <v>12.76</v>
      </c>
      <c r="IQ83" s="0" t="n">
        <v>1</v>
      </c>
      <c r="IR83" s="0" t="n">
        <v>68</v>
      </c>
      <c r="IS83" s="0" t="n">
        <v>15</v>
      </c>
      <c r="IT83" s="0" t="n">
        <v>2.8</v>
      </c>
      <c r="IU83" s="0" t="n">
        <v>1</v>
      </c>
      <c r="IX83" s="18"/>
      <c r="JP83" s="0" t="n">
        <v>1</v>
      </c>
      <c r="JQ83" s="0" t="n">
        <v>60</v>
      </c>
      <c r="JR83" s="0" t="n">
        <v>20</v>
      </c>
      <c r="JS83" s="0" t="n">
        <v>15.23</v>
      </c>
      <c r="JT83" s="0" t="n">
        <v>3</v>
      </c>
      <c r="LA83" s="16" t="n">
        <v>0</v>
      </c>
      <c r="LB83" s="16" t="n">
        <v>0</v>
      </c>
      <c r="LC83" s="16"/>
      <c r="LD83" s="16"/>
      <c r="LE83" s="16"/>
      <c r="LF83" s="16"/>
      <c r="LG83" s="16"/>
      <c r="LH83" s="16"/>
      <c r="LI83" s="16"/>
      <c r="LJ83" s="16"/>
      <c r="LK83" s="16"/>
      <c r="LL83" s="16" t="n">
        <v>0</v>
      </c>
      <c r="LM83" s="16" t="n">
        <v>0</v>
      </c>
      <c r="LN83" s="16"/>
      <c r="LO83" s="16"/>
      <c r="LP83" s="16" t="n">
        <v>7.46</v>
      </c>
      <c r="LQ83" s="16" t="n">
        <v>0</v>
      </c>
      <c r="LR83" s="16" t="n">
        <v>0</v>
      </c>
      <c r="LS83" s="0" t="n">
        <v>1</v>
      </c>
      <c r="LT83" s="0" t="s">
        <v>448</v>
      </c>
      <c r="LU83" s="0" t="n">
        <v>47</v>
      </c>
      <c r="LV83" s="16" t="n">
        <v>90.2</v>
      </c>
      <c r="LW83" s="16" t="n">
        <v>80.4</v>
      </c>
      <c r="LX83" s="16" t="n">
        <v>15.2</v>
      </c>
      <c r="LY83" s="0" t="n">
        <v>86.39</v>
      </c>
      <c r="LZ83" s="0" t="n">
        <v>0</v>
      </c>
      <c r="MA83" s="0" t="n">
        <v>0</v>
      </c>
      <c r="MB83" s="0" t="n">
        <v>0</v>
      </c>
      <c r="MC83" s="0" t="n">
        <v>13.61</v>
      </c>
      <c r="MD83" s="0" t="n">
        <v>0</v>
      </c>
      <c r="ME83" s="0" t="n">
        <v>0</v>
      </c>
      <c r="MF83" s="0" t="n">
        <v>0</v>
      </c>
      <c r="MG83" s="0" t="n">
        <v>0</v>
      </c>
      <c r="MH83" s="0" t="n">
        <v>0</v>
      </c>
      <c r="MI83" s="0" t="n">
        <v>0</v>
      </c>
      <c r="MJ83" s="0" t="n">
        <v>0</v>
      </c>
      <c r="MK83" s="0" t="n">
        <v>16.36</v>
      </c>
      <c r="ML83" s="0" t="n">
        <v>23.57</v>
      </c>
      <c r="MM83" s="0" t="n">
        <v>29.14</v>
      </c>
      <c r="MN83" s="0" t="n">
        <v>0</v>
      </c>
      <c r="MO83" s="0" t="n">
        <v>0</v>
      </c>
      <c r="MP83" s="0" t="n">
        <v>0</v>
      </c>
      <c r="NC83" s="0" t="n">
        <v>23.6</v>
      </c>
      <c r="ND83" s="0" t="n">
        <v>1</v>
      </c>
      <c r="NE83" s="0" t="n">
        <v>68</v>
      </c>
      <c r="NF83" s="0" t="n">
        <v>8</v>
      </c>
      <c r="NG83" s="0" t="n">
        <f aca="false">0.76+0.03+0.27+0.05+0.03</f>
        <v>1.14</v>
      </c>
      <c r="NH83" s="0" t="n">
        <v>1</v>
      </c>
      <c r="NI83" s="0" t="n">
        <v>35</v>
      </c>
      <c r="NJ83" s="0" t="n">
        <v>4</v>
      </c>
      <c r="NK83" s="0" t="n">
        <f aca="false">1.52+0.27</f>
        <v>1.79</v>
      </c>
      <c r="NL83" s="0" t="n">
        <v>3</v>
      </c>
      <c r="NM83" s="0" t="n">
        <v>103</v>
      </c>
      <c r="NN83" s="0" t="n">
        <v>3</v>
      </c>
      <c r="NO83" s="18" t="n">
        <v>2.02</v>
      </c>
      <c r="NP83" s="0" t="n">
        <v>3</v>
      </c>
      <c r="OG83" s="0" t="n">
        <v>1</v>
      </c>
      <c r="OH83" s="0" t="n">
        <v>80</v>
      </c>
      <c r="OI83" s="0" t="n">
        <v>3</v>
      </c>
      <c r="OJ83" s="0" t="n">
        <f aca="false">0.04*2+0.45</f>
        <v>0.53</v>
      </c>
      <c r="OK83" s="0" t="n">
        <v>3</v>
      </c>
      <c r="PR83" s="16" t="n">
        <v>0.4</v>
      </c>
      <c r="PS83" s="16" t="n">
        <v>1</v>
      </c>
      <c r="PT83" s="16" t="n">
        <v>1</v>
      </c>
      <c r="PU83" s="16"/>
      <c r="PV83" s="16" t="n">
        <f aca="false">1.25+0.1</f>
        <v>1.35</v>
      </c>
      <c r="PW83" s="16"/>
      <c r="PX83" s="16"/>
      <c r="PY83" s="16"/>
      <c r="PZ83" s="16"/>
      <c r="QA83" s="16"/>
      <c r="QB83" s="16"/>
      <c r="QC83" s="16" t="n">
        <v>4.96</v>
      </c>
      <c r="QD83" s="16" t="n">
        <v>2.6</v>
      </c>
      <c r="QE83" s="16"/>
      <c r="QF83" s="16"/>
      <c r="QG83" s="16" t="n">
        <v>0</v>
      </c>
      <c r="QH83" s="16" t="n">
        <v>0</v>
      </c>
      <c r="QI83" s="16" t="n">
        <v>0</v>
      </c>
      <c r="QJ83" s="0" t="n">
        <v>0</v>
      </c>
      <c r="QK83" s="0" t="s">
        <v>449</v>
      </c>
      <c r="QL83" s="0" t="n">
        <v>46.5</v>
      </c>
      <c r="QM83" s="16" t="n">
        <v>82.8</v>
      </c>
      <c r="QN83" s="16" t="n">
        <v>80.4</v>
      </c>
      <c r="QO83" s="16" t="n">
        <v>14.9</v>
      </c>
      <c r="QP83" s="0" t="n">
        <v>82.52</v>
      </c>
      <c r="QQ83" s="0" t="n">
        <v>0</v>
      </c>
      <c r="QR83" s="0" t="n">
        <v>0</v>
      </c>
      <c r="QS83" s="0" t="n">
        <v>0</v>
      </c>
      <c r="QT83" s="0" t="n">
        <v>17.48</v>
      </c>
      <c r="QU83" s="0" t="n">
        <v>0</v>
      </c>
      <c r="QV83" s="0" t="n">
        <v>0</v>
      </c>
      <c r="QW83" s="0" t="n">
        <v>0</v>
      </c>
      <c r="QX83" s="0" t="n">
        <v>0</v>
      </c>
      <c r="QY83" s="0" t="n">
        <v>0</v>
      </c>
      <c r="QZ83" s="0" t="n">
        <v>0</v>
      </c>
      <c r="RA83" s="0" t="n">
        <v>0</v>
      </c>
      <c r="RB83" s="0" t="n">
        <v>37.3</v>
      </c>
      <c r="RC83" s="0" t="n">
        <v>16.79</v>
      </c>
      <c r="RD83" s="0" t="n">
        <v>15.04</v>
      </c>
      <c r="RE83" s="0" t="n">
        <v>0</v>
      </c>
      <c r="RF83" s="0" t="n">
        <v>0</v>
      </c>
      <c r="RG83" s="0" t="n">
        <v>0</v>
      </c>
      <c r="RT83" s="0" t="n">
        <v>18.9</v>
      </c>
      <c r="RU83" s="0" t="n">
        <v>1</v>
      </c>
      <c r="RV83" s="0" t="n">
        <v>68</v>
      </c>
      <c r="RW83" s="0" t="n">
        <v>1</v>
      </c>
      <c r="RX83" s="0" t="n">
        <v>0.13</v>
      </c>
      <c r="RY83" s="0" t="n">
        <v>1</v>
      </c>
      <c r="RZ83" s="0" t="n">
        <v>35</v>
      </c>
      <c r="SA83" s="0" t="n">
        <v>3</v>
      </c>
      <c r="SB83" s="0" t="n">
        <v>2.25</v>
      </c>
      <c r="SC83" s="0" t="n">
        <v>3</v>
      </c>
      <c r="SD83" s="0" t="n">
        <v>47</v>
      </c>
      <c r="SE83" s="0" t="n">
        <v>10</v>
      </c>
      <c r="SF83" s="18" t="n">
        <f aca="false">0.27+0.08+0.08+0.11+0.61+0.04</f>
        <v>1.19</v>
      </c>
      <c r="SG83" s="0" t="n">
        <v>3</v>
      </c>
      <c r="SX83" s="0" t="n">
        <v>1</v>
      </c>
      <c r="SY83" s="0" t="n">
        <v>80</v>
      </c>
      <c r="SZ83" s="0" t="n">
        <v>1</v>
      </c>
      <c r="TA83" s="0" t="n">
        <v>0.13</v>
      </c>
      <c r="TB83" s="0" t="n">
        <v>3</v>
      </c>
      <c r="UI83" s="16" t="n">
        <v>1.15</v>
      </c>
      <c r="UJ83" s="16" t="n">
        <v>1</v>
      </c>
      <c r="UK83" s="16" t="n">
        <v>3</v>
      </c>
      <c r="UL83" s="16"/>
      <c r="UM83" s="16" t="n">
        <f aca="false">1.06+0.37*2</f>
        <v>1.8</v>
      </c>
      <c r="UN83" s="16"/>
      <c r="UO83" s="16"/>
      <c r="UP83" s="16"/>
      <c r="UQ83" s="16"/>
      <c r="UR83" s="16"/>
      <c r="US83" s="16"/>
      <c r="UT83" s="16" t="n">
        <v>9.75</v>
      </c>
      <c r="UU83" s="16" t="n">
        <v>11.26</v>
      </c>
      <c r="UV83" s="16"/>
      <c r="UW83" s="16"/>
      <c r="UX83" s="16" t="n">
        <v>0</v>
      </c>
      <c r="UY83" s="16" t="n">
        <v>0</v>
      </c>
      <c r="UZ83" s="16" t="n">
        <v>0</v>
      </c>
      <c r="VA83" s="0" t="n">
        <v>0</v>
      </c>
      <c r="VB83" s="0" t="s">
        <v>456</v>
      </c>
      <c r="VC83" s="0" t="n">
        <v>79.5</v>
      </c>
      <c r="VD83" s="16" t="n">
        <v>92.6</v>
      </c>
      <c r="VE83" s="16" t="n">
        <v>80.4</v>
      </c>
      <c r="VF83" s="16" t="n">
        <v>25.3</v>
      </c>
      <c r="VG83" s="0" t="n">
        <v>77.91</v>
      </c>
      <c r="VH83" s="0" t="n">
        <v>0</v>
      </c>
      <c r="VI83" s="0" t="n">
        <v>0.76</v>
      </c>
      <c r="VJ83" s="0" t="n">
        <v>0</v>
      </c>
      <c r="VK83" s="0" t="n">
        <v>21.33</v>
      </c>
      <c r="VL83" s="0" t="n">
        <v>0</v>
      </c>
      <c r="VM83" s="0" t="n">
        <v>0</v>
      </c>
      <c r="VN83" s="0" t="n">
        <v>0</v>
      </c>
      <c r="VO83" s="0" t="n">
        <v>0</v>
      </c>
      <c r="VP83" s="0" t="n">
        <v>0</v>
      </c>
      <c r="VQ83" s="0" t="n">
        <v>0</v>
      </c>
      <c r="VR83" s="0" t="n">
        <v>4.99</v>
      </c>
      <c r="VS83" s="0" t="n">
        <v>0</v>
      </c>
      <c r="VT83" s="0" t="n">
        <v>5.93</v>
      </c>
      <c r="VU83" s="0" t="n">
        <v>41.31</v>
      </c>
      <c r="VV83" s="0" t="n">
        <v>0</v>
      </c>
      <c r="VW83" s="0" t="n">
        <v>10.6</v>
      </c>
      <c r="VX83" s="0" t="n">
        <v>2</v>
      </c>
      <c r="VY83" s="0" t="n">
        <v>3</v>
      </c>
      <c r="VZ83" s="0" t="n">
        <v>6.39</v>
      </c>
      <c r="WE83" s="0" t="n">
        <v>3</v>
      </c>
      <c r="WF83" s="0" t="n">
        <v>6.39</v>
      </c>
      <c r="WK83" s="0" t="n">
        <v>19.9</v>
      </c>
      <c r="WL83" s="0" t="n">
        <v>1</v>
      </c>
      <c r="WM83" s="0" t="n">
        <v>52</v>
      </c>
      <c r="WN83" s="0" t="n">
        <v>2</v>
      </c>
      <c r="WO83" s="0" t="n">
        <f aca="false">0.05+0.08</f>
        <v>0.13</v>
      </c>
      <c r="WP83" s="0" t="n">
        <v>2</v>
      </c>
      <c r="WQ83" s="0" t="n">
        <v>47</v>
      </c>
      <c r="WR83" s="0" t="n">
        <v>12</v>
      </c>
      <c r="WS83" s="0" t="n">
        <f aca="false">1.52+0.11+0.27+0.07+0.1+0.16+0.13+0.13</f>
        <v>2.49</v>
      </c>
      <c r="WT83" s="0" t="n">
        <v>3</v>
      </c>
      <c r="WW83" s="18"/>
      <c r="XO83" s="0" t="n">
        <v>0</v>
      </c>
      <c r="YZ83" s="16" t="n">
        <v>6.39</v>
      </c>
      <c r="ZA83" s="16" t="n">
        <v>1</v>
      </c>
      <c r="ZB83" s="16" t="n">
        <v>2</v>
      </c>
      <c r="ZC83" s="16"/>
      <c r="ZD83" s="16" t="n">
        <f aca="false">2.11+1.52+2.11+0.3+0.22*2</f>
        <v>6.48</v>
      </c>
      <c r="ZE83" s="16"/>
      <c r="ZF83" s="16"/>
      <c r="ZG83" s="16"/>
      <c r="ZH83" s="16"/>
      <c r="ZI83" s="16"/>
      <c r="ZJ83" s="16"/>
      <c r="ZK83" s="16" t="n">
        <v>14.55</v>
      </c>
      <c r="ZL83" s="16" t="n">
        <v>28.78</v>
      </c>
      <c r="ZM83" s="16"/>
      <c r="ZN83" s="16"/>
      <c r="ZO83" s="16" t="n">
        <v>0</v>
      </c>
      <c r="ZP83" s="16" t="n">
        <v>0</v>
      </c>
      <c r="ZQ83" s="16" t="n">
        <v>0</v>
      </c>
      <c r="ZR83" s="0" t="n">
        <v>0</v>
      </c>
      <c r="ZS83" s="0" t="s">
        <v>450</v>
      </c>
      <c r="ZT83" s="0" t="n">
        <v>33.5</v>
      </c>
      <c r="ZU83" s="16" t="n">
        <v>82.2</v>
      </c>
      <c r="ZV83" s="16" t="n">
        <v>80.4</v>
      </c>
      <c r="ZW83" s="16" t="n">
        <v>19.5</v>
      </c>
      <c r="ZX83" s="0" t="n">
        <v>80.12</v>
      </c>
      <c r="ZY83" s="0" t="n">
        <v>0</v>
      </c>
      <c r="ZZ83" s="0" t="n">
        <v>0</v>
      </c>
      <c r="AAA83" s="0" t="n">
        <v>0</v>
      </c>
      <c r="AAB83" s="0" t="n">
        <v>19.88</v>
      </c>
      <c r="AAC83" s="0" t="n">
        <v>0</v>
      </c>
      <c r="AAD83" s="0" t="n">
        <v>0</v>
      </c>
      <c r="AAE83" s="0" t="n">
        <v>0</v>
      </c>
      <c r="AAF83" s="0" t="n">
        <v>0</v>
      </c>
      <c r="AAG83" s="0" t="n">
        <v>0</v>
      </c>
      <c r="AAH83" s="0" t="n">
        <v>0</v>
      </c>
      <c r="AAI83" s="0" t="n">
        <v>0</v>
      </c>
      <c r="AAJ83" s="0" t="n">
        <v>0</v>
      </c>
      <c r="AAK83" s="0" t="n">
        <v>16.82</v>
      </c>
      <c r="AAL83" s="0" t="n">
        <v>20.29</v>
      </c>
      <c r="AAM83" s="0" t="n">
        <v>0</v>
      </c>
      <c r="AAN83" s="0" t="n">
        <v>0</v>
      </c>
      <c r="AAO83" s="0" t="n">
        <v>0</v>
      </c>
      <c r="ABB83" s="0" t="n">
        <v>0</v>
      </c>
      <c r="ABC83" s="0" t="n">
        <v>0</v>
      </c>
      <c r="ABN83" s="18"/>
      <c r="ACF83" s="0" t="n">
        <v>0</v>
      </c>
      <c r="ADQ83" s="16" t="n">
        <v>2.43</v>
      </c>
      <c r="ADR83" s="16" t="n">
        <v>1</v>
      </c>
      <c r="ADS83" s="16" t="n">
        <v>2</v>
      </c>
      <c r="ADT83" s="16"/>
      <c r="ADU83" s="16" t="n">
        <f aca="false">8.46+0.21+0.37</f>
        <v>9.04</v>
      </c>
      <c r="ADV83" s="16"/>
      <c r="ADW83" s="16"/>
      <c r="ADX83" s="16"/>
      <c r="ADY83" s="16"/>
      <c r="ADZ83" s="16"/>
      <c r="AEA83" s="16"/>
      <c r="AEB83" s="16" t="n">
        <v>9.41</v>
      </c>
      <c r="AEC83" s="16" t="n">
        <v>22.76</v>
      </c>
      <c r="AED83" s="16"/>
      <c r="AEE83" s="16"/>
      <c r="AEF83" s="16" t="n">
        <v>0</v>
      </c>
      <c r="AEG83" s="16" t="n">
        <v>0</v>
      </c>
      <c r="AEH83" s="16" t="n">
        <v>0</v>
      </c>
      <c r="AEI83" s="0" t="n">
        <v>0</v>
      </c>
      <c r="AEJ83" s="0" t="s">
        <v>457</v>
      </c>
      <c r="AEK83" s="0" t="n">
        <v>21</v>
      </c>
      <c r="AEL83" s="16" t="n">
        <v>68.8</v>
      </c>
      <c r="AEM83" s="16" t="n">
        <v>80.4</v>
      </c>
      <c r="AEN83" s="16" t="n">
        <v>11.1</v>
      </c>
      <c r="AEO83" s="0" t="n">
        <v>92.71</v>
      </c>
      <c r="AEP83" s="0" t="n">
        <v>0</v>
      </c>
      <c r="AEQ83" s="0" t="n">
        <v>0</v>
      </c>
      <c r="AER83" s="0" t="n">
        <v>0</v>
      </c>
      <c r="AES83" s="0" t="n">
        <v>7.29</v>
      </c>
      <c r="AET83" s="0" t="n">
        <v>0</v>
      </c>
      <c r="AEU83" s="0" t="n">
        <v>0</v>
      </c>
      <c r="AEV83" s="0" t="n">
        <v>0</v>
      </c>
      <c r="AEW83" s="0" t="n">
        <v>0</v>
      </c>
      <c r="AEX83" s="0" t="n">
        <v>0</v>
      </c>
      <c r="AEY83" s="0" t="n">
        <v>0</v>
      </c>
      <c r="AEZ83" s="0" t="n">
        <v>0</v>
      </c>
      <c r="AFA83" s="0" t="n">
        <v>0</v>
      </c>
      <c r="AFB83" s="0" t="n">
        <v>2.43</v>
      </c>
      <c r="AFC83" s="0" t="n">
        <v>9.89</v>
      </c>
      <c r="AFD83" s="0" t="n">
        <v>0</v>
      </c>
      <c r="AFE83" s="0" t="n">
        <v>0</v>
      </c>
      <c r="AFF83" s="0" t="n">
        <v>0</v>
      </c>
      <c r="AFS83" s="0" t="n">
        <v>1</v>
      </c>
      <c r="AFT83" s="0" t="n">
        <v>1</v>
      </c>
      <c r="AFU83" s="0" t="n">
        <v>68</v>
      </c>
      <c r="AFV83" s="0" t="n">
        <v>7</v>
      </c>
      <c r="AFW83" s="0" t="n">
        <f aca="false">0.05+0.03+0.27+0.03</f>
        <v>0.38</v>
      </c>
      <c r="AFX83" s="0" t="n">
        <v>1</v>
      </c>
      <c r="AGE83" s="18"/>
      <c r="AGW83" s="0" t="n">
        <v>0</v>
      </c>
      <c r="AIH83" s="16" t="n">
        <v>0.67</v>
      </c>
      <c r="AII83" s="16" t="n">
        <v>1</v>
      </c>
      <c r="AIJ83" s="16" t="n">
        <v>2</v>
      </c>
      <c r="AIK83" s="16"/>
      <c r="AIL83" s="16" t="n">
        <f aca="false">0.28*2</f>
        <v>0.56</v>
      </c>
      <c r="AIM83" s="16"/>
      <c r="AIN83" s="16"/>
      <c r="AIO83" s="16"/>
      <c r="AIP83" s="16"/>
      <c r="AIQ83" s="16"/>
      <c r="AIR83" s="16"/>
      <c r="AIS83" s="16" t="n">
        <v>7.38</v>
      </c>
      <c r="AIT83" s="16" t="n">
        <v>10.32</v>
      </c>
      <c r="AIU83" s="16"/>
      <c r="AIV83" s="16"/>
      <c r="AIW83" s="16" t="n">
        <v>0</v>
      </c>
      <c r="AIX83" s="16" t="n">
        <v>0</v>
      </c>
      <c r="AIY83" s="16" t="n">
        <v>0</v>
      </c>
      <c r="AIZ83" s="0" t="n">
        <v>0</v>
      </c>
      <c r="AJA83" s="0" t="s">
        <v>451</v>
      </c>
      <c r="AJB83" s="0" t="n">
        <v>48.5</v>
      </c>
      <c r="AJC83" s="16" t="n">
        <v>83.8</v>
      </c>
      <c r="AJD83" s="16" t="n">
        <v>80.4</v>
      </c>
      <c r="AJE83" s="16" t="n">
        <v>34.3</v>
      </c>
      <c r="AJF83" s="0" t="n">
        <v>70.08</v>
      </c>
      <c r="AJG83" s="0" t="n">
        <v>0</v>
      </c>
      <c r="AJH83" s="0" t="n">
        <v>18.24</v>
      </c>
      <c r="AJI83" s="0" t="n">
        <v>1.05</v>
      </c>
      <c r="AJJ83" s="0" t="n">
        <v>1.14</v>
      </c>
      <c r="AJK83" s="0" t="n">
        <v>0</v>
      </c>
      <c r="AJL83" s="0" t="n">
        <v>0</v>
      </c>
      <c r="AJM83" s="0" t="n">
        <v>0</v>
      </c>
      <c r="AJN83" s="0" t="n">
        <v>0</v>
      </c>
      <c r="AJO83" s="0" t="n">
        <v>0</v>
      </c>
      <c r="AJP83" s="0" t="n">
        <v>0</v>
      </c>
      <c r="AJQ83" s="0" t="n">
        <v>19.39</v>
      </c>
      <c r="AJR83" s="0" t="n">
        <v>3.64</v>
      </c>
      <c r="AJS83" s="0" t="n">
        <v>13.61</v>
      </c>
      <c r="AJT83" s="0" t="n">
        <v>5.23</v>
      </c>
      <c r="AJU83" s="0" t="n">
        <v>9.49</v>
      </c>
      <c r="AJV83" s="0" t="n">
        <v>2.6</v>
      </c>
      <c r="AJW83" s="0" t="n">
        <v>2</v>
      </c>
      <c r="AJX83" s="0" t="n">
        <v>3</v>
      </c>
      <c r="AJY83" s="0" t="n">
        <v>1.01</v>
      </c>
      <c r="AKD83" s="0" t="n">
        <v>3</v>
      </c>
      <c r="AKE83" s="0" t="n">
        <v>1.01</v>
      </c>
      <c r="AKJ83" s="0" t="n">
        <v>1.7</v>
      </c>
      <c r="AKK83" s="0" t="n">
        <v>0</v>
      </c>
      <c r="AKV83" s="18"/>
      <c r="ALN83" s="0" t="n">
        <v>1</v>
      </c>
      <c r="ALO83" s="0" t="n">
        <v>60</v>
      </c>
      <c r="ALP83" s="0" t="n">
        <v>1</v>
      </c>
      <c r="ALQ83" s="0" t="n">
        <v>1.05</v>
      </c>
      <c r="ALR83" s="0" t="n">
        <v>1</v>
      </c>
    </row>
    <row r="84" customFormat="false" ht="13.8" hidden="false" customHeight="false" outlineLevel="0" collapsed="false">
      <c r="A84" s="1" t="s">
        <v>460</v>
      </c>
      <c r="B84" s="12" t="n">
        <v>42900</v>
      </c>
      <c r="C84" s="0" t="n">
        <v>2</v>
      </c>
      <c r="D84" s="13" t="n">
        <v>35103</v>
      </c>
      <c r="E84" s="12" t="n">
        <v>21653</v>
      </c>
      <c r="F84" s="14" t="n">
        <f aca="false">(B84-E84)/365.25</f>
        <v>58.1711156741958</v>
      </c>
      <c r="G84" s="14" t="n">
        <f aca="false">(B84-D84)/365.25</f>
        <v>21.347022587269</v>
      </c>
      <c r="H84" s="15" t="s">
        <v>228</v>
      </c>
      <c r="I84" s="15" t="s">
        <v>447</v>
      </c>
      <c r="J84" s="15" t="s">
        <v>183</v>
      </c>
      <c r="K84" s="21" t="n">
        <v>8</v>
      </c>
      <c r="L84" s="19" t="n">
        <v>68</v>
      </c>
      <c r="M84" s="0" t="n">
        <v>1.61</v>
      </c>
      <c r="N84" s="16" t="n">
        <f aca="false">L84/(M84*M84)</f>
        <v>26.2335558041742</v>
      </c>
      <c r="O84" s="19" t="n">
        <v>1</v>
      </c>
      <c r="P84" s="19" t="n">
        <v>1</v>
      </c>
      <c r="Q84" s="19"/>
      <c r="R84" s="19"/>
      <c r="S84" s="19"/>
      <c r="T84" s="19"/>
      <c r="U84" s="19" t="n">
        <v>0</v>
      </c>
      <c r="V84" s="19" t="n">
        <v>0</v>
      </c>
      <c r="W84" s="19" t="n">
        <v>0</v>
      </c>
      <c r="X84" s="19"/>
      <c r="Y84" s="19" t="n">
        <v>0</v>
      </c>
      <c r="Z84" s="19" t="n">
        <v>0</v>
      </c>
      <c r="AA84" s="19" t="n">
        <v>0</v>
      </c>
      <c r="AB84" s="19" t="n">
        <v>0</v>
      </c>
      <c r="AC84" s="19" t="n">
        <v>0</v>
      </c>
      <c r="AD84" s="19" t="n">
        <v>0</v>
      </c>
      <c r="AE84" s="19"/>
      <c r="AF84" s="19"/>
      <c r="AG84" s="19"/>
      <c r="AH84" s="19"/>
      <c r="AI84" s="19"/>
      <c r="AJ84" s="19"/>
      <c r="AK84" s="19"/>
      <c r="AL84" s="19"/>
      <c r="AM84" s="19" t="n">
        <v>0</v>
      </c>
      <c r="AN84" s="19"/>
      <c r="AO84" s="19"/>
      <c r="AP84" s="19"/>
      <c r="AQ84" s="19"/>
      <c r="AR84" s="19"/>
      <c r="AS84" s="19" t="n">
        <v>1</v>
      </c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 t="n">
        <v>1</v>
      </c>
      <c r="BK84" s="19"/>
      <c r="BL84" s="19"/>
      <c r="BM84" s="19"/>
      <c r="BN84" s="19"/>
      <c r="BO84" s="19"/>
      <c r="BP84" s="19"/>
      <c r="BQ84" s="19"/>
      <c r="BR84" s="19" t="n">
        <v>3</v>
      </c>
      <c r="BS84" s="19" t="n">
        <v>3</v>
      </c>
      <c r="BT84" s="19" t="n">
        <v>4</v>
      </c>
      <c r="BU84" s="19" t="n">
        <v>4</v>
      </c>
      <c r="BV84" s="19" t="n">
        <v>1</v>
      </c>
      <c r="BW84" s="19" t="n">
        <v>1</v>
      </c>
      <c r="BX84" s="19" t="n">
        <v>3</v>
      </c>
      <c r="BY84" s="19" t="n">
        <v>1</v>
      </c>
      <c r="BZ84" s="19" t="n">
        <v>1</v>
      </c>
      <c r="CA84" s="19" t="n">
        <v>1</v>
      </c>
      <c r="CB84" s="19" t="n">
        <v>1</v>
      </c>
      <c r="CC84" s="19" t="n">
        <v>4</v>
      </c>
      <c r="CD84" s="19" t="n">
        <v>1</v>
      </c>
      <c r="CE84" s="19" t="n">
        <v>1</v>
      </c>
      <c r="CF84" s="19" t="n">
        <v>3</v>
      </c>
      <c r="CG84" s="19" t="n">
        <v>4</v>
      </c>
      <c r="CH84" s="19" t="n">
        <v>2</v>
      </c>
      <c r="CI84" s="19" t="n">
        <v>3</v>
      </c>
      <c r="CJ84" s="19" t="n">
        <v>2</v>
      </c>
      <c r="CK84" s="19"/>
      <c r="CL84" s="0" t="s">
        <v>230</v>
      </c>
      <c r="CM84" s="0" t="n">
        <v>64</v>
      </c>
      <c r="CN84" s="16" t="n">
        <v>74.3</v>
      </c>
      <c r="CO84" s="16" t="n">
        <v>81</v>
      </c>
      <c r="CP84" s="16" t="n">
        <v>58.5</v>
      </c>
      <c r="CQ84" s="0" t="n">
        <v>49.17</v>
      </c>
      <c r="CR84" s="0" t="n">
        <v>0</v>
      </c>
      <c r="CS84" s="0" t="n">
        <v>34.45</v>
      </c>
      <c r="CT84" s="0" t="n">
        <v>16.22</v>
      </c>
      <c r="CU84" s="0" t="n">
        <v>0.16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2.52</v>
      </c>
      <c r="DE84" s="0" t="n">
        <v>9.18</v>
      </c>
      <c r="DF84" s="0" t="n">
        <v>0</v>
      </c>
      <c r="DG84" s="0" t="n">
        <v>0</v>
      </c>
      <c r="DH84" s="0" t="n">
        <v>0</v>
      </c>
      <c r="DU84" s="0" t="n">
        <v>0.3</v>
      </c>
      <c r="DV84" s="0" t="n">
        <v>1</v>
      </c>
      <c r="DW84" s="0" t="n">
        <v>34</v>
      </c>
      <c r="DX84" s="0" t="n">
        <v>8</v>
      </c>
      <c r="DY84" s="0" t="n">
        <v>0.43</v>
      </c>
      <c r="DZ84" s="0" t="n">
        <v>1</v>
      </c>
      <c r="EA84" s="0" t="n">
        <v>47</v>
      </c>
      <c r="EB84" s="0" t="n">
        <v>1</v>
      </c>
      <c r="EC84" s="0" t="n">
        <v>0.04</v>
      </c>
      <c r="ED84" s="0" t="n">
        <v>3</v>
      </c>
      <c r="EG84" s="18"/>
      <c r="EY84" s="0" t="n">
        <v>0</v>
      </c>
      <c r="GJ84" s="16" t="n">
        <v>2.89</v>
      </c>
      <c r="GK84" s="16" t="n">
        <v>1</v>
      </c>
      <c r="GL84" s="16" t="n">
        <v>1</v>
      </c>
      <c r="GM84" s="16"/>
      <c r="GN84" s="16" t="n">
        <v>7.35</v>
      </c>
      <c r="GO84" s="16"/>
      <c r="GP84" s="16"/>
      <c r="GQ84" s="16"/>
      <c r="GR84" s="16"/>
      <c r="GS84" s="16"/>
      <c r="GT84" s="16"/>
      <c r="GU84" s="16" t="n">
        <v>0</v>
      </c>
      <c r="GV84" s="16" t="n">
        <v>0</v>
      </c>
      <c r="GW84" s="16"/>
      <c r="GX84" s="16"/>
      <c r="GY84" s="16" t="n">
        <v>0</v>
      </c>
      <c r="GZ84" s="16" t="n">
        <v>0</v>
      </c>
      <c r="HA84" s="16" t="n">
        <v>0</v>
      </c>
      <c r="HB84" s="0" t="n">
        <v>0</v>
      </c>
      <c r="HC84" s="0" t="s">
        <v>237</v>
      </c>
      <c r="HD84" s="0" t="n">
        <v>46</v>
      </c>
      <c r="HE84" s="16" t="n">
        <v>92.7</v>
      </c>
      <c r="HF84" s="16" t="n">
        <v>81</v>
      </c>
      <c r="HG84" s="16" t="n">
        <v>20.8</v>
      </c>
      <c r="HH84" s="0" t="n">
        <v>76.44</v>
      </c>
      <c r="HI84" s="0" t="n">
        <v>0</v>
      </c>
      <c r="HJ84" s="0" t="n">
        <v>0</v>
      </c>
      <c r="HK84" s="0" t="n">
        <v>0</v>
      </c>
      <c r="HL84" s="0" t="n">
        <v>23.56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0.23</v>
      </c>
      <c r="HT84" s="0" t="n">
        <v>0.51</v>
      </c>
      <c r="HU84" s="0" t="n">
        <v>26.55</v>
      </c>
      <c r="HV84" s="0" t="n">
        <v>36.69</v>
      </c>
      <c r="HW84" s="0" t="n">
        <v>0</v>
      </c>
      <c r="HX84" s="0" t="n">
        <v>10.6</v>
      </c>
      <c r="HY84" s="0" t="n">
        <v>1</v>
      </c>
      <c r="HZ84" s="0" t="n">
        <v>6</v>
      </c>
      <c r="IB84" s="0" t="n">
        <v>1</v>
      </c>
      <c r="IF84" s="0" t="n">
        <v>6</v>
      </c>
      <c r="IH84" s="0" t="n">
        <v>1</v>
      </c>
      <c r="IL84" s="0" t="n">
        <v>7.1</v>
      </c>
      <c r="IM84" s="0" t="n">
        <v>1</v>
      </c>
      <c r="IN84" s="0" t="n">
        <v>35</v>
      </c>
      <c r="IO84" s="0" t="n">
        <v>2</v>
      </c>
      <c r="IP84" s="0" t="n">
        <f aca="false">0.76*2</f>
        <v>1.52</v>
      </c>
      <c r="IQ84" s="0" t="n">
        <v>3</v>
      </c>
      <c r="IX84" s="18"/>
      <c r="JP84" s="0" t="n">
        <v>0</v>
      </c>
      <c r="LA84" s="16" t="n">
        <v>2.41</v>
      </c>
      <c r="LB84" s="16" t="n">
        <v>1</v>
      </c>
      <c r="LC84" s="16" t="n">
        <v>1</v>
      </c>
      <c r="LD84" s="16"/>
      <c r="LE84" s="16" t="n">
        <f aca="false">0.41+1.67+5+0.33+0.45+0.15</f>
        <v>8.01</v>
      </c>
      <c r="LF84" s="16"/>
      <c r="LG84" s="16"/>
      <c r="LH84" s="16"/>
      <c r="LI84" s="16"/>
      <c r="LJ84" s="16"/>
      <c r="LK84" s="16"/>
      <c r="LL84" s="16" t="n">
        <v>0.33</v>
      </c>
      <c r="LM84" s="16" t="n">
        <v>0.33</v>
      </c>
      <c r="LN84" s="16"/>
      <c r="LO84" s="16"/>
      <c r="LP84" s="16" t="n">
        <v>0</v>
      </c>
      <c r="LQ84" s="16" t="n">
        <v>0</v>
      </c>
      <c r="LR84" s="16" t="n">
        <v>0</v>
      </c>
      <c r="LS84" s="0" t="n">
        <v>0</v>
      </c>
      <c r="LT84" s="0" t="s">
        <v>461</v>
      </c>
      <c r="LU84" s="0" t="n">
        <v>38</v>
      </c>
      <c r="LV84" s="16" t="n">
        <v>84.5</v>
      </c>
      <c r="LW84" s="16" t="n">
        <v>81</v>
      </c>
      <c r="LX84" s="16" t="n">
        <v>11.8</v>
      </c>
      <c r="LY84" s="0" t="n">
        <v>99.78</v>
      </c>
      <c r="LZ84" s="0" t="n">
        <v>0</v>
      </c>
      <c r="MA84" s="0" t="n">
        <v>0</v>
      </c>
      <c r="MB84" s="0" t="n">
        <v>0</v>
      </c>
      <c r="MC84" s="0" t="n">
        <v>0.22</v>
      </c>
      <c r="MD84" s="0" t="n">
        <v>0</v>
      </c>
      <c r="ME84" s="0" t="n">
        <v>0</v>
      </c>
      <c r="MF84" s="0" t="n">
        <v>0</v>
      </c>
      <c r="MG84" s="0" t="n">
        <v>0</v>
      </c>
      <c r="MH84" s="0" t="n">
        <v>0</v>
      </c>
      <c r="MI84" s="0" t="n">
        <v>0</v>
      </c>
      <c r="MJ84" s="0" t="n">
        <v>7.31</v>
      </c>
      <c r="MK84" s="0" t="n">
        <v>0</v>
      </c>
      <c r="ML84" s="0" t="n">
        <v>30.29</v>
      </c>
      <c r="MM84" s="0" t="n">
        <v>31.72</v>
      </c>
      <c r="MN84" s="0" t="n">
        <v>0</v>
      </c>
      <c r="MO84" s="0" t="n">
        <v>0</v>
      </c>
      <c r="MP84" s="0" t="n">
        <v>0</v>
      </c>
      <c r="NC84" s="0" t="n">
        <v>14</v>
      </c>
      <c r="ND84" s="0" t="n">
        <v>1</v>
      </c>
      <c r="NE84" s="0" t="n">
        <v>52</v>
      </c>
      <c r="NF84" s="0" t="n">
        <v>6</v>
      </c>
      <c r="NG84" s="0" t="n">
        <v>4.53</v>
      </c>
      <c r="NH84" s="0" t="n">
        <v>2</v>
      </c>
      <c r="NO84" s="18"/>
      <c r="OG84" s="0" t="n">
        <v>1</v>
      </c>
      <c r="OH84" s="0" t="n">
        <v>50</v>
      </c>
      <c r="OI84" s="0" t="n">
        <v>3</v>
      </c>
      <c r="OJ84" s="0" t="n">
        <v>0.4</v>
      </c>
      <c r="OK84" s="0" t="n">
        <v>6</v>
      </c>
      <c r="PR84" s="16" t="n">
        <v>3.9</v>
      </c>
      <c r="PS84" s="16" t="n">
        <v>1</v>
      </c>
      <c r="PT84" s="16" t="n">
        <v>1</v>
      </c>
      <c r="PU84" s="16"/>
      <c r="PV84" s="16" t="n">
        <f aca="false">1.7*3+4.53+2.64*2+0.6</f>
        <v>15.51</v>
      </c>
      <c r="PW84" s="16"/>
      <c r="PX84" s="16"/>
      <c r="PY84" s="16"/>
      <c r="PZ84" s="16"/>
      <c r="QA84" s="16"/>
      <c r="QB84" s="16"/>
      <c r="QC84" s="16" t="n">
        <v>8.14</v>
      </c>
      <c r="QD84" s="16" t="n">
        <v>15.87</v>
      </c>
      <c r="QE84" s="16"/>
      <c r="QF84" s="16"/>
      <c r="QG84" s="16" t="n">
        <v>0</v>
      </c>
      <c r="QH84" s="16" t="n">
        <v>0</v>
      </c>
      <c r="QI84" s="16" t="n">
        <v>0</v>
      </c>
      <c r="QJ84" s="0" t="n">
        <v>0</v>
      </c>
      <c r="QK84" s="0" t="s">
        <v>462</v>
      </c>
      <c r="QL84" s="0" t="n">
        <v>47.5</v>
      </c>
      <c r="QM84" s="16" t="n">
        <v>85.1</v>
      </c>
      <c r="QN84" s="16" t="n">
        <v>81</v>
      </c>
      <c r="QO84" s="16" t="n">
        <v>33.2</v>
      </c>
      <c r="QP84" s="0" t="n">
        <v>52.89</v>
      </c>
      <c r="QQ84" s="0" t="n">
        <v>0</v>
      </c>
      <c r="QR84" s="0" t="n">
        <v>0</v>
      </c>
      <c r="QS84" s="0" t="n">
        <v>0</v>
      </c>
      <c r="QT84" s="0" t="n">
        <v>47.11</v>
      </c>
      <c r="QU84" s="0" t="n">
        <v>0</v>
      </c>
      <c r="QV84" s="0" t="n">
        <v>0</v>
      </c>
      <c r="QW84" s="0" t="n">
        <v>0</v>
      </c>
      <c r="QX84" s="0" t="n">
        <v>0</v>
      </c>
      <c r="QY84" s="0" t="n">
        <v>0</v>
      </c>
      <c r="QZ84" s="0" t="n">
        <v>0</v>
      </c>
      <c r="RA84" s="0" t="n">
        <v>3.65</v>
      </c>
      <c r="RB84" s="0" t="n">
        <v>0</v>
      </c>
      <c r="RC84" s="0" t="n">
        <v>19.66</v>
      </c>
      <c r="RD84" s="0" t="n">
        <v>48.22</v>
      </c>
      <c r="RE84" s="0" t="n">
        <v>0</v>
      </c>
      <c r="RF84" s="0" t="n">
        <v>5.3</v>
      </c>
      <c r="RG84" s="0" t="n">
        <v>1</v>
      </c>
      <c r="RH84" s="0" t="n">
        <v>5</v>
      </c>
      <c r="RJ84" s="0" t="n">
        <v>1</v>
      </c>
      <c r="RN84" s="0" t="n">
        <v>5</v>
      </c>
      <c r="RP84" s="0" t="n">
        <v>1</v>
      </c>
      <c r="RT84" s="0" t="n">
        <v>1.5</v>
      </c>
      <c r="RU84" s="0" t="n">
        <v>0</v>
      </c>
      <c r="SF84" s="18"/>
      <c r="SX84" s="0" t="n">
        <v>1</v>
      </c>
      <c r="SY84" s="0" t="n">
        <v>60</v>
      </c>
      <c r="SZ84" s="0" t="n">
        <v>1</v>
      </c>
      <c r="TA84" s="0" t="n">
        <v>3.97</v>
      </c>
      <c r="TB84" s="0" t="n">
        <v>4</v>
      </c>
      <c r="TC84" s="0" t="n">
        <v>60</v>
      </c>
      <c r="TD84" s="0" t="n">
        <v>1</v>
      </c>
      <c r="TE84" s="0" t="n">
        <v>0.2</v>
      </c>
      <c r="TF84" s="0" t="n">
        <v>3</v>
      </c>
      <c r="UI84" s="16" t="n">
        <v>1.3</v>
      </c>
      <c r="UJ84" s="16" t="n">
        <v>1</v>
      </c>
      <c r="UK84" s="16" t="n">
        <v>1</v>
      </c>
      <c r="UL84" s="16"/>
      <c r="UM84" s="16" t="n">
        <f aca="false">1.05*2+0.15</f>
        <v>2.25</v>
      </c>
      <c r="UN84" s="16"/>
      <c r="UO84" s="16"/>
      <c r="UP84" s="16"/>
      <c r="UQ84" s="16"/>
      <c r="UR84" s="16"/>
      <c r="US84" s="16"/>
      <c r="UT84" s="16" t="n">
        <v>0.69</v>
      </c>
      <c r="UU84" s="16" t="n">
        <v>0.33</v>
      </c>
      <c r="UV84" s="16"/>
      <c r="UW84" s="16"/>
      <c r="UX84" s="16" t="n">
        <v>0</v>
      </c>
      <c r="UY84" s="16" t="n">
        <v>0</v>
      </c>
      <c r="UZ84" s="16" t="n">
        <v>0</v>
      </c>
      <c r="VA84" s="0" t="n">
        <v>0</v>
      </c>
      <c r="VB84" s="0" t="s">
        <v>463</v>
      </c>
      <c r="VC84" s="0" t="n">
        <v>50</v>
      </c>
      <c r="VD84" s="16" t="n">
        <v>86.6</v>
      </c>
      <c r="VE84" s="16" t="n">
        <v>81</v>
      </c>
      <c r="VF84" s="16" t="n">
        <v>31.6</v>
      </c>
      <c r="VG84" s="0" t="n">
        <v>51.98</v>
      </c>
      <c r="VH84" s="0" t="n">
        <v>0</v>
      </c>
      <c r="VI84" s="0" t="n">
        <v>0</v>
      </c>
      <c r="VJ84" s="0" t="n">
        <v>0</v>
      </c>
      <c r="VK84" s="0" t="n">
        <v>48.02</v>
      </c>
      <c r="VL84" s="0" t="n">
        <v>0</v>
      </c>
      <c r="VM84" s="0" t="n">
        <v>0</v>
      </c>
      <c r="VN84" s="0" t="n">
        <v>0</v>
      </c>
      <c r="VO84" s="0" t="n">
        <v>0</v>
      </c>
      <c r="VP84" s="0" t="n">
        <v>0</v>
      </c>
      <c r="VQ84" s="0" t="n">
        <v>0</v>
      </c>
      <c r="VR84" s="0" t="n">
        <v>0</v>
      </c>
      <c r="VS84" s="0" t="n">
        <v>0</v>
      </c>
      <c r="VT84" s="0" t="n">
        <v>34.88</v>
      </c>
      <c r="VU84" s="0" t="n">
        <v>40.97</v>
      </c>
      <c r="VV84" s="0" t="n">
        <v>0</v>
      </c>
      <c r="VW84" s="0" t="n">
        <v>12</v>
      </c>
      <c r="VX84" s="0" t="n">
        <v>1</v>
      </c>
      <c r="VY84" s="0" t="n">
        <v>7</v>
      </c>
      <c r="WA84" s="0" t="n">
        <v>1</v>
      </c>
      <c r="WE84" s="0" t="n">
        <v>7</v>
      </c>
      <c r="WG84" s="0" t="n">
        <v>1</v>
      </c>
      <c r="WK84" s="0" t="n">
        <v>0.4</v>
      </c>
      <c r="WL84" s="0" t="n">
        <v>0</v>
      </c>
      <c r="WW84" s="18"/>
      <c r="XO84" s="0" t="n">
        <v>1</v>
      </c>
      <c r="XP84" s="0" t="n">
        <v>60</v>
      </c>
      <c r="XQ84" s="0" t="n">
        <v>1</v>
      </c>
      <c r="XR84" s="0" t="n">
        <v>0.53</v>
      </c>
      <c r="XS84" s="0" t="n">
        <v>4</v>
      </c>
      <c r="XT84" s="0" t="n">
        <v>60</v>
      </c>
      <c r="XU84" s="0" t="n">
        <v>1</v>
      </c>
      <c r="XV84" s="0" t="n">
        <v>0.6</v>
      </c>
      <c r="XW84" s="0" t="n">
        <v>3</v>
      </c>
      <c r="YZ84" s="16" t="n">
        <v>0.22</v>
      </c>
      <c r="ZA84" s="16" t="n">
        <v>1</v>
      </c>
      <c r="ZB84" s="16" t="n">
        <v>1</v>
      </c>
      <c r="ZC84" s="16"/>
      <c r="ZD84" s="16" t="n">
        <f aca="false">0.37*2</f>
        <v>0.74</v>
      </c>
      <c r="ZE84" s="16"/>
      <c r="ZF84" s="16"/>
      <c r="ZG84" s="16"/>
      <c r="ZH84" s="16"/>
      <c r="ZI84" s="16"/>
      <c r="ZJ84" s="16"/>
      <c r="ZK84" s="16" t="n">
        <v>0</v>
      </c>
      <c r="ZL84" s="16" t="n">
        <v>0</v>
      </c>
      <c r="ZM84" s="16"/>
      <c r="ZN84" s="16"/>
      <c r="ZO84" s="16" t="n">
        <v>0</v>
      </c>
      <c r="ZP84" s="16" t="n">
        <v>0</v>
      </c>
      <c r="ZQ84" s="16" t="n">
        <v>0</v>
      </c>
      <c r="ZR84" s="0" t="n">
        <v>0</v>
      </c>
      <c r="ZU84" s="15"/>
      <c r="ZV84" s="15"/>
      <c r="AAC84" s="15"/>
      <c r="AAD84" s="15"/>
      <c r="AAK84" s="15"/>
      <c r="AAL84" s="15"/>
      <c r="AAS84" s="15"/>
      <c r="AAT84" s="15"/>
      <c r="ABA84" s="15"/>
      <c r="ABB84" s="15"/>
      <c r="ABI84" s="15"/>
      <c r="ABJ84" s="15"/>
      <c r="ABQ84" s="15"/>
      <c r="ABR84" s="15"/>
      <c r="ABY84" s="15"/>
      <c r="ABZ84" s="15"/>
      <c r="ACG84" s="15"/>
      <c r="ACH84" s="15"/>
      <c r="ACO84" s="15"/>
      <c r="ACP84" s="15"/>
      <c r="ACW84" s="15"/>
      <c r="ACX84" s="15"/>
      <c r="ADE84" s="15"/>
      <c r="ADF84" s="15"/>
      <c r="ADM84" s="15"/>
      <c r="ADN84" s="15"/>
      <c r="ADU84" s="15"/>
      <c r="ADV84" s="15"/>
      <c r="AEC84" s="15"/>
      <c r="AED84" s="15"/>
      <c r="AEK84" s="15"/>
      <c r="AEL84" s="15"/>
      <c r="AES84" s="15"/>
      <c r="AET84" s="15"/>
      <c r="AFA84" s="15"/>
      <c r="AFB84" s="15"/>
      <c r="AFI84" s="15"/>
      <c r="AFJ84" s="15"/>
      <c r="AFQ84" s="15"/>
      <c r="AFR84" s="15"/>
      <c r="AFY84" s="15"/>
      <c r="AFZ84" s="15"/>
      <c r="AGG84" s="15"/>
      <c r="AGH84" s="15"/>
      <c r="AGO84" s="15"/>
      <c r="AGP84" s="15"/>
      <c r="AGW84" s="15"/>
      <c r="AGX84" s="15"/>
      <c r="AHE84" s="15"/>
      <c r="AHF84" s="15"/>
      <c r="AHM84" s="15"/>
      <c r="AHN84" s="15"/>
      <c r="AHU84" s="15"/>
      <c r="AHV84" s="15"/>
      <c r="AIC84" s="15"/>
      <c r="AID84" s="15"/>
      <c r="AIK84" s="15"/>
      <c r="AIL84" s="15"/>
      <c r="AIS84" s="15"/>
      <c r="AIT84" s="15"/>
      <c r="AJA84" s="15"/>
      <c r="AJB84" s="15"/>
      <c r="AJI84" s="15"/>
      <c r="AJJ84" s="15"/>
      <c r="AJQ84" s="15"/>
      <c r="AJR84" s="15"/>
      <c r="AJY84" s="15"/>
      <c r="AJZ84" s="15"/>
      <c r="AKG84" s="15"/>
      <c r="AKH84" s="15"/>
      <c r="AKO84" s="15"/>
      <c r="AKP84" s="15"/>
      <c r="AKW84" s="15"/>
      <c r="AKX84" s="15"/>
      <c r="ALE84" s="15"/>
      <c r="ALF84" s="15"/>
      <c r="ALM84" s="15"/>
      <c r="ALN84" s="15"/>
      <c r="ALU84" s="15"/>
      <c r="ALV84" s="15"/>
      <c r="AMC84" s="15"/>
      <c r="AMD84" s="15"/>
    </row>
    <row r="85" customFormat="false" ht="13.8" hidden="false" customHeight="false" outlineLevel="0" collapsed="false">
      <c r="A85" s="1" t="s">
        <v>464</v>
      </c>
      <c r="B85" s="12" t="n">
        <v>42901</v>
      </c>
      <c r="C85" s="0" t="n">
        <v>2</v>
      </c>
      <c r="D85" s="13" t="n">
        <v>42814</v>
      </c>
      <c r="E85" s="12" t="n">
        <v>31826</v>
      </c>
      <c r="F85" s="14" t="n">
        <f aca="false">(B85-E85)/365.25</f>
        <v>30.321697467488</v>
      </c>
      <c r="G85" s="14" t="n">
        <f aca="false">(B85-D85)/365.25</f>
        <v>0.238193018480493</v>
      </c>
      <c r="H85" s="15" t="s">
        <v>228</v>
      </c>
      <c r="I85" s="15" t="s">
        <v>447</v>
      </c>
      <c r="J85" s="15" t="s">
        <v>181</v>
      </c>
      <c r="K85" s="21" t="n">
        <v>8</v>
      </c>
      <c r="L85" s="19" t="n">
        <v>65</v>
      </c>
      <c r="M85" s="0" t="n">
        <v>1.78</v>
      </c>
      <c r="N85" s="16" t="n">
        <f aca="false">L85/(M85*M85)</f>
        <v>20.5150864789799</v>
      </c>
      <c r="O85" s="19" t="n">
        <v>0</v>
      </c>
      <c r="P85" s="19" t="n">
        <v>0</v>
      </c>
      <c r="Q85" s="19" t="n">
        <v>0</v>
      </c>
      <c r="R85" s="19" t="n">
        <v>0</v>
      </c>
      <c r="S85" s="19" t="n">
        <v>0</v>
      </c>
      <c r="T85" s="19" t="n">
        <v>0</v>
      </c>
      <c r="U85" s="19" t="n">
        <v>0</v>
      </c>
      <c r="V85" s="19" t="n">
        <v>0</v>
      </c>
      <c r="W85" s="19" t="n">
        <v>0</v>
      </c>
      <c r="X85" s="19" t="n">
        <v>0</v>
      </c>
      <c r="Y85" s="19" t="n">
        <v>0</v>
      </c>
      <c r="Z85" s="19" t="n">
        <v>0</v>
      </c>
      <c r="AA85" s="19" t="n">
        <v>0</v>
      </c>
      <c r="AB85" s="19" t="n">
        <v>0</v>
      </c>
      <c r="AC85" s="19" t="n">
        <v>0</v>
      </c>
      <c r="AD85" s="19" t="n">
        <v>0</v>
      </c>
      <c r="AE85" s="19" t="n">
        <v>0</v>
      </c>
      <c r="AF85" s="19" t="n">
        <v>0</v>
      </c>
      <c r="AG85" s="19" t="n">
        <v>0</v>
      </c>
      <c r="AH85" s="19" t="n">
        <v>0</v>
      </c>
      <c r="AI85" s="19" t="n">
        <v>0</v>
      </c>
      <c r="AJ85" s="19" t="n">
        <v>0</v>
      </c>
      <c r="AK85" s="19" t="n">
        <v>0</v>
      </c>
      <c r="AL85" s="19" t="n">
        <v>0</v>
      </c>
      <c r="AM85" s="19" t="n">
        <v>0</v>
      </c>
      <c r="AN85" s="19" t="n">
        <v>0</v>
      </c>
      <c r="AO85" s="19" t="n">
        <v>0</v>
      </c>
      <c r="AP85" s="19" t="n">
        <v>0</v>
      </c>
      <c r="AQ85" s="19" t="n">
        <v>0</v>
      </c>
      <c r="AR85" s="19" t="n">
        <v>0</v>
      </c>
      <c r="AS85" s="19" t="n">
        <v>3</v>
      </c>
      <c r="AT85" s="19"/>
      <c r="AU85" s="19"/>
      <c r="AV85" s="19"/>
      <c r="AW85" s="19"/>
      <c r="AX85" s="19" t="n">
        <v>0</v>
      </c>
      <c r="AY85" s="19" t="n">
        <v>0</v>
      </c>
      <c r="AZ85" s="19" t="n">
        <v>0</v>
      </c>
      <c r="BA85" s="19" t="n">
        <v>0</v>
      </c>
      <c r="BB85" s="19" t="n">
        <v>0</v>
      </c>
      <c r="BC85" s="19" t="n">
        <v>0</v>
      </c>
      <c r="BD85" s="19" t="n">
        <v>0</v>
      </c>
      <c r="BE85" s="19" t="n">
        <v>0</v>
      </c>
      <c r="BF85" s="19" t="n">
        <v>0</v>
      </c>
      <c r="BG85" s="19" t="n">
        <v>0</v>
      </c>
      <c r="BH85" s="19" t="n">
        <v>0</v>
      </c>
      <c r="BI85" s="19" t="n">
        <v>0</v>
      </c>
      <c r="BJ85" s="19" t="n">
        <v>0</v>
      </c>
      <c r="BK85" s="19" t="n">
        <v>0</v>
      </c>
      <c r="BL85" s="19" t="n">
        <v>0</v>
      </c>
      <c r="BM85" s="19" t="n">
        <v>0</v>
      </c>
      <c r="BN85" s="19" t="n">
        <v>0</v>
      </c>
      <c r="BO85" s="19" t="n">
        <v>0</v>
      </c>
      <c r="BP85" s="19" t="n">
        <v>0</v>
      </c>
      <c r="BQ85" s="19" t="n">
        <v>0</v>
      </c>
      <c r="BR85" s="19" t="n">
        <v>3</v>
      </c>
      <c r="BS85" s="19" t="n">
        <v>1</v>
      </c>
      <c r="BT85" s="19" t="n">
        <v>3</v>
      </c>
      <c r="BU85" s="19" t="n">
        <v>5</v>
      </c>
      <c r="BV85" s="19" t="n">
        <v>3</v>
      </c>
      <c r="BW85" s="19" t="n">
        <v>1</v>
      </c>
      <c r="BX85" s="19" t="n">
        <v>4</v>
      </c>
      <c r="BY85" s="19" t="n">
        <v>4</v>
      </c>
      <c r="BZ85" s="19" t="n">
        <v>5</v>
      </c>
      <c r="CA85" s="19" t="n">
        <v>5</v>
      </c>
      <c r="CB85" s="19" t="n">
        <v>5</v>
      </c>
      <c r="CC85" s="19" t="n">
        <v>5</v>
      </c>
      <c r="CD85" s="19" t="n">
        <v>3</v>
      </c>
      <c r="CE85" s="19" t="n">
        <v>3</v>
      </c>
      <c r="CF85" s="19" t="n">
        <v>3</v>
      </c>
      <c r="CG85" s="19" t="n">
        <v>5</v>
      </c>
      <c r="CH85" s="19" t="n">
        <v>5</v>
      </c>
      <c r="CI85" s="19" t="n">
        <v>4</v>
      </c>
      <c r="CJ85" s="19" t="n">
        <v>4</v>
      </c>
      <c r="CK85" s="19" t="n">
        <v>10</v>
      </c>
      <c r="CL85" s="0" t="s">
        <v>230</v>
      </c>
      <c r="CM85" s="0" t="n">
        <v>64</v>
      </c>
      <c r="CN85" s="16" t="n">
        <v>74.3</v>
      </c>
      <c r="CO85" s="16" t="n">
        <v>81</v>
      </c>
      <c r="CP85" s="16" t="n">
        <v>58.5</v>
      </c>
      <c r="CQ85" s="0" t="n">
        <v>49.17</v>
      </c>
      <c r="CR85" s="0" t="n">
        <v>0</v>
      </c>
      <c r="CS85" s="0" t="n">
        <v>34.45</v>
      </c>
      <c r="CT85" s="0" t="n">
        <v>16.22</v>
      </c>
      <c r="CU85" s="0" t="n">
        <v>0.16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2.52</v>
      </c>
      <c r="DE85" s="0" t="n">
        <v>9.18</v>
      </c>
      <c r="DF85" s="0" t="n">
        <v>0</v>
      </c>
      <c r="DG85" s="0" t="n">
        <v>0</v>
      </c>
      <c r="DH85" s="0" t="n">
        <v>0</v>
      </c>
      <c r="DU85" s="0" t="n">
        <v>0.3</v>
      </c>
      <c r="DV85" s="0" t="n">
        <v>1</v>
      </c>
      <c r="DW85" s="0" t="n">
        <v>34</v>
      </c>
      <c r="DX85" s="0" t="n">
        <v>8</v>
      </c>
      <c r="DY85" s="0" t="n">
        <v>0.43</v>
      </c>
      <c r="DZ85" s="0" t="n">
        <v>1</v>
      </c>
      <c r="EA85" s="0" t="n">
        <v>47</v>
      </c>
      <c r="EB85" s="0" t="n">
        <v>1</v>
      </c>
      <c r="EC85" s="0" t="n">
        <v>0.04</v>
      </c>
      <c r="ED85" s="0" t="n">
        <v>3</v>
      </c>
      <c r="EG85" s="18"/>
      <c r="EY85" s="0" t="n">
        <v>0</v>
      </c>
      <c r="GJ85" s="16" t="n">
        <v>2.89</v>
      </c>
      <c r="GK85" s="16" t="n">
        <v>1</v>
      </c>
      <c r="GL85" s="16" t="n">
        <v>1</v>
      </c>
      <c r="GM85" s="16"/>
      <c r="GN85" s="16" t="n">
        <v>7.35</v>
      </c>
      <c r="GO85" s="16"/>
      <c r="GP85" s="16"/>
      <c r="GQ85" s="16"/>
      <c r="GR85" s="16"/>
      <c r="GS85" s="16"/>
      <c r="GT85" s="16"/>
      <c r="GU85" s="16" t="n">
        <v>0</v>
      </c>
      <c r="GV85" s="16" t="n">
        <v>0</v>
      </c>
      <c r="GW85" s="16"/>
      <c r="GX85" s="16"/>
      <c r="GY85" s="16" t="n">
        <v>0</v>
      </c>
      <c r="GZ85" s="16" t="n">
        <v>0</v>
      </c>
      <c r="HA85" s="16" t="n">
        <v>0</v>
      </c>
      <c r="HB85" s="0" t="n">
        <v>0</v>
      </c>
      <c r="HC85" s="0" t="s">
        <v>231</v>
      </c>
      <c r="HD85" s="0" t="n">
        <v>64.5</v>
      </c>
      <c r="HE85" s="16" t="n">
        <v>77.8</v>
      </c>
      <c r="HF85" s="16" t="n">
        <v>81</v>
      </c>
      <c r="HG85" s="16" t="n">
        <v>52.5</v>
      </c>
      <c r="HH85" s="0" t="n">
        <v>50.19</v>
      </c>
      <c r="HI85" s="0" t="n">
        <v>0</v>
      </c>
      <c r="HJ85" s="0" t="n">
        <v>26.36</v>
      </c>
      <c r="HK85" s="0" t="n">
        <v>23.45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1.91</v>
      </c>
      <c r="HU85" s="0" t="n">
        <v>2.12</v>
      </c>
      <c r="HV85" s="0" t="n">
        <v>0</v>
      </c>
      <c r="HW85" s="0" t="n">
        <v>0</v>
      </c>
      <c r="HX85" s="0" t="n">
        <v>0</v>
      </c>
      <c r="HY85" s="0" t="n">
        <v>0</v>
      </c>
      <c r="IL85" s="0" t="n">
        <v>5.4</v>
      </c>
      <c r="IM85" s="0" t="n">
        <v>1</v>
      </c>
      <c r="IN85" s="0" t="n">
        <v>68</v>
      </c>
      <c r="IO85" s="0" t="n">
        <v>8</v>
      </c>
      <c r="IP85" s="0" t="n">
        <f aca="false">1.4*2+0.13</f>
        <v>2.93</v>
      </c>
      <c r="IQ85" s="0" t="n">
        <v>1</v>
      </c>
      <c r="IR85" s="0" t="n">
        <v>34</v>
      </c>
      <c r="IS85" s="0" t="n">
        <v>1</v>
      </c>
      <c r="IT85" s="0" t="n">
        <v>0.13</v>
      </c>
      <c r="IU85" s="0" t="n">
        <v>1</v>
      </c>
      <c r="IX85" s="18"/>
      <c r="JP85" s="0" t="n">
        <v>1</v>
      </c>
      <c r="JQ85" s="0" t="n">
        <v>60</v>
      </c>
      <c r="JR85" s="0" t="n">
        <v>1</v>
      </c>
      <c r="JS85" s="0" t="n">
        <v>0.22</v>
      </c>
      <c r="JT85" s="0" t="n">
        <v>3</v>
      </c>
      <c r="LA85" s="16" t="n">
        <v>3.48</v>
      </c>
      <c r="LB85" s="16" t="n">
        <v>1</v>
      </c>
      <c r="LC85" s="16" t="n">
        <v>1</v>
      </c>
      <c r="LD85" s="16"/>
      <c r="LE85" s="16" t="n">
        <f aca="false">7.35+1.4*2+0.62+0.74+0.03+0.7+0.18+0.03+0.05+0.01</f>
        <v>12.51</v>
      </c>
      <c r="LF85" s="16"/>
      <c r="LG85" s="16"/>
      <c r="LH85" s="16"/>
      <c r="LI85" s="16"/>
      <c r="LJ85" s="16"/>
      <c r="LK85" s="16"/>
      <c r="LL85" s="16" t="n">
        <v>0.13</v>
      </c>
      <c r="LM85" s="16" t="n">
        <v>0.13</v>
      </c>
      <c r="LN85" s="16"/>
      <c r="LO85" s="16"/>
      <c r="LP85" s="16" t="n">
        <v>0</v>
      </c>
      <c r="LQ85" s="16" t="n">
        <v>0</v>
      </c>
      <c r="LR85" s="16" t="n">
        <v>0</v>
      </c>
      <c r="LS85" s="0" t="n">
        <v>0</v>
      </c>
      <c r="LT85" s="0" t="s">
        <v>232</v>
      </c>
      <c r="LU85" s="0" t="n">
        <v>40</v>
      </c>
      <c r="LV85" s="16" t="n">
        <v>84.9</v>
      </c>
      <c r="LW85" s="16" t="n">
        <v>81</v>
      </c>
      <c r="LX85" s="16" t="n">
        <v>13.2</v>
      </c>
      <c r="LY85" s="0" t="n">
        <v>93.04</v>
      </c>
      <c r="LZ85" s="0" t="n">
        <v>0</v>
      </c>
      <c r="MA85" s="0" t="n">
        <v>0</v>
      </c>
      <c r="MB85" s="0" t="n">
        <v>3.59</v>
      </c>
      <c r="MC85" s="0" t="n">
        <v>3.38</v>
      </c>
      <c r="MD85" s="0" t="n">
        <v>0</v>
      </c>
      <c r="ME85" s="0" t="n">
        <v>0</v>
      </c>
      <c r="MF85" s="0" t="n">
        <v>0</v>
      </c>
      <c r="MG85" s="0" t="n">
        <v>0</v>
      </c>
      <c r="MH85" s="0" t="n">
        <v>0</v>
      </c>
      <c r="MI85" s="0" t="n">
        <v>0</v>
      </c>
      <c r="MJ85" s="0" t="n">
        <v>1.7</v>
      </c>
      <c r="MK85" s="0" t="n">
        <v>3.97</v>
      </c>
      <c r="ML85" s="0" t="n">
        <v>39.76</v>
      </c>
      <c r="MM85" s="0" t="n">
        <v>0.13</v>
      </c>
      <c r="MN85" s="0" t="n">
        <v>0</v>
      </c>
      <c r="MO85" s="0" t="n">
        <v>0</v>
      </c>
      <c r="MP85" s="0" t="n">
        <v>0</v>
      </c>
      <c r="NC85" s="0" t="n">
        <v>15.9</v>
      </c>
      <c r="ND85" s="0" t="n">
        <v>1</v>
      </c>
      <c r="NE85" s="0" t="n">
        <v>47</v>
      </c>
      <c r="NF85" s="0" t="n">
        <v>2</v>
      </c>
      <c r="NG85" s="0" t="n">
        <v>1.51</v>
      </c>
      <c r="NH85" s="0" t="n">
        <v>3</v>
      </c>
      <c r="NO85" s="18"/>
      <c r="OG85" s="0" t="n">
        <v>1</v>
      </c>
      <c r="OH85" s="0" t="n">
        <v>40</v>
      </c>
      <c r="OI85" s="0" t="n">
        <v>7</v>
      </c>
      <c r="OJ85" s="0" t="n">
        <f aca="false">2.27+3.02</f>
        <v>5.29</v>
      </c>
      <c r="OK85" s="0" t="n">
        <v>3</v>
      </c>
      <c r="PR85" s="16" t="n">
        <v>1.48</v>
      </c>
      <c r="PS85" s="16" t="n">
        <v>1</v>
      </c>
      <c r="PT85" s="16" t="n">
        <v>1</v>
      </c>
      <c r="PU85" s="16"/>
      <c r="PV85" s="16" t="n">
        <f aca="false">2.1+1.7+0.37+0.74</f>
        <v>4.91</v>
      </c>
      <c r="PW85" s="16"/>
      <c r="PX85" s="16"/>
      <c r="PY85" s="16"/>
      <c r="PZ85" s="16"/>
      <c r="QA85" s="16"/>
      <c r="QB85" s="16"/>
      <c r="QC85" s="16" t="n">
        <v>7.34</v>
      </c>
      <c r="QD85" s="16" t="n">
        <v>5.01</v>
      </c>
      <c r="QE85" s="16"/>
      <c r="QF85" s="16"/>
      <c r="QG85" s="16" t="n">
        <v>0</v>
      </c>
      <c r="QH85" s="16" t="n">
        <v>0</v>
      </c>
      <c r="QI85" s="16" t="n">
        <v>0</v>
      </c>
      <c r="QJ85" s="0" t="n">
        <v>0</v>
      </c>
      <c r="QK85" s="0" t="s">
        <v>233</v>
      </c>
      <c r="QL85" s="0" t="n">
        <v>39.5</v>
      </c>
      <c r="QM85" s="16" t="n">
        <v>85</v>
      </c>
      <c r="QN85" s="16" t="n">
        <v>81</v>
      </c>
      <c r="QO85" s="16" t="n">
        <v>12.7</v>
      </c>
      <c r="QP85" s="0" t="n">
        <v>93.14</v>
      </c>
      <c r="QQ85" s="0" t="n">
        <v>0</v>
      </c>
      <c r="QR85" s="0" t="n">
        <v>1.57</v>
      </c>
      <c r="QS85" s="0" t="n">
        <v>2.08</v>
      </c>
      <c r="QT85" s="0" t="n">
        <v>3.21</v>
      </c>
      <c r="QU85" s="0" t="n">
        <v>0</v>
      </c>
      <c r="QV85" s="0" t="n">
        <v>0</v>
      </c>
      <c r="QW85" s="0" t="n">
        <v>0</v>
      </c>
      <c r="QX85" s="0" t="n">
        <v>0</v>
      </c>
      <c r="QY85" s="0" t="n">
        <v>0</v>
      </c>
      <c r="QZ85" s="0" t="n">
        <v>0</v>
      </c>
      <c r="RA85" s="0" t="n">
        <v>1.7</v>
      </c>
      <c r="RB85" s="0" t="n">
        <v>6.54</v>
      </c>
      <c r="RC85" s="0" t="n">
        <v>37.88</v>
      </c>
      <c r="RD85" s="0" t="n">
        <v>3</v>
      </c>
      <c r="RE85" s="0" t="n">
        <v>0</v>
      </c>
      <c r="RF85" s="0" t="n">
        <v>0</v>
      </c>
      <c r="RG85" s="0" t="n">
        <v>0</v>
      </c>
      <c r="RT85" s="0" t="n">
        <v>15.7</v>
      </c>
      <c r="RU85" s="0" t="n">
        <v>1</v>
      </c>
      <c r="RV85" s="0" t="n">
        <v>47</v>
      </c>
      <c r="RW85" s="0" t="n">
        <v>2</v>
      </c>
      <c r="RX85" s="0" t="n">
        <v>1.51</v>
      </c>
      <c r="RY85" s="0" t="n">
        <v>3</v>
      </c>
      <c r="SF85" s="18"/>
      <c r="SX85" s="0" t="n">
        <v>1</v>
      </c>
      <c r="SY85" s="0" t="n">
        <v>50</v>
      </c>
      <c r="SZ85" s="0" t="n">
        <v>3</v>
      </c>
      <c r="TA85" s="0" t="n">
        <v>0.4</v>
      </c>
      <c r="TB85" s="0" t="n">
        <v>3</v>
      </c>
      <c r="TC85" s="0" t="n">
        <v>40</v>
      </c>
      <c r="TD85" s="0" t="n">
        <v>7</v>
      </c>
      <c r="TE85" s="0" t="n">
        <f aca="false">2.27+3.02</f>
        <v>5.29</v>
      </c>
      <c r="TF85" s="0" t="n">
        <v>3</v>
      </c>
      <c r="UI85" s="16" t="n">
        <v>1.76</v>
      </c>
      <c r="UJ85" s="16" t="n">
        <v>1</v>
      </c>
      <c r="UK85" s="16" t="n">
        <v>1</v>
      </c>
      <c r="UL85" s="16"/>
      <c r="UM85" s="16" t="n">
        <f aca="false">2.1+1.7+0.4+0.37+0.74</f>
        <v>5.31</v>
      </c>
      <c r="UN85" s="16"/>
      <c r="UO85" s="16"/>
      <c r="UP85" s="16"/>
      <c r="UQ85" s="16"/>
      <c r="UR85" s="16"/>
      <c r="US85" s="16"/>
      <c r="UT85" s="16" t="n">
        <v>7.31</v>
      </c>
      <c r="UU85" s="16" t="n">
        <v>6.99</v>
      </c>
      <c r="UV85" s="16"/>
      <c r="UW85" s="16"/>
      <c r="UX85" s="16" t="n">
        <v>0</v>
      </c>
      <c r="UY85" s="16" t="n">
        <v>0</v>
      </c>
      <c r="UZ85" s="16" t="n">
        <v>0</v>
      </c>
      <c r="VA85" s="0" t="n">
        <v>0</v>
      </c>
      <c r="VB85" s="0" t="s">
        <v>234</v>
      </c>
      <c r="VC85" s="0" t="n">
        <v>22.5</v>
      </c>
      <c r="VD85" s="16" t="n">
        <v>60.3</v>
      </c>
      <c r="VE85" s="16" t="n">
        <v>81</v>
      </c>
      <c r="VF85" s="16" t="n">
        <v>13.3</v>
      </c>
      <c r="VG85" s="0" t="n">
        <v>92.98</v>
      </c>
      <c r="VH85" s="0" t="n">
        <v>0</v>
      </c>
      <c r="VI85" s="0" t="n">
        <v>0</v>
      </c>
      <c r="VJ85" s="0" t="n">
        <v>0</v>
      </c>
      <c r="VK85" s="0" t="n">
        <v>7.02</v>
      </c>
      <c r="VL85" s="0" t="n">
        <v>0</v>
      </c>
      <c r="VM85" s="0" t="n">
        <v>0</v>
      </c>
      <c r="VN85" s="0" t="n">
        <v>0</v>
      </c>
      <c r="VO85" s="0" t="n">
        <v>0</v>
      </c>
      <c r="VP85" s="0" t="n">
        <v>0</v>
      </c>
      <c r="VQ85" s="0" t="n">
        <v>0</v>
      </c>
      <c r="VR85" s="0" t="n">
        <v>0</v>
      </c>
      <c r="VS85" s="0" t="n">
        <v>0.72</v>
      </c>
      <c r="VT85" s="0" t="n">
        <v>23.12</v>
      </c>
      <c r="VU85" s="0" t="n">
        <v>24.81</v>
      </c>
      <c r="VV85" s="0" t="n">
        <v>0</v>
      </c>
      <c r="VW85" s="0" t="n">
        <v>0</v>
      </c>
      <c r="VX85" s="0" t="n">
        <v>0</v>
      </c>
      <c r="WK85" s="0" t="n">
        <v>0</v>
      </c>
      <c r="WL85" s="0" t="n">
        <v>1</v>
      </c>
      <c r="WM85" s="0" t="n">
        <v>23</v>
      </c>
      <c r="WN85" s="0" t="n">
        <v>1</v>
      </c>
      <c r="WO85" s="0" t="n">
        <v>0.3</v>
      </c>
      <c r="WP85" s="0" t="n">
        <v>3</v>
      </c>
      <c r="WW85" s="18"/>
      <c r="XO85" s="0" t="n">
        <v>0</v>
      </c>
      <c r="YZ85" s="16" t="n">
        <v>1.26</v>
      </c>
      <c r="ZA85" s="16" t="n">
        <v>1</v>
      </c>
      <c r="ZB85" s="16" t="n">
        <v>1</v>
      </c>
      <c r="ZC85" s="16"/>
      <c r="ZD85" s="16" t="n">
        <f aca="false">2.1+1.7+0.4+0.37+0.74</f>
        <v>5.31</v>
      </c>
      <c r="ZE85" s="16"/>
      <c r="ZF85" s="16"/>
      <c r="ZG85" s="16"/>
      <c r="ZH85" s="16"/>
      <c r="ZI85" s="16"/>
      <c r="ZJ85" s="16"/>
      <c r="ZK85" s="16" t="n">
        <v>6.24</v>
      </c>
      <c r="ZL85" s="16" t="n">
        <v>6.99</v>
      </c>
      <c r="ZM85" s="16"/>
      <c r="ZN85" s="16"/>
      <c r="ZO85" s="16" t="n">
        <v>0</v>
      </c>
      <c r="ZP85" s="16" t="n">
        <v>0</v>
      </c>
      <c r="ZQ85" s="16" t="n">
        <v>0</v>
      </c>
      <c r="ZR85" s="0" t="n">
        <v>0</v>
      </c>
      <c r="ZS85" s="0" t="s">
        <v>235</v>
      </c>
      <c r="ZT85" s="0" t="n">
        <v>37</v>
      </c>
      <c r="ZU85" s="16" t="n">
        <v>81.9</v>
      </c>
      <c r="ZV85" s="16" t="n">
        <v>81</v>
      </c>
      <c r="ZW85" s="16" t="n">
        <v>26.3</v>
      </c>
      <c r="ZX85" s="0" t="n">
        <v>68.54</v>
      </c>
      <c r="ZY85" s="0" t="n">
        <v>0</v>
      </c>
      <c r="ZZ85" s="0" t="n">
        <v>0</v>
      </c>
      <c r="AAA85" s="0" t="n">
        <v>0</v>
      </c>
      <c r="AAB85" s="0" t="n">
        <v>31.46</v>
      </c>
      <c r="AAC85" s="0" t="n">
        <v>0</v>
      </c>
      <c r="AAD85" s="0" t="n">
        <v>0</v>
      </c>
      <c r="AAE85" s="0" t="n">
        <v>0</v>
      </c>
      <c r="AAF85" s="0" t="n">
        <v>0</v>
      </c>
      <c r="AAG85" s="0" t="n">
        <v>0</v>
      </c>
      <c r="AAH85" s="0" t="n">
        <v>0</v>
      </c>
      <c r="AAI85" s="0" t="n">
        <v>0</v>
      </c>
      <c r="AAJ85" s="0" t="n">
        <v>5.42</v>
      </c>
      <c r="AAK85" s="0" t="n">
        <v>17.37</v>
      </c>
      <c r="AAL85" s="0" t="n">
        <v>41.85</v>
      </c>
      <c r="AAM85" s="0" t="n">
        <v>0</v>
      </c>
      <c r="AAN85" s="0" t="n">
        <v>0</v>
      </c>
      <c r="AAO85" s="0" t="n">
        <v>0</v>
      </c>
      <c r="ABB85" s="0" t="n">
        <v>0</v>
      </c>
      <c r="ABC85" s="0" t="n">
        <v>1</v>
      </c>
      <c r="ABD85" s="0" t="n">
        <v>23</v>
      </c>
      <c r="ABE85" s="0" t="n">
        <v>2</v>
      </c>
      <c r="ABF85" s="0" t="n">
        <v>2.11</v>
      </c>
      <c r="ABG85" s="0" t="n">
        <v>3</v>
      </c>
      <c r="ABN85" s="18"/>
      <c r="ACF85" s="0" t="n">
        <v>0</v>
      </c>
      <c r="ADQ85" s="16" t="n">
        <v>2.64</v>
      </c>
      <c r="ADR85" s="16" t="n">
        <v>1</v>
      </c>
      <c r="ADS85" s="16" t="n">
        <v>1</v>
      </c>
      <c r="ADT85" s="16"/>
      <c r="ADU85" s="16" t="n">
        <f aca="false">4.2*2+1.7+5.1+0.37+0.74</f>
        <v>16.31</v>
      </c>
      <c r="ADV85" s="16"/>
      <c r="ADW85" s="16"/>
      <c r="ADX85" s="16"/>
      <c r="ADY85" s="16"/>
      <c r="ADZ85" s="16"/>
      <c r="AEA85" s="16"/>
      <c r="AEB85" s="16" t="n">
        <v>5.32</v>
      </c>
      <c r="AEC85" s="16" t="n">
        <v>8.04</v>
      </c>
      <c r="AED85" s="16"/>
      <c r="AEE85" s="16"/>
      <c r="AEF85" s="16" t="n">
        <v>0</v>
      </c>
      <c r="AEG85" s="16" t="n">
        <v>0</v>
      </c>
      <c r="AEH85" s="16" t="n">
        <v>0</v>
      </c>
      <c r="AEI85" s="0" t="n">
        <v>0</v>
      </c>
      <c r="AEJ85" s="0" t="s">
        <v>236</v>
      </c>
      <c r="AEK85" s="0" t="n">
        <v>51</v>
      </c>
      <c r="AEL85" s="16" t="n">
        <v>93.4</v>
      </c>
      <c r="AEM85" s="16" t="n">
        <v>81</v>
      </c>
      <c r="AEN85" s="16" t="n">
        <v>29.5</v>
      </c>
      <c r="AEO85" s="0" t="n">
        <v>55.24</v>
      </c>
      <c r="AEP85" s="0" t="n">
        <v>0</v>
      </c>
      <c r="AEQ85" s="0" t="n">
        <v>0</v>
      </c>
      <c r="AER85" s="0" t="n">
        <v>0</v>
      </c>
      <c r="AES85" s="0" t="n">
        <v>44.76</v>
      </c>
      <c r="AET85" s="0" t="n">
        <v>0</v>
      </c>
      <c r="AEU85" s="0" t="n">
        <v>0</v>
      </c>
      <c r="AEV85" s="0" t="n">
        <v>0</v>
      </c>
      <c r="AEW85" s="0" t="n">
        <v>0</v>
      </c>
      <c r="AEX85" s="0" t="n">
        <v>0</v>
      </c>
      <c r="AEY85" s="0" t="n">
        <v>0</v>
      </c>
      <c r="AEZ85" s="0" t="n">
        <v>0.67</v>
      </c>
      <c r="AFA85" s="0" t="n">
        <v>5.1</v>
      </c>
      <c r="AFB85" s="0" t="n">
        <v>47.22</v>
      </c>
      <c r="AFC85" s="0" t="n">
        <v>18.3</v>
      </c>
      <c r="AFD85" s="0" t="n">
        <v>0</v>
      </c>
      <c r="AFE85" s="0" t="n">
        <v>7.5</v>
      </c>
      <c r="AFF85" s="0" t="n">
        <v>1</v>
      </c>
      <c r="AFG85" s="0" t="n">
        <v>3.6</v>
      </c>
      <c r="AFI85" s="0" t="n">
        <v>1</v>
      </c>
      <c r="AFM85" s="0" t="n">
        <v>3.6</v>
      </c>
      <c r="AFO85" s="0" t="n">
        <v>1</v>
      </c>
      <c r="AFS85" s="0" t="n">
        <v>0</v>
      </c>
      <c r="AFT85" s="0" t="n">
        <v>0</v>
      </c>
      <c r="AGE85" s="18"/>
      <c r="AGW85" s="0" t="n">
        <v>0</v>
      </c>
      <c r="AIH85" s="16" t="n">
        <v>1.95</v>
      </c>
      <c r="AII85" s="16" t="n">
        <v>1</v>
      </c>
      <c r="AIJ85" s="16" t="n">
        <v>1</v>
      </c>
      <c r="AIK85" s="16"/>
      <c r="AIL85" s="16" t="n">
        <f aca="false">2.42+1.67+5+0.22+0.66+0.22</f>
        <v>10.19</v>
      </c>
      <c r="AIM85" s="16"/>
      <c r="AIN85" s="16"/>
      <c r="AIO85" s="16"/>
      <c r="AIP85" s="16"/>
      <c r="AIQ85" s="16"/>
      <c r="AIR85" s="16"/>
      <c r="AIS85" s="16" t="n">
        <v>5.63</v>
      </c>
      <c r="AIT85" s="16" t="n">
        <v>11.04</v>
      </c>
      <c r="AIU85" s="16"/>
      <c r="AIV85" s="16"/>
      <c r="AIW85" s="16" t="n">
        <v>0</v>
      </c>
      <c r="AIX85" s="16" t="n">
        <v>0</v>
      </c>
      <c r="AIY85" s="16" t="n">
        <v>0</v>
      </c>
      <c r="AIZ85" s="0" t="n">
        <v>0</v>
      </c>
      <c r="AJA85" s="0" t="s">
        <v>237</v>
      </c>
      <c r="AJB85" s="0" t="n">
        <v>46</v>
      </c>
      <c r="AJC85" s="16" t="n">
        <v>92.7</v>
      </c>
      <c r="AJD85" s="16" t="n">
        <v>81</v>
      </c>
      <c r="AJE85" s="16" t="n">
        <v>20.8</v>
      </c>
      <c r="AJF85" s="0" t="n">
        <v>76.44</v>
      </c>
      <c r="AJG85" s="0" t="n">
        <v>0</v>
      </c>
      <c r="AJH85" s="0" t="n">
        <v>0</v>
      </c>
      <c r="AJI85" s="0" t="n">
        <v>0</v>
      </c>
      <c r="AJJ85" s="0" t="n">
        <v>23.56</v>
      </c>
      <c r="AJK85" s="0" t="n">
        <v>0</v>
      </c>
      <c r="AJL85" s="0" t="n">
        <v>0</v>
      </c>
      <c r="AJM85" s="0" t="n">
        <v>0</v>
      </c>
      <c r="AJN85" s="0" t="n">
        <v>0</v>
      </c>
      <c r="AJO85" s="0" t="n">
        <v>0</v>
      </c>
      <c r="AJP85" s="0" t="n">
        <v>0</v>
      </c>
      <c r="AJQ85" s="0" t="n">
        <v>0.23</v>
      </c>
      <c r="AJR85" s="0" t="n">
        <v>0.51</v>
      </c>
      <c r="AJS85" s="0" t="n">
        <v>26.55</v>
      </c>
      <c r="AJT85" s="0" t="n">
        <v>36.69</v>
      </c>
      <c r="AJU85" s="0" t="n">
        <v>0</v>
      </c>
      <c r="AJV85" s="0" t="n">
        <v>10.6</v>
      </c>
      <c r="AJW85" s="0" t="n">
        <v>1</v>
      </c>
      <c r="AJX85" s="0" t="n">
        <v>6</v>
      </c>
      <c r="AJZ85" s="0" t="n">
        <v>1</v>
      </c>
      <c r="AKD85" s="0" t="n">
        <v>6</v>
      </c>
      <c r="AKF85" s="0" t="n">
        <v>1</v>
      </c>
      <c r="AKJ85" s="0" t="n">
        <v>7.1</v>
      </c>
      <c r="AKK85" s="0" t="n">
        <v>1</v>
      </c>
      <c r="AKL85" s="0" t="n">
        <v>35</v>
      </c>
      <c r="AKM85" s="0" t="n">
        <v>2</v>
      </c>
      <c r="AKN85" s="0" t="n">
        <f aca="false">0.76*2</f>
        <v>1.52</v>
      </c>
      <c r="AKO85" s="0" t="n">
        <v>3</v>
      </c>
      <c r="AKV85" s="18"/>
      <c r="ALN85" s="0" t="n">
        <v>0</v>
      </c>
    </row>
    <row r="86" customFormat="false" ht="13.8" hidden="false" customHeight="false" outlineLevel="0" collapsed="false">
      <c r="A86" s="1" t="s">
        <v>465</v>
      </c>
      <c r="B86" s="12" t="n">
        <v>42900</v>
      </c>
      <c r="C86" s="0" t="n">
        <v>2</v>
      </c>
      <c r="D86" s="13" t="n">
        <v>34624</v>
      </c>
      <c r="E86" s="12" t="n">
        <v>25367</v>
      </c>
      <c r="F86" s="14" t="n">
        <f aca="false">(B86-E86)/365.25</f>
        <v>48.0027378507871</v>
      </c>
      <c r="G86" s="14" t="n">
        <f aca="false">(B86-D86)/365.25</f>
        <v>22.6584531143053</v>
      </c>
      <c r="H86" s="15" t="s">
        <v>228</v>
      </c>
      <c r="I86" s="15" t="s">
        <v>447</v>
      </c>
      <c r="J86" s="15" t="s">
        <v>183</v>
      </c>
      <c r="K86" s="21" t="n">
        <v>8</v>
      </c>
      <c r="L86" s="19" t="n">
        <v>78</v>
      </c>
      <c r="M86" s="0" t="n">
        <v>1.72</v>
      </c>
      <c r="N86" s="16" t="n">
        <f aca="false">L86/(M86*M86)</f>
        <v>26.3656030286641</v>
      </c>
      <c r="O86" s="19" t="n">
        <v>0</v>
      </c>
      <c r="P86" s="19" t="n">
        <v>0</v>
      </c>
      <c r="Q86" s="19" t="n">
        <v>0</v>
      </c>
      <c r="R86" s="19" t="n">
        <v>0</v>
      </c>
      <c r="S86" s="19" t="n">
        <v>0</v>
      </c>
      <c r="T86" s="19" t="n">
        <v>0</v>
      </c>
      <c r="U86" s="19" t="n">
        <v>0</v>
      </c>
      <c r="V86" s="19" t="n">
        <v>0</v>
      </c>
      <c r="W86" s="19" t="n">
        <v>1</v>
      </c>
      <c r="X86" s="19" t="n">
        <v>0</v>
      </c>
      <c r="Y86" s="19" t="n">
        <v>0</v>
      </c>
      <c r="Z86" s="19" t="n">
        <v>0</v>
      </c>
      <c r="AA86" s="19" t="n">
        <v>0</v>
      </c>
      <c r="AB86" s="19" t="n">
        <v>0</v>
      </c>
      <c r="AC86" s="19" t="n">
        <v>0</v>
      </c>
      <c r="AD86" s="19" t="n">
        <v>0</v>
      </c>
      <c r="AE86" s="19" t="n">
        <v>1</v>
      </c>
      <c r="AF86" s="19" t="n">
        <v>0</v>
      </c>
      <c r="AG86" s="19" t="n">
        <v>1</v>
      </c>
      <c r="AH86" s="19" t="n">
        <v>5</v>
      </c>
      <c r="AI86" s="19" t="n">
        <v>3</v>
      </c>
      <c r="AJ86" s="19" t="n">
        <v>0</v>
      </c>
      <c r="AK86" s="19" t="n">
        <v>0</v>
      </c>
      <c r="AL86" s="19" t="n">
        <v>0</v>
      </c>
      <c r="AM86" s="19" t="n">
        <v>0</v>
      </c>
      <c r="AN86" s="19" t="n">
        <v>0</v>
      </c>
      <c r="AO86" s="19" t="n">
        <v>0</v>
      </c>
      <c r="AP86" s="19" t="n">
        <v>0</v>
      </c>
      <c r="AQ86" s="19" t="n">
        <v>0</v>
      </c>
      <c r="AR86" s="19" t="n">
        <v>0</v>
      </c>
      <c r="AS86" s="19" t="n">
        <v>3</v>
      </c>
      <c r="AT86" s="19" t="n">
        <v>3</v>
      </c>
      <c r="AU86" s="19" t="n">
        <v>3</v>
      </c>
      <c r="AV86" s="19" t="n">
        <v>8</v>
      </c>
      <c r="AW86" s="19" t="n">
        <v>8</v>
      </c>
      <c r="AX86" s="19" t="n">
        <v>0</v>
      </c>
      <c r="AY86" s="19" t="n">
        <v>0</v>
      </c>
      <c r="AZ86" s="19" t="n">
        <v>0</v>
      </c>
      <c r="BA86" s="19" t="n">
        <v>0</v>
      </c>
      <c r="BB86" s="19" t="n">
        <v>1</v>
      </c>
      <c r="BC86" s="19" t="n">
        <v>1</v>
      </c>
      <c r="BD86" s="19" t="n">
        <v>1</v>
      </c>
      <c r="BE86" s="19" t="n">
        <v>8</v>
      </c>
      <c r="BF86" s="19" t="n">
        <v>0</v>
      </c>
      <c r="BG86" s="19" t="n">
        <v>0</v>
      </c>
      <c r="BH86" s="19" t="n">
        <v>0</v>
      </c>
      <c r="BI86" s="19" t="n">
        <v>0</v>
      </c>
      <c r="BJ86" s="19" t="n">
        <v>1</v>
      </c>
      <c r="BK86" s="19" t="n">
        <v>1</v>
      </c>
      <c r="BL86" s="19" t="n">
        <v>0</v>
      </c>
      <c r="BM86" s="19" t="n">
        <v>0</v>
      </c>
      <c r="BN86" s="19" t="n">
        <v>1</v>
      </c>
      <c r="BO86" s="19" t="n">
        <v>0</v>
      </c>
      <c r="BP86" s="19" t="n">
        <v>1</v>
      </c>
      <c r="BQ86" s="19" t="n">
        <v>8</v>
      </c>
      <c r="BR86" s="19" t="n">
        <v>3</v>
      </c>
      <c r="BS86" s="19" t="n">
        <v>2</v>
      </c>
      <c r="BT86" s="19" t="n">
        <v>5</v>
      </c>
      <c r="BU86" s="19" t="n">
        <v>5</v>
      </c>
      <c r="BV86" s="19" t="n">
        <v>4</v>
      </c>
      <c r="BW86" s="19" t="n">
        <v>3</v>
      </c>
      <c r="BX86" s="19" t="n">
        <v>3</v>
      </c>
      <c r="BY86" s="19" t="n">
        <v>3</v>
      </c>
      <c r="BZ86" s="19" t="n">
        <v>2</v>
      </c>
      <c r="CA86" s="19" t="n">
        <v>2</v>
      </c>
      <c r="CB86" s="19" t="n">
        <v>4</v>
      </c>
      <c r="CC86" s="19" t="n">
        <v>5</v>
      </c>
      <c r="CD86" s="19" t="n">
        <v>4</v>
      </c>
      <c r="CE86" s="19" t="n">
        <v>2</v>
      </c>
      <c r="CF86" s="19" t="n">
        <v>5</v>
      </c>
      <c r="CG86" s="19" t="n">
        <v>4</v>
      </c>
      <c r="CH86" s="19" t="n">
        <v>4</v>
      </c>
      <c r="CI86" s="19" t="n">
        <v>4</v>
      </c>
      <c r="CJ86" s="19" t="n">
        <v>4</v>
      </c>
      <c r="CK86" s="19" t="n">
        <v>4</v>
      </c>
      <c r="CL86" s="0" t="s">
        <v>449</v>
      </c>
      <c r="CM86" s="0" t="n">
        <v>46.5</v>
      </c>
      <c r="CN86" s="16" t="n">
        <v>82.8</v>
      </c>
      <c r="CO86" s="16" t="n">
        <v>80.4</v>
      </c>
      <c r="CP86" s="16" t="n">
        <v>14.9</v>
      </c>
      <c r="CQ86" s="0" t="n">
        <v>82.52</v>
      </c>
      <c r="CR86" s="0" t="n">
        <v>0</v>
      </c>
      <c r="CS86" s="0" t="n">
        <v>0</v>
      </c>
      <c r="CT86" s="0" t="n">
        <v>0</v>
      </c>
      <c r="CU86" s="0" t="n">
        <v>17.48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37.3</v>
      </c>
      <c r="DD86" s="0" t="n">
        <v>16.79</v>
      </c>
      <c r="DE86" s="0" t="n">
        <v>15.04</v>
      </c>
      <c r="DF86" s="0" t="n">
        <v>0</v>
      </c>
      <c r="DG86" s="0" t="n">
        <v>0</v>
      </c>
      <c r="DH86" s="0" t="n">
        <v>0</v>
      </c>
      <c r="DU86" s="0" t="n">
        <v>18.9</v>
      </c>
      <c r="DV86" s="0" t="n">
        <v>1</v>
      </c>
      <c r="DW86" s="0" t="n">
        <v>68</v>
      </c>
      <c r="DX86" s="0" t="n">
        <v>1</v>
      </c>
      <c r="DY86" s="0" t="n">
        <v>0.13</v>
      </c>
      <c r="DZ86" s="0" t="n">
        <v>1</v>
      </c>
      <c r="EA86" s="0" t="n">
        <v>35</v>
      </c>
      <c r="EB86" s="0" t="n">
        <v>3</v>
      </c>
      <c r="EC86" s="0" t="n">
        <v>2.25</v>
      </c>
      <c r="ED86" s="0" t="n">
        <v>3</v>
      </c>
      <c r="EE86" s="0" t="n">
        <v>47</v>
      </c>
      <c r="EF86" s="0" t="n">
        <v>10</v>
      </c>
      <c r="EG86" s="18" t="n">
        <f aca="false">0.27+0.08+0.08+0.11+0.61+0.04</f>
        <v>1.19</v>
      </c>
      <c r="EH86" s="0" t="n">
        <v>3</v>
      </c>
      <c r="EY86" s="0" t="n">
        <v>1</v>
      </c>
      <c r="EZ86" s="0" t="n">
        <v>80</v>
      </c>
      <c r="FA86" s="0" t="n">
        <v>1</v>
      </c>
      <c r="FB86" s="0" t="n">
        <v>0.13</v>
      </c>
      <c r="FC86" s="0" t="n">
        <v>3</v>
      </c>
      <c r="GJ86" s="16" t="n">
        <v>1.15</v>
      </c>
      <c r="GK86" s="16" t="n">
        <v>1</v>
      </c>
      <c r="GL86" s="16" t="n">
        <v>3</v>
      </c>
      <c r="GM86" s="16"/>
      <c r="GN86" s="16" t="n">
        <f aca="false">1.06+0.37*2</f>
        <v>1.8</v>
      </c>
      <c r="GO86" s="16"/>
      <c r="GP86" s="16"/>
      <c r="GQ86" s="16"/>
      <c r="GR86" s="16"/>
      <c r="GS86" s="16"/>
      <c r="GT86" s="16"/>
      <c r="GU86" s="16" t="n">
        <v>9.75</v>
      </c>
      <c r="GV86" s="16" t="n">
        <v>11.26</v>
      </c>
      <c r="GW86" s="16"/>
      <c r="GX86" s="16"/>
      <c r="GY86" s="16" t="n">
        <v>0</v>
      </c>
      <c r="GZ86" s="16" t="n">
        <v>0</v>
      </c>
      <c r="HA86" s="16" t="n">
        <v>0</v>
      </c>
      <c r="HB86" s="0" t="n">
        <v>0</v>
      </c>
      <c r="HC86" s="0" t="s">
        <v>456</v>
      </c>
      <c r="HD86" s="0" t="n">
        <v>79.5</v>
      </c>
      <c r="HE86" s="16" t="n">
        <v>92.6</v>
      </c>
      <c r="HF86" s="16" t="n">
        <v>80.4</v>
      </c>
      <c r="HG86" s="16" t="n">
        <v>25.3</v>
      </c>
      <c r="HH86" s="0" t="n">
        <v>77.91</v>
      </c>
      <c r="HI86" s="0" t="n">
        <v>0</v>
      </c>
      <c r="HJ86" s="0" t="n">
        <v>0.76</v>
      </c>
      <c r="HK86" s="0" t="n">
        <v>0</v>
      </c>
      <c r="HL86" s="0" t="n">
        <v>21.33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4.99</v>
      </c>
      <c r="HT86" s="0" t="n">
        <v>0</v>
      </c>
      <c r="HU86" s="0" t="n">
        <v>5.93</v>
      </c>
      <c r="HV86" s="0" t="n">
        <v>41.31</v>
      </c>
      <c r="HW86" s="0" t="n">
        <v>0</v>
      </c>
      <c r="HX86" s="0" t="n">
        <v>10.6</v>
      </c>
      <c r="HY86" s="0" t="n">
        <v>2</v>
      </c>
      <c r="HZ86" s="0" t="n">
        <v>3</v>
      </c>
      <c r="IA86" s="0" t="n">
        <v>6.39</v>
      </c>
      <c r="IF86" s="0" t="n">
        <v>3</v>
      </c>
      <c r="IG86" s="0" t="n">
        <v>6.39</v>
      </c>
      <c r="IL86" s="0" t="n">
        <v>19.9</v>
      </c>
      <c r="IM86" s="0" t="n">
        <v>1</v>
      </c>
      <c r="IN86" s="0" t="n">
        <v>52</v>
      </c>
      <c r="IO86" s="0" t="n">
        <v>2</v>
      </c>
      <c r="IP86" s="0" t="n">
        <f aca="false">0.05+0.08</f>
        <v>0.13</v>
      </c>
      <c r="IQ86" s="0" t="n">
        <v>2</v>
      </c>
      <c r="IR86" s="0" t="n">
        <v>47</v>
      </c>
      <c r="IS86" s="0" t="n">
        <v>12</v>
      </c>
      <c r="IT86" s="0" t="n">
        <f aca="false">1.52+0.11+0.27+0.07+0.1+0.16+0.13+0.13</f>
        <v>2.49</v>
      </c>
      <c r="IU86" s="0" t="n">
        <v>3</v>
      </c>
      <c r="IX86" s="18"/>
      <c r="JP86" s="0" t="n">
        <v>0</v>
      </c>
      <c r="LA86" s="16" t="n">
        <v>6.39</v>
      </c>
      <c r="LB86" s="16" t="n">
        <v>1</v>
      </c>
      <c r="LC86" s="16" t="n">
        <v>2</v>
      </c>
      <c r="LD86" s="16"/>
      <c r="LE86" s="16" t="n">
        <f aca="false">2.11+1.52+2.11+0.3+0.22*2</f>
        <v>6.48</v>
      </c>
      <c r="LF86" s="16"/>
      <c r="LG86" s="16"/>
      <c r="LH86" s="16"/>
      <c r="LI86" s="16"/>
      <c r="LJ86" s="16"/>
      <c r="LK86" s="16"/>
      <c r="LL86" s="16" t="n">
        <v>14.55</v>
      </c>
      <c r="LM86" s="16" t="n">
        <v>28.78</v>
      </c>
      <c r="LN86" s="16"/>
      <c r="LO86" s="16"/>
      <c r="LP86" s="16" t="n">
        <v>0</v>
      </c>
      <c r="LQ86" s="16" t="n">
        <v>0</v>
      </c>
      <c r="LR86" s="16" t="n">
        <v>0</v>
      </c>
      <c r="LS86" s="0" t="n">
        <v>0</v>
      </c>
      <c r="LT86" s="0" t="s">
        <v>457</v>
      </c>
      <c r="LU86" s="0" t="n">
        <v>21</v>
      </c>
      <c r="LV86" s="16" t="n">
        <v>68.8</v>
      </c>
      <c r="LW86" s="16" t="n">
        <v>80.4</v>
      </c>
      <c r="LX86" s="16" t="n">
        <v>11.1</v>
      </c>
      <c r="LY86" s="0" t="n">
        <v>92.71</v>
      </c>
      <c r="LZ86" s="0" t="n">
        <v>0</v>
      </c>
      <c r="MA86" s="0" t="n">
        <v>0</v>
      </c>
      <c r="MB86" s="0" t="n">
        <v>0</v>
      </c>
      <c r="MC86" s="0" t="n">
        <v>7.29</v>
      </c>
      <c r="MD86" s="0" t="n">
        <v>0</v>
      </c>
      <c r="ME86" s="0" t="n">
        <v>0</v>
      </c>
      <c r="MF86" s="0" t="n">
        <v>0</v>
      </c>
      <c r="MG86" s="0" t="n">
        <v>0</v>
      </c>
      <c r="MH86" s="0" t="n">
        <v>0</v>
      </c>
      <c r="MI86" s="0" t="n">
        <v>0</v>
      </c>
      <c r="MJ86" s="0" t="n">
        <v>0</v>
      </c>
      <c r="MK86" s="0" t="n">
        <v>0</v>
      </c>
      <c r="ML86" s="0" t="n">
        <v>2.43</v>
      </c>
      <c r="MM86" s="0" t="n">
        <v>9.89</v>
      </c>
      <c r="MN86" s="0" t="n">
        <v>0</v>
      </c>
      <c r="MO86" s="0" t="n">
        <v>0</v>
      </c>
      <c r="MP86" s="0" t="n">
        <v>0</v>
      </c>
      <c r="NC86" s="0" t="n">
        <v>1</v>
      </c>
      <c r="ND86" s="0" t="n">
        <v>1</v>
      </c>
      <c r="NE86" s="0" t="n">
        <v>68</v>
      </c>
      <c r="NF86" s="0" t="n">
        <v>7</v>
      </c>
      <c r="NG86" s="0" t="n">
        <f aca="false">0.05+0.03+0.27+0.03</f>
        <v>0.38</v>
      </c>
      <c r="NH86" s="0" t="n">
        <v>1</v>
      </c>
      <c r="NO86" s="18"/>
      <c r="OG86" s="0" t="n">
        <v>0</v>
      </c>
      <c r="PR86" s="16" t="n">
        <v>0.67</v>
      </c>
      <c r="PS86" s="16" t="n">
        <v>1</v>
      </c>
      <c r="PT86" s="16" t="n">
        <v>2</v>
      </c>
      <c r="PU86" s="16"/>
      <c r="PV86" s="16" t="n">
        <f aca="false">0.28*2</f>
        <v>0.56</v>
      </c>
      <c r="PW86" s="16"/>
      <c r="PX86" s="16"/>
      <c r="PY86" s="16"/>
      <c r="PZ86" s="16"/>
      <c r="QA86" s="16"/>
      <c r="QB86" s="16"/>
      <c r="QC86" s="16" t="n">
        <v>7.38</v>
      </c>
      <c r="QD86" s="16" t="n">
        <v>10.32</v>
      </c>
      <c r="QE86" s="16"/>
      <c r="QF86" s="16"/>
      <c r="QG86" s="16" t="n">
        <v>0</v>
      </c>
      <c r="QH86" s="16" t="n">
        <v>0</v>
      </c>
      <c r="QI86" s="16" t="n">
        <v>0</v>
      </c>
      <c r="QJ86" s="0" t="n">
        <v>0</v>
      </c>
      <c r="QK86" s="0" t="s">
        <v>451</v>
      </c>
      <c r="QL86" s="0" t="n">
        <v>48.5</v>
      </c>
      <c r="QM86" s="16" t="n">
        <v>83.8</v>
      </c>
      <c r="QN86" s="16" t="n">
        <v>80.4</v>
      </c>
      <c r="QO86" s="16" t="n">
        <v>34.3</v>
      </c>
      <c r="QP86" s="0" t="n">
        <v>70.08</v>
      </c>
      <c r="QQ86" s="0" t="n">
        <v>0</v>
      </c>
      <c r="QR86" s="0" t="n">
        <v>18.24</v>
      </c>
      <c r="QS86" s="0" t="n">
        <v>1.05</v>
      </c>
      <c r="QT86" s="0" t="n">
        <v>1.14</v>
      </c>
      <c r="QU86" s="0" t="n">
        <v>0</v>
      </c>
      <c r="QV86" s="0" t="n">
        <v>0</v>
      </c>
      <c r="QW86" s="0" t="n">
        <v>0</v>
      </c>
      <c r="QX86" s="0" t="n">
        <v>0</v>
      </c>
      <c r="QY86" s="0" t="n">
        <v>0</v>
      </c>
      <c r="QZ86" s="0" t="n">
        <v>0</v>
      </c>
      <c r="RA86" s="0" t="n">
        <v>19.39</v>
      </c>
      <c r="RB86" s="0" t="n">
        <v>3.64</v>
      </c>
      <c r="RC86" s="0" t="n">
        <v>13.61</v>
      </c>
      <c r="RD86" s="0" t="n">
        <v>5.23</v>
      </c>
      <c r="RE86" s="0" t="n">
        <v>9.49</v>
      </c>
      <c r="RF86" s="0" t="n">
        <v>2.6</v>
      </c>
      <c r="RG86" s="0" t="n">
        <v>2</v>
      </c>
      <c r="RH86" s="0" t="n">
        <v>3</v>
      </c>
      <c r="RI86" s="0" t="n">
        <v>1.01</v>
      </c>
      <c r="RN86" s="0" t="n">
        <v>3</v>
      </c>
      <c r="RO86" s="0" t="n">
        <v>1.01</v>
      </c>
      <c r="RT86" s="0" t="n">
        <v>1.7</v>
      </c>
      <c r="RU86" s="0" t="n">
        <v>0</v>
      </c>
      <c r="SF86" s="18"/>
      <c r="SX86" s="0" t="n">
        <v>1</v>
      </c>
      <c r="SY86" s="0" t="n">
        <v>60</v>
      </c>
      <c r="SZ86" s="0" t="n">
        <v>1</v>
      </c>
      <c r="TA86" s="0" t="n">
        <v>1.05</v>
      </c>
      <c r="TB86" s="0" t="n">
        <v>1</v>
      </c>
      <c r="UI86" s="16" t="n">
        <v>3.52</v>
      </c>
      <c r="UJ86" s="16" t="n">
        <v>1</v>
      </c>
      <c r="UK86" s="16" t="n">
        <v>2</v>
      </c>
      <c r="UL86" s="16"/>
      <c r="UM86" s="16" t="n">
        <f aca="false">4.23+0.13</f>
        <v>4.36</v>
      </c>
      <c r="UN86" s="16"/>
      <c r="UO86" s="16"/>
      <c r="UP86" s="16"/>
      <c r="UQ86" s="16"/>
      <c r="UR86" s="16"/>
      <c r="US86" s="16"/>
      <c r="UT86" s="16" t="n">
        <v>0</v>
      </c>
      <c r="UU86" s="16" t="n">
        <v>0</v>
      </c>
      <c r="UV86" s="16"/>
      <c r="UW86" s="16"/>
      <c r="UX86" s="16" t="n">
        <v>5.97</v>
      </c>
      <c r="UY86" s="16" t="n">
        <v>0</v>
      </c>
      <c r="UZ86" s="16" t="n">
        <v>0</v>
      </c>
      <c r="VA86" s="0" t="n">
        <v>1</v>
      </c>
      <c r="VB86" s="0" t="s">
        <v>452</v>
      </c>
      <c r="VC86" s="0" t="n">
        <v>48</v>
      </c>
      <c r="VD86" s="16" t="n">
        <v>86.2</v>
      </c>
      <c r="VE86" s="16" t="n">
        <v>80.4</v>
      </c>
      <c r="VF86" s="16" t="n">
        <v>34.3</v>
      </c>
      <c r="VG86" s="0" t="n">
        <v>70.08</v>
      </c>
      <c r="VH86" s="0" t="n">
        <v>0</v>
      </c>
      <c r="VI86" s="0" t="n">
        <v>18.24</v>
      </c>
      <c r="VJ86" s="0" t="n">
        <v>1.05</v>
      </c>
      <c r="VK86" s="0" t="n">
        <v>1.14</v>
      </c>
      <c r="VL86" s="0" t="n">
        <v>0</v>
      </c>
      <c r="VM86" s="0" t="n">
        <v>0</v>
      </c>
      <c r="VN86" s="0" t="n">
        <v>0</v>
      </c>
      <c r="VO86" s="0" t="n">
        <v>0</v>
      </c>
      <c r="VP86" s="0" t="n">
        <v>0</v>
      </c>
      <c r="VQ86" s="0" t="n">
        <v>0</v>
      </c>
      <c r="VR86" s="0" t="n">
        <v>19.39</v>
      </c>
      <c r="VS86" s="0" t="n">
        <v>3.64</v>
      </c>
      <c r="VT86" s="0" t="n">
        <v>13.61</v>
      </c>
      <c r="VU86" s="0" t="n">
        <v>5.23</v>
      </c>
      <c r="VV86" s="0" t="n">
        <v>9.49</v>
      </c>
      <c r="VW86" s="0" t="n">
        <v>2.6</v>
      </c>
      <c r="VX86" s="0" t="n">
        <v>2</v>
      </c>
      <c r="VY86" s="0" t="n">
        <v>3</v>
      </c>
      <c r="VZ86" s="0" t="n">
        <v>1.01</v>
      </c>
      <c r="WE86" s="0" t="n">
        <v>3</v>
      </c>
      <c r="WF86" s="0" t="n">
        <v>1.01</v>
      </c>
      <c r="WK86" s="0" t="n">
        <v>1.7</v>
      </c>
      <c r="WL86" s="0" t="n">
        <v>0</v>
      </c>
      <c r="WW86" s="18"/>
      <c r="XO86" s="0" t="n">
        <v>1</v>
      </c>
      <c r="XP86" s="0" t="n">
        <v>60</v>
      </c>
      <c r="XQ86" s="0" t="n">
        <v>1</v>
      </c>
      <c r="XR86" s="0" t="n">
        <v>1.05</v>
      </c>
      <c r="XS86" s="0" t="n">
        <v>1</v>
      </c>
      <c r="YZ86" s="16" t="n">
        <v>3.52</v>
      </c>
      <c r="ZA86" s="16" t="n">
        <v>1</v>
      </c>
      <c r="ZB86" s="16" t="n">
        <v>2</v>
      </c>
      <c r="ZC86" s="16"/>
      <c r="ZD86" s="16" t="n">
        <f aca="false">4.23+0.13</f>
        <v>4.36</v>
      </c>
      <c r="ZE86" s="16"/>
      <c r="ZF86" s="16"/>
      <c r="ZG86" s="16"/>
      <c r="ZH86" s="16"/>
      <c r="ZI86" s="16"/>
      <c r="ZJ86" s="16"/>
      <c r="ZK86" s="16" t="n">
        <v>0</v>
      </c>
      <c r="ZL86" s="16" t="n">
        <v>0</v>
      </c>
      <c r="ZM86" s="16"/>
      <c r="ZN86" s="16"/>
      <c r="ZO86" s="16" t="n">
        <v>5.97</v>
      </c>
      <c r="ZP86" s="16" t="n">
        <v>0</v>
      </c>
      <c r="ZQ86" s="16" t="n">
        <v>0</v>
      </c>
      <c r="ZR86" s="0" t="n">
        <v>0</v>
      </c>
      <c r="ZS86" s="0" t="s">
        <v>466</v>
      </c>
      <c r="ZT86" s="0" t="n">
        <v>37</v>
      </c>
      <c r="ZU86" s="16" t="n">
        <v>76.6</v>
      </c>
      <c r="ZV86" s="16" t="n">
        <v>80.4</v>
      </c>
      <c r="ZW86" s="16" t="n">
        <v>11</v>
      </c>
      <c r="ZX86" s="0" t="n">
        <v>100</v>
      </c>
      <c r="ZY86" s="0" t="n">
        <v>0</v>
      </c>
      <c r="ZZ86" s="0" t="n">
        <v>0</v>
      </c>
      <c r="AAA86" s="0" t="n">
        <v>0</v>
      </c>
      <c r="AAB86" s="0" t="n">
        <v>0</v>
      </c>
      <c r="AAC86" s="0" t="n">
        <v>0</v>
      </c>
      <c r="AAD86" s="0" t="n">
        <v>0</v>
      </c>
      <c r="AAE86" s="0" t="n">
        <v>0</v>
      </c>
      <c r="AAF86" s="0" t="n">
        <v>0</v>
      </c>
      <c r="AAG86" s="0" t="n">
        <v>0</v>
      </c>
      <c r="AAH86" s="0" t="n">
        <v>0</v>
      </c>
      <c r="AAI86" s="0" t="n">
        <v>0</v>
      </c>
      <c r="AAJ86" s="0" t="n">
        <v>0</v>
      </c>
      <c r="AAK86" s="0" t="n">
        <v>8.99</v>
      </c>
      <c r="AAL86" s="0" t="n">
        <v>26.1</v>
      </c>
      <c r="AAM86" s="0" t="n">
        <v>0</v>
      </c>
      <c r="AAN86" s="0" t="n">
        <v>0</v>
      </c>
      <c r="AAO86" s="0" t="n">
        <v>0</v>
      </c>
      <c r="ABB86" s="0" t="n">
        <v>8</v>
      </c>
      <c r="ABC86" s="0" t="n">
        <v>1</v>
      </c>
      <c r="ABD86" s="0" t="n">
        <v>68</v>
      </c>
      <c r="ABE86" s="0" t="n">
        <v>12</v>
      </c>
      <c r="ABF86" s="0" t="n">
        <f aca="false">0.34+0.19+0.76+0.03+0.03+0.03</f>
        <v>1.38</v>
      </c>
      <c r="ABG86" s="0" t="n">
        <v>1</v>
      </c>
      <c r="ABH86" s="0" t="n">
        <v>47</v>
      </c>
      <c r="ABI86" s="0" t="n">
        <v>3</v>
      </c>
      <c r="ABJ86" s="0" t="n">
        <f aca="false">0.1+0.03+0.03</f>
        <v>0.16</v>
      </c>
      <c r="ABK86" s="0" t="n">
        <v>3</v>
      </c>
      <c r="ABN86" s="18"/>
      <c r="ACF86" s="0" t="n">
        <v>0</v>
      </c>
      <c r="ADQ86" s="16" t="n">
        <v>0</v>
      </c>
      <c r="ADR86" s="16" t="n">
        <v>0</v>
      </c>
      <c r="ADS86" s="16"/>
      <c r="ADT86" s="16"/>
      <c r="ADU86" s="16"/>
      <c r="ADV86" s="16"/>
      <c r="ADW86" s="16"/>
      <c r="ADX86" s="16"/>
      <c r="ADY86" s="16"/>
      <c r="ADZ86" s="16"/>
      <c r="AEA86" s="16"/>
      <c r="AEB86" s="16" t="n">
        <v>15.3</v>
      </c>
      <c r="AEC86" s="16" t="n">
        <f aca="false">0.34+2.02*2+1.35+2.02+0.67+1.35+0.22+0.67+0.45+0.68+0.45+0.19+0.76+2.09+1.14+0.76*2+0.67+0.45+2.24+0.22+0.03+0.16*2+0.11+0.16+0.05+0.1+0+0.03+0.05*2+0.03+0.04+0.03*2+0.04+0.02*4+0.03</f>
        <v>22.7</v>
      </c>
      <c r="AED86" s="16"/>
      <c r="AEE86" s="16"/>
      <c r="AEF86" s="16" t="n">
        <v>0</v>
      </c>
      <c r="AEG86" s="16" t="n">
        <v>0</v>
      </c>
      <c r="AEH86" s="16" t="n">
        <v>0</v>
      </c>
      <c r="AEI86" s="0" t="n">
        <v>0</v>
      </c>
      <c r="AEJ86" s="0" t="s">
        <v>453</v>
      </c>
      <c r="AEK86" s="0" t="n">
        <v>37.5</v>
      </c>
      <c r="AEL86" s="16" t="n">
        <v>79.4</v>
      </c>
      <c r="AEM86" s="16" t="n">
        <v>80.4</v>
      </c>
      <c r="AEN86" s="16" t="n">
        <v>10.9</v>
      </c>
      <c r="AEO86" s="0" t="n">
        <v>97.51</v>
      </c>
      <c r="AEP86" s="0" t="n">
        <v>0</v>
      </c>
      <c r="AEQ86" s="0" t="n">
        <v>2.49</v>
      </c>
      <c r="AER86" s="0" t="n">
        <v>0</v>
      </c>
      <c r="AES86" s="0" t="n">
        <v>0</v>
      </c>
      <c r="AET86" s="0" t="n">
        <v>0</v>
      </c>
      <c r="AEU86" s="0" t="n">
        <v>0</v>
      </c>
      <c r="AEV86" s="0" t="n">
        <v>0</v>
      </c>
      <c r="AEW86" s="0" t="n">
        <v>0</v>
      </c>
      <c r="AEX86" s="0" t="n">
        <v>0</v>
      </c>
      <c r="AEY86" s="0" t="n">
        <v>0</v>
      </c>
      <c r="AEZ86" s="0" t="n">
        <v>0</v>
      </c>
      <c r="AFA86" s="0" t="n">
        <v>7.79</v>
      </c>
      <c r="AFB86" s="0" t="n">
        <v>20.08</v>
      </c>
      <c r="AFC86" s="0" t="n">
        <v>23.98</v>
      </c>
      <c r="AFD86" s="0" t="n">
        <v>0</v>
      </c>
      <c r="AFE86" s="0" t="n">
        <v>0</v>
      </c>
      <c r="AFF86" s="0" t="n">
        <v>0</v>
      </c>
      <c r="AFS86" s="0" t="n">
        <v>5.1</v>
      </c>
      <c r="AFT86" s="0" t="n">
        <v>1</v>
      </c>
      <c r="AFU86" s="0" t="n">
        <v>52</v>
      </c>
      <c r="AFV86" s="0" t="n">
        <v>3</v>
      </c>
      <c r="AFW86" s="0" t="n">
        <v>0.14</v>
      </c>
      <c r="AFX86" s="0" t="n">
        <v>2</v>
      </c>
      <c r="AFY86" s="0" t="n">
        <v>47</v>
      </c>
      <c r="AFZ86" s="0" t="n">
        <v>7</v>
      </c>
      <c r="AGA86" s="0" t="n">
        <f aca="false">0.13+0.27+0.04+0.04+0.13+0.13</f>
        <v>0.74</v>
      </c>
      <c r="AGB86" s="0" t="n">
        <v>3</v>
      </c>
      <c r="AGE86" s="18"/>
      <c r="AGW86" s="0" t="n">
        <v>0</v>
      </c>
      <c r="AIH86" s="16" t="n">
        <v>4.48</v>
      </c>
      <c r="AII86" s="16" t="n">
        <v>1</v>
      </c>
      <c r="AIJ86" s="16" t="n">
        <v>2</v>
      </c>
      <c r="AIK86" s="16"/>
      <c r="AIL86" s="16" t="n">
        <f aca="false">3.17+6.34+0.56+1.12</f>
        <v>11.19</v>
      </c>
      <c r="AIM86" s="16"/>
      <c r="AIN86" s="16"/>
      <c r="AIO86" s="16"/>
      <c r="AIP86" s="16"/>
      <c r="AIQ86" s="16"/>
      <c r="AIR86" s="16"/>
      <c r="AIS86" s="16" t="n">
        <v>13.79</v>
      </c>
      <c r="AIT86" s="16" t="n">
        <v>38.27</v>
      </c>
      <c r="AIU86" s="16"/>
      <c r="AIV86" s="16"/>
      <c r="AIW86" s="16" t="n">
        <v>0</v>
      </c>
      <c r="AIX86" s="16" t="n">
        <v>0</v>
      </c>
      <c r="AIY86" s="16" t="n">
        <v>0</v>
      </c>
      <c r="AIZ86" s="0" t="n">
        <v>0</v>
      </c>
      <c r="AJA86" s="15"/>
      <c r="AJB86" s="15"/>
      <c r="AJI86" s="15"/>
      <c r="AJJ86" s="15"/>
      <c r="AJQ86" s="15"/>
      <c r="AJR86" s="15"/>
      <c r="AJY86" s="15"/>
      <c r="AJZ86" s="15"/>
      <c r="AKG86" s="15"/>
      <c r="AKH86" s="15"/>
      <c r="AKO86" s="15"/>
      <c r="AKP86" s="15"/>
      <c r="AKW86" s="15"/>
      <c r="AKX86" s="15"/>
      <c r="ALE86" s="15"/>
      <c r="ALF86" s="15"/>
      <c r="ALM86" s="15"/>
      <c r="ALN86" s="15"/>
      <c r="ALU86" s="15"/>
      <c r="ALV86" s="15"/>
      <c r="AMC86" s="15"/>
      <c r="AMD86" s="15"/>
    </row>
    <row r="87" customFormat="false" ht="13.8" hidden="false" customHeight="false" outlineLevel="0" collapsed="false">
      <c r="A87" s="1" t="s">
        <v>467</v>
      </c>
      <c r="B87" s="12" t="n">
        <v>42894</v>
      </c>
      <c r="C87" s="0" t="n">
        <v>2</v>
      </c>
      <c r="D87" s="13" t="n">
        <v>42821</v>
      </c>
      <c r="E87" s="12" t="n">
        <v>28622</v>
      </c>
      <c r="F87" s="14" t="n">
        <f aca="false">(B87-E87)/365.25</f>
        <v>39.0746064339493</v>
      </c>
      <c r="G87" s="14" t="n">
        <f aca="false">(B87-D87)/365.25</f>
        <v>0.199863107460643</v>
      </c>
      <c r="H87" s="15" t="s">
        <v>183</v>
      </c>
      <c r="I87" s="15" t="s">
        <v>347</v>
      </c>
      <c r="J87" s="15" t="s">
        <v>183</v>
      </c>
      <c r="K87" s="21" t="n">
        <v>8</v>
      </c>
      <c r="L87" s="19" t="n">
        <v>80</v>
      </c>
      <c r="M87" s="0" t="n">
        <v>1.8</v>
      </c>
      <c r="N87" s="16" t="n">
        <f aca="false">L87/(M87*M87)</f>
        <v>24.6913580246914</v>
      </c>
      <c r="O87" s="19" t="n">
        <v>0</v>
      </c>
      <c r="P87" s="19" t="n">
        <v>0</v>
      </c>
      <c r="Q87" s="19" t="n">
        <v>0</v>
      </c>
      <c r="R87" s="19" t="n">
        <v>0</v>
      </c>
      <c r="S87" s="19" t="n">
        <v>0</v>
      </c>
      <c r="T87" s="19" t="n">
        <v>0</v>
      </c>
      <c r="U87" s="19" t="n">
        <v>0</v>
      </c>
      <c r="V87" s="19" t="n">
        <v>0</v>
      </c>
      <c r="W87" s="19" t="n">
        <v>1</v>
      </c>
      <c r="X87" s="19" t="n">
        <v>0</v>
      </c>
      <c r="Y87" s="19" t="n">
        <v>1</v>
      </c>
      <c r="Z87" s="19" t="n">
        <v>2</v>
      </c>
      <c r="AA87" s="19" t="n">
        <v>60</v>
      </c>
      <c r="AB87" s="19" t="s">
        <v>468</v>
      </c>
      <c r="AC87" s="19" t="n">
        <v>0</v>
      </c>
      <c r="AD87" s="19" t="n">
        <v>0</v>
      </c>
      <c r="AE87" s="19" t="n">
        <v>0</v>
      </c>
      <c r="AF87" s="19" t="n">
        <v>0</v>
      </c>
      <c r="AG87" s="19" t="n">
        <v>0</v>
      </c>
      <c r="AH87" s="19" t="n">
        <v>0</v>
      </c>
      <c r="AI87" s="19" t="n">
        <v>0</v>
      </c>
      <c r="AJ87" s="19" t="n">
        <v>0</v>
      </c>
      <c r="AK87" s="19" t="n">
        <v>0</v>
      </c>
      <c r="AL87" s="19" t="n">
        <v>0</v>
      </c>
      <c r="AM87" s="19" t="n">
        <v>0</v>
      </c>
      <c r="AN87" s="19" t="n">
        <v>0</v>
      </c>
      <c r="AO87" s="19" t="n">
        <v>0</v>
      </c>
      <c r="AP87" s="19" t="n">
        <v>0</v>
      </c>
      <c r="AQ87" s="19" t="n">
        <v>0</v>
      </c>
      <c r="AR87" s="19" t="n">
        <v>0</v>
      </c>
      <c r="AS87" s="19" t="n">
        <v>0</v>
      </c>
      <c r="AT87" s="19" t="n">
        <v>0</v>
      </c>
      <c r="AU87" s="19" t="n">
        <v>0</v>
      </c>
      <c r="AV87" s="19" t="n">
        <v>0</v>
      </c>
      <c r="AW87" s="19" t="n">
        <v>0</v>
      </c>
      <c r="AX87" s="19" t="n">
        <v>0</v>
      </c>
      <c r="AY87" s="19" t="n">
        <v>0</v>
      </c>
      <c r="AZ87" s="19" t="n">
        <v>0</v>
      </c>
      <c r="BA87" s="19" t="n">
        <v>0</v>
      </c>
      <c r="BB87" s="19" t="n">
        <v>0</v>
      </c>
      <c r="BC87" s="19" t="n">
        <v>0</v>
      </c>
      <c r="BD87" s="19" t="n">
        <v>0</v>
      </c>
      <c r="BE87" s="19" t="n">
        <v>0</v>
      </c>
      <c r="BF87" s="19" t="n">
        <v>0</v>
      </c>
      <c r="BG87" s="19" t="n">
        <v>0</v>
      </c>
      <c r="BH87" s="19" t="n">
        <v>0</v>
      </c>
      <c r="BI87" s="19" t="n">
        <v>0</v>
      </c>
      <c r="BJ87" s="19" t="n">
        <v>0</v>
      </c>
      <c r="BK87" s="19" t="n">
        <v>0</v>
      </c>
      <c r="BL87" s="19" t="n">
        <v>0</v>
      </c>
      <c r="BM87" s="19" t="n">
        <v>0</v>
      </c>
      <c r="BN87" s="19" t="n">
        <v>0</v>
      </c>
      <c r="BO87" s="19" t="n">
        <v>0</v>
      </c>
      <c r="BP87" s="19" t="n">
        <v>0</v>
      </c>
      <c r="BQ87" s="19" t="n">
        <v>0</v>
      </c>
      <c r="BR87" s="19" t="n">
        <v>2</v>
      </c>
      <c r="BS87" s="19" t="n">
        <v>2</v>
      </c>
      <c r="BT87" s="19" t="n">
        <v>4</v>
      </c>
      <c r="BU87" s="19" t="n">
        <v>4</v>
      </c>
      <c r="BV87" s="19" t="n">
        <v>2</v>
      </c>
      <c r="BW87" s="19" t="n">
        <v>2</v>
      </c>
      <c r="BX87" s="19" t="n">
        <v>2</v>
      </c>
      <c r="BY87" s="19" t="n">
        <v>2</v>
      </c>
      <c r="BZ87" s="19" t="n">
        <v>2</v>
      </c>
      <c r="CA87" s="19" t="n">
        <v>4</v>
      </c>
      <c r="CB87" s="19" t="n">
        <v>4</v>
      </c>
      <c r="CC87" s="19" t="n">
        <v>4</v>
      </c>
      <c r="CD87" s="19" t="n">
        <v>3</v>
      </c>
      <c r="CE87" s="19" t="n">
        <v>2</v>
      </c>
      <c r="CF87" s="19" t="n">
        <v>2</v>
      </c>
      <c r="CG87" s="19" t="n">
        <v>5</v>
      </c>
      <c r="CH87" s="19" t="n">
        <v>4</v>
      </c>
      <c r="CI87" s="19" t="n">
        <v>4</v>
      </c>
      <c r="CJ87" s="19" t="n">
        <v>4</v>
      </c>
      <c r="CK87" s="19" t="n">
        <v>10</v>
      </c>
      <c r="CL87" s="0" t="s">
        <v>364</v>
      </c>
      <c r="CM87" s="0" t="n">
        <v>32</v>
      </c>
      <c r="CN87" s="16" t="n">
        <v>75</v>
      </c>
      <c r="CO87" s="16" t="n">
        <v>80.4</v>
      </c>
      <c r="CP87" s="16" t="n">
        <v>22.6</v>
      </c>
      <c r="CQ87" s="0" t="n">
        <v>76.24</v>
      </c>
      <c r="CS87" s="0" t="n">
        <v>15.36</v>
      </c>
      <c r="CT87" s="0" t="n">
        <v>1.93</v>
      </c>
      <c r="CU87" s="0" t="n">
        <v>6.47</v>
      </c>
      <c r="CV87" s="0" t="n">
        <v>0</v>
      </c>
      <c r="CW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32.86</v>
      </c>
      <c r="DD87" s="0" t="n">
        <v>26.39</v>
      </c>
      <c r="DE87" s="0" t="n">
        <v>0</v>
      </c>
      <c r="DF87" s="0" t="n">
        <v>0</v>
      </c>
      <c r="DG87" s="0" t="n">
        <v>0</v>
      </c>
      <c r="DH87" s="0" t="n">
        <v>0</v>
      </c>
      <c r="DU87" s="0" t="n">
        <v>5.6</v>
      </c>
      <c r="DV87" s="0" t="n">
        <v>1</v>
      </c>
      <c r="DW87" s="0" t="n">
        <v>35</v>
      </c>
      <c r="DX87" s="0" t="n">
        <v>1</v>
      </c>
      <c r="DY87" s="0" t="n">
        <v>0.5</v>
      </c>
      <c r="DZ87" s="0" t="n">
        <v>3</v>
      </c>
      <c r="EG87" s="20"/>
      <c r="EY87" s="0" t="n">
        <v>1</v>
      </c>
      <c r="EZ87" s="0" t="n">
        <v>60</v>
      </c>
      <c r="FA87" s="0" t="n">
        <v>5</v>
      </c>
      <c r="FB87" s="0" t="n">
        <v>3.13</v>
      </c>
      <c r="FC87" s="0" t="n">
        <v>2</v>
      </c>
      <c r="FD87" s="0" t="n">
        <v>50</v>
      </c>
      <c r="FE87" s="0" t="n">
        <v>2</v>
      </c>
      <c r="FF87" s="0" t="n">
        <v>0.67</v>
      </c>
      <c r="FG87" s="0" t="n">
        <v>2</v>
      </c>
      <c r="GJ87" s="16" t="n">
        <v>1.43</v>
      </c>
      <c r="GK87" s="16" t="n">
        <v>1</v>
      </c>
      <c r="GL87" s="16" t="n">
        <v>1</v>
      </c>
      <c r="GM87" s="16"/>
      <c r="GN87" s="16" t="n">
        <v>17.43</v>
      </c>
      <c r="GO87" s="16"/>
      <c r="GP87" s="16"/>
      <c r="GQ87" s="16"/>
      <c r="GR87" s="16"/>
      <c r="GS87" s="16"/>
      <c r="GT87" s="16"/>
      <c r="GU87" s="16" t="n">
        <v>1.7</v>
      </c>
      <c r="GV87" s="16" t="n">
        <v>1.7</v>
      </c>
      <c r="GW87" s="16" t="n">
        <v>0</v>
      </c>
      <c r="GX87" s="16" t="n">
        <v>0</v>
      </c>
      <c r="GY87" s="16" t="n">
        <v>0</v>
      </c>
      <c r="GZ87" s="16" t="n">
        <v>0</v>
      </c>
      <c r="HA87" s="16" t="n">
        <v>0</v>
      </c>
      <c r="HB87" s="0" t="n">
        <v>0</v>
      </c>
      <c r="HC87" s="0" t="s">
        <v>356</v>
      </c>
      <c r="HD87" s="0" t="n">
        <v>39.5</v>
      </c>
      <c r="HE87" s="16" t="n">
        <v>85.1</v>
      </c>
      <c r="HF87" s="16" t="n">
        <v>80.4</v>
      </c>
      <c r="HG87" s="16" t="n">
        <v>13.6</v>
      </c>
      <c r="HH87" s="0" t="n">
        <v>87.38</v>
      </c>
      <c r="HJ87" s="0" t="n">
        <v>8.05</v>
      </c>
      <c r="HK87" s="0" t="n">
        <v>0</v>
      </c>
      <c r="HL87" s="0" t="n">
        <v>4.57</v>
      </c>
      <c r="HM87" s="0" t="n">
        <v>0</v>
      </c>
      <c r="HN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45</v>
      </c>
      <c r="HU87" s="0" t="n">
        <v>10.1</v>
      </c>
      <c r="HV87" s="0" t="n">
        <v>11.8</v>
      </c>
      <c r="HW87" s="0" t="n">
        <v>0</v>
      </c>
      <c r="HX87" s="0" t="n">
        <v>0</v>
      </c>
      <c r="HY87" s="0" t="n">
        <v>0</v>
      </c>
      <c r="IL87" s="0" t="n">
        <v>17.8</v>
      </c>
      <c r="IM87" s="0" t="n">
        <v>1</v>
      </c>
      <c r="IN87" s="0" t="n">
        <v>30</v>
      </c>
      <c r="IO87" s="0" t="n">
        <v>7</v>
      </c>
      <c r="IP87" s="0" t="n">
        <v>5.33</v>
      </c>
      <c r="IQ87" s="0" t="n">
        <v>3</v>
      </c>
      <c r="IX87" s="20"/>
      <c r="JP87" s="0" t="n">
        <v>1</v>
      </c>
      <c r="JQ87" s="0" t="n">
        <v>50</v>
      </c>
      <c r="JR87" s="0" t="n">
        <v>1</v>
      </c>
      <c r="JS87" s="0" t="n">
        <v>0.03</v>
      </c>
      <c r="JT87" s="0" t="n">
        <v>1</v>
      </c>
      <c r="LA87" s="16" t="n">
        <v>3.96</v>
      </c>
      <c r="LB87" s="16" t="n">
        <v>1</v>
      </c>
      <c r="LC87" s="16" t="n">
        <v>1</v>
      </c>
      <c r="LD87" s="16"/>
      <c r="LE87" s="16" t="n">
        <v>41.03</v>
      </c>
      <c r="LF87" s="16" t="n">
        <v>2</v>
      </c>
      <c r="LG87" s="16" t="n">
        <v>3.73</v>
      </c>
      <c r="LH87" s="16"/>
      <c r="LI87" s="16"/>
      <c r="LJ87" s="16"/>
      <c r="LK87" s="16"/>
      <c r="LL87" s="16" t="n">
        <v>0</v>
      </c>
      <c r="LM87" s="16" t="n">
        <v>0</v>
      </c>
      <c r="LN87" s="16" t="n">
        <v>0</v>
      </c>
      <c r="LO87" s="16" t="n">
        <v>0</v>
      </c>
      <c r="LP87" s="16" t="n">
        <v>0</v>
      </c>
      <c r="LQ87" s="16" t="n">
        <v>0</v>
      </c>
      <c r="LR87" s="16" t="n">
        <v>0</v>
      </c>
      <c r="LS87" s="0" t="n">
        <v>0</v>
      </c>
      <c r="LT87" s="0" t="s">
        <v>352</v>
      </c>
      <c r="LU87" s="0" t="n">
        <v>49</v>
      </c>
      <c r="LV87" s="16" t="n">
        <v>65.5</v>
      </c>
      <c r="LW87" s="16" t="n">
        <v>80.4</v>
      </c>
      <c r="LX87" s="16" t="n">
        <v>8.2</v>
      </c>
      <c r="LY87" s="0" t="n">
        <v>84.28</v>
      </c>
      <c r="MA87" s="0" t="n">
        <v>0</v>
      </c>
      <c r="MB87" s="0" t="n">
        <v>0</v>
      </c>
      <c r="MC87" s="0" t="n">
        <v>15.72</v>
      </c>
      <c r="MD87" s="0" t="n">
        <v>0</v>
      </c>
      <c r="ME87" s="0" t="n">
        <v>0</v>
      </c>
      <c r="MG87" s="0" t="n">
        <v>0</v>
      </c>
      <c r="MH87" s="0" t="n">
        <v>0</v>
      </c>
      <c r="MI87" s="0" t="n">
        <v>0</v>
      </c>
      <c r="MJ87" s="0" t="n">
        <v>0</v>
      </c>
      <c r="MK87" s="0" t="n">
        <v>21.31</v>
      </c>
      <c r="ML87" s="0" t="n">
        <v>26.03</v>
      </c>
      <c r="MM87" s="0" t="n">
        <v>0</v>
      </c>
      <c r="MN87" s="0" t="n">
        <v>0</v>
      </c>
      <c r="MO87" s="0" t="n">
        <v>8.2</v>
      </c>
      <c r="MP87" s="0" t="n">
        <v>5</v>
      </c>
      <c r="MQ87" s="0" t="n">
        <v>50</v>
      </c>
      <c r="MR87" s="0" t="n">
        <v>2</v>
      </c>
      <c r="MW87" s="0" t="n">
        <v>50</v>
      </c>
      <c r="MX87" s="0" t="n">
        <v>2</v>
      </c>
      <c r="NC87" s="0" t="n">
        <v>25.5</v>
      </c>
      <c r="ND87" s="0" t="n">
        <v>1</v>
      </c>
      <c r="NE87" s="0" t="n">
        <v>35</v>
      </c>
      <c r="NF87" s="0" t="n">
        <v>21</v>
      </c>
      <c r="NG87" s="0" t="n">
        <v>7.69</v>
      </c>
      <c r="NH87" s="0" t="n">
        <v>3</v>
      </c>
      <c r="NO87" s="20"/>
      <c r="OG87" s="0" t="n">
        <v>0</v>
      </c>
      <c r="PR87" s="16" t="n">
        <v>0</v>
      </c>
      <c r="PS87" s="16" t="n">
        <v>0</v>
      </c>
      <c r="PT87" s="16"/>
      <c r="PU87" s="16"/>
      <c r="PV87" s="16"/>
      <c r="PW87" s="16"/>
      <c r="PX87" s="16"/>
      <c r="PY87" s="16"/>
      <c r="PZ87" s="16"/>
      <c r="QA87" s="16"/>
      <c r="QB87" s="16"/>
      <c r="QC87" s="16" t="n">
        <v>0</v>
      </c>
      <c r="QD87" s="16" t="n">
        <v>0</v>
      </c>
      <c r="QE87" s="16" t="n">
        <v>0</v>
      </c>
      <c r="QF87" s="16" t="n">
        <v>0</v>
      </c>
      <c r="QG87" s="16" t="n">
        <v>0</v>
      </c>
      <c r="QH87" s="16" t="n">
        <v>0</v>
      </c>
      <c r="QI87" s="16" t="n">
        <v>0</v>
      </c>
      <c r="QJ87" s="0" t="n">
        <v>0</v>
      </c>
      <c r="QO87" s="15"/>
      <c r="QP87" s="15"/>
      <c r="QW87" s="15"/>
      <c r="QX87" s="15"/>
      <c r="RE87" s="15"/>
      <c r="RF87" s="15"/>
      <c r="RM87" s="15"/>
      <c r="RN87" s="15"/>
      <c r="RU87" s="15"/>
      <c r="RV87" s="15"/>
      <c r="SC87" s="15"/>
      <c r="SD87" s="15"/>
      <c r="SK87" s="15"/>
      <c r="SL87" s="15"/>
      <c r="SS87" s="15"/>
      <c r="ST87" s="15"/>
      <c r="TA87" s="15"/>
      <c r="TB87" s="15"/>
      <c r="TI87" s="15"/>
      <c r="TJ87" s="15"/>
      <c r="TQ87" s="15"/>
      <c r="TR87" s="15"/>
      <c r="TY87" s="15"/>
      <c r="TZ87" s="15"/>
      <c r="UG87" s="15"/>
      <c r="UH87" s="15"/>
      <c r="UO87" s="15"/>
      <c r="UP87" s="15"/>
      <c r="UW87" s="15"/>
      <c r="UX87" s="15"/>
      <c r="VE87" s="15"/>
      <c r="VF87" s="15"/>
      <c r="VM87" s="15"/>
      <c r="VN87" s="15"/>
      <c r="VU87" s="15"/>
      <c r="VV87" s="15"/>
      <c r="WC87" s="15"/>
      <c r="WD87" s="15"/>
      <c r="WK87" s="15"/>
      <c r="WL87" s="15"/>
      <c r="WS87" s="15"/>
      <c r="WT87" s="15"/>
      <c r="XA87" s="15"/>
      <c r="XB87" s="15"/>
      <c r="XI87" s="15"/>
      <c r="XJ87" s="15"/>
      <c r="XQ87" s="15"/>
      <c r="XR87" s="15"/>
      <c r="XY87" s="15"/>
      <c r="XZ87" s="15"/>
      <c r="YG87" s="15"/>
      <c r="YH87" s="15"/>
      <c r="YO87" s="15"/>
      <c r="YP87" s="15"/>
      <c r="YW87" s="15"/>
      <c r="YX87" s="15"/>
      <c r="ZE87" s="15"/>
      <c r="ZF87" s="15"/>
      <c r="ZM87" s="15"/>
      <c r="ZN87" s="15"/>
      <c r="ZU87" s="15"/>
      <c r="ZV87" s="15"/>
      <c r="AAC87" s="15"/>
      <c r="AAD87" s="15"/>
      <c r="AAK87" s="15"/>
      <c r="AAL87" s="15"/>
      <c r="AAS87" s="15"/>
      <c r="AAT87" s="15"/>
      <c r="ABA87" s="15"/>
      <c r="ABB87" s="15"/>
      <c r="ABI87" s="15"/>
      <c r="ABJ87" s="15"/>
      <c r="ABQ87" s="15"/>
      <c r="ABR87" s="15"/>
      <c r="ABY87" s="15"/>
      <c r="ABZ87" s="15"/>
      <c r="ACG87" s="15"/>
      <c r="ACH87" s="15"/>
      <c r="ACO87" s="15"/>
      <c r="ACP87" s="15"/>
      <c r="ACW87" s="15"/>
      <c r="ACX87" s="15"/>
      <c r="ADE87" s="15"/>
      <c r="ADF87" s="15"/>
      <c r="ADM87" s="15"/>
      <c r="ADN87" s="15"/>
      <c r="ADU87" s="15"/>
      <c r="ADV87" s="15"/>
      <c r="AEC87" s="15"/>
      <c r="AED87" s="15"/>
      <c r="AEK87" s="15"/>
      <c r="AEL87" s="15"/>
      <c r="AES87" s="15"/>
      <c r="AET87" s="15"/>
      <c r="AFA87" s="15"/>
      <c r="AFB87" s="15"/>
      <c r="AFI87" s="15"/>
      <c r="AFJ87" s="15"/>
      <c r="AFQ87" s="15"/>
      <c r="AFR87" s="15"/>
      <c r="AFY87" s="15"/>
      <c r="AFZ87" s="15"/>
      <c r="AGG87" s="15"/>
      <c r="AGH87" s="15"/>
      <c r="AGO87" s="15"/>
      <c r="AGP87" s="15"/>
      <c r="AGW87" s="15"/>
      <c r="AGX87" s="15"/>
      <c r="AHE87" s="15"/>
      <c r="AHF87" s="15"/>
      <c r="AHM87" s="15"/>
      <c r="AHN87" s="15"/>
      <c r="AHU87" s="15"/>
      <c r="AHV87" s="15"/>
      <c r="AIC87" s="15"/>
      <c r="AID87" s="15"/>
      <c r="AIK87" s="15"/>
      <c r="AIL87" s="15"/>
      <c r="AIS87" s="15"/>
      <c r="AIT87" s="15"/>
      <c r="AJA87" s="15"/>
      <c r="AJB87" s="15"/>
      <c r="AJI87" s="15"/>
      <c r="AJJ87" s="15"/>
      <c r="AJQ87" s="15"/>
      <c r="AJR87" s="15"/>
      <c r="AJY87" s="15"/>
      <c r="AJZ87" s="15"/>
      <c r="AKG87" s="15"/>
      <c r="AKH87" s="15"/>
      <c r="AKO87" s="15"/>
      <c r="AKP87" s="15"/>
      <c r="AKW87" s="15"/>
      <c r="AKX87" s="15"/>
      <c r="ALE87" s="15"/>
      <c r="ALF87" s="15"/>
      <c r="ALM87" s="15"/>
      <c r="ALN87" s="15"/>
      <c r="ALU87" s="15"/>
      <c r="ALV87" s="15"/>
      <c r="AMC87" s="15"/>
      <c r="AMD87" s="15"/>
    </row>
    <row r="88" customFormat="false" ht="13.8" hidden="false" customHeight="false" outlineLevel="0" collapsed="false">
      <c r="A88" s="1" t="s">
        <v>469</v>
      </c>
      <c r="B88" s="12" t="n">
        <v>42894</v>
      </c>
      <c r="C88" s="0" t="n">
        <v>2</v>
      </c>
      <c r="D88" s="13" t="n">
        <v>42783</v>
      </c>
      <c r="E88" s="12" t="n">
        <v>34296</v>
      </c>
      <c r="F88" s="14" t="n">
        <f aca="false">(B88-E88)/365.25</f>
        <v>23.5400410677618</v>
      </c>
      <c r="G88" s="14" t="n">
        <f aca="false">(B88-D88)/365.25</f>
        <v>0.303901437371663</v>
      </c>
      <c r="H88" s="15" t="s">
        <v>183</v>
      </c>
      <c r="I88" s="15" t="s">
        <v>347</v>
      </c>
      <c r="J88" s="15" t="s">
        <v>183</v>
      </c>
      <c r="K88" s="21" t="n">
        <v>8</v>
      </c>
      <c r="L88" s="19" t="n">
        <v>69</v>
      </c>
      <c r="M88" s="0" t="n">
        <v>1.73</v>
      </c>
      <c r="N88" s="16" t="n">
        <f aca="false">L88/(M88*M88)</f>
        <v>23.0545624644993</v>
      </c>
      <c r="O88" s="1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0</v>
      </c>
      <c r="U88" s="19" t="n">
        <v>0</v>
      </c>
      <c r="V88" s="19" t="n">
        <v>0</v>
      </c>
      <c r="W88" s="19" t="n">
        <v>1</v>
      </c>
      <c r="X88" s="19" t="n">
        <v>0</v>
      </c>
      <c r="Y88" s="19" t="n">
        <v>1</v>
      </c>
      <c r="Z88" s="19" t="n">
        <v>3</v>
      </c>
      <c r="AA88" s="19" t="n">
        <v>90</v>
      </c>
      <c r="AB88" s="19" t="s">
        <v>470</v>
      </c>
      <c r="AC88" s="19" t="n">
        <v>0</v>
      </c>
      <c r="AD88" s="19" t="n">
        <v>0</v>
      </c>
      <c r="AE88" s="19" t="n">
        <v>0</v>
      </c>
      <c r="AF88" s="19" t="n">
        <v>0</v>
      </c>
      <c r="AG88" s="19" t="n">
        <v>0</v>
      </c>
      <c r="AH88" s="19" t="n">
        <v>0</v>
      </c>
      <c r="AI88" s="19" t="n">
        <v>0</v>
      </c>
      <c r="AJ88" s="19" t="n">
        <v>0</v>
      </c>
      <c r="AK88" s="19" t="n">
        <v>0</v>
      </c>
      <c r="AL88" s="19" t="n">
        <v>0</v>
      </c>
      <c r="AM88" s="19" t="n">
        <v>0</v>
      </c>
      <c r="AN88" s="19" t="n">
        <v>1</v>
      </c>
      <c r="AO88" s="19" t="n">
        <v>0</v>
      </c>
      <c r="AP88" s="19" t="n">
        <v>1</v>
      </c>
      <c r="AQ88" s="19" t="n">
        <v>4</v>
      </c>
      <c r="AR88" s="19" t="n">
        <v>0</v>
      </c>
      <c r="AS88" s="19" t="n">
        <v>0</v>
      </c>
      <c r="AT88" s="19" t="n">
        <v>0</v>
      </c>
      <c r="AU88" s="19" t="n">
        <v>0</v>
      </c>
      <c r="AV88" s="19" t="n">
        <v>0</v>
      </c>
      <c r="AW88" s="19" t="n">
        <v>0</v>
      </c>
      <c r="AX88" s="19" t="n">
        <v>0</v>
      </c>
      <c r="AY88" s="19" t="n">
        <v>0</v>
      </c>
      <c r="AZ88" s="19" t="n">
        <v>0</v>
      </c>
      <c r="BA88" s="19" t="n">
        <v>0</v>
      </c>
      <c r="BB88" s="19" t="n">
        <v>0</v>
      </c>
      <c r="BC88" s="19" t="n">
        <v>0</v>
      </c>
      <c r="BD88" s="19" t="n">
        <v>0</v>
      </c>
      <c r="BE88" s="19" t="n">
        <v>0</v>
      </c>
      <c r="BF88" s="19" t="n">
        <v>0</v>
      </c>
      <c r="BG88" s="19" t="n">
        <v>0</v>
      </c>
      <c r="BH88" s="19" t="n">
        <v>0</v>
      </c>
      <c r="BI88" s="19" t="n">
        <v>0</v>
      </c>
      <c r="BJ88" s="19" t="n">
        <v>0</v>
      </c>
      <c r="BK88" s="19" t="n">
        <v>0</v>
      </c>
      <c r="BL88" s="19" t="n">
        <v>0</v>
      </c>
      <c r="BM88" s="19" t="n">
        <v>0</v>
      </c>
      <c r="BN88" s="19" t="n">
        <v>0</v>
      </c>
      <c r="BO88" s="19" t="n">
        <v>0</v>
      </c>
      <c r="BP88" s="19" t="n">
        <v>0</v>
      </c>
      <c r="BQ88" s="19" t="n">
        <v>0</v>
      </c>
      <c r="BR88" s="19" t="n">
        <v>3</v>
      </c>
      <c r="BS88" s="19" t="n">
        <v>2</v>
      </c>
      <c r="BT88" s="19" t="n">
        <v>3</v>
      </c>
      <c r="BU88" s="19" t="n">
        <v>5</v>
      </c>
      <c r="BV88" s="19" t="n">
        <v>2</v>
      </c>
      <c r="BW88" s="19" t="n">
        <v>1</v>
      </c>
      <c r="BX88" s="19" t="n">
        <v>2</v>
      </c>
      <c r="BY88" s="19" t="n">
        <v>3</v>
      </c>
      <c r="BZ88" s="19" t="n">
        <v>5</v>
      </c>
      <c r="CA88" s="19" t="n">
        <v>5</v>
      </c>
      <c r="CB88" s="19" t="n">
        <v>5</v>
      </c>
      <c r="CC88" s="19" t="n">
        <v>5</v>
      </c>
      <c r="CD88" s="19" t="n">
        <v>5</v>
      </c>
      <c r="CE88" s="19" t="n">
        <v>5</v>
      </c>
      <c r="CF88" s="19" t="n">
        <v>5</v>
      </c>
      <c r="CG88" s="19" t="n">
        <v>5</v>
      </c>
      <c r="CH88" s="19" t="n">
        <v>4</v>
      </c>
      <c r="CI88" s="19" t="n">
        <v>4</v>
      </c>
      <c r="CJ88" s="19" t="n">
        <v>4</v>
      </c>
      <c r="CK88" s="19" t="n">
        <v>8</v>
      </c>
      <c r="CL88" s="0" t="s">
        <v>363</v>
      </c>
      <c r="CM88" s="0" t="n">
        <v>34.5</v>
      </c>
      <c r="CN88" s="16" t="n">
        <v>88.3</v>
      </c>
      <c r="CO88" s="16" t="n">
        <v>80.4</v>
      </c>
      <c r="CP88" s="16" t="n">
        <v>22.8</v>
      </c>
      <c r="CQ88" s="0" t="n">
        <v>73.89</v>
      </c>
      <c r="CS88" s="0" t="n">
        <v>14.94</v>
      </c>
      <c r="CT88" s="0" t="n">
        <v>0.5</v>
      </c>
      <c r="CU88" s="0" t="n">
        <v>10.66</v>
      </c>
      <c r="CV88" s="0" t="n">
        <v>0</v>
      </c>
      <c r="CW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46.29</v>
      </c>
      <c r="DD88" s="0" t="n">
        <v>23.15</v>
      </c>
      <c r="DE88" s="0" t="n">
        <v>0</v>
      </c>
      <c r="DF88" s="0" t="n">
        <v>0</v>
      </c>
      <c r="DG88" s="0" t="n">
        <v>0</v>
      </c>
      <c r="DH88" s="0" t="n">
        <v>0</v>
      </c>
      <c r="DU88" s="0" t="n">
        <v>2.8</v>
      </c>
      <c r="DV88" s="0" t="n">
        <v>1</v>
      </c>
      <c r="DW88" s="0" t="n">
        <v>35</v>
      </c>
      <c r="DX88" s="0" t="n">
        <v>1</v>
      </c>
      <c r="DY88" s="0" t="n">
        <v>0.5</v>
      </c>
      <c r="DZ88" s="0" t="n">
        <v>3</v>
      </c>
      <c r="EG88" s="20"/>
      <c r="EY88" s="0" t="n">
        <v>1</v>
      </c>
      <c r="EZ88" s="0" t="n">
        <v>60</v>
      </c>
      <c r="FA88" s="0" t="n">
        <v>4</v>
      </c>
      <c r="FB88" s="0" t="n">
        <v>0.54</v>
      </c>
      <c r="FC88" s="0" t="n">
        <v>3</v>
      </c>
      <c r="GJ88" s="16" t="n">
        <v>3.05</v>
      </c>
      <c r="GK88" s="16" t="n">
        <v>1</v>
      </c>
      <c r="GL88" s="16" t="n">
        <v>1</v>
      </c>
      <c r="GM88" s="16"/>
      <c r="GN88" s="16" t="n">
        <v>8.71</v>
      </c>
      <c r="GO88" s="16" t="n">
        <v>2</v>
      </c>
      <c r="GP88" s="16"/>
      <c r="GQ88" s="16" t="n">
        <v>12.44</v>
      </c>
      <c r="GR88" s="16"/>
      <c r="GS88" s="16"/>
      <c r="GT88" s="16"/>
      <c r="GU88" s="16" t="n">
        <v>4.5</v>
      </c>
      <c r="GV88" s="16" t="n">
        <v>1.2</v>
      </c>
      <c r="GW88" s="16" t="n">
        <v>0</v>
      </c>
      <c r="GX88" s="16" t="n">
        <v>0</v>
      </c>
      <c r="GY88" s="16" t="n">
        <v>0</v>
      </c>
      <c r="GZ88" s="16" t="n">
        <v>0</v>
      </c>
      <c r="HA88" s="16" t="n">
        <v>0</v>
      </c>
      <c r="HB88" s="0" t="n">
        <v>0</v>
      </c>
      <c r="HC88" s="0" t="s">
        <v>364</v>
      </c>
      <c r="HD88" s="0" t="n">
        <v>32</v>
      </c>
      <c r="HE88" s="16" t="n">
        <v>75</v>
      </c>
      <c r="HF88" s="16" t="n">
        <v>80.4</v>
      </c>
      <c r="HG88" s="16" t="n">
        <v>22.6</v>
      </c>
      <c r="HH88" s="0" t="n">
        <v>76.24</v>
      </c>
      <c r="HJ88" s="0" t="n">
        <v>15.36</v>
      </c>
      <c r="HK88" s="0" t="n">
        <v>1.93</v>
      </c>
      <c r="HL88" s="0" t="n">
        <v>6.47</v>
      </c>
      <c r="HM88" s="0" t="n">
        <v>0</v>
      </c>
      <c r="HN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32.86</v>
      </c>
      <c r="HU88" s="0" t="n">
        <v>26.39</v>
      </c>
      <c r="HV88" s="0" t="n">
        <v>0</v>
      </c>
      <c r="HW88" s="0" t="n">
        <v>0</v>
      </c>
      <c r="HX88" s="0" t="n">
        <v>0</v>
      </c>
      <c r="HY88" s="0" t="n">
        <v>0</v>
      </c>
      <c r="IL88" s="0" t="n">
        <v>5.6</v>
      </c>
      <c r="IM88" s="0" t="n">
        <v>1</v>
      </c>
      <c r="IN88" s="0" t="n">
        <v>35</v>
      </c>
      <c r="IO88" s="0" t="n">
        <v>1</v>
      </c>
      <c r="IP88" s="0" t="n">
        <v>0.5</v>
      </c>
      <c r="IQ88" s="0" t="n">
        <v>3</v>
      </c>
      <c r="IX88" s="20"/>
      <c r="JP88" s="0" t="n">
        <v>1</v>
      </c>
      <c r="JQ88" s="0" t="n">
        <v>60</v>
      </c>
      <c r="JR88" s="0" t="n">
        <v>5</v>
      </c>
      <c r="JS88" s="0" t="n">
        <v>3.13</v>
      </c>
      <c r="JT88" s="0" t="n">
        <v>2</v>
      </c>
      <c r="JU88" s="0" t="n">
        <v>50</v>
      </c>
      <c r="JV88" s="0" t="n">
        <v>2</v>
      </c>
      <c r="JW88" s="0" t="n">
        <v>0.67</v>
      </c>
      <c r="JX88" s="0" t="n">
        <v>2</v>
      </c>
      <c r="LA88" s="16" t="n">
        <v>1.43</v>
      </c>
      <c r="LB88" s="16" t="n">
        <v>1</v>
      </c>
      <c r="LC88" s="16" t="n">
        <v>1</v>
      </c>
      <c r="LD88" s="16"/>
      <c r="LE88" s="16" t="n">
        <v>17.43</v>
      </c>
      <c r="LF88" s="16"/>
      <c r="LG88" s="16"/>
      <c r="LH88" s="16"/>
      <c r="LI88" s="16"/>
      <c r="LJ88" s="16"/>
      <c r="LK88" s="16"/>
      <c r="LL88" s="16" t="n">
        <v>1.7</v>
      </c>
      <c r="LM88" s="16" t="n">
        <v>1.7</v>
      </c>
      <c r="LN88" s="16" t="n">
        <v>0</v>
      </c>
      <c r="LO88" s="16" t="n">
        <v>0</v>
      </c>
      <c r="LP88" s="16" t="n">
        <v>0</v>
      </c>
      <c r="LQ88" s="16" t="n">
        <v>0</v>
      </c>
      <c r="LR88" s="16" t="n">
        <v>0</v>
      </c>
      <c r="LS88" s="0" t="n">
        <v>0</v>
      </c>
      <c r="LT88" s="0" t="s">
        <v>350</v>
      </c>
      <c r="LU88" s="0" t="n">
        <v>75</v>
      </c>
      <c r="LV88" s="16" t="n">
        <v>87.9</v>
      </c>
      <c r="LW88" s="16" t="n">
        <v>80.4</v>
      </c>
      <c r="LX88" s="16" t="n">
        <v>45.2</v>
      </c>
      <c r="LY88" s="0" t="n">
        <v>50.83</v>
      </c>
      <c r="LZ88" s="0" t="n">
        <v>0.05</v>
      </c>
      <c r="MA88" s="0" t="n">
        <v>46.44</v>
      </c>
      <c r="MB88" s="0" t="n">
        <v>2.67</v>
      </c>
      <c r="MC88" s="0" t="n">
        <v>0</v>
      </c>
      <c r="MD88" s="0" t="n">
        <v>0</v>
      </c>
      <c r="ME88" s="0" t="n">
        <v>0</v>
      </c>
      <c r="MG88" s="0" t="n">
        <v>0</v>
      </c>
      <c r="MH88" s="0" t="n">
        <v>0</v>
      </c>
      <c r="MI88" s="0" t="n">
        <v>0</v>
      </c>
      <c r="MJ88" s="0" t="n">
        <v>0</v>
      </c>
      <c r="MK88" s="0" t="n">
        <v>25.21</v>
      </c>
      <c r="ML88" s="0" t="n">
        <v>43.57</v>
      </c>
      <c r="MM88" s="0" t="n">
        <v>6.27</v>
      </c>
      <c r="MN88" s="0" t="n">
        <v>0</v>
      </c>
      <c r="MO88" s="0" t="n">
        <v>0</v>
      </c>
      <c r="MP88" s="0" t="n">
        <v>0</v>
      </c>
      <c r="NC88" s="0" t="n">
        <v>17.8</v>
      </c>
      <c r="ND88" s="0" t="n">
        <v>1</v>
      </c>
      <c r="NE88" s="0" t="n">
        <v>35</v>
      </c>
      <c r="NF88" s="0" t="n">
        <v>9</v>
      </c>
      <c r="NG88" s="0" t="n">
        <v>2.55</v>
      </c>
      <c r="NH88" s="0" t="n">
        <v>3</v>
      </c>
      <c r="NO88" s="20"/>
      <c r="OG88" s="0" t="n">
        <v>1</v>
      </c>
      <c r="OH88" s="0" t="n">
        <v>50</v>
      </c>
      <c r="OI88" s="0" t="n">
        <v>8</v>
      </c>
      <c r="OJ88" s="0" t="n">
        <v>2.12</v>
      </c>
      <c r="OK88" s="0" t="n">
        <v>3</v>
      </c>
      <c r="PR88" s="16" t="n">
        <v>3.43</v>
      </c>
      <c r="PS88" s="16" t="n">
        <v>1</v>
      </c>
      <c r="PT88" s="16" t="n">
        <v>1</v>
      </c>
      <c r="PU88" s="16"/>
      <c r="PV88" s="16" t="n">
        <v>26.11</v>
      </c>
      <c r="PW88" s="16" t="n">
        <v>2</v>
      </c>
      <c r="PX88" s="16"/>
      <c r="PY88" s="16" t="n">
        <v>11.19</v>
      </c>
      <c r="PZ88" s="16"/>
      <c r="QA88" s="16"/>
      <c r="QB88" s="16"/>
      <c r="QC88" s="16" t="n">
        <v>6.39</v>
      </c>
      <c r="QD88" s="16" t="n">
        <v>3.31</v>
      </c>
      <c r="QE88" s="16" t="n">
        <v>0</v>
      </c>
      <c r="QF88" s="16" t="n">
        <v>0</v>
      </c>
      <c r="QG88" s="16" t="n">
        <v>0</v>
      </c>
      <c r="QH88" s="16" t="n">
        <v>0</v>
      </c>
      <c r="QI88" s="16" t="n">
        <v>0</v>
      </c>
      <c r="QJ88" s="0" t="n">
        <v>0</v>
      </c>
      <c r="QK88" s="0" t="s">
        <v>351</v>
      </c>
      <c r="QL88" s="0" t="n">
        <v>30.5</v>
      </c>
      <c r="QM88" s="16" t="n">
        <v>68.4</v>
      </c>
      <c r="QN88" s="16" t="n">
        <v>80.4</v>
      </c>
      <c r="QO88" s="16" t="n">
        <v>19.8</v>
      </c>
      <c r="QP88" s="0" t="n">
        <v>72.42</v>
      </c>
      <c r="QR88" s="0" t="n">
        <v>0.94</v>
      </c>
      <c r="QS88" s="0" t="n">
        <v>0.94</v>
      </c>
      <c r="QT88" s="0" t="n">
        <v>25.7</v>
      </c>
      <c r="QU88" s="0" t="n">
        <v>0</v>
      </c>
      <c r="QV88" s="0" t="n">
        <v>0</v>
      </c>
      <c r="QX88" s="0" t="n">
        <v>0</v>
      </c>
      <c r="QY88" s="0" t="n">
        <v>0</v>
      </c>
      <c r="QZ88" s="0" t="n">
        <v>0</v>
      </c>
      <c r="RA88" s="0" t="n">
        <v>0</v>
      </c>
      <c r="RB88" s="0" t="n">
        <v>28.26</v>
      </c>
      <c r="RC88" s="0" t="n">
        <v>10.55</v>
      </c>
      <c r="RD88" s="0" t="n">
        <v>14.21</v>
      </c>
      <c r="RE88" s="0" t="n">
        <v>0</v>
      </c>
      <c r="RF88" s="0" t="n">
        <v>0</v>
      </c>
      <c r="RG88" s="0" t="n">
        <v>0</v>
      </c>
      <c r="RT88" s="0" t="n">
        <v>3.3</v>
      </c>
      <c r="RU88" s="0" t="n">
        <v>1</v>
      </c>
      <c r="RV88" s="0" t="n">
        <v>68</v>
      </c>
      <c r="RW88" s="0" t="n">
        <v>2</v>
      </c>
      <c r="RX88" s="0" t="n">
        <v>1.52</v>
      </c>
      <c r="RY88" s="0" t="n">
        <v>1</v>
      </c>
      <c r="SF88" s="20"/>
      <c r="SX88" s="0" t="n">
        <v>0</v>
      </c>
      <c r="UI88" s="16" t="n">
        <v>0</v>
      </c>
      <c r="UJ88" s="16" t="n">
        <v>0</v>
      </c>
      <c r="UK88" s="16"/>
      <c r="UL88" s="16"/>
      <c r="UM88" s="16"/>
      <c r="UN88" s="16"/>
      <c r="UO88" s="16"/>
      <c r="UP88" s="16"/>
      <c r="UQ88" s="16"/>
      <c r="UR88" s="16"/>
      <c r="US88" s="16"/>
      <c r="UT88" s="16" t="n">
        <v>0.81</v>
      </c>
      <c r="UU88" s="16" t="n">
        <v>0.8</v>
      </c>
      <c r="UV88" s="16" t="n">
        <v>0</v>
      </c>
      <c r="UW88" s="16" t="n">
        <v>0</v>
      </c>
      <c r="UX88" s="16" t="n">
        <v>2.99</v>
      </c>
      <c r="UY88" s="16" t="n">
        <v>5.71</v>
      </c>
      <c r="UZ88" s="16" t="n">
        <v>0</v>
      </c>
      <c r="VA88" s="0" t="n">
        <v>0</v>
      </c>
      <c r="VB88" s="0" t="s">
        <v>352</v>
      </c>
      <c r="VC88" s="0" t="n">
        <v>49</v>
      </c>
      <c r="VD88" s="16" t="n">
        <v>65.5</v>
      </c>
      <c r="VE88" s="16" t="n">
        <v>80.4</v>
      </c>
      <c r="VF88" s="16" t="n">
        <v>8.2</v>
      </c>
      <c r="VG88" s="0" t="n">
        <v>84.28</v>
      </c>
      <c r="VI88" s="0" t="n">
        <v>0</v>
      </c>
      <c r="VJ88" s="0" t="n">
        <v>0</v>
      </c>
      <c r="VK88" s="0" t="n">
        <v>15.72</v>
      </c>
      <c r="VL88" s="0" t="n">
        <v>0</v>
      </c>
      <c r="VM88" s="0" t="n">
        <v>0</v>
      </c>
      <c r="VO88" s="0" t="n">
        <v>0</v>
      </c>
      <c r="VP88" s="0" t="n">
        <v>0</v>
      </c>
      <c r="VQ88" s="0" t="n">
        <v>0</v>
      </c>
      <c r="VR88" s="0" t="n">
        <v>0</v>
      </c>
      <c r="VS88" s="0" t="n">
        <v>21.31</v>
      </c>
      <c r="VT88" s="0" t="n">
        <v>26.03</v>
      </c>
      <c r="VU88" s="0" t="n">
        <v>0</v>
      </c>
      <c r="VV88" s="0" t="n">
        <v>0</v>
      </c>
      <c r="VW88" s="0" t="n">
        <v>8.2</v>
      </c>
      <c r="VX88" s="0" t="n">
        <v>5</v>
      </c>
      <c r="VY88" s="0" t="n">
        <v>50</v>
      </c>
      <c r="VZ88" s="0" t="n">
        <v>2</v>
      </c>
      <c r="WE88" s="0" t="n">
        <v>50</v>
      </c>
      <c r="WF88" s="0" t="n">
        <v>2</v>
      </c>
      <c r="WK88" s="0" t="n">
        <v>25.5</v>
      </c>
      <c r="WL88" s="0" t="n">
        <v>1</v>
      </c>
      <c r="WM88" s="0" t="n">
        <v>35</v>
      </c>
      <c r="WN88" s="0" t="n">
        <v>21</v>
      </c>
      <c r="WO88" s="0" t="n">
        <v>7.69</v>
      </c>
      <c r="WP88" s="0" t="n">
        <v>3</v>
      </c>
      <c r="WW88" s="20"/>
      <c r="XO88" s="0" t="n">
        <v>0</v>
      </c>
      <c r="YZ88" s="16" t="n">
        <v>0</v>
      </c>
      <c r="ZA88" s="16" t="n">
        <v>0</v>
      </c>
      <c r="ZB88" s="16"/>
      <c r="ZC88" s="16"/>
      <c r="ZD88" s="16"/>
      <c r="ZE88" s="16"/>
      <c r="ZF88" s="16"/>
      <c r="ZG88" s="16"/>
      <c r="ZH88" s="16"/>
      <c r="ZI88" s="16"/>
      <c r="ZJ88" s="16"/>
      <c r="ZK88" s="16" t="n">
        <v>0</v>
      </c>
      <c r="ZL88" s="16" t="n">
        <v>0</v>
      </c>
      <c r="ZM88" s="16" t="n">
        <v>0</v>
      </c>
      <c r="ZN88" s="16" t="n">
        <v>0</v>
      </c>
      <c r="ZO88" s="16" t="n">
        <v>0</v>
      </c>
      <c r="ZP88" s="16" t="n">
        <v>0</v>
      </c>
      <c r="ZQ88" s="16" t="n">
        <v>0</v>
      </c>
      <c r="ZR88" s="0" t="n">
        <v>0</v>
      </c>
      <c r="ZS88" s="0" t="s">
        <v>356</v>
      </c>
      <c r="ZT88" s="0" t="n">
        <v>39.5</v>
      </c>
      <c r="ZU88" s="16" t="n">
        <v>85.1</v>
      </c>
      <c r="ZV88" s="16" t="n">
        <v>80.4</v>
      </c>
      <c r="ZW88" s="16" t="n">
        <v>13.6</v>
      </c>
      <c r="ZX88" s="0" t="n">
        <v>87.38</v>
      </c>
      <c r="ZZ88" s="0" t="n">
        <v>8.05</v>
      </c>
      <c r="AAA88" s="0" t="n">
        <v>0</v>
      </c>
      <c r="AAB88" s="0" t="n">
        <v>4.57</v>
      </c>
      <c r="AAC88" s="0" t="n">
        <v>0</v>
      </c>
      <c r="AAD88" s="0" t="n">
        <v>0</v>
      </c>
      <c r="AAF88" s="0" t="n">
        <v>0</v>
      </c>
      <c r="AAG88" s="0" t="n">
        <v>0</v>
      </c>
      <c r="AAH88" s="0" t="n">
        <v>0</v>
      </c>
      <c r="AAI88" s="0" t="n">
        <v>0</v>
      </c>
      <c r="AAJ88" s="0" t="n">
        <v>45</v>
      </c>
      <c r="AAK88" s="0" t="n">
        <v>10.1</v>
      </c>
      <c r="AAL88" s="0" t="n">
        <v>11.8</v>
      </c>
      <c r="AAM88" s="0" t="n">
        <v>0</v>
      </c>
      <c r="AAN88" s="0" t="n">
        <v>0</v>
      </c>
      <c r="AAO88" s="0" t="n">
        <v>0</v>
      </c>
      <c r="ABB88" s="0" t="n">
        <v>17.8</v>
      </c>
      <c r="ABC88" s="0" t="n">
        <v>1</v>
      </c>
      <c r="ABD88" s="0" t="n">
        <v>30</v>
      </c>
      <c r="ABE88" s="0" t="n">
        <v>7</v>
      </c>
      <c r="ABF88" s="0" t="n">
        <v>5.33</v>
      </c>
      <c r="ABG88" s="0" t="n">
        <v>3</v>
      </c>
      <c r="ABN88" s="20"/>
      <c r="ACF88" s="0" t="n">
        <v>1</v>
      </c>
      <c r="ACG88" s="0" t="n">
        <v>50</v>
      </c>
      <c r="ACH88" s="0" t="n">
        <v>1</v>
      </c>
      <c r="ACI88" s="0" t="n">
        <v>0.03</v>
      </c>
      <c r="ACJ88" s="0" t="n">
        <v>1</v>
      </c>
      <c r="ADQ88" s="16" t="n">
        <v>3.96</v>
      </c>
      <c r="ADR88" s="16" t="n">
        <v>1</v>
      </c>
      <c r="ADS88" s="16" t="n">
        <v>1</v>
      </c>
      <c r="ADT88" s="16"/>
      <c r="ADU88" s="16" t="n">
        <v>41.03</v>
      </c>
      <c r="ADV88" s="16" t="n">
        <v>2</v>
      </c>
      <c r="ADW88" s="16" t="n">
        <v>3.73</v>
      </c>
      <c r="ADX88" s="16"/>
      <c r="ADY88" s="16"/>
      <c r="ADZ88" s="16"/>
      <c r="AEA88" s="16"/>
      <c r="AEB88" s="16" t="n">
        <v>0</v>
      </c>
      <c r="AEC88" s="16" t="n">
        <v>0</v>
      </c>
      <c r="AED88" s="16" t="n">
        <v>0</v>
      </c>
      <c r="AEE88" s="16" t="n">
        <v>0</v>
      </c>
      <c r="AEF88" s="16" t="n">
        <v>0</v>
      </c>
      <c r="AEG88" s="16" t="n">
        <v>0</v>
      </c>
      <c r="AEH88" s="16" t="n">
        <v>0</v>
      </c>
      <c r="AEI88" s="0" t="n">
        <v>0</v>
      </c>
      <c r="AEJ88" s="0" t="s">
        <v>373</v>
      </c>
      <c r="AEK88" s="0" t="n">
        <v>27.5</v>
      </c>
      <c r="AEL88" s="16" t="n">
        <v>79.1</v>
      </c>
      <c r="AEM88" s="16" t="n">
        <v>80.4</v>
      </c>
      <c r="AEN88" s="16" t="n">
        <v>15.3</v>
      </c>
      <c r="AEO88" s="0" t="n">
        <v>87.64</v>
      </c>
      <c r="AEQ88" s="0" t="n">
        <v>0</v>
      </c>
      <c r="AER88" s="0" t="n">
        <v>0</v>
      </c>
      <c r="AES88" s="0" t="n">
        <v>12.36</v>
      </c>
      <c r="AET88" s="0" t="n">
        <v>0</v>
      </c>
      <c r="AEU88" s="0" t="n">
        <v>0</v>
      </c>
      <c r="AEW88" s="0" t="n">
        <v>0</v>
      </c>
      <c r="AEX88" s="0" t="n">
        <v>0</v>
      </c>
      <c r="AEY88" s="0" t="n">
        <v>0</v>
      </c>
      <c r="AEZ88" s="0" t="n">
        <v>24.9</v>
      </c>
      <c r="AFA88" s="0" t="n">
        <v>31.79</v>
      </c>
      <c r="AFB88" s="0" t="n">
        <v>18.86</v>
      </c>
      <c r="AFC88" s="0" t="n">
        <v>0</v>
      </c>
      <c r="AFD88" s="0" t="n">
        <v>0</v>
      </c>
      <c r="AFE88" s="0" t="n">
        <v>4.8</v>
      </c>
      <c r="AFF88" s="0" t="n">
        <v>5</v>
      </c>
      <c r="AFG88" s="0" t="n">
        <v>50</v>
      </c>
      <c r="AFH88" s="0" t="n">
        <v>4</v>
      </c>
      <c r="AFM88" s="0" t="n">
        <v>50</v>
      </c>
      <c r="AFN88" s="0" t="n">
        <v>4</v>
      </c>
      <c r="AFS88" s="0" t="n">
        <v>5.5</v>
      </c>
      <c r="AFT88" s="0" t="n">
        <v>0</v>
      </c>
      <c r="AGE88" s="20"/>
      <c r="AGW88" s="0" t="n">
        <v>1</v>
      </c>
      <c r="AGX88" s="0" t="n">
        <v>50</v>
      </c>
      <c r="AGY88" s="0" t="n">
        <v>4</v>
      </c>
      <c r="AGZ88" s="0" t="n">
        <v>3.59</v>
      </c>
      <c r="AHA88" s="0" t="n">
        <v>3</v>
      </c>
      <c r="AHB88" s="0" t="n">
        <v>70</v>
      </c>
      <c r="AHC88" s="0" t="n">
        <v>14</v>
      </c>
      <c r="AHD88" s="0" t="n">
        <v>4.93</v>
      </c>
      <c r="AHE88" s="0" t="n">
        <v>2</v>
      </c>
      <c r="AIH88" s="16" t="n">
        <v>0.75</v>
      </c>
      <c r="AII88" s="16" t="n">
        <v>1</v>
      </c>
      <c r="AIJ88" s="16" t="n">
        <v>1</v>
      </c>
      <c r="AIK88" s="16"/>
      <c r="AIL88" s="16" t="n">
        <v>9.96</v>
      </c>
      <c r="AIM88" s="16"/>
      <c r="AIN88" s="16"/>
      <c r="AIO88" s="16"/>
      <c r="AIP88" s="16"/>
      <c r="AIQ88" s="16"/>
      <c r="AIR88" s="16"/>
      <c r="AIS88" s="16" t="n">
        <v>0</v>
      </c>
      <c r="AIT88" s="16" t="n">
        <v>0</v>
      </c>
      <c r="AIU88" s="16" t="n">
        <v>0</v>
      </c>
      <c r="AIV88" s="16" t="n">
        <v>0</v>
      </c>
      <c r="AIW88" s="16" t="n">
        <v>0</v>
      </c>
      <c r="AIX88" s="16" t="n">
        <v>0</v>
      </c>
      <c r="AIY88" s="16" t="n">
        <v>0</v>
      </c>
      <c r="AIZ88" s="0" t="n">
        <v>0</v>
      </c>
      <c r="AJA88" s="0" t="s">
        <v>357</v>
      </c>
      <c r="AJB88" s="0" t="n">
        <v>27.5</v>
      </c>
      <c r="AJC88" s="16" t="n">
        <v>76.2</v>
      </c>
      <c r="AJD88" s="16" t="n">
        <v>80.4</v>
      </c>
      <c r="AJE88" s="16" t="n">
        <v>15.3</v>
      </c>
      <c r="AJF88" s="0" t="n">
        <v>87.64</v>
      </c>
      <c r="AJH88" s="0" t="n">
        <v>0</v>
      </c>
      <c r="AJI88" s="0" t="n">
        <v>0</v>
      </c>
      <c r="AJJ88" s="0" t="n">
        <v>12.36</v>
      </c>
      <c r="AJK88" s="0" t="n">
        <v>0</v>
      </c>
      <c r="AJL88" s="0" t="n">
        <v>0</v>
      </c>
      <c r="AJN88" s="0" t="n">
        <v>0</v>
      </c>
      <c r="AJO88" s="0" t="n">
        <v>0</v>
      </c>
      <c r="AJP88" s="0" t="n">
        <v>0</v>
      </c>
      <c r="AJQ88" s="0" t="n">
        <v>24.9</v>
      </c>
      <c r="AJR88" s="0" t="n">
        <v>31.99</v>
      </c>
      <c r="AJS88" s="0" t="n">
        <v>18.66</v>
      </c>
      <c r="AJT88" s="0" t="n">
        <v>0</v>
      </c>
      <c r="AJU88" s="0" t="n">
        <v>0</v>
      </c>
      <c r="AJV88" s="0" t="n">
        <v>4.8</v>
      </c>
      <c r="AJW88" s="0" t="n">
        <v>5</v>
      </c>
      <c r="AJX88" s="0" t="n">
        <v>50</v>
      </c>
      <c r="AJY88" s="0" t="n">
        <v>4</v>
      </c>
      <c r="AKD88" s="0" t="n">
        <v>50</v>
      </c>
      <c r="AKE88" s="0" t="n">
        <v>4</v>
      </c>
      <c r="AKJ88" s="0" t="n">
        <v>5.5</v>
      </c>
      <c r="AKK88" s="0" t="n">
        <v>0</v>
      </c>
      <c r="AKV88" s="20"/>
      <c r="ALN88" s="0" t="n">
        <v>1</v>
      </c>
      <c r="ALO88" s="0" t="n">
        <v>50</v>
      </c>
      <c r="ALP88" s="0" t="n">
        <v>4</v>
      </c>
      <c r="ALQ88" s="0" t="n">
        <v>3.59</v>
      </c>
      <c r="ALR88" s="0" t="n">
        <v>3</v>
      </c>
      <c r="ALS88" s="0" t="n">
        <v>70</v>
      </c>
      <c r="ALT88" s="0" t="n">
        <v>14</v>
      </c>
      <c r="ALU88" s="0" t="n">
        <v>4.93</v>
      </c>
      <c r="ALV88" s="0" t="n">
        <v>2</v>
      </c>
    </row>
    <row r="89" customFormat="false" ht="13.8" hidden="false" customHeight="false" outlineLevel="0" collapsed="false">
      <c r="A89" s="1" t="s">
        <v>471</v>
      </c>
      <c r="B89" s="12" t="n">
        <v>42894</v>
      </c>
      <c r="C89" s="0" t="n">
        <v>2</v>
      </c>
      <c r="D89" s="13" t="n">
        <v>42828</v>
      </c>
      <c r="E89" s="12" t="n">
        <v>35992</v>
      </c>
      <c r="F89" s="14" t="n">
        <f aca="false">(B89-E89)/365.25</f>
        <v>18.8966461327858</v>
      </c>
      <c r="G89" s="14" t="n">
        <f aca="false">(B89-D89)/365.25</f>
        <v>0.180698151950719</v>
      </c>
      <c r="H89" s="15" t="s">
        <v>183</v>
      </c>
      <c r="I89" s="15" t="s">
        <v>347</v>
      </c>
      <c r="J89" s="15" t="s">
        <v>183</v>
      </c>
      <c r="K89" s="21" t="n">
        <v>8</v>
      </c>
      <c r="L89" s="19" t="n">
        <v>58</v>
      </c>
      <c r="M89" s="0" t="n">
        <v>1.75</v>
      </c>
      <c r="N89" s="16" t="n">
        <f aca="false">L89/(M89*M89)</f>
        <v>18.9387755102041</v>
      </c>
      <c r="O89" s="19" t="n">
        <v>0</v>
      </c>
      <c r="P89" s="19" t="n">
        <v>0</v>
      </c>
      <c r="Q89" s="19" t="n">
        <v>0</v>
      </c>
      <c r="R89" s="19" t="n">
        <v>0</v>
      </c>
      <c r="S89" s="19" t="n">
        <v>0</v>
      </c>
      <c r="T89" s="19" t="n">
        <v>0</v>
      </c>
      <c r="U89" s="19" t="n">
        <v>0</v>
      </c>
      <c r="V89" s="19" t="n">
        <v>0</v>
      </c>
      <c r="W89" s="19" t="n">
        <v>1</v>
      </c>
      <c r="X89" s="19" t="n">
        <v>0</v>
      </c>
      <c r="Y89" s="19" t="n">
        <v>1</v>
      </c>
      <c r="Z89" s="19" t="n">
        <v>1</v>
      </c>
      <c r="AA89" s="19" t="n">
        <v>60</v>
      </c>
      <c r="AB89" s="19" t="s">
        <v>284</v>
      </c>
      <c r="AC89" s="19" t="n">
        <v>0</v>
      </c>
      <c r="AD89" s="19" t="n">
        <v>0</v>
      </c>
      <c r="AE89" s="19" t="n">
        <v>0</v>
      </c>
      <c r="AF89" s="19" t="n">
        <v>0</v>
      </c>
      <c r="AG89" s="19" t="n">
        <v>0</v>
      </c>
      <c r="AH89" s="19" t="n">
        <v>0</v>
      </c>
      <c r="AI89" s="19" t="n">
        <v>1</v>
      </c>
      <c r="AJ89" s="19"/>
      <c r="AK89" s="19"/>
      <c r="AL89" s="19"/>
      <c r="AM89" s="19"/>
      <c r="AN89" s="19" t="n">
        <v>0</v>
      </c>
      <c r="AO89" s="19" t="n">
        <v>0</v>
      </c>
      <c r="AP89" s="19" t="n">
        <v>0</v>
      </c>
      <c r="AQ89" s="19" t="n">
        <v>0</v>
      </c>
      <c r="AR89" s="19" t="n">
        <v>0</v>
      </c>
      <c r="AS89" s="19" t="n">
        <v>1</v>
      </c>
      <c r="AT89" s="19"/>
      <c r="AU89" s="19"/>
      <c r="AV89" s="19"/>
      <c r="AW89" s="19"/>
      <c r="AX89" s="19" t="n">
        <v>0</v>
      </c>
      <c r="AY89" s="19" t="n">
        <v>0</v>
      </c>
      <c r="AZ89" s="19" t="n">
        <v>0</v>
      </c>
      <c r="BA89" s="19" t="n">
        <v>0</v>
      </c>
      <c r="BB89" s="19" t="n">
        <v>0</v>
      </c>
      <c r="BC89" s="19" t="n">
        <v>0</v>
      </c>
      <c r="BD89" s="19" t="n">
        <v>0</v>
      </c>
      <c r="BE89" s="19" t="n">
        <v>0</v>
      </c>
      <c r="BF89" s="19" t="n">
        <v>0</v>
      </c>
      <c r="BG89" s="19" t="n">
        <v>0</v>
      </c>
      <c r="BH89" s="19" t="n">
        <v>0</v>
      </c>
      <c r="BI89" s="19" t="n">
        <v>0</v>
      </c>
      <c r="BJ89" s="19" t="n">
        <v>0</v>
      </c>
      <c r="BK89" s="19" t="n">
        <v>0</v>
      </c>
      <c r="BL89" s="19" t="n">
        <v>0</v>
      </c>
      <c r="BM89" s="19" t="n">
        <v>0</v>
      </c>
      <c r="BN89" s="19" t="n">
        <v>0</v>
      </c>
      <c r="BO89" s="19" t="n">
        <v>0</v>
      </c>
      <c r="BP89" s="19" t="n">
        <v>0</v>
      </c>
      <c r="BQ89" s="19" t="n">
        <v>0</v>
      </c>
      <c r="BR89" s="19" t="n">
        <v>3</v>
      </c>
      <c r="BS89" s="19" t="n">
        <v>3</v>
      </c>
      <c r="BT89" s="19" t="n">
        <v>3</v>
      </c>
      <c r="BU89" s="19" t="n">
        <v>4</v>
      </c>
      <c r="BV89" s="19" t="n">
        <v>2</v>
      </c>
      <c r="BW89" s="19" t="n">
        <v>3</v>
      </c>
      <c r="BX89" s="19" t="n">
        <v>3</v>
      </c>
      <c r="BY89" s="19" t="n">
        <v>4</v>
      </c>
      <c r="BZ89" s="19" t="n">
        <v>4</v>
      </c>
      <c r="CA89" s="19" t="n">
        <v>4</v>
      </c>
      <c r="CB89" s="19" t="n">
        <v>4</v>
      </c>
      <c r="CC89" s="19" t="n">
        <v>3</v>
      </c>
      <c r="CD89" s="19" t="n">
        <v>3</v>
      </c>
      <c r="CE89" s="19" t="n">
        <v>4</v>
      </c>
      <c r="CF89" s="19" t="n">
        <v>4</v>
      </c>
      <c r="CG89" s="19" t="n">
        <v>4</v>
      </c>
      <c r="CH89" s="19" t="n">
        <v>3</v>
      </c>
      <c r="CI89" s="19" t="n">
        <v>4</v>
      </c>
      <c r="CJ89" s="19" t="n">
        <v>4</v>
      </c>
      <c r="CK89" s="19" t="n">
        <v>9</v>
      </c>
      <c r="CL89" s="0" t="s">
        <v>363</v>
      </c>
      <c r="CM89" s="0" t="n">
        <v>34.5</v>
      </c>
      <c r="CN89" s="16" t="n">
        <v>88.3</v>
      </c>
      <c r="CO89" s="16" t="n">
        <v>80.4</v>
      </c>
      <c r="CP89" s="16" t="n">
        <v>22.8</v>
      </c>
      <c r="CQ89" s="0" t="n">
        <v>73.89</v>
      </c>
      <c r="CS89" s="0" t="n">
        <v>14.94</v>
      </c>
      <c r="CT89" s="0" t="n">
        <v>0.5</v>
      </c>
      <c r="CU89" s="0" t="n">
        <v>10.66</v>
      </c>
      <c r="CV89" s="0" t="n">
        <v>0</v>
      </c>
      <c r="CW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46.29</v>
      </c>
      <c r="DD89" s="0" t="n">
        <v>23.15</v>
      </c>
      <c r="DE89" s="0" t="n">
        <v>0</v>
      </c>
      <c r="DF89" s="0" t="n">
        <v>0</v>
      </c>
      <c r="DG89" s="0" t="n">
        <v>0</v>
      </c>
      <c r="DH89" s="0" t="n">
        <v>0</v>
      </c>
      <c r="DU89" s="0" t="n">
        <v>2.8</v>
      </c>
      <c r="DV89" s="0" t="n">
        <v>1</v>
      </c>
      <c r="DW89" s="0" t="n">
        <v>35</v>
      </c>
      <c r="DX89" s="0" t="n">
        <v>1</v>
      </c>
      <c r="DY89" s="0" t="n">
        <v>0.5</v>
      </c>
      <c r="DZ89" s="0" t="n">
        <v>3</v>
      </c>
      <c r="EG89" s="20"/>
      <c r="EY89" s="0" t="n">
        <v>1</v>
      </c>
      <c r="EZ89" s="0" t="n">
        <v>60</v>
      </c>
      <c r="FA89" s="0" t="n">
        <v>4</v>
      </c>
      <c r="FB89" s="0" t="n">
        <v>0.54</v>
      </c>
      <c r="FC89" s="0" t="n">
        <v>3</v>
      </c>
      <c r="GJ89" s="16" t="n">
        <v>3.05</v>
      </c>
      <c r="GK89" s="16" t="n">
        <v>1</v>
      </c>
      <c r="GL89" s="16" t="n">
        <v>1</v>
      </c>
      <c r="GM89" s="16"/>
      <c r="GN89" s="16" t="n">
        <v>8.71</v>
      </c>
      <c r="GO89" s="16" t="n">
        <v>2</v>
      </c>
      <c r="GP89" s="16"/>
      <c r="GQ89" s="16" t="n">
        <v>12.44</v>
      </c>
      <c r="GR89" s="16"/>
      <c r="GS89" s="16"/>
      <c r="GT89" s="16"/>
      <c r="GU89" s="16" t="n">
        <v>4.5</v>
      </c>
      <c r="GV89" s="16" t="n">
        <v>1.2</v>
      </c>
      <c r="GW89" s="16" t="n">
        <v>0</v>
      </c>
      <c r="GX89" s="16" t="n">
        <v>0</v>
      </c>
      <c r="GY89" s="16" t="n">
        <v>0</v>
      </c>
      <c r="GZ89" s="16" t="n">
        <v>0</v>
      </c>
      <c r="HA89" s="16" t="n">
        <v>0</v>
      </c>
      <c r="HB89" s="0" t="n">
        <v>0</v>
      </c>
      <c r="HC89" s="0" t="s">
        <v>364</v>
      </c>
      <c r="HD89" s="0" t="n">
        <v>32</v>
      </c>
      <c r="HE89" s="16" t="n">
        <v>75</v>
      </c>
      <c r="HF89" s="16" t="n">
        <v>80.4</v>
      </c>
      <c r="HG89" s="16" t="n">
        <v>22.6</v>
      </c>
      <c r="HH89" s="0" t="n">
        <v>76.24</v>
      </c>
      <c r="HJ89" s="0" t="n">
        <v>15.36</v>
      </c>
      <c r="HK89" s="0" t="n">
        <v>1.93</v>
      </c>
      <c r="HL89" s="0" t="n">
        <v>6.47</v>
      </c>
      <c r="HM89" s="0" t="n">
        <v>0</v>
      </c>
      <c r="HN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32.86</v>
      </c>
      <c r="HU89" s="0" t="n">
        <v>26.39</v>
      </c>
      <c r="HV89" s="0" t="n">
        <v>0</v>
      </c>
      <c r="HW89" s="0" t="n">
        <v>0</v>
      </c>
      <c r="HX89" s="0" t="n">
        <v>0</v>
      </c>
      <c r="HY89" s="0" t="n">
        <v>0</v>
      </c>
      <c r="IL89" s="0" t="n">
        <v>5.6</v>
      </c>
      <c r="IM89" s="0" t="n">
        <v>1</v>
      </c>
      <c r="IN89" s="0" t="n">
        <v>35</v>
      </c>
      <c r="IO89" s="0" t="n">
        <v>1</v>
      </c>
      <c r="IP89" s="0" t="n">
        <v>0.5</v>
      </c>
      <c r="IQ89" s="0" t="n">
        <v>3</v>
      </c>
      <c r="IX89" s="20"/>
      <c r="JP89" s="0" t="n">
        <v>1</v>
      </c>
      <c r="JQ89" s="0" t="n">
        <v>60</v>
      </c>
      <c r="JR89" s="0" t="n">
        <v>5</v>
      </c>
      <c r="JS89" s="0" t="n">
        <v>3.13</v>
      </c>
      <c r="JT89" s="0" t="n">
        <v>2</v>
      </c>
      <c r="JU89" s="0" t="n">
        <v>50</v>
      </c>
      <c r="JV89" s="0" t="n">
        <v>2</v>
      </c>
      <c r="JW89" s="0" t="n">
        <v>0.67</v>
      </c>
      <c r="JX89" s="0" t="n">
        <v>2</v>
      </c>
      <c r="LA89" s="16" t="n">
        <v>1.43</v>
      </c>
      <c r="LB89" s="16" t="n">
        <v>1</v>
      </c>
      <c r="LC89" s="16" t="n">
        <v>1</v>
      </c>
      <c r="LD89" s="16"/>
      <c r="LE89" s="16" t="n">
        <v>17.43</v>
      </c>
      <c r="LF89" s="16"/>
      <c r="LG89" s="16"/>
      <c r="LH89" s="16"/>
      <c r="LI89" s="16"/>
      <c r="LJ89" s="16"/>
      <c r="LK89" s="16"/>
      <c r="LL89" s="16" t="n">
        <v>1.7</v>
      </c>
      <c r="LM89" s="16" t="n">
        <v>1.7</v>
      </c>
      <c r="LN89" s="16" t="n">
        <v>0</v>
      </c>
      <c r="LO89" s="16" t="n">
        <v>0</v>
      </c>
      <c r="LP89" s="16" t="n">
        <v>0</v>
      </c>
      <c r="LQ89" s="16" t="n">
        <v>0</v>
      </c>
      <c r="LR89" s="16" t="n">
        <v>0</v>
      </c>
      <c r="LS89" s="0" t="n">
        <v>0</v>
      </c>
      <c r="LT89" s="0" t="s">
        <v>352</v>
      </c>
      <c r="LU89" s="0" t="n">
        <v>49</v>
      </c>
      <c r="LV89" s="16" t="n">
        <v>65.5</v>
      </c>
      <c r="LW89" s="16" t="n">
        <v>80.4</v>
      </c>
      <c r="LX89" s="16" t="n">
        <v>8.2</v>
      </c>
      <c r="LY89" s="0" t="n">
        <v>84.28</v>
      </c>
      <c r="MA89" s="0" t="n">
        <v>0</v>
      </c>
      <c r="MB89" s="0" t="n">
        <v>0</v>
      </c>
      <c r="MC89" s="0" t="n">
        <v>15.72</v>
      </c>
      <c r="MD89" s="0" t="n">
        <v>0</v>
      </c>
      <c r="ME89" s="0" t="n">
        <v>0</v>
      </c>
      <c r="MG89" s="0" t="n">
        <v>0</v>
      </c>
      <c r="MH89" s="0" t="n">
        <v>0</v>
      </c>
      <c r="MI89" s="0" t="n">
        <v>0</v>
      </c>
      <c r="MJ89" s="0" t="n">
        <v>0</v>
      </c>
      <c r="MK89" s="0" t="n">
        <v>21.31</v>
      </c>
      <c r="ML89" s="0" t="n">
        <v>26.03</v>
      </c>
      <c r="MM89" s="0" t="n">
        <v>0</v>
      </c>
      <c r="MN89" s="0" t="n">
        <v>0</v>
      </c>
      <c r="MO89" s="0" t="n">
        <v>8.2</v>
      </c>
      <c r="MP89" s="0" t="n">
        <v>5</v>
      </c>
      <c r="MQ89" s="0" t="n">
        <v>50</v>
      </c>
      <c r="MR89" s="0" t="n">
        <v>2</v>
      </c>
      <c r="MW89" s="0" t="n">
        <v>50</v>
      </c>
      <c r="MX89" s="0" t="n">
        <v>2</v>
      </c>
      <c r="NC89" s="0" t="n">
        <v>25.5</v>
      </c>
      <c r="ND89" s="0" t="n">
        <v>1</v>
      </c>
      <c r="NE89" s="0" t="n">
        <v>35</v>
      </c>
      <c r="NF89" s="0" t="n">
        <v>21</v>
      </c>
      <c r="NG89" s="0" t="n">
        <v>7.69</v>
      </c>
      <c r="NH89" s="0" t="n">
        <v>3</v>
      </c>
      <c r="NO89" s="20"/>
      <c r="OG89" s="0" t="n">
        <v>0</v>
      </c>
      <c r="PR89" s="16" t="n">
        <v>0</v>
      </c>
      <c r="PS89" s="16" t="n">
        <v>0</v>
      </c>
      <c r="PT89" s="16"/>
      <c r="PU89" s="16"/>
      <c r="PV89" s="16"/>
      <c r="PW89" s="16"/>
      <c r="PX89" s="16"/>
      <c r="PY89" s="16"/>
      <c r="PZ89" s="16"/>
      <c r="QA89" s="16"/>
      <c r="QB89" s="16"/>
      <c r="QC89" s="16" t="n">
        <v>0</v>
      </c>
      <c r="QD89" s="16" t="n">
        <v>0</v>
      </c>
      <c r="QE89" s="16" t="n">
        <v>0</v>
      </c>
      <c r="QF89" s="16" t="n">
        <v>0</v>
      </c>
      <c r="QG89" s="16" t="n">
        <v>0</v>
      </c>
      <c r="QH89" s="16" t="n">
        <v>0</v>
      </c>
      <c r="QI89" s="16" t="n">
        <v>0</v>
      </c>
      <c r="QJ89" s="0" t="n">
        <v>0</v>
      </c>
      <c r="QK89" s="0" t="s">
        <v>356</v>
      </c>
      <c r="QL89" s="0" t="n">
        <v>39.5</v>
      </c>
      <c r="QM89" s="16" t="n">
        <v>85.1</v>
      </c>
      <c r="QN89" s="16" t="n">
        <v>80.4</v>
      </c>
      <c r="QO89" s="16" t="n">
        <v>13.6</v>
      </c>
      <c r="QP89" s="0" t="n">
        <v>87.38</v>
      </c>
      <c r="QR89" s="0" t="n">
        <v>8.05</v>
      </c>
      <c r="QS89" s="0" t="n">
        <v>0</v>
      </c>
      <c r="QT89" s="0" t="n">
        <v>4.57</v>
      </c>
      <c r="QU89" s="0" t="n">
        <v>0</v>
      </c>
      <c r="QV89" s="0" t="n">
        <v>0</v>
      </c>
      <c r="QX89" s="0" t="n">
        <v>0</v>
      </c>
      <c r="QY89" s="0" t="n">
        <v>0</v>
      </c>
      <c r="QZ89" s="0" t="n">
        <v>0</v>
      </c>
      <c r="RA89" s="0" t="n">
        <v>0</v>
      </c>
      <c r="RB89" s="0" t="n">
        <v>45</v>
      </c>
      <c r="RC89" s="0" t="n">
        <v>10.1</v>
      </c>
      <c r="RD89" s="0" t="n">
        <v>11.8</v>
      </c>
      <c r="RE89" s="0" t="n">
        <v>0</v>
      </c>
      <c r="RF89" s="0" t="n">
        <v>0</v>
      </c>
      <c r="RG89" s="0" t="n">
        <v>0</v>
      </c>
      <c r="RT89" s="0" t="n">
        <v>17.8</v>
      </c>
      <c r="RU89" s="0" t="n">
        <v>1</v>
      </c>
      <c r="RV89" s="0" t="n">
        <v>30</v>
      </c>
      <c r="RW89" s="0" t="n">
        <v>7</v>
      </c>
      <c r="RX89" s="0" t="n">
        <v>5.33</v>
      </c>
      <c r="RY89" s="0" t="n">
        <v>3</v>
      </c>
      <c r="SF89" s="20"/>
      <c r="SX89" s="0" t="n">
        <v>1</v>
      </c>
      <c r="SY89" s="0" t="n">
        <v>50</v>
      </c>
      <c r="SZ89" s="0" t="n">
        <v>1</v>
      </c>
      <c r="TA89" s="0" t="n">
        <v>0.03</v>
      </c>
      <c r="TB89" s="0" t="n">
        <v>1</v>
      </c>
      <c r="UI89" s="16" t="n">
        <v>3.96</v>
      </c>
      <c r="UJ89" s="16" t="n">
        <v>1</v>
      </c>
      <c r="UK89" s="16" t="n">
        <v>1</v>
      </c>
      <c r="UL89" s="16"/>
      <c r="UM89" s="16" t="n">
        <v>41.03</v>
      </c>
      <c r="UN89" s="16" t="n">
        <v>2</v>
      </c>
      <c r="UO89" s="16" t="n">
        <v>3.73</v>
      </c>
      <c r="UP89" s="16"/>
      <c r="UQ89" s="16"/>
      <c r="UR89" s="16"/>
      <c r="US89" s="16"/>
      <c r="UT89" s="16" t="n">
        <v>0</v>
      </c>
      <c r="UU89" s="16" t="n">
        <v>0</v>
      </c>
      <c r="UV89" s="16" t="n">
        <v>0</v>
      </c>
      <c r="UW89" s="16" t="n">
        <v>0</v>
      </c>
      <c r="UX89" s="16" t="n">
        <v>0</v>
      </c>
      <c r="UY89" s="16" t="n">
        <v>0</v>
      </c>
      <c r="UZ89" s="16" t="n">
        <v>0</v>
      </c>
      <c r="VA89" s="0" t="n">
        <v>0</v>
      </c>
      <c r="VB89" s="0" t="s">
        <v>358</v>
      </c>
      <c r="VC89" s="0" t="n">
        <v>41</v>
      </c>
      <c r="VD89" s="16" t="n">
        <v>91.1</v>
      </c>
      <c r="VE89" s="16" t="n">
        <v>80.4</v>
      </c>
      <c r="VF89" s="16" t="n">
        <v>6.5</v>
      </c>
      <c r="VG89" s="0" t="n">
        <v>94.94</v>
      </c>
      <c r="VI89" s="0" t="n">
        <v>0</v>
      </c>
      <c r="VJ89" s="0" t="n">
        <v>0</v>
      </c>
      <c r="VK89" s="0" t="n">
        <v>5.06</v>
      </c>
      <c r="VL89" s="0" t="n">
        <v>0</v>
      </c>
      <c r="VM89" s="0" t="n">
        <v>0</v>
      </c>
      <c r="VO89" s="0" t="n">
        <v>0</v>
      </c>
      <c r="VP89" s="0" t="n">
        <v>0</v>
      </c>
      <c r="VQ89" s="0" t="n">
        <v>0</v>
      </c>
      <c r="VR89" s="0" t="n">
        <v>0</v>
      </c>
      <c r="VS89" s="0" t="n">
        <v>64.35</v>
      </c>
      <c r="VT89" s="0" t="n">
        <v>9.29</v>
      </c>
      <c r="VU89" s="0" t="n">
        <v>0</v>
      </c>
      <c r="VV89" s="0" t="n">
        <v>0</v>
      </c>
      <c r="VW89" s="0" t="n">
        <v>15.7</v>
      </c>
      <c r="VX89" s="0" t="n">
        <v>1</v>
      </c>
      <c r="VY89" s="0" t="n">
        <v>3</v>
      </c>
      <c r="WA89" s="0" t="n">
        <v>1</v>
      </c>
      <c r="WE89" s="0" t="n">
        <v>3</v>
      </c>
      <c r="WG89" s="0" t="n">
        <v>1</v>
      </c>
      <c r="WK89" s="0" t="n">
        <v>10.8</v>
      </c>
      <c r="WL89" s="0" t="n">
        <v>1</v>
      </c>
      <c r="WM89" s="0" t="n">
        <v>34</v>
      </c>
      <c r="WN89" s="0" t="n">
        <v>4</v>
      </c>
      <c r="WO89" s="0" t="n">
        <v>1.68</v>
      </c>
      <c r="WP89" s="0" t="n">
        <v>1</v>
      </c>
      <c r="WW89" s="20"/>
      <c r="XO89" s="0" t="n">
        <v>1</v>
      </c>
      <c r="XP89" s="0" t="n">
        <v>50</v>
      </c>
      <c r="XQ89" s="0" t="n">
        <v>2</v>
      </c>
      <c r="XR89" s="0" t="n">
        <v>2.24</v>
      </c>
      <c r="XS89" s="0" t="n">
        <v>3</v>
      </c>
      <c r="XT89" s="0" t="n">
        <v>50</v>
      </c>
      <c r="XU89" s="0" t="n">
        <v>12</v>
      </c>
      <c r="XV89" s="0" t="n">
        <v>8.51</v>
      </c>
      <c r="XW89" s="0" t="n">
        <v>4</v>
      </c>
      <c r="YZ89" s="16" t="n">
        <v>0.86</v>
      </c>
      <c r="ZA89" s="16" t="n">
        <v>1</v>
      </c>
      <c r="ZB89" s="16" t="n">
        <v>1</v>
      </c>
      <c r="ZC89" s="16"/>
      <c r="ZD89" s="16" t="n">
        <v>12.44</v>
      </c>
      <c r="ZE89" s="16"/>
      <c r="ZF89" s="16"/>
      <c r="ZG89" s="16"/>
      <c r="ZH89" s="16"/>
      <c r="ZI89" s="16"/>
      <c r="ZJ89" s="16"/>
      <c r="ZK89" s="16" t="n">
        <v>5.31</v>
      </c>
      <c r="ZL89" s="16" t="n">
        <v>7.99</v>
      </c>
      <c r="ZM89" s="16" t="n">
        <v>0</v>
      </c>
      <c r="ZN89" s="16" t="n">
        <v>0</v>
      </c>
      <c r="ZO89" s="16" t="n">
        <v>0</v>
      </c>
      <c r="ZP89" s="16" t="n">
        <v>0</v>
      </c>
      <c r="ZQ89" s="16" t="n">
        <v>0</v>
      </c>
      <c r="ZR89" s="0" t="n">
        <v>0</v>
      </c>
      <c r="ZU89" s="15"/>
      <c r="ZV89" s="15"/>
      <c r="AAC89" s="15"/>
      <c r="AAD89" s="15"/>
      <c r="AAK89" s="15"/>
      <c r="AAL89" s="15"/>
      <c r="AAS89" s="15"/>
      <c r="AAT89" s="15"/>
      <c r="ABA89" s="15"/>
      <c r="ABB89" s="15"/>
      <c r="ABI89" s="15"/>
      <c r="ABJ89" s="15"/>
      <c r="ABQ89" s="15"/>
      <c r="ABR89" s="15"/>
      <c r="ABY89" s="15"/>
      <c r="ABZ89" s="15"/>
      <c r="ACG89" s="15"/>
      <c r="ACH89" s="15"/>
      <c r="ACO89" s="15"/>
      <c r="ACP89" s="15"/>
      <c r="ACW89" s="15"/>
      <c r="ACX89" s="15"/>
      <c r="ADE89" s="15"/>
      <c r="ADF89" s="15"/>
      <c r="ADM89" s="15"/>
      <c r="ADN89" s="15"/>
      <c r="ADU89" s="15"/>
      <c r="ADV89" s="15"/>
      <c r="AEC89" s="15"/>
      <c r="AED89" s="15"/>
      <c r="AEK89" s="15"/>
      <c r="AEL89" s="15"/>
      <c r="AES89" s="15"/>
      <c r="AET89" s="15"/>
      <c r="AFA89" s="15"/>
      <c r="AFB89" s="15"/>
      <c r="AFI89" s="15"/>
      <c r="AFJ89" s="15"/>
      <c r="AFQ89" s="15"/>
      <c r="AFR89" s="15"/>
      <c r="AFY89" s="15"/>
      <c r="AFZ89" s="15"/>
      <c r="AGG89" s="15"/>
      <c r="AGH89" s="15"/>
      <c r="AGO89" s="15"/>
      <c r="AGP89" s="15"/>
      <c r="AGW89" s="15"/>
      <c r="AGX89" s="15"/>
      <c r="AHE89" s="15"/>
      <c r="AHF89" s="15"/>
      <c r="AHM89" s="15"/>
      <c r="AHN89" s="15"/>
      <c r="AHU89" s="15"/>
      <c r="AHV89" s="15"/>
      <c r="AIC89" s="15"/>
      <c r="AID89" s="15"/>
      <c r="AIK89" s="15"/>
      <c r="AIL89" s="15"/>
      <c r="AIS89" s="15"/>
      <c r="AIT89" s="15"/>
      <c r="AJA89" s="15"/>
      <c r="AJB89" s="15"/>
      <c r="AJI89" s="15"/>
      <c r="AJJ89" s="15"/>
      <c r="AJQ89" s="15"/>
      <c r="AJR89" s="15"/>
      <c r="AJY89" s="15"/>
      <c r="AJZ89" s="15"/>
      <c r="AKG89" s="15"/>
      <c r="AKH89" s="15"/>
      <c r="AKO89" s="15"/>
      <c r="AKP89" s="15"/>
      <c r="AKW89" s="15"/>
      <c r="AKX89" s="15"/>
      <c r="ALE89" s="15"/>
      <c r="ALF89" s="15"/>
      <c r="ALM89" s="15"/>
      <c r="ALN89" s="15"/>
      <c r="ALU89" s="15"/>
      <c r="ALV89" s="15"/>
      <c r="AMC89" s="15"/>
      <c r="AMD89" s="15"/>
    </row>
    <row r="90" customFormat="false" ht="13.8" hidden="false" customHeight="false" outlineLevel="0" collapsed="false">
      <c r="A90" s="1" t="s">
        <v>472</v>
      </c>
      <c r="B90" s="12" t="n">
        <v>42894</v>
      </c>
      <c r="C90" s="0" t="n">
        <v>2</v>
      </c>
      <c r="D90" s="13" t="n">
        <v>42811</v>
      </c>
      <c r="E90" s="12" t="n">
        <v>32195</v>
      </c>
      <c r="F90" s="14" t="n">
        <f aca="false">(B90-E90)/365.25</f>
        <v>29.2922655715263</v>
      </c>
      <c r="G90" s="14" t="n">
        <f aca="false">(B90-D90)/365.25</f>
        <v>0.227241615331964</v>
      </c>
      <c r="H90" s="15" t="s">
        <v>183</v>
      </c>
      <c r="I90" s="15" t="s">
        <v>347</v>
      </c>
      <c r="J90" s="15" t="s">
        <v>183</v>
      </c>
      <c r="K90" s="21" t="n">
        <v>8</v>
      </c>
      <c r="L90" s="19" t="n">
        <v>71</v>
      </c>
      <c r="M90" s="0" t="n">
        <v>1.75</v>
      </c>
      <c r="N90" s="16" t="n">
        <f aca="false">L90/(M90*M90)</f>
        <v>23.1836734693878</v>
      </c>
      <c r="O90" s="19" t="n">
        <v>0</v>
      </c>
      <c r="P90" s="19" t="n">
        <v>0</v>
      </c>
      <c r="Q90" s="19" t="n">
        <v>0</v>
      </c>
      <c r="R90" s="19" t="n">
        <v>0</v>
      </c>
      <c r="S90" s="19" t="n">
        <v>0</v>
      </c>
      <c r="T90" s="19" t="n">
        <v>0</v>
      </c>
      <c r="U90" s="19" t="n">
        <v>0</v>
      </c>
      <c r="V90" s="19" t="n">
        <v>0</v>
      </c>
      <c r="W90" s="19" t="n">
        <v>1</v>
      </c>
      <c r="X90" s="19" t="n">
        <v>0</v>
      </c>
      <c r="Y90" s="19" t="n">
        <v>1</v>
      </c>
      <c r="Z90" s="19" t="n">
        <v>1</v>
      </c>
      <c r="AA90" s="19"/>
      <c r="AB90" s="19" t="s">
        <v>284</v>
      </c>
      <c r="AC90" s="19" t="n">
        <v>0</v>
      </c>
      <c r="AD90" s="19" t="n">
        <v>0</v>
      </c>
      <c r="AE90" s="19" t="n">
        <v>0</v>
      </c>
      <c r="AF90" s="19" t="n">
        <v>0</v>
      </c>
      <c r="AG90" s="19" t="n">
        <v>0</v>
      </c>
      <c r="AH90" s="19" t="n">
        <v>0</v>
      </c>
      <c r="AI90" s="19" t="n">
        <v>0</v>
      </c>
      <c r="AJ90" s="19" t="n">
        <v>0</v>
      </c>
      <c r="AK90" s="19" t="n">
        <v>0</v>
      </c>
      <c r="AL90" s="19" t="n">
        <v>0</v>
      </c>
      <c r="AM90" s="19" t="n">
        <v>0</v>
      </c>
      <c r="AN90" s="19" t="n">
        <v>0</v>
      </c>
      <c r="AO90" s="19" t="n">
        <v>0</v>
      </c>
      <c r="AP90" s="19" t="n">
        <v>0</v>
      </c>
      <c r="AQ90" s="19" t="n">
        <v>0</v>
      </c>
      <c r="AR90" s="19" t="n">
        <v>0</v>
      </c>
      <c r="AS90" s="19" t="n">
        <v>0</v>
      </c>
      <c r="AT90" s="19" t="n">
        <v>0</v>
      </c>
      <c r="AU90" s="19" t="n">
        <v>0</v>
      </c>
      <c r="AV90" s="19" t="n">
        <v>0</v>
      </c>
      <c r="AW90" s="19" t="n">
        <v>0</v>
      </c>
      <c r="AX90" s="19" t="n">
        <v>0</v>
      </c>
      <c r="AY90" s="19" t="n">
        <v>0</v>
      </c>
      <c r="AZ90" s="19" t="n">
        <v>0</v>
      </c>
      <c r="BA90" s="19" t="n">
        <v>0</v>
      </c>
      <c r="BB90" s="19" t="n">
        <v>0</v>
      </c>
      <c r="BC90" s="19" t="n">
        <v>0</v>
      </c>
      <c r="BD90" s="19" t="n">
        <v>0</v>
      </c>
      <c r="BE90" s="19" t="n">
        <v>0</v>
      </c>
      <c r="BF90" s="19" t="n">
        <v>0</v>
      </c>
      <c r="BG90" s="19" t="n">
        <v>0</v>
      </c>
      <c r="BH90" s="19" t="n">
        <v>0</v>
      </c>
      <c r="BI90" s="19" t="n">
        <v>0</v>
      </c>
      <c r="BJ90" s="19" t="n">
        <v>0</v>
      </c>
      <c r="BK90" s="19" t="n">
        <v>0</v>
      </c>
      <c r="BL90" s="19" t="n">
        <v>0</v>
      </c>
      <c r="BM90" s="19" t="n">
        <v>0</v>
      </c>
      <c r="BN90" s="19" t="n">
        <v>0</v>
      </c>
      <c r="BO90" s="19" t="n">
        <v>0</v>
      </c>
      <c r="BP90" s="19" t="n">
        <v>0</v>
      </c>
      <c r="BQ90" s="19" t="n">
        <v>0</v>
      </c>
      <c r="BR90" s="19" t="n">
        <v>2</v>
      </c>
      <c r="BS90" s="19" t="n">
        <v>1</v>
      </c>
      <c r="BT90" s="19" t="n">
        <v>3</v>
      </c>
      <c r="BU90" s="19" t="n">
        <v>2</v>
      </c>
      <c r="BV90" s="19" t="n">
        <v>2</v>
      </c>
      <c r="BW90" s="19" t="n">
        <v>1</v>
      </c>
      <c r="BX90" s="19" t="n">
        <v>1</v>
      </c>
      <c r="BY90" s="19" t="n">
        <v>1</v>
      </c>
      <c r="BZ90" s="19" t="n">
        <v>3</v>
      </c>
      <c r="CA90" s="19" t="n">
        <v>5</v>
      </c>
      <c r="CB90" s="19" t="n">
        <v>5</v>
      </c>
      <c r="CC90" s="19" t="n">
        <v>5</v>
      </c>
      <c r="CD90" s="19" t="n">
        <v>1</v>
      </c>
      <c r="CE90" s="19" t="n">
        <v>4</v>
      </c>
      <c r="CF90" s="19" t="n">
        <v>5</v>
      </c>
      <c r="CG90" s="19" t="n">
        <v>4</v>
      </c>
      <c r="CH90" s="19" t="n">
        <v>4</v>
      </c>
      <c r="CI90" s="19" t="n">
        <v>4</v>
      </c>
      <c r="CJ90" s="19" t="n">
        <v>3</v>
      </c>
      <c r="CK90" s="19" t="n">
        <v>10</v>
      </c>
      <c r="CL90" s="0" t="s">
        <v>364</v>
      </c>
      <c r="CM90" s="0" t="n">
        <v>32</v>
      </c>
      <c r="CN90" s="16" t="n">
        <v>75</v>
      </c>
      <c r="CO90" s="16" t="n">
        <v>80.4</v>
      </c>
      <c r="CP90" s="16" t="n">
        <v>22.6</v>
      </c>
      <c r="CQ90" s="0" t="n">
        <v>76.24</v>
      </c>
      <c r="CS90" s="0" t="n">
        <v>15.36</v>
      </c>
      <c r="CT90" s="0" t="n">
        <v>1.93</v>
      </c>
      <c r="CU90" s="0" t="n">
        <v>6.47</v>
      </c>
      <c r="CV90" s="0" t="n">
        <v>0</v>
      </c>
      <c r="CW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32.86</v>
      </c>
      <c r="DD90" s="0" t="n">
        <v>26.39</v>
      </c>
      <c r="DE90" s="0" t="n">
        <v>0</v>
      </c>
      <c r="DF90" s="0" t="n">
        <v>0</v>
      </c>
      <c r="DG90" s="0" t="n">
        <v>0</v>
      </c>
      <c r="DH90" s="0" t="n">
        <v>0</v>
      </c>
      <c r="DU90" s="0" t="n">
        <v>5.6</v>
      </c>
      <c r="DV90" s="0" t="n">
        <v>1</v>
      </c>
      <c r="DW90" s="0" t="n">
        <v>35</v>
      </c>
      <c r="DX90" s="0" t="n">
        <v>1</v>
      </c>
      <c r="DY90" s="0" t="n">
        <v>0.5</v>
      </c>
      <c r="DZ90" s="0" t="n">
        <v>3</v>
      </c>
      <c r="EG90" s="20"/>
      <c r="EY90" s="0" t="n">
        <v>1</v>
      </c>
      <c r="EZ90" s="0" t="n">
        <v>60</v>
      </c>
      <c r="FA90" s="0" t="n">
        <v>5</v>
      </c>
      <c r="FB90" s="0" t="n">
        <v>3.13</v>
      </c>
      <c r="FC90" s="0" t="n">
        <v>2</v>
      </c>
      <c r="FD90" s="0" t="n">
        <v>50</v>
      </c>
      <c r="FE90" s="0" t="n">
        <v>2</v>
      </c>
      <c r="FF90" s="0" t="n">
        <v>0.67</v>
      </c>
      <c r="FG90" s="0" t="n">
        <v>2</v>
      </c>
      <c r="GJ90" s="16" t="n">
        <v>1.43</v>
      </c>
      <c r="GK90" s="16" t="n">
        <v>1</v>
      </c>
      <c r="GL90" s="16" t="n">
        <v>1</v>
      </c>
      <c r="GM90" s="16"/>
      <c r="GN90" s="16" t="n">
        <v>17.43</v>
      </c>
      <c r="GO90" s="16"/>
      <c r="GP90" s="16"/>
      <c r="GQ90" s="16"/>
      <c r="GR90" s="16"/>
      <c r="GS90" s="16"/>
      <c r="GT90" s="16"/>
      <c r="GU90" s="16" t="n">
        <v>1.7</v>
      </c>
      <c r="GV90" s="16" t="n">
        <v>1.7</v>
      </c>
      <c r="GW90" s="16" t="n">
        <v>0</v>
      </c>
      <c r="GX90" s="16" t="n">
        <v>0</v>
      </c>
      <c r="GY90" s="16" t="n">
        <v>0</v>
      </c>
      <c r="GZ90" s="16" t="n">
        <v>0</v>
      </c>
      <c r="HA90" s="16" t="n">
        <v>0</v>
      </c>
      <c r="HB90" s="0" t="n">
        <v>0</v>
      </c>
      <c r="HC90" s="0" t="s">
        <v>350</v>
      </c>
      <c r="HD90" s="0" t="n">
        <v>75</v>
      </c>
      <c r="HE90" s="16" t="n">
        <v>87.9</v>
      </c>
      <c r="HF90" s="16" t="n">
        <v>80.4</v>
      </c>
      <c r="HG90" s="16" t="n">
        <v>45.2</v>
      </c>
      <c r="HH90" s="0" t="n">
        <v>50.83</v>
      </c>
      <c r="HI90" s="0" t="n">
        <v>0.05</v>
      </c>
      <c r="HJ90" s="0" t="n">
        <v>46.44</v>
      </c>
      <c r="HK90" s="0" t="n">
        <v>2.67</v>
      </c>
      <c r="HL90" s="0" t="n">
        <v>0</v>
      </c>
      <c r="HM90" s="0" t="n">
        <v>0</v>
      </c>
      <c r="HN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25.21</v>
      </c>
      <c r="HU90" s="0" t="n">
        <v>43.57</v>
      </c>
      <c r="HV90" s="0" t="n">
        <v>6.27</v>
      </c>
      <c r="HW90" s="0" t="n">
        <v>0</v>
      </c>
      <c r="HX90" s="0" t="n">
        <v>0</v>
      </c>
      <c r="HY90" s="0" t="n">
        <v>0</v>
      </c>
      <c r="IL90" s="0" t="n">
        <v>17.8</v>
      </c>
      <c r="IM90" s="0" t="n">
        <v>1</v>
      </c>
      <c r="IN90" s="0" t="n">
        <v>35</v>
      </c>
      <c r="IO90" s="0" t="n">
        <v>9</v>
      </c>
      <c r="IP90" s="0" t="n">
        <v>2.55</v>
      </c>
      <c r="IQ90" s="0" t="n">
        <v>3</v>
      </c>
      <c r="IX90" s="20"/>
      <c r="JP90" s="0" t="n">
        <v>1</v>
      </c>
      <c r="JQ90" s="0" t="n">
        <v>50</v>
      </c>
      <c r="JR90" s="0" t="n">
        <v>8</v>
      </c>
      <c r="JS90" s="0" t="n">
        <v>2.12</v>
      </c>
      <c r="JT90" s="0" t="n">
        <v>3</v>
      </c>
      <c r="LA90" s="16" t="n">
        <v>3.43</v>
      </c>
      <c r="LB90" s="16" t="n">
        <v>1</v>
      </c>
      <c r="LC90" s="16" t="n">
        <v>1</v>
      </c>
      <c r="LD90" s="16"/>
      <c r="LE90" s="16" t="n">
        <v>26.11</v>
      </c>
      <c r="LF90" s="16" t="n">
        <v>2</v>
      </c>
      <c r="LG90" s="16"/>
      <c r="LH90" s="16" t="n">
        <v>11.19</v>
      </c>
      <c r="LI90" s="16"/>
      <c r="LJ90" s="16"/>
      <c r="LK90" s="16"/>
      <c r="LL90" s="16" t="n">
        <v>6.39</v>
      </c>
      <c r="LM90" s="16" t="n">
        <v>3.31</v>
      </c>
      <c r="LN90" s="16" t="n">
        <v>0</v>
      </c>
      <c r="LO90" s="16" t="n">
        <v>0</v>
      </c>
      <c r="LP90" s="16" t="n">
        <v>0</v>
      </c>
      <c r="LQ90" s="16" t="n">
        <v>0</v>
      </c>
      <c r="LR90" s="16" t="n">
        <v>0</v>
      </c>
      <c r="LS90" s="0" t="n">
        <v>0</v>
      </c>
      <c r="LT90" s="0" t="s">
        <v>361</v>
      </c>
      <c r="LU90" s="0" t="n">
        <v>74.5</v>
      </c>
      <c r="LV90" s="16" t="n">
        <v>76.2</v>
      </c>
      <c r="LW90" s="16" t="n">
        <v>80.4</v>
      </c>
      <c r="LX90" s="16" t="n">
        <v>42.8</v>
      </c>
      <c r="LY90" s="0" t="n">
        <v>57.15</v>
      </c>
      <c r="LZ90" s="0" t="n">
        <v>0.45</v>
      </c>
      <c r="MA90" s="0" t="n">
        <v>39.09</v>
      </c>
      <c r="MB90" s="0" t="n">
        <v>3.3</v>
      </c>
      <c r="MC90" s="0" t="n">
        <v>0</v>
      </c>
      <c r="MD90" s="0" t="n">
        <v>0</v>
      </c>
      <c r="ME90" s="0" t="n">
        <v>0</v>
      </c>
      <c r="MG90" s="0" t="n">
        <v>0</v>
      </c>
      <c r="MH90" s="0" t="n">
        <v>0</v>
      </c>
      <c r="MI90" s="0" t="n">
        <v>0</v>
      </c>
      <c r="MJ90" s="0" t="n">
        <v>0</v>
      </c>
      <c r="MK90" s="0" t="n">
        <v>18.26</v>
      </c>
      <c r="ML90" s="0" t="n">
        <v>34.4</v>
      </c>
      <c r="MM90" s="0" t="n">
        <v>6.27</v>
      </c>
      <c r="MN90" s="0" t="n">
        <v>0</v>
      </c>
      <c r="MO90" s="0" t="n">
        <v>0</v>
      </c>
      <c r="MP90" s="0" t="n">
        <v>0</v>
      </c>
      <c r="NC90" s="0" t="n">
        <v>18.2</v>
      </c>
      <c r="ND90" s="0" t="n">
        <v>1</v>
      </c>
      <c r="NE90" s="0" t="n">
        <v>35</v>
      </c>
      <c r="NF90" s="0" t="n">
        <v>9</v>
      </c>
      <c r="NG90" s="0" t="n">
        <v>2.55</v>
      </c>
      <c r="NH90" s="0" t="n">
        <v>3</v>
      </c>
      <c r="NO90" s="20"/>
      <c r="OG90" s="0" t="n">
        <v>1</v>
      </c>
      <c r="OH90" s="0" t="n">
        <v>50</v>
      </c>
      <c r="OI90" s="0" t="n">
        <v>8</v>
      </c>
      <c r="OJ90" s="0" t="n">
        <v>2.54</v>
      </c>
      <c r="OK90" s="0" t="n">
        <v>3</v>
      </c>
      <c r="PR90" s="16" t="n">
        <v>7.59</v>
      </c>
      <c r="PS90" s="16" t="n">
        <v>1</v>
      </c>
      <c r="PT90" s="16" t="n">
        <v>1</v>
      </c>
      <c r="PU90" s="16"/>
      <c r="PV90" s="16" t="n">
        <v>22.38</v>
      </c>
      <c r="PW90" s="16" t="n">
        <v>2</v>
      </c>
      <c r="PX90" s="16"/>
      <c r="PY90" s="16" t="n">
        <v>14.92</v>
      </c>
      <c r="PZ90" s="16"/>
      <c r="QA90" s="16"/>
      <c r="QB90" s="16"/>
      <c r="QC90" s="16" t="n">
        <v>5.05</v>
      </c>
      <c r="QD90" s="16" t="n">
        <v>1.54</v>
      </c>
      <c r="QE90" s="16" t="n">
        <v>0</v>
      </c>
      <c r="QF90" s="16" t="n">
        <v>0</v>
      </c>
      <c r="QG90" s="16" t="n">
        <v>0</v>
      </c>
      <c r="QH90" s="16" t="n">
        <v>0</v>
      </c>
      <c r="QI90" s="16" t="n">
        <v>0</v>
      </c>
      <c r="QJ90" s="0" t="n">
        <v>0</v>
      </c>
      <c r="QK90" s="0" t="s">
        <v>351</v>
      </c>
      <c r="QL90" s="0" t="n">
        <v>30.5</v>
      </c>
      <c r="QM90" s="16" t="n">
        <v>68.4</v>
      </c>
      <c r="QN90" s="16" t="n">
        <v>80.4</v>
      </c>
      <c r="QO90" s="16" t="n">
        <v>19.8</v>
      </c>
      <c r="QP90" s="0" t="n">
        <v>72.42</v>
      </c>
      <c r="QR90" s="0" t="n">
        <v>0.94</v>
      </c>
      <c r="QS90" s="0" t="n">
        <v>0.94</v>
      </c>
      <c r="QT90" s="0" t="n">
        <v>25.7</v>
      </c>
      <c r="QU90" s="0" t="n">
        <v>0</v>
      </c>
      <c r="QV90" s="0" t="n">
        <v>0</v>
      </c>
      <c r="QX90" s="0" t="n">
        <v>0</v>
      </c>
      <c r="QY90" s="0" t="n">
        <v>0</v>
      </c>
      <c r="QZ90" s="0" t="n">
        <v>0</v>
      </c>
      <c r="RA90" s="0" t="n">
        <v>0</v>
      </c>
      <c r="RB90" s="0" t="n">
        <v>28.26</v>
      </c>
      <c r="RC90" s="0" t="n">
        <v>10.55</v>
      </c>
      <c r="RD90" s="0" t="n">
        <v>14.21</v>
      </c>
      <c r="RE90" s="0" t="n">
        <v>0</v>
      </c>
      <c r="RF90" s="0" t="n">
        <v>0</v>
      </c>
      <c r="RG90" s="0" t="n">
        <v>0</v>
      </c>
      <c r="RT90" s="0" t="n">
        <v>3.3</v>
      </c>
      <c r="RU90" s="0" t="n">
        <v>1</v>
      </c>
      <c r="RV90" s="0" t="n">
        <v>68</v>
      </c>
      <c r="RW90" s="0" t="n">
        <v>2</v>
      </c>
      <c r="RX90" s="0" t="n">
        <v>1.52</v>
      </c>
      <c r="RY90" s="0" t="n">
        <v>1</v>
      </c>
      <c r="SF90" s="20"/>
      <c r="SX90" s="0" t="n">
        <v>0</v>
      </c>
      <c r="UI90" s="16" t="n">
        <v>0</v>
      </c>
      <c r="UJ90" s="16" t="n">
        <v>0</v>
      </c>
      <c r="UK90" s="16"/>
      <c r="UL90" s="16"/>
      <c r="UM90" s="16"/>
      <c r="UN90" s="16"/>
      <c r="UO90" s="16"/>
      <c r="UP90" s="16"/>
      <c r="UQ90" s="16"/>
      <c r="UR90" s="16"/>
      <c r="US90" s="16"/>
      <c r="UT90" s="16" t="n">
        <v>0.81</v>
      </c>
      <c r="UU90" s="16" t="n">
        <v>0.8</v>
      </c>
      <c r="UV90" s="16" t="n">
        <v>0</v>
      </c>
      <c r="UW90" s="16" t="n">
        <v>0</v>
      </c>
      <c r="UX90" s="16" t="n">
        <v>2.99</v>
      </c>
      <c r="UY90" s="16" t="n">
        <v>5.71</v>
      </c>
      <c r="UZ90" s="16" t="n">
        <v>0</v>
      </c>
      <c r="VA90" s="0" t="n">
        <v>0</v>
      </c>
      <c r="VB90" s="0" t="s">
        <v>356</v>
      </c>
      <c r="VC90" s="0" t="n">
        <v>39.5</v>
      </c>
      <c r="VD90" s="16" t="n">
        <v>85.1</v>
      </c>
      <c r="VE90" s="16" t="n">
        <v>80.4</v>
      </c>
      <c r="VF90" s="16" t="n">
        <v>13.6</v>
      </c>
      <c r="VG90" s="0" t="n">
        <v>87.38</v>
      </c>
      <c r="VI90" s="0" t="n">
        <v>8.05</v>
      </c>
      <c r="VJ90" s="0" t="n">
        <v>0</v>
      </c>
      <c r="VK90" s="0" t="n">
        <v>4.57</v>
      </c>
      <c r="VL90" s="0" t="n">
        <v>0</v>
      </c>
      <c r="VM90" s="0" t="n">
        <v>0</v>
      </c>
      <c r="VO90" s="0" t="n">
        <v>0</v>
      </c>
      <c r="VP90" s="0" t="n">
        <v>0</v>
      </c>
      <c r="VQ90" s="0" t="n">
        <v>0</v>
      </c>
      <c r="VR90" s="0" t="n">
        <v>0</v>
      </c>
      <c r="VS90" s="0" t="n">
        <v>45</v>
      </c>
      <c r="VT90" s="0" t="n">
        <v>10.1</v>
      </c>
      <c r="VU90" s="0" t="n">
        <v>11.8</v>
      </c>
      <c r="VV90" s="0" t="n">
        <v>0</v>
      </c>
      <c r="VW90" s="0" t="n">
        <v>0</v>
      </c>
      <c r="VX90" s="0" t="n">
        <v>0</v>
      </c>
      <c r="WK90" s="0" t="n">
        <v>17.8</v>
      </c>
      <c r="WL90" s="0" t="n">
        <v>1</v>
      </c>
      <c r="WM90" s="0" t="n">
        <v>30</v>
      </c>
      <c r="WN90" s="0" t="n">
        <v>7</v>
      </c>
      <c r="WO90" s="0" t="n">
        <v>5.33</v>
      </c>
      <c r="WP90" s="0" t="n">
        <v>3</v>
      </c>
      <c r="WW90" s="20"/>
      <c r="XO90" s="0" t="n">
        <v>1</v>
      </c>
      <c r="XP90" s="0" t="n">
        <v>50</v>
      </c>
      <c r="XQ90" s="0" t="n">
        <v>1</v>
      </c>
      <c r="XR90" s="0" t="n">
        <v>0.03</v>
      </c>
      <c r="XS90" s="0" t="n">
        <v>1</v>
      </c>
      <c r="YZ90" s="16" t="n">
        <v>3.96</v>
      </c>
      <c r="ZA90" s="16" t="n">
        <v>1</v>
      </c>
      <c r="ZB90" s="16" t="n">
        <v>1</v>
      </c>
      <c r="ZC90" s="16"/>
      <c r="ZD90" s="16" t="n">
        <v>41.03</v>
      </c>
      <c r="ZE90" s="16" t="n">
        <v>2</v>
      </c>
      <c r="ZF90" s="16" t="n">
        <v>3.73</v>
      </c>
      <c r="ZG90" s="16"/>
      <c r="ZH90" s="16"/>
      <c r="ZI90" s="16"/>
      <c r="ZJ90" s="16"/>
      <c r="ZK90" s="16" t="n">
        <v>0</v>
      </c>
      <c r="ZL90" s="16" t="n">
        <v>0</v>
      </c>
      <c r="ZM90" s="16" t="n">
        <v>0</v>
      </c>
      <c r="ZN90" s="16" t="n">
        <v>0</v>
      </c>
      <c r="ZO90" s="16" t="n">
        <v>0</v>
      </c>
      <c r="ZP90" s="16" t="n">
        <v>0</v>
      </c>
      <c r="ZQ90" s="16" t="n">
        <v>0</v>
      </c>
      <c r="ZR90" s="0" t="n">
        <v>0</v>
      </c>
      <c r="ZU90" s="15"/>
      <c r="ZV90" s="15"/>
      <c r="AAC90" s="15"/>
      <c r="AAD90" s="15"/>
      <c r="AAK90" s="15"/>
      <c r="AAL90" s="15"/>
      <c r="AAS90" s="15"/>
      <c r="AAT90" s="15"/>
      <c r="ABA90" s="15"/>
      <c r="ABB90" s="15"/>
      <c r="ABI90" s="15"/>
      <c r="ABJ90" s="15"/>
      <c r="ABQ90" s="15"/>
      <c r="ABR90" s="15"/>
      <c r="ABY90" s="15"/>
      <c r="ABZ90" s="15"/>
      <c r="ACG90" s="15"/>
      <c r="ACH90" s="15"/>
      <c r="ACO90" s="15"/>
      <c r="ACP90" s="15"/>
      <c r="ACW90" s="15"/>
      <c r="ACX90" s="15"/>
      <c r="ADE90" s="15"/>
      <c r="ADF90" s="15"/>
      <c r="ADM90" s="15"/>
      <c r="ADN90" s="15"/>
      <c r="ADU90" s="15"/>
      <c r="ADV90" s="15"/>
      <c r="AEC90" s="15"/>
      <c r="AED90" s="15"/>
      <c r="AEK90" s="15"/>
      <c r="AEL90" s="15"/>
      <c r="AES90" s="15"/>
      <c r="AET90" s="15"/>
      <c r="AFA90" s="15"/>
      <c r="AFB90" s="15"/>
      <c r="AFI90" s="15"/>
      <c r="AFJ90" s="15"/>
      <c r="AFQ90" s="15"/>
      <c r="AFR90" s="15"/>
      <c r="AFY90" s="15"/>
      <c r="AFZ90" s="15"/>
      <c r="AGG90" s="15"/>
      <c r="AGH90" s="15"/>
      <c r="AGO90" s="15"/>
      <c r="AGP90" s="15"/>
      <c r="AGW90" s="15"/>
      <c r="AGX90" s="15"/>
      <c r="AHE90" s="15"/>
      <c r="AHF90" s="15"/>
      <c r="AHM90" s="15"/>
      <c r="AHN90" s="15"/>
      <c r="AHU90" s="15"/>
      <c r="AHV90" s="15"/>
      <c r="AIC90" s="15"/>
      <c r="AID90" s="15"/>
      <c r="AIK90" s="15"/>
      <c r="AIL90" s="15"/>
      <c r="AIS90" s="15"/>
      <c r="AIT90" s="15"/>
      <c r="AJA90" s="15"/>
      <c r="AJB90" s="15"/>
      <c r="AJI90" s="15"/>
      <c r="AJJ90" s="15"/>
      <c r="AJQ90" s="15"/>
      <c r="AJR90" s="15"/>
      <c r="AJY90" s="15"/>
      <c r="AJZ90" s="15"/>
      <c r="AKG90" s="15"/>
      <c r="AKH90" s="15"/>
      <c r="AKO90" s="15"/>
      <c r="AKP90" s="15"/>
      <c r="AKW90" s="15"/>
      <c r="AKX90" s="15"/>
      <c r="ALE90" s="15"/>
      <c r="ALF90" s="15"/>
      <c r="ALM90" s="15"/>
      <c r="ALN90" s="15"/>
      <c r="ALU90" s="15"/>
      <c r="ALV90" s="15"/>
      <c r="AMC90" s="15"/>
      <c r="AMD90" s="15"/>
    </row>
    <row r="91" customFormat="false" ht="13.8" hidden="false" customHeight="false" outlineLevel="0" collapsed="false">
      <c r="A91" s="1" t="s">
        <v>473</v>
      </c>
      <c r="B91" s="12" t="n">
        <v>42894</v>
      </c>
      <c r="C91" s="0" t="n">
        <v>2</v>
      </c>
      <c r="D91" s="13" t="n">
        <v>34785</v>
      </c>
      <c r="E91" s="12" t="n">
        <v>27122</v>
      </c>
      <c r="F91" s="14" t="n">
        <f aca="false">(B91-E91)/365.25</f>
        <v>43.1813826146475</v>
      </c>
      <c r="G91" s="14" t="n">
        <f aca="false">(B91-D91)/365.25</f>
        <v>22.2012320328542</v>
      </c>
      <c r="H91" s="15" t="s">
        <v>183</v>
      </c>
      <c r="I91" s="15" t="s">
        <v>347</v>
      </c>
      <c r="J91" s="15" t="s">
        <v>183</v>
      </c>
      <c r="K91" s="15"/>
      <c r="L91" s="19" t="n">
        <v>72</v>
      </c>
      <c r="M91" s="0" t="n">
        <v>1.81</v>
      </c>
      <c r="N91" s="16" t="n">
        <f aca="false">L91/(M91*M91)</f>
        <v>21.9773511187082</v>
      </c>
      <c r="O91" s="19" t="n">
        <v>0</v>
      </c>
      <c r="P91" s="19" t="n">
        <v>0</v>
      </c>
      <c r="Q91" s="19" t="n">
        <v>0</v>
      </c>
      <c r="R91" s="19" t="n">
        <v>1</v>
      </c>
      <c r="S91" s="19" t="n">
        <v>1</v>
      </c>
      <c r="T91" s="19" t="s">
        <v>474</v>
      </c>
      <c r="U91" s="19" t="n">
        <v>0</v>
      </c>
      <c r="V91" s="19" t="n">
        <v>0</v>
      </c>
      <c r="W91" s="19" t="n">
        <v>0</v>
      </c>
      <c r="X91" s="19" t="n">
        <v>0</v>
      </c>
      <c r="Y91" s="19" t="n">
        <v>0</v>
      </c>
      <c r="Z91" s="19" t="n">
        <v>0</v>
      </c>
      <c r="AA91" s="19" t="n">
        <v>0</v>
      </c>
      <c r="AB91" s="19" t="n">
        <v>0</v>
      </c>
      <c r="AC91" s="19" t="n">
        <v>0</v>
      </c>
      <c r="AD91" s="19" t="n">
        <v>0</v>
      </c>
      <c r="AE91" s="19" t="n">
        <v>0</v>
      </c>
      <c r="AF91" s="19" t="n">
        <v>0</v>
      </c>
      <c r="AG91" s="19" t="n">
        <v>0</v>
      </c>
      <c r="AH91" s="19" t="n">
        <v>0</v>
      </c>
      <c r="AI91" s="19" t="n">
        <v>0</v>
      </c>
      <c r="AJ91" s="19" t="n">
        <v>0</v>
      </c>
      <c r="AK91" s="19" t="n">
        <v>0</v>
      </c>
      <c r="AL91" s="19" t="n">
        <v>0</v>
      </c>
      <c r="AM91" s="19" t="n">
        <v>0</v>
      </c>
      <c r="AN91" s="19" t="n">
        <v>2</v>
      </c>
      <c r="AO91" s="19" t="n">
        <v>2</v>
      </c>
      <c r="AP91" s="19" t="n">
        <v>0</v>
      </c>
      <c r="AQ91" s="19" t="n">
        <v>0</v>
      </c>
      <c r="AR91" s="19" t="n">
        <v>0</v>
      </c>
      <c r="AS91" s="19" t="n">
        <v>0</v>
      </c>
      <c r="AT91" s="19" t="n">
        <v>0</v>
      </c>
      <c r="AU91" s="19" t="n">
        <v>0</v>
      </c>
      <c r="AV91" s="19" t="n">
        <v>0</v>
      </c>
      <c r="AW91" s="19" t="n">
        <v>0</v>
      </c>
      <c r="AX91" s="19" t="n">
        <v>0</v>
      </c>
      <c r="AY91" s="19" t="n">
        <v>0</v>
      </c>
      <c r="AZ91" s="19" t="n">
        <v>0</v>
      </c>
      <c r="BA91" s="19" t="n">
        <v>0</v>
      </c>
      <c r="BB91" s="19" t="n">
        <v>0</v>
      </c>
      <c r="BC91" s="19" t="n">
        <v>0</v>
      </c>
      <c r="BD91" s="19" t="n">
        <v>0</v>
      </c>
      <c r="BE91" s="19" t="n">
        <v>0</v>
      </c>
      <c r="BF91" s="19" t="n">
        <v>0</v>
      </c>
      <c r="BG91" s="19" t="n">
        <v>0</v>
      </c>
      <c r="BH91" s="19" t="n">
        <v>0</v>
      </c>
      <c r="BI91" s="19" t="n">
        <v>0</v>
      </c>
      <c r="BJ91" s="19" t="n">
        <v>0</v>
      </c>
      <c r="BK91" s="19" t="n">
        <v>0</v>
      </c>
      <c r="BL91" s="19" t="n">
        <v>0</v>
      </c>
      <c r="BM91" s="19" t="n">
        <v>0</v>
      </c>
      <c r="BN91" s="19" t="n">
        <v>0</v>
      </c>
      <c r="BO91" s="19" t="n">
        <v>0</v>
      </c>
      <c r="BP91" s="19" t="n">
        <v>0</v>
      </c>
      <c r="BQ91" s="19" t="n">
        <v>0</v>
      </c>
      <c r="BR91" s="19" t="n">
        <v>1</v>
      </c>
      <c r="BS91" s="19" t="n">
        <v>2</v>
      </c>
      <c r="BT91" s="19" t="n">
        <v>2</v>
      </c>
      <c r="BU91" s="19" t="n">
        <v>5</v>
      </c>
      <c r="BV91" s="19" t="n">
        <v>5</v>
      </c>
      <c r="BW91" s="19" t="n">
        <v>5</v>
      </c>
      <c r="BX91" s="19" t="n">
        <v>4</v>
      </c>
      <c r="BY91" s="19" t="n">
        <v>5</v>
      </c>
      <c r="BZ91" s="19" t="n">
        <v>4</v>
      </c>
      <c r="CA91" s="19" t="n">
        <v>4</v>
      </c>
      <c r="CB91" s="19" t="n">
        <v>4</v>
      </c>
      <c r="CC91" s="19" t="n">
        <v>5</v>
      </c>
      <c r="CD91" s="19" t="n">
        <v>4</v>
      </c>
      <c r="CE91" s="19" t="n">
        <v>4</v>
      </c>
      <c r="CF91" s="19" t="n">
        <v>3</v>
      </c>
      <c r="CG91" s="19" t="n">
        <v>4</v>
      </c>
      <c r="CH91" s="19" t="n">
        <v>4</v>
      </c>
      <c r="CI91" s="19" t="n">
        <v>4</v>
      </c>
      <c r="CJ91" s="19" t="n">
        <v>4</v>
      </c>
      <c r="CK91" s="19" t="n">
        <v>10</v>
      </c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Y91" s="15"/>
      <c r="DZ91" s="15"/>
      <c r="EG91" s="15"/>
      <c r="EH91" s="15"/>
      <c r="EO91" s="15"/>
      <c r="EP91" s="15"/>
      <c r="EW91" s="15"/>
      <c r="EX91" s="15"/>
      <c r="FE91" s="15"/>
      <c r="FF91" s="15"/>
      <c r="FM91" s="15"/>
      <c r="FN91" s="15"/>
      <c r="FU91" s="15"/>
      <c r="FV91" s="15"/>
      <c r="GC91" s="15"/>
      <c r="GD91" s="15"/>
      <c r="GK91" s="15"/>
      <c r="GL91" s="15"/>
      <c r="GS91" s="15"/>
      <c r="GT91" s="15"/>
      <c r="HA91" s="15"/>
      <c r="HB91" s="15"/>
      <c r="HI91" s="15"/>
      <c r="HJ91" s="15"/>
      <c r="HQ91" s="15"/>
      <c r="HR91" s="15"/>
      <c r="HY91" s="15"/>
      <c r="HZ91" s="15"/>
      <c r="IG91" s="15"/>
      <c r="IH91" s="15"/>
      <c r="IO91" s="15"/>
      <c r="IP91" s="15"/>
      <c r="IW91" s="15"/>
      <c r="IX91" s="15"/>
      <c r="JE91" s="15"/>
      <c r="JF91" s="15"/>
      <c r="JM91" s="15"/>
      <c r="JN91" s="15"/>
      <c r="JU91" s="15"/>
      <c r="JV91" s="15"/>
      <c r="KC91" s="15"/>
      <c r="KD91" s="15"/>
      <c r="KK91" s="15"/>
      <c r="KL91" s="15"/>
      <c r="KS91" s="15"/>
      <c r="KT91" s="15"/>
      <c r="LA91" s="15"/>
      <c r="LB91" s="15"/>
      <c r="LI91" s="15"/>
      <c r="LJ91" s="15"/>
      <c r="LQ91" s="15"/>
      <c r="LR91" s="15"/>
      <c r="LY91" s="15"/>
      <c r="LZ91" s="15"/>
      <c r="MG91" s="15"/>
      <c r="MH91" s="15"/>
      <c r="MO91" s="15"/>
      <c r="MP91" s="15"/>
      <c r="MW91" s="15"/>
      <c r="MX91" s="15"/>
      <c r="NE91" s="15"/>
      <c r="NF91" s="15"/>
      <c r="NM91" s="15"/>
      <c r="NN91" s="15"/>
      <c r="NU91" s="15"/>
      <c r="NV91" s="15"/>
      <c r="OC91" s="15"/>
      <c r="OD91" s="15"/>
      <c r="OK91" s="15"/>
      <c r="OL91" s="15"/>
      <c r="OS91" s="15"/>
      <c r="OT91" s="15"/>
      <c r="PA91" s="15"/>
      <c r="PB91" s="15"/>
      <c r="PI91" s="15"/>
      <c r="PJ91" s="15"/>
      <c r="PQ91" s="15"/>
      <c r="PR91" s="15"/>
      <c r="PY91" s="15"/>
      <c r="PZ91" s="15"/>
      <c r="QG91" s="15"/>
      <c r="QH91" s="15"/>
      <c r="QO91" s="15"/>
      <c r="QP91" s="15"/>
      <c r="QW91" s="15"/>
      <c r="QX91" s="15"/>
      <c r="RE91" s="15"/>
      <c r="RF91" s="15"/>
      <c r="RM91" s="15"/>
      <c r="RN91" s="15"/>
      <c r="RU91" s="15"/>
      <c r="RV91" s="15"/>
      <c r="SC91" s="15"/>
      <c r="SD91" s="15"/>
      <c r="SK91" s="15"/>
      <c r="SL91" s="15"/>
      <c r="SS91" s="15"/>
      <c r="ST91" s="15"/>
      <c r="TA91" s="15"/>
      <c r="TB91" s="15"/>
      <c r="TI91" s="15"/>
      <c r="TJ91" s="15"/>
      <c r="TQ91" s="15"/>
      <c r="TR91" s="15"/>
      <c r="TY91" s="15"/>
      <c r="TZ91" s="15"/>
      <c r="UG91" s="15"/>
      <c r="UH91" s="15"/>
      <c r="UO91" s="15"/>
      <c r="UP91" s="15"/>
      <c r="UW91" s="15"/>
      <c r="UX91" s="15"/>
      <c r="VE91" s="15"/>
      <c r="VF91" s="15"/>
      <c r="VM91" s="15"/>
      <c r="VN91" s="15"/>
      <c r="VU91" s="15"/>
      <c r="VV91" s="15"/>
      <c r="WC91" s="15"/>
      <c r="WD91" s="15"/>
      <c r="WK91" s="15"/>
      <c r="WL91" s="15"/>
      <c r="WS91" s="15"/>
      <c r="WT91" s="15"/>
      <c r="XA91" s="15"/>
      <c r="XB91" s="15"/>
      <c r="XI91" s="15"/>
      <c r="XJ91" s="15"/>
      <c r="XQ91" s="15"/>
      <c r="XR91" s="15"/>
      <c r="XY91" s="15"/>
      <c r="XZ91" s="15"/>
      <c r="YG91" s="15"/>
      <c r="YH91" s="15"/>
      <c r="YO91" s="15"/>
      <c r="YP91" s="15"/>
      <c r="YW91" s="15"/>
      <c r="YX91" s="15"/>
      <c r="ZE91" s="15"/>
      <c r="ZF91" s="15"/>
      <c r="ZM91" s="15"/>
      <c r="ZN91" s="15"/>
      <c r="ZU91" s="15"/>
      <c r="ZV91" s="15"/>
      <c r="AAC91" s="15"/>
      <c r="AAD91" s="15"/>
      <c r="AAK91" s="15"/>
      <c r="AAL91" s="15"/>
      <c r="AAS91" s="15"/>
      <c r="AAT91" s="15"/>
      <c r="ABA91" s="15"/>
      <c r="ABB91" s="15"/>
      <c r="ABI91" s="15"/>
      <c r="ABJ91" s="15"/>
      <c r="ABQ91" s="15"/>
      <c r="ABR91" s="15"/>
      <c r="ABY91" s="15"/>
      <c r="ABZ91" s="15"/>
      <c r="ACG91" s="15"/>
      <c r="ACH91" s="15"/>
      <c r="ACO91" s="15"/>
      <c r="ACP91" s="15"/>
      <c r="ACW91" s="15"/>
      <c r="ACX91" s="15"/>
      <c r="ADE91" s="15"/>
      <c r="ADF91" s="15"/>
      <c r="ADM91" s="15"/>
      <c r="ADN91" s="15"/>
      <c r="ADU91" s="15"/>
      <c r="ADV91" s="15"/>
      <c r="AEC91" s="15"/>
      <c r="AED91" s="15"/>
      <c r="AEK91" s="15"/>
      <c r="AEL91" s="15"/>
      <c r="AES91" s="15"/>
      <c r="AET91" s="15"/>
      <c r="AFA91" s="15"/>
      <c r="AFB91" s="15"/>
      <c r="AFI91" s="15"/>
      <c r="AFJ91" s="15"/>
      <c r="AFQ91" s="15"/>
      <c r="AFR91" s="15"/>
      <c r="AFY91" s="15"/>
      <c r="AFZ91" s="15"/>
      <c r="AGG91" s="15"/>
      <c r="AGH91" s="15"/>
      <c r="AGO91" s="15"/>
      <c r="AGP91" s="15"/>
      <c r="AGW91" s="15"/>
      <c r="AGX91" s="15"/>
      <c r="AHE91" s="15"/>
      <c r="AHF91" s="15"/>
      <c r="AHM91" s="15"/>
      <c r="AHN91" s="15"/>
      <c r="AHU91" s="15"/>
      <c r="AHV91" s="15"/>
      <c r="AIC91" s="15"/>
      <c r="AID91" s="15"/>
      <c r="AIK91" s="15"/>
      <c r="AIL91" s="15"/>
      <c r="AIS91" s="15"/>
      <c r="AIT91" s="15"/>
      <c r="AJA91" s="15"/>
      <c r="AJB91" s="15"/>
      <c r="AJI91" s="15"/>
      <c r="AJJ91" s="15"/>
      <c r="AJQ91" s="15"/>
      <c r="AJR91" s="15"/>
      <c r="AJY91" s="15"/>
      <c r="AJZ91" s="15"/>
      <c r="AKG91" s="15"/>
      <c r="AKH91" s="15"/>
      <c r="AKO91" s="15"/>
      <c r="AKP91" s="15"/>
      <c r="AKW91" s="15"/>
      <c r="AKX91" s="15"/>
      <c r="ALE91" s="15"/>
      <c r="ALF91" s="15"/>
      <c r="ALM91" s="15"/>
      <c r="ALN91" s="15"/>
      <c r="ALU91" s="15"/>
      <c r="ALV91" s="15"/>
      <c r="AMC91" s="15"/>
      <c r="AMD91" s="15"/>
    </row>
    <row r="92" customFormat="false" ht="13.8" hidden="false" customHeight="false" outlineLevel="0" collapsed="false">
      <c r="A92" s="1" t="s">
        <v>475</v>
      </c>
      <c r="B92" s="12" t="n">
        <v>42901</v>
      </c>
      <c r="C92" s="0" t="n">
        <v>2</v>
      </c>
      <c r="D92" s="13" t="n">
        <v>42793</v>
      </c>
      <c r="E92" s="12" t="n">
        <v>34393</v>
      </c>
      <c r="F92" s="14" t="n">
        <f aca="false">(B92-E92)/365.25</f>
        <v>23.2936344969199</v>
      </c>
      <c r="G92" s="14" t="n">
        <f aca="false">(B92-D92)/365.25</f>
        <v>0.295687885010267</v>
      </c>
      <c r="H92" s="15" t="s">
        <v>217</v>
      </c>
      <c r="I92" s="15" t="s">
        <v>272</v>
      </c>
      <c r="J92" s="15" t="s">
        <v>181</v>
      </c>
      <c r="K92" s="21" t="n">
        <v>8</v>
      </c>
      <c r="L92" s="19" t="n">
        <v>70</v>
      </c>
      <c r="M92" s="0" t="n">
        <v>1.83</v>
      </c>
      <c r="N92" s="16" t="n">
        <f aca="false">L92/(M92*M92)</f>
        <v>20.9023858580429</v>
      </c>
      <c r="O92" s="19" t="n">
        <v>0</v>
      </c>
      <c r="P92" s="19" t="n">
        <v>0</v>
      </c>
      <c r="Q92" s="19" t="n">
        <v>0</v>
      </c>
      <c r="R92" s="19" t="n">
        <v>0</v>
      </c>
      <c r="S92" s="19" t="n">
        <v>0</v>
      </c>
      <c r="T92" s="19" t="n">
        <v>0</v>
      </c>
      <c r="U92" s="19" t="n">
        <v>0</v>
      </c>
      <c r="V92" s="19" t="n">
        <v>0</v>
      </c>
      <c r="W92" s="19" t="n">
        <v>0</v>
      </c>
      <c r="X92" s="19" t="n">
        <v>0</v>
      </c>
      <c r="Y92" s="19" t="n">
        <v>1</v>
      </c>
      <c r="Z92" s="19" t="n">
        <v>1</v>
      </c>
      <c r="AA92" s="19"/>
      <c r="AB92" s="19" t="s">
        <v>368</v>
      </c>
      <c r="AC92" s="19" t="n">
        <v>1</v>
      </c>
      <c r="AD92" s="19" t="n">
        <v>5</v>
      </c>
      <c r="AE92" s="19" t="n">
        <v>0</v>
      </c>
      <c r="AF92" s="19" t="n">
        <v>0</v>
      </c>
      <c r="AG92" s="19" t="n">
        <v>0</v>
      </c>
      <c r="AH92" s="19" t="n">
        <v>0</v>
      </c>
      <c r="AI92" s="19" t="n">
        <v>0</v>
      </c>
      <c r="AJ92" s="19" t="n">
        <v>0</v>
      </c>
      <c r="AK92" s="19" t="n">
        <v>0</v>
      </c>
      <c r="AL92" s="19" t="n">
        <v>0</v>
      </c>
      <c r="AM92" s="19" t="n">
        <v>0</v>
      </c>
      <c r="AN92" s="19" t="n">
        <v>0</v>
      </c>
      <c r="AO92" s="19" t="n">
        <v>0</v>
      </c>
      <c r="AP92" s="19" t="n">
        <v>0</v>
      </c>
      <c r="AQ92" s="19" t="n">
        <v>0</v>
      </c>
      <c r="AR92" s="19" t="n">
        <v>0</v>
      </c>
      <c r="AS92" s="19" t="n">
        <v>0</v>
      </c>
      <c r="AT92" s="19" t="n">
        <v>0</v>
      </c>
      <c r="AU92" s="19" t="n">
        <v>0</v>
      </c>
      <c r="AV92" s="19" t="n">
        <v>0</v>
      </c>
      <c r="AW92" s="19" t="n">
        <v>0</v>
      </c>
      <c r="AX92" s="19" t="n">
        <v>0</v>
      </c>
      <c r="AY92" s="19" t="n">
        <v>0</v>
      </c>
      <c r="AZ92" s="19" t="n">
        <v>0</v>
      </c>
      <c r="BA92" s="19" t="n">
        <v>0</v>
      </c>
      <c r="BB92" s="19" t="n">
        <v>0</v>
      </c>
      <c r="BC92" s="19" t="n">
        <v>0</v>
      </c>
      <c r="BD92" s="19" t="n">
        <v>0</v>
      </c>
      <c r="BE92" s="19" t="n">
        <v>0</v>
      </c>
      <c r="BF92" s="19" t="n">
        <v>0</v>
      </c>
      <c r="BG92" s="19" t="n">
        <v>0</v>
      </c>
      <c r="BH92" s="19" t="n">
        <v>0</v>
      </c>
      <c r="BI92" s="19" t="n">
        <v>0</v>
      </c>
      <c r="BJ92" s="19" t="n">
        <v>0</v>
      </c>
      <c r="BK92" s="19" t="n">
        <v>0</v>
      </c>
      <c r="BL92" s="19" t="n">
        <v>0</v>
      </c>
      <c r="BM92" s="19" t="n">
        <v>0</v>
      </c>
      <c r="BN92" s="19" t="n">
        <v>0</v>
      </c>
      <c r="BO92" s="19" t="n">
        <v>0</v>
      </c>
      <c r="BP92" s="19" t="n">
        <v>0</v>
      </c>
      <c r="BQ92" s="19" t="n">
        <v>0</v>
      </c>
      <c r="BR92" s="19" t="n">
        <v>2</v>
      </c>
      <c r="BS92" s="19" t="n">
        <v>2</v>
      </c>
      <c r="BT92" s="19" t="n">
        <v>3</v>
      </c>
      <c r="BU92" s="19" t="n">
        <v>5</v>
      </c>
      <c r="BV92" s="19" t="n">
        <v>1</v>
      </c>
      <c r="BW92" s="19" t="n">
        <v>2</v>
      </c>
      <c r="BX92" s="19" t="n">
        <v>3</v>
      </c>
      <c r="BY92" s="19" t="n">
        <v>2</v>
      </c>
      <c r="BZ92" s="19" t="n">
        <v>1</v>
      </c>
      <c r="CA92" s="19" t="n">
        <v>4</v>
      </c>
      <c r="CB92" s="19" t="n">
        <v>4</v>
      </c>
      <c r="CC92" s="19" t="n">
        <v>5</v>
      </c>
      <c r="CD92" s="19" t="n">
        <v>1</v>
      </c>
      <c r="CE92" s="19" t="n">
        <v>3</v>
      </c>
      <c r="CF92" s="19" t="n">
        <v>2</v>
      </c>
      <c r="CG92" s="19" t="n">
        <v>5</v>
      </c>
      <c r="CH92" s="19" t="n">
        <v>2</v>
      </c>
      <c r="CI92" s="19" t="n">
        <v>2</v>
      </c>
      <c r="CJ92" s="19" t="n">
        <v>4</v>
      </c>
      <c r="CK92" s="19" t="n">
        <v>7</v>
      </c>
      <c r="CL92" s="0" t="s">
        <v>274</v>
      </c>
      <c r="CM92" s="0" t="n">
        <v>19.5</v>
      </c>
      <c r="CN92" s="16" t="n">
        <v>74.3</v>
      </c>
      <c r="CO92" s="16" t="n">
        <v>80.4</v>
      </c>
      <c r="CP92" s="16" t="n">
        <v>7.8</v>
      </c>
      <c r="CQ92" s="0" t="n">
        <v>89.52</v>
      </c>
      <c r="CR92" s="0" t="n">
        <v>8.69</v>
      </c>
      <c r="CS92" s="0" t="n">
        <v>1.79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18.73</v>
      </c>
      <c r="DD92" s="0" t="n">
        <v>9.35</v>
      </c>
      <c r="DE92" s="0" t="n">
        <v>0</v>
      </c>
      <c r="DF92" s="0" t="n">
        <v>0</v>
      </c>
      <c r="DG92" s="0" t="n">
        <v>0</v>
      </c>
      <c r="DU92" s="0" t="n">
        <v>3.92</v>
      </c>
      <c r="DV92" s="0" t="n">
        <v>1</v>
      </c>
      <c r="DW92" s="0" t="n">
        <v>52</v>
      </c>
      <c r="DX92" s="0" t="n">
        <v>4</v>
      </c>
      <c r="DY92" s="0" t="n">
        <f aca="false">1.01*2+0.56+0.9</f>
        <v>3.48</v>
      </c>
      <c r="DZ92" s="0" t="n">
        <v>2</v>
      </c>
      <c r="EG92" s="18"/>
      <c r="EY92" s="0" t="n">
        <v>1</v>
      </c>
      <c r="EZ92" s="0" t="n">
        <v>50</v>
      </c>
      <c r="FA92" s="0" t="n">
        <v>1</v>
      </c>
      <c r="FB92" s="0" t="n">
        <v>1.9</v>
      </c>
      <c r="FC92" s="0" t="n">
        <v>3</v>
      </c>
      <c r="GJ92" s="16" t="n">
        <v>2.24</v>
      </c>
      <c r="GK92" s="16" t="n">
        <v>1</v>
      </c>
      <c r="GL92" s="16" t="n">
        <v>2</v>
      </c>
      <c r="GM92" s="16"/>
      <c r="GN92" s="16" t="n">
        <f aca="false">1.87*2</f>
        <v>3.74</v>
      </c>
      <c r="GO92" s="16"/>
      <c r="GP92" s="16"/>
      <c r="GQ92" s="16"/>
      <c r="GR92" s="16"/>
      <c r="GS92" s="16"/>
      <c r="GT92" s="16"/>
      <c r="GU92" s="16" t="n">
        <v>5.49</v>
      </c>
      <c r="GV92" s="16" t="n">
        <f aca="false">1.01*2+0.56+1.87*2+0.9</f>
        <v>7.22</v>
      </c>
      <c r="GW92" s="16"/>
      <c r="GX92" s="16"/>
      <c r="GY92" s="16" t="n">
        <v>0</v>
      </c>
      <c r="GZ92" s="16" t="n">
        <v>0</v>
      </c>
      <c r="HA92" s="16" t="n">
        <v>0</v>
      </c>
      <c r="HB92" s="0" t="n">
        <v>0</v>
      </c>
      <c r="HC92" s="0" t="s">
        <v>275</v>
      </c>
      <c r="HD92" s="0" t="n">
        <v>19.5</v>
      </c>
      <c r="HE92" s="16" t="n">
        <v>74.6</v>
      </c>
      <c r="HF92" s="16" t="n">
        <v>80.4</v>
      </c>
      <c r="HG92" s="16" t="n">
        <v>7.8</v>
      </c>
      <c r="HH92" s="0" t="n">
        <v>89.29</v>
      </c>
      <c r="HI92" s="0" t="n">
        <v>8.92</v>
      </c>
      <c r="HJ92" s="0" t="n">
        <v>1.79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18.95</v>
      </c>
      <c r="HU92" s="0" t="n">
        <v>9.35</v>
      </c>
      <c r="HV92" s="0" t="n">
        <v>0</v>
      </c>
      <c r="HW92" s="0" t="n">
        <v>0</v>
      </c>
      <c r="HX92" s="0" t="n">
        <v>0</v>
      </c>
      <c r="IL92" s="0" t="n">
        <v>3.9</v>
      </c>
      <c r="IM92" s="0" t="n">
        <v>1</v>
      </c>
      <c r="IN92" s="0" t="n">
        <v>52</v>
      </c>
      <c r="IO92" s="0" t="n">
        <v>4</v>
      </c>
      <c r="IP92" s="0" t="n">
        <f aca="false">1.01*2+0.56+0.9</f>
        <v>3.48</v>
      </c>
      <c r="IQ92" s="0" t="n">
        <v>3</v>
      </c>
      <c r="IX92" s="18"/>
      <c r="JP92" s="0" t="n">
        <v>1</v>
      </c>
      <c r="JQ92" s="0" t="n">
        <v>50</v>
      </c>
      <c r="JR92" s="0" t="n">
        <v>1</v>
      </c>
      <c r="JS92" s="0" t="n">
        <v>1.9</v>
      </c>
      <c r="JT92" s="0" t="n">
        <v>3</v>
      </c>
      <c r="LA92" s="16" t="n">
        <v>2.24</v>
      </c>
      <c r="LB92" s="16" t="n">
        <v>1</v>
      </c>
      <c r="LC92" s="16" t="n">
        <v>2</v>
      </c>
      <c r="LD92" s="16"/>
      <c r="LE92" s="16" t="n">
        <f aca="false">1.87*2</f>
        <v>3.74</v>
      </c>
      <c r="LF92" s="16"/>
      <c r="LG92" s="16"/>
      <c r="LH92" s="16"/>
      <c r="LI92" s="16"/>
      <c r="LJ92" s="16"/>
      <c r="LK92" s="16"/>
      <c r="LL92" s="16" t="n">
        <v>6.49</v>
      </c>
      <c r="LM92" s="16" t="n">
        <f aca="false">1.01*2+0.56+1.87*2+0.9</f>
        <v>7.22</v>
      </c>
      <c r="LN92" s="16"/>
      <c r="LO92" s="16"/>
      <c r="LP92" s="16" t="n">
        <v>0</v>
      </c>
      <c r="LQ92" s="16" t="n">
        <v>0</v>
      </c>
      <c r="LR92" s="16" t="n">
        <v>0</v>
      </c>
      <c r="LS92" s="0" t="n">
        <v>0</v>
      </c>
      <c r="LT92" s="0" t="s">
        <v>276</v>
      </c>
      <c r="LU92" s="0" t="n">
        <v>22.5</v>
      </c>
      <c r="LV92" s="16" t="n">
        <v>73.4</v>
      </c>
      <c r="LW92" s="16" t="n">
        <v>80.4</v>
      </c>
      <c r="LX92" s="16" t="n">
        <v>10.4</v>
      </c>
      <c r="LY92" s="0" t="n">
        <v>88.12</v>
      </c>
      <c r="LZ92" s="0" t="n">
        <v>6.29</v>
      </c>
      <c r="MA92" s="0" t="n">
        <v>4.25</v>
      </c>
      <c r="MB92" s="0" t="n">
        <v>0</v>
      </c>
      <c r="MC92" s="0" t="n">
        <v>1.34</v>
      </c>
      <c r="MD92" s="0" t="n">
        <v>0</v>
      </c>
      <c r="ME92" s="0" t="n">
        <v>0</v>
      </c>
      <c r="MF92" s="0" t="n">
        <v>0</v>
      </c>
      <c r="MG92" s="0" t="n">
        <v>0</v>
      </c>
      <c r="MH92" s="0" t="n">
        <v>0</v>
      </c>
      <c r="MI92" s="0" t="n">
        <v>0</v>
      </c>
      <c r="MJ92" s="0" t="n">
        <v>0</v>
      </c>
      <c r="MK92" s="0" t="n">
        <v>2.46</v>
      </c>
      <c r="ML92" s="0" t="n">
        <v>13.2</v>
      </c>
      <c r="MM92" s="0" t="n">
        <v>0</v>
      </c>
      <c r="MN92" s="0" t="n">
        <v>0</v>
      </c>
      <c r="MO92" s="0" t="n">
        <v>0</v>
      </c>
      <c r="NC92" s="0" t="n">
        <v>0</v>
      </c>
      <c r="NO92" s="18"/>
      <c r="PR92" s="16" t="n">
        <v>2.24</v>
      </c>
      <c r="PS92" s="16" t="n">
        <v>1</v>
      </c>
      <c r="PT92" s="16" t="n">
        <v>2</v>
      </c>
      <c r="PU92" s="16" t="n">
        <v>3.73</v>
      </c>
      <c r="PV92" s="16"/>
      <c r="PW92" s="16"/>
      <c r="PX92" s="16"/>
      <c r="PY92" s="16"/>
      <c r="PZ92" s="16"/>
      <c r="QA92" s="16"/>
      <c r="QB92" s="16"/>
      <c r="QC92" s="16" t="n">
        <v>9.68</v>
      </c>
      <c r="QD92" s="16" t="n">
        <f aca="false">2.01+1.34+2.69+3.73+0.81</f>
        <v>10.58</v>
      </c>
      <c r="QE92" s="16"/>
      <c r="QF92" s="16"/>
      <c r="QG92" s="16" t="n">
        <v>0</v>
      </c>
      <c r="QH92" s="16" t="n">
        <v>0</v>
      </c>
      <c r="QI92" s="16" t="n">
        <v>0.16</v>
      </c>
      <c r="QJ92" s="0" t="n">
        <v>0</v>
      </c>
      <c r="QK92" s="0" t="s">
        <v>277</v>
      </c>
      <c r="QL92" s="0" t="n">
        <v>29.5</v>
      </c>
      <c r="QM92" s="16" t="n">
        <v>53.8</v>
      </c>
      <c r="QN92" s="16" t="n">
        <v>80.4</v>
      </c>
      <c r="QO92" s="16" t="n">
        <v>12.1</v>
      </c>
      <c r="QP92" s="0" t="n">
        <v>86.6</v>
      </c>
      <c r="QQ92" s="0" t="n">
        <v>8.48</v>
      </c>
      <c r="QR92" s="0" t="n">
        <v>4.93</v>
      </c>
      <c r="QS92" s="0" t="n">
        <v>0</v>
      </c>
      <c r="QT92" s="0" t="n">
        <v>0</v>
      </c>
      <c r="QU92" s="0" t="n">
        <v>0</v>
      </c>
      <c r="QV92" s="0" t="n">
        <v>0</v>
      </c>
      <c r="QW92" s="0" t="n">
        <v>0</v>
      </c>
      <c r="QX92" s="0" t="n">
        <v>0</v>
      </c>
      <c r="QY92" s="0" t="n">
        <v>0</v>
      </c>
      <c r="QZ92" s="0" t="n">
        <v>0</v>
      </c>
      <c r="RA92" s="0" t="n">
        <v>0</v>
      </c>
      <c r="RB92" s="0" t="n">
        <v>2.02</v>
      </c>
      <c r="RC92" s="0" t="n">
        <v>19.56</v>
      </c>
      <c r="RD92" s="0" t="n">
        <v>0.25</v>
      </c>
      <c r="RE92" s="0" t="n">
        <v>0</v>
      </c>
      <c r="RF92" s="0" t="n">
        <v>0</v>
      </c>
      <c r="RG92" s="0" t="n">
        <v>0</v>
      </c>
      <c r="RH92" s="0" t="n">
        <v>0</v>
      </c>
      <c r="RN92" s="0" t="n">
        <v>0</v>
      </c>
      <c r="RT92" s="0" t="n">
        <v>0</v>
      </c>
      <c r="RU92" s="0" t="n">
        <v>0</v>
      </c>
      <c r="SF92" s="18"/>
      <c r="SX92" s="0" t="n">
        <v>0</v>
      </c>
      <c r="UI92" s="16" t="n">
        <v>6.72</v>
      </c>
      <c r="UJ92" s="16" t="n">
        <v>1</v>
      </c>
      <c r="UK92" s="16" t="n">
        <v>2</v>
      </c>
      <c r="UL92" s="16"/>
      <c r="UM92" s="16" t="n">
        <f aca="false">3.73*3</f>
        <v>11.19</v>
      </c>
      <c r="UN92" s="16"/>
      <c r="UO92" s="16"/>
      <c r="UP92" s="16"/>
      <c r="UQ92" s="16"/>
      <c r="UR92" s="16"/>
      <c r="US92" s="16"/>
      <c r="UT92" s="16" t="n">
        <v>10.6</v>
      </c>
      <c r="UU92" s="16" t="n">
        <v>12.44</v>
      </c>
      <c r="UV92" s="16"/>
      <c r="UW92" s="16"/>
      <c r="UX92" s="16" t="n">
        <v>0</v>
      </c>
      <c r="UY92" s="16" t="n">
        <v>0</v>
      </c>
      <c r="UZ92" s="16" t="n">
        <v>0</v>
      </c>
      <c r="VA92" s="0" t="n">
        <v>0</v>
      </c>
      <c r="VB92" s="0" t="s">
        <v>278</v>
      </c>
      <c r="VC92" s="0" t="n">
        <v>51.5</v>
      </c>
      <c r="VD92" s="16" t="n">
        <v>63.4</v>
      </c>
      <c r="VE92" s="16" t="n">
        <v>80.4</v>
      </c>
      <c r="VF92" s="16" t="n">
        <v>18.1</v>
      </c>
      <c r="VG92" s="0" t="n">
        <v>83.5</v>
      </c>
      <c r="VH92" s="0" t="n">
        <v>5.36</v>
      </c>
      <c r="VI92" s="0" t="n">
        <v>8.46</v>
      </c>
      <c r="VJ92" s="0" t="n">
        <v>0</v>
      </c>
      <c r="VK92" s="0" t="n">
        <v>2.69</v>
      </c>
      <c r="VL92" s="0" t="n">
        <v>0</v>
      </c>
      <c r="VM92" s="0" t="n">
        <v>0</v>
      </c>
      <c r="VN92" s="0" t="n">
        <v>0</v>
      </c>
      <c r="VO92" s="0" t="n">
        <v>0</v>
      </c>
      <c r="VP92" s="0" t="n">
        <v>0</v>
      </c>
      <c r="VQ92" s="0" t="n">
        <v>0</v>
      </c>
      <c r="VR92" s="0" t="n">
        <v>0</v>
      </c>
      <c r="VS92" s="0" t="n">
        <v>0.99</v>
      </c>
      <c r="VT92" s="0" t="n">
        <v>13.55</v>
      </c>
      <c r="VU92" s="0" t="n">
        <v>16.2</v>
      </c>
      <c r="VV92" s="0" t="n">
        <v>0</v>
      </c>
      <c r="VW92" s="0" t="n">
        <v>0</v>
      </c>
      <c r="VX92" s="0" t="n">
        <v>0</v>
      </c>
      <c r="WK92" s="0" t="n">
        <v>18.4</v>
      </c>
      <c r="WL92" s="0" t="n">
        <v>1</v>
      </c>
      <c r="WM92" s="0" t="n">
        <v>47</v>
      </c>
      <c r="WN92" s="0" t="n">
        <v>1</v>
      </c>
      <c r="WO92" s="0" t="n">
        <v>0.9</v>
      </c>
      <c r="WP92" s="0" t="n">
        <v>3</v>
      </c>
      <c r="WQ92" s="0" t="n">
        <v>35</v>
      </c>
      <c r="WR92" s="0" t="n">
        <v>3</v>
      </c>
      <c r="WS92" s="0" t="n">
        <f aca="false">0.94</f>
        <v>0.94</v>
      </c>
      <c r="WT92" s="0" t="n">
        <v>3</v>
      </c>
      <c r="WU92" s="0" t="n">
        <v>68</v>
      </c>
      <c r="WV92" s="0" t="n">
        <v>1</v>
      </c>
      <c r="WW92" s="18" t="n">
        <v>6.22</v>
      </c>
      <c r="WX92" s="0" t="n">
        <v>1</v>
      </c>
      <c r="XO92" s="0" t="n">
        <v>0</v>
      </c>
      <c r="YZ92" s="16" t="n">
        <v>3.75</v>
      </c>
      <c r="ZA92" s="16" t="n">
        <v>1</v>
      </c>
      <c r="ZB92" s="16" t="n">
        <v>1</v>
      </c>
      <c r="ZC92" s="16"/>
      <c r="ZD92" s="16" t="n">
        <f aca="false">2.49+0.05+0.03</f>
        <v>2.57</v>
      </c>
      <c r="ZE92" s="16" t="n">
        <v>2</v>
      </c>
      <c r="ZF92" s="16"/>
      <c r="ZG92" s="16" t="n">
        <v>2.49</v>
      </c>
      <c r="ZH92" s="16"/>
      <c r="ZI92" s="16"/>
      <c r="ZJ92" s="16"/>
      <c r="ZK92" s="16" t="n">
        <v>11.1</v>
      </c>
      <c r="ZL92" s="16" t="n">
        <v>18.47</v>
      </c>
      <c r="ZM92" s="16"/>
      <c r="ZN92" s="16"/>
      <c r="ZO92" s="16" t="n">
        <v>0</v>
      </c>
      <c r="ZP92" s="16" t="n">
        <v>0</v>
      </c>
      <c r="ZQ92" s="16" t="n">
        <v>0</v>
      </c>
      <c r="ZR92" s="0" t="n">
        <v>0</v>
      </c>
      <c r="ZS92" s="0" t="s">
        <v>279</v>
      </c>
      <c r="ZT92" s="0" t="n">
        <v>33.5</v>
      </c>
      <c r="ZU92" s="16" t="n">
        <v>54</v>
      </c>
      <c r="ZV92" s="16" t="n">
        <v>80.4</v>
      </c>
      <c r="ZW92" s="16" t="n">
        <v>9.6</v>
      </c>
      <c r="ZX92" s="0" t="n">
        <v>86.69</v>
      </c>
      <c r="ZY92" s="0" t="n">
        <v>8.34</v>
      </c>
      <c r="ZZ92" s="0" t="n">
        <v>4.97</v>
      </c>
      <c r="AAA92" s="0" t="n">
        <v>0</v>
      </c>
      <c r="AAB92" s="0" t="n">
        <v>0</v>
      </c>
      <c r="AAC92" s="0" t="n">
        <v>0</v>
      </c>
      <c r="AAD92" s="0" t="n">
        <v>0</v>
      </c>
      <c r="AAE92" s="0" t="n">
        <v>0</v>
      </c>
      <c r="AAF92" s="0" t="n">
        <v>0</v>
      </c>
      <c r="AAG92" s="0" t="n">
        <v>0</v>
      </c>
      <c r="AAH92" s="0" t="n">
        <v>0</v>
      </c>
      <c r="AAI92" s="0" t="n">
        <v>0</v>
      </c>
      <c r="AAJ92" s="0" t="n">
        <v>12.83</v>
      </c>
      <c r="AAK92" s="0" t="n">
        <v>6.09</v>
      </c>
      <c r="AAL92" s="0" t="n">
        <v>0</v>
      </c>
      <c r="AAM92" s="0" t="n">
        <v>0</v>
      </c>
      <c r="AAN92" s="0" t="n">
        <v>0</v>
      </c>
      <c r="AAO92" s="0" t="n">
        <v>0</v>
      </c>
      <c r="ABB92" s="0" t="n">
        <v>11.3</v>
      </c>
      <c r="ABC92" s="0" t="n">
        <v>1</v>
      </c>
      <c r="ABD92" s="0" t="n">
        <v>47</v>
      </c>
      <c r="ABE92" s="0" t="n">
        <v>1</v>
      </c>
      <c r="ABF92" s="0" t="n">
        <v>0.9</v>
      </c>
      <c r="ABG92" s="0" t="n">
        <v>3</v>
      </c>
      <c r="ABH92" s="0" t="n">
        <v>35</v>
      </c>
      <c r="ABI92" s="0" t="n">
        <v>2</v>
      </c>
      <c r="ABJ92" s="0" t="n">
        <v>0.92</v>
      </c>
      <c r="ABK92" s="0" t="n">
        <v>3</v>
      </c>
      <c r="ABN92" s="18"/>
      <c r="ACF92" s="0" t="n">
        <v>0</v>
      </c>
      <c r="ADQ92" s="16" t="n">
        <v>3.75</v>
      </c>
      <c r="ADR92" s="16" t="n">
        <v>1</v>
      </c>
      <c r="ADS92" s="16" t="n">
        <v>1</v>
      </c>
      <c r="ADT92" s="16"/>
      <c r="ADU92" s="16" t="n">
        <f aca="false">2.49+0.05+0.03</f>
        <v>2.57</v>
      </c>
      <c r="ADV92" s="16" t="n">
        <v>2</v>
      </c>
      <c r="ADW92" s="16"/>
      <c r="ADX92" s="16" t="n">
        <v>2.49</v>
      </c>
      <c r="ADY92" s="16"/>
      <c r="ADZ92" s="16"/>
      <c r="AEA92" s="16"/>
      <c r="AEB92" s="16" t="n">
        <v>8.81</v>
      </c>
      <c r="AEC92" s="16" t="n">
        <v>6.01</v>
      </c>
      <c r="AED92" s="16"/>
      <c r="AEE92" s="16"/>
      <c r="AEF92" s="16" t="n">
        <v>0</v>
      </c>
      <c r="AEG92" s="16" t="n">
        <v>0</v>
      </c>
      <c r="AEH92" s="16" t="n">
        <v>0</v>
      </c>
      <c r="AEI92" s="0" t="n">
        <v>0</v>
      </c>
      <c r="AEJ92" s="0" t="s">
        <v>280</v>
      </c>
      <c r="AEK92" s="0" t="n">
        <v>79</v>
      </c>
      <c r="AEL92" s="16" t="n">
        <v>63.9</v>
      </c>
      <c r="AEM92" s="16" t="n">
        <v>80.4</v>
      </c>
      <c r="AEN92" s="16" t="n">
        <v>11.2</v>
      </c>
      <c r="AEO92" s="0" t="n">
        <v>77.43</v>
      </c>
      <c r="AEP92" s="0" t="n">
        <v>22.57</v>
      </c>
      <c r="AEQ92" s="0" t="n">
        <v>0</v>
      </c>
      <c r="AER92" s="0" t="n">
        <v>0</v>
      </c>
      <c r="AES92" s="0" t="n">
        <v>0</v>
      </c>
      <c r="AET92" s="0" t="n">
        <v>0</v>
      </c>
      <c r="AEU92" s="0" t="n">
        <v>0</v>
      </c>
      <c r="AEV92" s="0" t="n">
        <v>0</v>
      </c>
      <c r="AEW92" s="0" t="n">
        <v>0</v>
      </c>
      <c r="AEX92" s="0" t="n">
        <v>0</v>
      </c>
      <c r="AEY92" s="0" t="n">
        <v>0</v>
      </c>
      <c r="AEZ92" s="0" t="n">
        <v>0</v>
      </c>
      <c r="AFA92" s="0" t="n">
        <v>0</v>
      </c>
      <c r="AFB92" s="0" t="n">
        <v>45.87</v>
      </c>
      <c r="AFC92" s="0" t="n">
        <v>0</v>
      </c>
      <c r="AFD92" s="0" t="n">
        <v>0</v>
      </c>
      <c r="AFE92" s="0" t="n">
        <v>0</v>
      </c>
      <c r="AFF92" s="0" t="n">
        <v>0</v>
      </c>
      <c r="AFS92" s="0" t="n">
        <v>56.3</v>
      </c>
      <c r="AFT92" s="0" t="n">
        <v>1</v>
      </c>
      <c r="AFU92" s="0" t="n">
        <v>47</v>
      </c>
      <c r="AFV92" s="0" t="n">
        <v>18</v>
      </c>
      <c r="AFW92" s="0" t="n">
        <f aca="false">13.43+9.14</f>
        <v>22.57</v>
      </c>
      <c r="AFX92" s="0" t="n">
        <v>3</v>
      </c>
      <c r="AGE92" s="18"/>
      <c r="AGW92" s="0" t="n">
        <v>0</v>
      </c>
      <c r="AIH92" s="16" t="n">
        <v>0</v>
      </c>
      <c r="AII92" s="16" t="n">
        <v>0</v>
      </c>
      <c r="AIJ92" s="16"/>
      <c r="AIK92" s="16"/>
      <c r="AIL92" s="16"/>
      <c r="AIM92" s="16"/>
      <c r="AIN92" s="16"/>
      <c r="AIO92" s="16"/>
      <c r="AIP92" s="16"/>
      <c r="AIQ92" s="16"/>
      <c r="AIR92" s="16"/>
      <c r="AIS92" s="16" t="n">
        <v>11.54</v>
      </c>
      <c r="AIT92" s="16" t="n">
        <v>22.57</v>
      </c>
      <c r="AIU92" s="16"/>
      <c r="AIV92" s="16"/>
      <c r="AIW92" s="16" t="n">
        <v>0</v>
      </c>
      <c r="AIX92" s="16" t="n">
        <v>0</v>
      </c>
      <c r="AIY92" s="16" t="n">
        <v>0</v>
      </c>
      <c r="AIZ92" s="0" t="n">
        <v>0</v>
      </c>
      <c r="AJA92" s="0" t="s">
        <v>281</v>
      </c>
      <c r="AJB92" s="0" t="n">
        <v>42.5</v>
      </c>
      <c r="AJC92" s="16" t="n">
        <v>76.4</v>
      </c>
      <c r="AJD92" s="16" t="n">
        <v>80.4</v>
      </c>
      <c r="AJE92" s="16" t="n">
        <v>15.3</v>
      </c>
      <c r="AJF92" s="0" t="n">
        <v>73.6</v>
      </c>
      <c r="AJG92" s="0" t="n">
        <v>20.42</v>
      </c>
      <c r="AJH92" s="0" t="n">
        <v>3.69</v>
      </c>
      <c r="AJI92" s="0" t="n">
        <v>0</v>
      </c>
      <c r="AJJ92" s="0" t="n">
        <v>2.28</v>
      </c>
      <c r="AJK92" s="0" t="n">
        <v>0</v>
      </c>
      <c r="AJL92" s="0" t="n">
        <v>0</v>
      </c>
      <c r="AJM92" s="0" t="n">
        <v>0</v>
      </c>
      <c r="AJN92" s="0" t="n">
        <v>0</v>
      </c>
      <c r="AJO92" s="0" t="n">
        <v>0</v>
      </c>
      <c r="AJP92" s="0" t="n">
        <v>0</v>
      </c>
      <c r="AJQ92" s="0" t="n">
        <v>0</v>
      </c>
      <c r="AJR92" s="0" t="n">
        <v>0</v>
      </c>
      <c r="AJS92" s="0" t="n">
        <v>35.36</v>
      </c>
      <c r="AJT92" s="0" t="n">
        <v>16.37</v>
      </c>
      <c r="AJU92" s="0" t="n">
        <v>0</v>
      </c>
      <c r="AJV92" s="0" t="n">
        <v>4.4</v>
      </c>
      <c r="AJW92" s="0" t="n">
        <v>2</v>
      </c>
      <c r="AJX92" s="0" t="n">
        <v>10</v>
      </c>
      <c r="AJY92" s="0" t="n">
        <v>0.9</v>
      </c>
      <c r="AKD92" s="0" t="n">
        <v>10</v>
      </c>
      <c r="AKE92" s="0" t="n">
        <v>0.9</v>
      </c>
      <c r="AKJ92" s="0" t="n">
        <v>9.7</v>
      </c>
      <c r="AKK92" s="0" t="n">
        <v>1</v>
      </c>
      <c r="AKL92" s="0" t="n">
        <v>68</v>
      </c>
      <c r="AKM92" s="0" t="n">
        <v>2</v>
      </c>
      <c r="AKN92" s="0" t="n">
        <f aca="false">3.34+5.29</f>
        <v>8.63</v>
      </c>
      <c r="AKO92" s="0" t="n">
        <v>1</v>
      </c>
      <c r="AKP92" s="0" t="n">
        <v>34</v>
      </c>
      <c r="AKQ92" s="0" t="n">
        <v>86</v>
      </c>
      <c r="AKR92" s="0" t="n">
        <f aca="false">0.8+0.6</f>
        <v>1.4</v>
      </c>
      <c r="AKS92" s="0" t="n">
        <v>1</v>
      </c>
      <c r="AKT92" s="0" t="n">
        <v>47</v>
      </c>
      <c r="AKU92" s="0" t="n">
        <v>1</v>
      </c>
      <c r="AKV92" s="18" t="n">
        <v>1.52</v>
      </c>
      <c r="AKW92" s="0" t="n">
        <v>3</v>
      </c>
      <c r="ALN92" s="0" t="n">
        <v>0</v>
      </c>
    </row>
    <row r="93" customFormat="false" ht="13.8" hidden="false" customHeight="false" outlineLevel="0" collapsed="false">
      <c r="A93" s="1" t="s">
        <v>476</v>
      </c>
      <c r="B93" s="12" t="n">
        <v>42894</v>
      </c>
      <c r="C93" s="0" t="n">
        <v>2</v>
      </c>
      <c r="D93" s="13" t="n">
        <v>42801</v>
      </c>
      <c r="E93" s="12" t="n">
        <v>36188</v>
      </c>
      <c r="F93" s="14" t="n">
        <f aca="false">(B93-E93)/365.25</f>
        <v>18.3600273785079</v>
      </c>
      <c r="G93" s="14" t="n">
        <f aca="false">(B93-D93)/365.25</f>
        <v>0.254620123203285</v>
      </c>
      <c r="H93" s="15" t="s">
        <v>183</v>
      </c>
      <c r="I93" s="15" t="s">
        <v>347</v>
      </c>
      <c r="J93" s="15" t="s">
        <v>183</v>
      </c>
      <c r="K93" s="21" t="n">
        <v>8</v>
      </c>
      <c r="L93" s="19" t="n">
        <v>53</v>
      </c>
      <c r="M93" s="0" t="n">
        <v>1.64</v>
      </c>
      <c r="N93" s="16" t="n">
        <f aca="false">L93/(M93*M93)</f>
        <v>19.7055324211779</v>
      </c>
      <c r="O93" s="19" t="n">
        <v>0</v>
      </c>
      <c r="P93" s="19" t="n">
        <v>0</v>
      </c>
      <c r="Q93" s="19" t="n">
        <v>0</v>
      </c>
      <c r="R93" s="19" t="n">
        <v>0</v>
      </c>
      <c r="S93" s="19" t="n">
        <v>0</v>
      </c>
      <c r="T93" s="19" t="n">
        <v>0</v>
      </c>
      <c r="U93" s="19" t="n">
        <v>0</v>
      </c>
      <c r="V93" s="19" t="n">
        <v>0</v>
      </c>
      <c r="W93" s="19" t="n">
        <v>1</v>
      </c>
      <c r="X93" s="19" t="n">
        <v>0</v>
      </c>
      <c r="Y93" s="19" t="n">
        <v>1</v>
      </c>
      <c r="Z93" s="19" t="n">
        <v>1</v>
      </c>
      <c r="AA93" s="19" t="n">
        <v>90</v>
      </c>
      <c r="AB93" s="19" t="s">
        <v>349</v>
      </c>
      <c r="AC93" s="19" t="n">
        <v>1</v>
      </c>
      <c r="AD93" s="19" t="n">
        <v>10</v>
      </c>
      <c r="AE93" s="19" t="n">
        <v>0</v>
      </c>
      <c r="AF93" s="19" t="n">
        <v>0</v>
      </c>
      <c r="AG93" s="19" t="n">
        <v>0</v>
      </c>
      <c r="AH93" s="19" t="n">
        <v>0</v>
      </c>
      <c r="AI93" s="19" t="n">
        <v>0</v>
      </c>
      <c r="AJ93" s="19" t="n">
        <v>0</v>
      </c>
      <c r="AK93" s="19" t="n">
        <v>0</v>
      </c>
      <c r="AL93" s="19" t="n">
        <v>0</v>
      </c>
      <c r="AM93" s="19" t="n">
        <v>0</v>
      </c>
      <c r="AN93" s="19" t="n">
        <v>0</v>
      </c>
      <c r="AO93" s="19" t="n">
        <v>0</v>
      </c>
      <c r="AP93" s="19" t="n">
        <v>0</v>
      </c>
      <c r="AQ93" s="19" t="n">
        <v>0</v>
      </c>
      <c r="AR93" s="19" t="n">
        <v>0</v>
      </c>
      <c r="AS93" s="19" t="n">
        <v>0</v>
      </c>
      <c r="AT93" s="19" t="n">
        <v>0</v>
      </c>
      <c r="AU93" s="19" t="n">
        <v>0</v>
      </c>
      <c r="AV93" s="19" t="n">
        <v>0</v>
      </c>
      <c r="AW93" s="19" t="n">
        <v>0</v>
      </c>
      <c r="AX93" s="19" t="n">
        <v>0</v>
      </c>
      <c r="AY93" s="19" t="n">
        <v>0</v>
      </c>
      <c r="AZ93" s="19" t="n">
        <v>0</v>
      </c>
      <c r="BA93" s="19" t="n">
        <v>0</v>
      </c>
      <c r="BB93" s="19" t="n">
        <v>0</v>
      </c>
      <c r="BC93" s="19" t="n">
        <v>0</v>
      </c>
      <c r="BD93" s="19" t="n">
        <v>0</v>
      </c>
      <c r="BE93" s="19" t="n">
        <v>0</v>
      </c>
      <c r="BF93" s="19" t="n">
        <v>0</v>
      </c>
      <c r="BG93" s="19" t="n">
        <v>0</v>
      </c>
      <c r="BH93" s="19" t="n">
        <v>0</v>
      </c>
      <c r="BI93" s="19" t="n">
        <v>0</v>
      </c>
      <c r="BJ93" s="19" t="n">
        <v>0</v>
      </c>
      <c r="BK93" s="19" t="n">
        <v>0</v>
      </c>
      <c r="BL93" s="19" t="n">
        <v>0</v>
      </c>
      <c r="BM93" s="19" t="n">
        <v>0</v>
      </c>
      <c r="BN93" s="19" t="n">
        <v>0</v>
      </c>
      <c r="BO93" s="19" t="n">
        <v>0</v>
      </c>
      <c r="BP93" s="19" t="n">
        <v>0</v>
      </c>
      <c r="BQ93" s="19" t="n">
        <v>0</v>
      </c>
      <c r="BR93" s="19" t="n">
        <v>1</v>
      </c>
      <c r="BS93" s="19" t="n">
        <v>2</v>
      </c>
      <c r="BT93" s="19" t="n">
        <v>2</v>
      </c>
      <c r="BU93" s="19" t="n">
        <v>3</v>
      </c>
      <c r="BV93" s="19" t="n">
        <v>2</v>
      </c>
      <c r="BW93" s="19" t="n">
        <v>2</v>
      </c>
      <c r="BX93" s="19" t="n">
        <v>1</v>
      </c>
      <c r="BY93" s="19" t="n">
        <v>2</v>
      </c>
      <c r="BZ93" s="19" t="n">
        <v>3</v>
      </c>
      <c r="CA93" s="19" t="n">
        <v>4</v>
      </c>
      <c r="CB93" s="19" t="n">
        <v>5</v>
      </c>
      <c r="CC93" s="19" t="n">
        <v>5</v>
      </c>
      <c r="CD93" s="19" t="n">
        <v>3</v>
      </c>
      <c r="CE93" s="19" t="n">
        <v>4</v>
      </c>
      <c r="CF93" s="19" t="n">
        <v>4</v>
      </c>
      <c r="CG93" s="19" t="n">
        <v>5</v>
      </c>
      <c r="CH93" s="19" t="n">
        <v>3</v>
      </c>
      <c r="CI93" s="19" t="n">
        <v>4</v>
      </c>
      <c r="CJ93" s="19" t="n">
        <v>4</v>
      </c>
      <c r="CK93" s="19" t="n">
        <v>7</v>
      </c>
      <c r="CL93" s="0" t="s">
        <v>363</v>
      </c>
      <c r="CM93" s="0" t="n">
        <v>34.5</v>
      </c>
      <c r="CN93" s="16" t="n">
        <v>88.3</v>
      </c>
      <c r="CO93" s="16" t="n">
        <v>80.4</v>
      </c>
      <c r="CP93" s="16" t="n">
        <v>22.8</v>
      </c>
      <c r="CQ93" s="0" t="n">
        <v>73.89</v>
      </c>
      <c r="CS93" s="0" t="n">
        <v>14.94</v>
      </c>
      <c r="CT93" s="0" t="n">
        <v>0.5</v>
      </c>
      <c r="CU93" s="0" t="n">
        <v>10.66</v>
      </c>
      <c r="CV93" s="0" t="n">
        <v>0</v>
      </c>
      <c r="CW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46.29</v>
      </c>
      <c r="DD93" s="0" t="n">
        <v>23.15</v>
      </c>
      <c r="DE93" s="0" t="n">
        <v>0</v>
      </c>
      <c r="DF93" s="0" t="n">
        <v>0</v>
      </c>
      <c r="DG93" s="0" t="n">
        <v>0</v>
      </c>
      <c r="DH93" s="0" t="n">
        <v>0</v>
      </c>
      <c r="DU93" s="0" t="n">
        <v>2.8</v>
      </c>
      <c r="DV93" s="0" t="n">
        <v>1</v>
      </c>
      <c r="DW93" s="0" t="n">
        <v>35</v>
      </c>
      <c r="DX93" s="0" t="n">
        <v>1</v>
      </c>
      <c r="DY93" s="0" t="n">
        <v>0.5</v>
      </c>
      <c r="DZ93" s="0" t="n">
        <v>3</v>
      </c>
      <c r="EG93" s="20"/>
      <c r="EY93" s="0" t="n">
        <v>1</v>
      </c>
      <c r="EZ93" s="0" t="n">
        <v>60</v>
      </c>
      <c r="FA93" s="0" t="n">
        <v>4</v>
      </c>
      <c r="FB93" s="0" t="n">
        <v>0.54</v>
      </c>
      <c r="FC93" s="0" t="n">
        <v>3</v>
      </c>
      <c r="GJ93" s="16" t="n">
        <v>3.05</v>
      </c>
      <c r="GK93" s="16" t="n">
        <v>1</v>
      </c>
      <c r="GL93" s="16" t="n">
        <v>1</v>
      </c>
      <c r="GM93" s="16"/>
      <c r="GN93" s="16" t="n">
        <v>8.71</v>
      </c>
      <c r="GO93" s="16" t="n">
        <v>2</v>
      </c>
      <c r="GP93" s="16"/>
      <c r="GQ93" s="16" t="n">
        <v>12.44</v>
      </c>
      <c r="GR93" s="16"/>
      <c r="GS93" s="16"/>
      <c r="GT93" s="16"/>
      <c r="GU93" s="16" t="n">
        <v>4.5</v>
      </c>
      <c r="GV93" s="16" t="n">
        <v>1.2</v>
      </c>
      <c r="GW93" s="16" t="n">
        <v>0</v>
      </c>
      <c r="GX93" s="16" t="n">
        <v>0</v>
      </c>
      <c r="GY93" s="16" t="n">
        <v>0</v>
      </c>
      <c r="GZ93" s="16" t="n">
        <v>0</v>
      </c>
      <c r="HA93" s="16" t="n">
        <v>0</v>
      </c>
      <c r="HB93" s="0" t="n">
        <v>0</v>
      </c>
      <c r="HC93" s="0" t="s">
        <v>364</v>
      </c>
      <c r="HD93" s="0" t="n">
        <v>32</v>
      </c>
      <c r="HE93" s="16" t="n">
        <v>75</v>
      </c>
      <c r="HF93" s="16" t="n">
        <v>80.4</v>
      </c>
      <c r="HG93" s="16" t="n">
        <v>22.6</v>
      </c>
      <c r="HH93" s="0" t="n">
        <v>76.24</v>
      </c>
      <c r="HJ93" s="0" t="n">
        <v>15.36</v>
      </c>
      <c r="HK93" s="0" t="n">
        <v>1.93</v>
      </c>
      <c r="HL93" s="0" t="n">
        <v>6.47</v>
      </c>
      <c r="HM93" s="0" t="n">
        <v>0</v>
      </c>
      <c r="HN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32.86</v>
      </c>
      <c r="HU93" s="0" t="n">
        <v>26.39</v>
      </c>
      <c r="HV93" s="0" t="n">
        <v>0</v>
      </c>
      <c r="HW93" s="0" t="n">
        <v>0</v>
      </c>
      <c r="HX93" s="0" t="n">
        <v>0</v>
      </c>
      <c r="HY93" s="0" t="n">
        <v>0</v>
      </c>
      <c r="IL93" s="0" t="n">
        <v>5.6</v>
      </c>
      <c r="IM93" s="0" t="n">
        <v>1</v>
      </c>
      <c r="IN93" s="0" t="n">
        <v>35</v>
      </c>
      <c r="IO93" s="0" t="n">
        <v>1</v>
      </c>
      <c r="IP93" s="0" t="n">
        <v>0.5</v>
      </c>
      <c r="IQ93" s="0" t="n">
        <v>3</v>
      </c>
      <c r="IX93" s="20"/>
      <c r="JP93" s="0" t="n">
        <v>1</v>
      </c>
      <c r="JQ93" s="0" t="n">
        <v>60</v>
      </c>
      <c r="JR93" s="0" t="n">
        <v>5</v>
      </c>
      <c r="JS93" s="0" t="n">
        <v>3.13</v>
      </c>
      <c r="JT93" s="0" t="n">
        <v>2</v>
      </c>
      <c r="JU93" s="0" t="n">
        <v>50</v>
      </c>
      <c r="JV93" s="0" t="n">
        <v>2</v>
      </c>
      <c r="JW93" s="0" t="n">
        <v>0.67</v>
      </c>
      <c r="JX93" s="0" t="n">
        <v>2</v>
      </c>
      <c r="LA93" s="16" t="n">
        <v>1.43</v>
      </c>
      <c r="LB93" s="16" t="n">
        <v>1</v>
      </c>
      <c r="LC93" s="16" t="n">
        <v>1</v>
      </c>
      <c r="LD93" s="16"/>
      <c r="LE93" s="16" t="n">
        <v>17.43</v>
      </c>
      <c r="LF93" s="16"/>
      <c r="LG93" s="16"/>
      <c r="LH93" s="16"/>
      <c r="LI93" s="16"/>
      <c r="LJ93" s="16"/>
      <c r="LK93" s="16"/>
      <c r="LL93" s="16" t="n">
        <v>1.7</v>
      </c>
      <c r="LM93" s="16" t="n">
        <v>1.7</v>
      </c>
      <c r="LN93" s="16" t="n">
        <v>0</v>
      </c>
      <c r="LO93" s="16" t="n">
        <v>0</v>
      </c>
      <c r="LP93" s="16" t="n">
        <v>0</v>
      </c>
      <c r="LQ93" s="16" t="n">
        <v>0</v>
      </c>
      <c r="LR93" s="16" t="n">
        <v>0</v>
      </c>
      <c r="LS93" s="0" t="n">
        <v>0</v>
      </c>
      <c r="LT93" s="0" t="s">
        <v>350</v>
      </c>
      <c r="LU93" s="0" t="n">
        <v>75</v>
      </c>
      <c r="LV93" s="16" t="n">
        <v>87.9</v>
      </c>
      <c r="LW93" s="16" t="n">
        <v>80.4</v>
      </c>
      <c r="LX93" s="16" t="n">
        <v>45.2</v>
      </c>
      <c r="LY93" s="0" t="n">
        <v>50.83</v>
      </c>
      <c r="LZ93" s="0" t="n">
        <v>0.05</v>
      </c>
      <c r="MA93" s="0" t="n">
        <v>46.44</v>
      </c>
      <c r="MB93" s="0" t="n">
        <v>2.67</v>
      </c>
      <c r="MC93" s="0" t="n">
        <v>0</v>
      </c>
      <c r="MD93" s="0" t="n">
        <v>0</v>
      </c>
      <c r="ME93" s="0" t="n">
        <v>0</v>
      </c>
      <c r="MG93" s="0" t="n">
        <v>0</v>
      </c>
      <c r="MH93" s="0" t="n">
        <v>0</v>
      </c>
      <c r="MI93" s="0" t="n">
        <v>0</v>
      </c>
      <c r="MJ93" s="0" t="n">
        <v>0</v>
      </c>
      <c r="MK93" s="0" t="n">
        <v>25.21</v>
      </c>
      <c r="ML93" s="0" t="n">
        <v>43.57</v>
      </c>
      <c r="MM93" s="0" t="n">
        <v>6.27</v>
      </c>
      <c r="MN93" s="0" t="n">
        <v>0</v>
      </c>
      <c r="MO93" s="0" t="n">
        <v>0</v>
      </c>
      <c r="MP93" s="0" t="n">
        <v>0</v>
      </c>
      <c r="NC93" s="0" t="n">
        <v>17.8</v>
      </c>
      <c r="ND93" s="0" t="n">
        <v>1</v>
      </c>
      <c r="NE93" s="0" t="n">
        <v>35</v>
      </c>
      <c r="NF93" s="0" t="n">
        <v>9</v>
      </c>
      <c r="NG93" s="0" t="n">
        <v>2.55</v>
      </c>
      <c r="NH93" s="0" t="n">
        <v>3</v>
      </c>
      <c r="NO93" s="20"/>
      <c r="OG93" s="0" t="n">
        <v>1</v>
      </c>
      <c r="OH93" s="0" t="n">
        <v>50</v>
      </c>
      <c r="OI93" s="0" t="n">
        <v>8</v>
      </c>
      <c r="OJ93" s="0" t="n">
        <v>2.12</v>
      </c>
      <c r="OK93" s="0" t="n">
        <v>3</v>
      </c>
      <c r="PR93" s="16" t="n">
        <v>3.43</v>
      </c>
      <c r="PS93" s="16" t="n">
        <v>1</v>
      </c>
      <c r="PT93" s="16" t="n">
        <v>1</v>
      </c>
      <c r="PU93" s="16"/>
      <c r="PV93" s="16" t="n">
        <v>26.11</v>
      </c>
      <c r="PW93" s="16" t="n">
        <v>2</v>
      </c>
      <c r="PX93" s="16"/>
      <c r="PY93" s="16" t="n">
        <v>11.19</v>
      </c>
      <c r="PZ93" s="16"/>
      <c r="QA93" s="16"/>
      <c r="QB93" s="16"/>
      <c r="QC93" s="16" t="n">
        <v>6.39</v>
      </c>
      <c r="QD93" s="16" t="n">
        <v>3.31</v>
      </c>
      <c r="QE93" s="16" t="n">
        <v>0</v>
      </c>
      <c r="QF93" s="16" t="n">
        <v>0</v>
      </c>
      <c r="QG93" s="16" t="n">
        <v>0</v>
      </c>
      <c r="QH93" s="16" t="n">
        <v>0</v>
      </c>
      <c r="QI93" s="16" t="n">
        <v>0</v>
      </c>
      <c r="QJ93" s="0" t="n">
        <v>0</v>
      </c>
      <c r="QO93" s="15"/>
      <c r="QP93" s="15"/>
      <c r="QW93" s="15"/>
      <c r="QX93" s="15"/>
      <c r="RE93" s="15"/>
      <c r="RF93" s="15"/>
      <c r="RM93" s="15"/>
      <c r="RN93" s="15"/>
      <c r="RU93" s="15"/>
      <c r="RV93" s="15"/>
      <c r="SC93" s="15"/>
      <c r="SD93" s="15"/>
      <c r="SK93" s="15"/>
      <c r="SL93" s="15"/>
      <c r="SS93" s="15"/>
      <c r="ST93" s="15"/>
      <c r="TA93" s="15"/>
      <c r="TB93" s="15"/>
      <c r="TI93" s="15"/>
      <c r="TJ93" s="15"/>
      <c r="TQ93" s="15"/>
      <c r="TR93" s="15"/>
      <c r="TY93" s="15"/>
      <c r="TZ93" s="15"/>
      <c r="UG93" s="15"/>
      <c r="UH93" s="15"/>
      <c r="UO93" s="15"/>
      <c r="UP93" s="15"/>
      <c r="UW93" s="15"/>
      <c r="UX93" s="15"/>
      <c r="VE93" s="15"/>
      <c r="VF93" s="15"/>
      <c r="VM93" s="15"/>
      <c r="VN93" s="15"/>
      <c r="VU93" s="15"/>
      <c r="VV93" s="15"/>
      <c r="WC93" s="15"/>
      <c r="WD93" s="15"/>
      <c r="WK93" s="15"/>
      <c r="WL93" s="15"/>
      <c r="WS93" s="15"/>
      <c r="WT93" s="15"/>
      <c r="XA93" s="15"/>
      <c r="XB93" s="15"/>
      <c r="XI93" s="15"/>
      <c r="XJ93" s="15"/>
      <c r="XQ93" s="15"/>
      <c r="XR93" s="15"/>
      <c r="XY93" s="15"/>
      <c r="XZ93" s="15"/>
      <c r="YG93" s="15"/>
      <c r="YH93" s="15"/>
      <c r="YO93" s="15"/>
      <c r="YP93" s="15"/>
      <c r="YW93" s="15"/>
      <c r="YX93" s="15"/>
      <c r="ZE93" s="15"/>
      <c r="ZF93" s="15"/>
      <c r="ZM93" s="15"/>
      <c r="ZN93" s="15"/>
      <c r="ZU93" s="15"/>
      <c r="ZV93" s="15"/>
      <c r="AAC93" s="15"/>
      <c r="AAD93" s="15"/>
      <c r="AAK93" s="15"/>
      <c r="AAL93" s="15"/>
      <c r="AAS93" s="15"/>
      <c r="AAT93" s="15"/>
      <c r="ABA93" s="15"/>
      <c r="ABB93" s="15"/>
      <c r="ABI93" s="15"/>
      <c r="ABJ93" s="15"/>
      <c r="ABQ93" s="15"/>
      <c r="ABR93" s="15"/>
      <c r="ABY93" s="15"/>
      <c r="ABZ93" s="15"/>
      <c r="ACG93" s="15"/>
      <c r="ACH93" s="15"/>
      <c r="ACO93" s="15"/>
      <c r="ACP93" s="15"/>
      <c r="ACW93" s="15"/>
      <c r="ACX93" s="15"/>
      <c r="ADE93" s="15"/>
      <c r="ADF93" s="15"/>
      <c r="ADM93" s="15"/>
      <c r="ADN93" s="15"/>
      <c r="ADU93" s="15"/>
      <c r="ADV93" s="15"/>
      <c r="AEC93" s="15"/>
      <c r="AED93" s="15"/>
      <c r="AEK93" s="15"/>
      <c r="AEL93" s="15"/>
      <c r="AES93" s="15"/>
      <c r="AET93" s="15"/>
      <c r="AFA93" s="15"/>
      <c r="AFB93" s="15"/>
      <c r="AFI93" s="15"/>
      <c r="AFJ93" s="15"/>
      <c r="AFQ93" s="15"/>
      <c r="AFR93" s="15"/>
      <c r="AFY93" s="15"/>
      <c r="AFZ93" s="15"/>
      <c r="AGG93" s="15"/>
      <c r="AGH93" s="15"/>
      <c r="AGO93" s="15"/>
      <c r="AGP93" s="15"/>
      <c r="AGW93" s="15"/>
      <c r="AGX93" s="15"/>
      <c r="AHE93" s="15"/>
      <c r="AHF93" s="15"/>
      <c r="AHM93" s="15"/>
      <c r="AHN93" s="15"/>
      <c r="AHU93" s="15"/>
      <c r="AHV93" s="15"/>
      <c r="AIC93" s="15"/>
      <c r="AID93" s="15"/>
      <c r="AIK93" s="15"/>
      <c r="AIL93" s="15"/>
      <c r="AIS93" s="15"/>
      <c r="AIT93" s="15"/>
      <c r="AJA93" s="15"/>
      <c r="AJB93" s="15"/>
      <c r="AJI93" s="15"/>
      <c r="AJJ93" s="15"/>
      <c r="AJQ93" s="15"/>
      <c r="AJR93" s="15"/>
      <c r="AJY93" s="15"/>
      <c r="AJZ93" s="15"/>
      <c r="AKG93" s="15"/>
      <c r="AKH93" s="15"/>
      <c r="AKO93" s="15"/>
      <c r="AKP93" s="15"/>
      <c r="AKW93" s="15"/>
      <c r="AKX93" s="15"/>
      <c r="ALE93" s="15"/>
      <c r="ALF93" s="15"/>
      <c r="ALM93" s="15"/>
      <c r="ALN93" s="15"/>
      <c r="ALU93" s="15"/>
      <c r="ALV93" s="15"/>
      <c r="AMC93" s="15"/>
      <c r="AMD93" s="15"/>
    </row>
    <row r="94" customFormat="false" ht="13.8" hidden="false" customHeight="false" outlineLevel="0" collapsed="false">
      <c r="A94" s="1" t="s">
        <v>477</v>
      </c>
      <c r="B94" s="12" t="n">
        <v>42894</v>
      </c>
      <c r="C94" s="0" t="n">
        <v>1</v>
      </c>
      <c r="D94" s="13" t="n">
        <v>39622</v>
      </c>
      <c r="E94" s="12" t="n">
        <v>27245</v>
      </c>
      <c r="F94" s="14" t="n">
        <f aca="false">(B94-E94)/365.25</f>
        <v>42.8446269678303</v>
      </c>
      <c r="G94" s="14" t="n">
        <f aca="false">(B94-D94)/365.25</f>
        <v>8.95824777549624</v>
      </c>
      <c r="H94" s="15" t="s">
        <v>183</v>
      </c>
      <c r="I94" s="15" t="s">
        <v>347</v>
      </c>
      <c r="J94" s="15" t="s">
        <v>183</v>
      </c>
      <c r="K94" s="21" t="n">
        <v>8</v>
      </c>
      <c r="L94" s="19" t="n">
        <v>62</v>
      </c>
      <c r="M94" s="0" t="n">
        <v>1.67</v>
      </c>
      <c r="N94" s="16" t="n">
        <f aca="false">L94/(M94*M94)</f>
        <v>22.2309871275413</v>
      </c>
      <c r="O94" s="19" t="n">
        <v>0</v>
      </c>
      <c r="P94" s="19" t="n">
        <v>0</v>
      </c>
      <c r="Q94" s="19" t="n">
        <v>0</v>
      </c>
      <c r="R94" s="19" t="n">
        <v>0</v>
      </c>
      <c r="S94" s="19" t="n">
        <v>0</v>
      </c>
      <c r="T94" s="19" t="n">
        <v>0</v>
      </c>
      <c r="U94" s="19" t="n">
        <v>0</v>
      </c>
      <c r="V94" s="19" t="n">
        <v>0</v>
      </c>
      <c r="W94" s="19" t="n">
        <v>0</v>
      </c>
      <c r="X94" s="19" t="n">
        <v>0</v>
      </c>
      <c r="Y94" s="19" t="n">
        <v>1</v>
      </c>
      <c r="Z94" s="19" t="n">
        <v>3</v>
      </c>
      <c r="AA94" s="19" t="n">
        <v>60</v>
      </c>
      <c r="AB94" s="19" t="s">
        <v>478</v>
      </c>
      <c r="AC94" s="19" t="n">
        <v>0</v>
      </c>
      <c r="AD94" s="19" t="n">
        <v>0</v>
      </c>
      <c r="AE94" s="19" t="n">
        <v>0</v>
      </c>
      <c r="AF94" s="19" t="n">
        <v>0</v>
      </c>
      <c r="AG94" s="19" t="n">
        <v>0</v>
      </c>
      <c r="AH94" s="19" t="n">
        <v>0</v>
      </c>
      <c r="AI94" s="19" t="n">
        <v>3</v>
      </c>
      <c r="AJ94" s="19" t="n">
        <v>3</v>
      </c>
      <c r="AK94" s="19" t="n">
        <v>3</v>
      </c>
      <c r="AL94" s="19" t="n">
        <v>6</v>
      </c>
      <c r="AM94" s="19" t="n">
        <v>4</v>
      </c>
      <c r="AN94" s="19" t="n">
        <v>3</v>
      </c>
      <c r="AO94" s="19" t="n">
        <v>3</v>
      </c>
      <c r="AP94" s="19" t="n">
        <v>3</v>
      </c>
      <c r="AQ94" s="19" t="n">
        <v>8</v>
      </c>
      <c r="AR94" s="19" t="n">
        <v>6</v>
      </c>
      <c r="AS94" s="19" t="n">
        <v>3</v>
      </c>
      <c r="AT94" s="19" t="n">
        <v>3</v>
      </c>
      <c r="AU94" s="19" t="n">
        <v>3</v>
      </c>
      <c r="AV94" s="19" t="n">
        <v>9</v>
      </c>
      <c r="AW94" s="19" t="n">
        <v>7</v>
      </c>
      <c r="AX94" s="19" t="n">
        <v>1</v>
      </c>
      <c r="AY94" s="19" t="n">
        <v>1</v>
      </c>
      <c r="AZ94" s="19" t="n">
        <v>1</v>
      </c>
      <c r="BA94" s="19"/>
      <c r="BB94" s="19" t="n">
        <v>1</v>
      </c>
      <c r="BC94" s="19" t="n">
        <v>1</v>
      </c>
      <c r="BD94" s="19" t="n">
        <v>1</v>
      </c>
      <c r="BE94" s="19"/>
      <c r="BF94" s="19" t="n">
        <v>0</v>
      </c>
      <c r="BG94" s="19" t="n">
        <v>0</v>
      </c>
      <c r="BH94" s="19" t="n">
        <v>0</v>
      </c>
      <c r="BI94" s="19" t="n">
        <v>0</v>
      </c>
      <c r="BJ94" s="19" t="n">
        <v>0</v>
      </c>
      <c r="BK94" s="19" t="n">
        <v>0</v>
      </c>
      <c r="BL94" s="19" t="n">
        <v>0</v>
      </c>
      <c r="BM94" s="19" t="n">
        <v>0</v>
      </c>
      <c r="BN94" s="19" t="n">
        <v>0</v>
      </c>
      <c r="BO94" s="19" t="n">
        <v>0</v>
      </c>
      <c r="BP94" s="19" t="n">
        <v>0</v>
      </c>
      <c r="BQ94" s="19" t="n">
        <v>0</v>
      </c>
      <c r="BR94" s="19" t="n">
        <v>3</v>
      </c>
      <c r="BS94" s="19" t="n">
        <v>3</v>
      </c>
      <c r="BT94" s="19" t="n">
        <v>3</v>
      </c>
      <c r="BU94" s="19" t="n">
        <v>5</v>
      </c>
      <c r="BV94" s="19" t="n">
        <v>1</v>
      </c>
      <c r="BW94" s="19" t="n">
        <v>3</v>
      </c>
      <c r="BX94" s="19" t="n">
        <v>1</v>
      </c>
      <c r="BY94" s="19" t="n">
        <v>5</v>
      </c>
      <c r="BZ94" s="19" t="n">
        <v>5</v>
      </c>
      <c r="CA94" s="19" t="n">
        <v>5</v>
      </c>
      <c r="CB94" s="19" t="n">
        <v>5</v>
      </c>
      <c r="CC94" s="19" t="n">
        <v>5</v>
      </c>
      <c r="CD94" s="19" t="n">
        <v>5</v>
      </c>
      <c r="CE94" s="19" t="n">
        <v>5</v>
      </c>
      <c r="CF94" s="19" t="n">
        <v>4</v>
      </c>
      <c r="CG94" s="19" t="n">
        <v>4</v>
      </c>
      <c r="CH94" s="19" t="n">
        <v>5</v>
      </c>
      <c r="CI94" s="19" t="n">
        <v>4</v>
      </c>
      <c r="CJ94" s="19" t="n">
        <v>5</v>
      </c>
      <c r="CK94" s="19" t="n">
        <v>6</v>
      </c>
      <c r="CL94" s="0" t="s">
        <v>355</v>
      </c>
      <c r="CM94" s="0" t="n">
        <v>37</v>
      </c>
      <c r="CN94" s="16" t="n">
        <v>95.1</v>
      </c>
      <c r="CO94" s="16" t="n">
        <v>80.4</v>
      </c>
      <c r="CP94" s="16" t="n">
        <v>15.9</v>
      </c>
      <c r="CQ94" s="0" t="n">
        <v>82.71</v>
      </c>
      <c r="CR94" s="17" t="n">
        <v>0</v>
      </c>
      <c r="CS94" s="0" t="n">
        <v>10.32</v>
      </c>
      <c r="CT94" s="0" t="n">
        <v>0.39</v>
      </c>
      <c r="CU94" s="0" t="n">
        <v>10.32</v>
      </c>
      <c r="CV94" s="0" t="n">
        <v>0</v>
      </c>
      <c r="CW94" s="0" t="n">
        <v>0</v>
      </c>
      <c r="CY94" s="0" t="n">
        <v>0</v>
      </c>
      <c r="CZ94" s="0" t="n">
        <v>0</v>
      </c>
      <c r="DA94" s="0" t="n">
        <v>0</v>
      </c>
      <c r="DB94" s="0" t="n">
        <v>1.9</v>
      </c>
      <c r="DC94" s="0" t="n">
        <v>26.26</v>
      </c>
      <c r="DD94" s="0" t="n">
        <v>6.04</v>
      </c>
      <c r="DE94" s="0" t="n">
        <v>2.19</v>
      </c>
      <c r="DF94" s="0" t="n">
        <v>0</v>
      </c>
      <c r="DG94" s="0" t="n">
        <v>0</v>
      </c>
      <c r="DH94" s="0" t="n">
        <v>0</v>
      </c>
      <c r="DU94" s="0" t="n">
        <v>14.7</v>
      </c>
      <c r="DV94" s="0" t="n">
        <v>1</v>
      </c>
      <c r="DW94" s="0" t="n">
        <v>35</v>
      </c>
      <c r="DX94" s="0" t="n">
        <v>2</v>
      </c>
      <c r="DY94" s="0" t="n">
        <v>1.8</v>
      </c>
      <c r="DZ94" s="0" t="n">
        <v>3</v>
      </c>
      <c r="EG94" s="20"/>
      <c r="EY94" s="0" t="n">
        <v>1</v>
      </c>
      <c r="EZ94" s="0" t="n">
        <v>50</v>
      </c>
      <c r="FA94" s="0" t="n">
        <v>1</v>
      </c>
      <c r="FB94" s="0" t="n">
        <v>1.34</v>
      </c>
      <c r="FC94" s="0" t="n">
        <v>2</v>
      </c>
      <c r="FD94" s="0" t="n">
        <v>40</v>
      </c>
      <c r="FE94" s="0" t="n">
        <v>1</v>
      </c>
      <c r="FF94" s="0" t="n">
        <v>0.9</v>
      </c>
      <c r="FG94" s="0" t="n">
        <v>3</v>
      </c>
      <c r="FH94" s="0" t="n">
        <v>50</v>
      </c>
      <c r="FI94" s="0" t="n">
        <v>1</v>
      </c>
      <c r="FJ94" s="0" t="n">
        <v>0.9</v>
      </c>
      <c r="FK94" s="0" t="n">
        <v>3</v>
      </c>
      <c r="FL94" s="0" t="n">
        <v>80</v>
      </c>
      <c r="FM94" s="0" t="n">
        <v>2</v>
      </c>
      <c r="FN94" s="0" t="n">
        <v>2.68</v>
      </c>
      <c r="FO94" s="0" t="n">
        <v>2</v>
      </c>
      <c r="FP94" s="0" t="n">
        <v>100</v>
      </c>
      <c r="FQ94" s="0" t="n">
        <v>1</v>
      </c>
      <c r="FR94" s="0" t="n">
        <v>2.57</v>
      </c>
      <c r="FS94" s="0" t="n">
        <v>2</v>
      </c>
      <c r="GJ94" s="0" t="n">
        <v>0</v>
      </c>
      <c r="GK94" s="19" t="n">
        <v>0</v>
      </c>
      <c r="GL94" s="19"/>
      <c r="GM94" s="13"/>
      <c r="GN94" s="13"/>
      <c r="GO94" s="19"/>
      <c r="GP94" s="13"/>
      <c r="GQ94" s="13"/>
      <c r="GR94" s="13"/>
      <c r="GS94" s="13"/>
      <c r="GT94" s="13"/>
      <c r="GU94" s="16" t="n">
        <v>5.11</v>
      </c>
      <c r="GV94" s="0" t="n">
        <v>4.81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s">
        <v>363</v>
      </c>
      <c r="HD94" s="0" t="n">
        <v>34.5</v>
      </c>
      <c r="HE94" s="16" t="n">
        <v>88.3</v>
      </c>
      <c r="HF94" s="16" t="n">
        <v>80.4</v>
      </c>
      <c r="HG94" s="16" t="n">
        <v>22.8</v>
      </c>
      <c r="HH94" s="0" t="n">
        <v>73.89</v>
      </c>
      <c r="HI94" s="17" t="n">
        <v>0</v>
      </c>
      <c r="HJ94" s="0" t="n">
        <v>14.94</v>
      </c>
      <c r="HK94" s="0" t="n">
        <v>0.5</v>
      </c>
      <c r="HL94" s="0" t="n">
        <v>10.66</v>
      </c>
      <c r="HM94" s="0" t="n">
        <v>0</v>
      </c>
      <c r="HN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46.29</v>
      </c>
      <c r="HU94" s="0" t="n">
        <v>23.15</v>
      </c>
      <c r="HV94" s="0" t="n">
        <v>0</v>
      </c>
      <c r="HW94" s="0" t="n">
        <v>0</v>
      </c>
      <c r="HX94" s="0" t="n">
        <v>0</v>
      </c>
      <c r="HY94" s="0" t="n">
        <v>0</v>
      </c>
      <c r="IL94" s="0" t="n">
        <v>2.8</v>
      </c>
      <c r="IM94" s="0" t="n">
        <v>1</v>
      </c>
      <c r="IN94" s="0" t="n">
        <v>35</v>
      </c>
      <c r="IO94" s="0" t="n">
        <v>1</v>
      </c>
      <c r="IP94" s="0" t="n">
        <v>0.5</v>
      </c>
      <c r="IQ94" s="0" t="n">
        <v>3</v>
      </c>
      <c r="IX94" s="20"/>
      <c r="JP94" s="0" t="n">
        <v>1</v>
      </c>
      <c r="JQ94" s="0" t="n">
        <v>60</v>
      </c>
      <c r="JR94" s="0" t="n">
        <v>4</v>
      </c>
      <c r="JS94" s="0" t="n">
        <v>0.54</v>
      </c>
      <c r="JT94" s="0" t="n">
        <v>3</v>
      </c>
      <c r="LA94" s="16" t="n">
        <v>3.05</v>
      </c>
      <c r="LB94" s="16" t="n">
        <v>1</v>
      </c>
      <c r="LC94" s="16" t="n">
        <v>1</v>
      </c>
      <c r="LD94" s="16" t="n">
        <v>5</v>
      </c>
      <c r="LE94" s="16" t="n">
        <v>8.71</v>
      </c>
      <c r="LF94" s="16" t="n">
        <v>2</v>
      </c>
      <c r="LG94" s="16" t="n">
        <v>25</v>
      </c>
      <c r="LH94" s="16" t="n">
        <v>12.44</v>
      </c>
      <c r="LI94" s="16"/>
      <c r="LJ94" s="16"/>
      <c r="LK94" s="16"/>
      <c r="LL94" s="16" t="n">
        <v>4.5</v>
      </c>
      <c r="LM94" s="16" t="n">
        <v>1.2</v>
      </c>
      <c r="LN94" s="16" t="n">
        <v>0</v>
      </c>
      <c r="LO94" s="16" t="n">
        <v>0</v>
      </c>
      <c r="LP94" s="16" t="n">
        <v>0</v>
      </c>
      <c r="LQ94" s="16" t="n">
        <v>0</v>
      </c>
      <c r="LR94" s="16" t="n">
        <v>0</v>
      </c>
      <c r="LS94" s="0" t="n">
        <v>0</v>
      </c>
      <c r="LT94" s="0" t="s">
        <v>364</v>
      </c>
      <c r="LU94" s="0" t="n">
        <v>32</v>
      </c>
      <c r="LV94" s="16" t="n">
        <v>75</v>
      </c>
      <c r="LW94" s="16" t="n">
        <v>80.4</v>
      </c>
      <c r="LX94" s="16" t="n">
        <v>22.6</v>
      </c>
      <c r="LY94" s="0" t="n">
        <v>76.24</v>
      </c>
      <c r="LZ94" s="17" t="n">
        <v>0</v>
      </c>
      <c r="MA94" s="0" t="n">
        <v>15.36</v>
      </c>
      <c r="MB94" s="0" t="n">
        <v>1.93</v>
      </c>
      <c r="MC94" s="0" t="n">
        <v>6.47</v>
      </c>
      <c r="MD94" s="0" t="n">
        <v>0</v>
      </c>
      <c r="ME94" s="0" t="n">
        <v>0</v>
      </c>
      <c r="MG94" s="0" t="n">
        <v>0</v>
      </c>
      <c r="MH94" s="0" t="n">
        <v>0</v>
      </c>
      <c r="MI94" s="0" t="n">
        <v>0</v>
      </c>
      <c r="MJ94" s="0" t="n">
        <v>0</v>
      </c>
      <c r="MK94" s="0" t="n">
        <v>32.86</v>
      </c>
      <c r="ML94" s="0" t="n">
        <v>26.39</v>
      </c>
      <c r="MM94" s="0" t="n">
        <v>0</v>
      </c>
      <c r="MN94" s="0" t="n">
        <v>0</v>
      </c>
      <c r="MO94" s="0" t="n">
        <v>0</v>
      </c>
      <c r="MP94" s="0" t="n">
        <v>0</v>
      </c>
      <c r="NC94" s="0" t="n">
        <v>5.6</v>
      </c>
      <c r="ND94" s="0" t="n">
        <v>1</v>
      </c>
      <c r="NE94" s="0" t="n">
        <v>35</v>
      </c>
      <c r="NF94" s="0" t="n">
        <v>1</v>
      </c>
      <c r="NG94" s="0" t="n">
        <v>0.5</v>
      </c>
      <c r="NH94" s="0" t="n">
        <v>3</v>
      </c>
      <c r="NO94" s="20"/>
      <c r="OG94" s="0" t="n">
        <v>1</v>
      </c>
      <c r="OH94" s="0" t="n">
        <v>60</v>
      </c>
      <c r="OI94" s="0" t="n">
        <v>5</v>
      </c>
      <c r="OJ94" s="0" t="n">
        <v>3.13</v>
      </c>
      <c r="OK94" s="0" t="n">
        <v>2</v>
      </c>
      <c r="OL94" s="0" t="n">
        <v>50</v>
      </c>
      <c r="OM94" s="0" t="n">
        <v>2</v>
      </c>
      <c r="ON94" s="0" t="n">
        <v>0.67</v>
      </c>
      <c r="OO94" s="0" t="n">
        <v>2</v>
      </c>
      <c r="PR94" s="16" t="n">
        <v>1.43</v>
      </c>
      <c r="PS94" s="16" t="n">
        <v>1</v>
      </c>
      <c r="PT94" s="16" t="n">
        <v>1</v>
      </c>
      <c r="PU94" s="16" t="n">
        <v>4</v>
      </c>
      <c r="PV94" s="16" t="n">
        <v>17.43</v>
      </c>
      <c r="PW94" s="16"/>
      <c r="PX94" s="16"/>
      <c r="PY94" s="16"/>
      <c r="PZ94" s="16"/>
      <c r="QA94" s="16"/>
      <c r="QB94" s="16"/>
      <c r="QC94" s="16" t="n">
        <v>1.7</v>
      </c>
      <c r="QD94" s="16" t="n">
        <v>1.7</v>
      </c>
      <c r="QE94" s="16" t="n">
        <v>0</v>
      </c>
      <c r="QF94" s="16" t="n">
        <v>0</v>
      </c>
      <c r="QG94" s="16" t="n">
        <v>0</v>
      </c>
      <c r="QH94" s="16" t="n">
        <v>0</v>
      </c>
      <c r="QI94" s="16" t="n">
        <v>0</v>
      </c>
      <c r="QJ94" s="0" t="n">
        <v>0</v>
      </c>
      <c r="QK94" s="0" t="s">
        <v>350</v>
      </c>
      <c r="QL94" s="0" t="n">
        <v>75</v>
      </c>
      <c r="QM94" s="16" t="n">
        <v>87.9</v>
      </c>
      <c r="QN94" s="16" t="n">
        <v>80.4</v>
      </c>
      <c r="QO94" s="16" t="n">
        <v>45.2</v>
      </c>
      <c r="QP94" s="0" t="n">
        <v>50.83</v>
      </c>
      <c r="QQ94" s="0" t="n">
        <v>0.05</v>
      </c>
      <c r="QR94" s="0" t="n">
        <v>46.44</v>
      </c>
      <c r="QS94" s="0" t="n">
        <v>2.67</v>
      </c>
      <c r="QT94" s="0" t="n">
        <v>0</v>
      </c>
      <c r="QU94" s="0" t="n">
        <v>0</v>
      </c>
      <c r="QV94" s="0" t="n">
        <v>0</v>
      </c>
      <c r="QX94" s="0" t="n">
        <v>0</v>
      </c>
      <c r="QY94" s="0" t="n">
        <v>0</v>
      </c>
      <c r="QZ94" s="0" t="n">
        <v>0</v>
      </c>
      <c r="RA94" s="0" t="n">
        <v>0</v>
      </c>
      <c r="RB94" s="0" t="n">
        <v>25.21</v>
      </c>
      <c r="RC94" s="0" t="n">
        <v>43.57</v>
      </c>
      <c r="RD94" s="0" t="n">
        <v>6.27</v>
      </c>
      <c r="RE94" s="0" t="n">
        <v>0</v>
      </c>
      <c r="RF94" s="0" t="n">
        <v>0</v>
      </c>
      <c r="RG94" s="0" t="n">
        <v>0</v>
      </c>
      <c r="RT94" s="0" t="n">
        <v>17.8</v>
      </c>
      <c r="RU94" s="0" t="n">
        <v>1</v>
      </c>
      <c r="RV94" s="0" t="n">
        <v>35</v>
      </c>
      <c r="RW94" s="0" t="n">
        <v>9</v>
      </c>
      <c r="RX94" s="0" t="n">
        <v>2.55</v>
      </c>
      <c r="RY94" s="0" t="n">
        <v>3</v>
      </c>
      <c r="SF94" s="20"/>
      <c r="SX94" s="0" t="n">
        <v>1</v>
      </c>
      <c r="SY94" s="0" t="n">
        <v>50</v>
      </c>
      <c r="SZ94" s="0" t="n">
        <v>8</v>
      </c>
      <c r="TA94" s="0" t="n">
        <v>2.12</v>
      </c>
      <c r="TB94" s="0" t="n">
        <v>3</v>
      </c>
      <c r="UI94" s="16" t="n">
        <v>3.43</v>
      </c>
      <c r="UJ94" s="16" t="n">
        <v>1</v>
      </c>
      <c r="UK94" s="16" t="n">
        <v>1</v>
      </c>
      <c r="UL94" s="16"/>
      <c r="UM94" s="16" t="n">
        <v>26.11</v>
      </c>
      <c r="UN94" s="16" t="n">
        <v>2</v>
      </c>
      <c r="UO94" s="16"/>
      <c r="UP94" s="16" t="n">
        <v>11.19</v>
      </c>
      <c r="UQ94" s="16"/>
      <c r="UR94" s="16"/>
      <c r="US94" s="16"/>
      <c r="UT94" s="16" t="n">
        <v>6.39</v>
      </c>
      <c r="UU94" s="16" t="n">
        <v>3.31</v>
      </c>
      <c r="UV94" s="16" t="n">
        <v>0</v>
      </c>
      <c r="UW94" s="16" t="n">
        <v>0</v>
      </c>
      <c r="UX94" s="16" t="n">
        <v>0</v>
      </c>
      <c r="UY94" s="16" t="n">
        <v>0</v>
      </c>
      <c r="UZ94" s="16" t="n">
        <v>0</v>
      </c>
      <c r="VA94" s="0" t="n">
        <v>0</v>
      </c>
      <c r="VB94" s="0" t="s">
        <v>361</v>
      </c>
      <c r="VC94" s="0" t="n">
        <v>74.5</v>
      </c>
      <c r="VD94" s="16" t="n">
        <v>76.2</v>
      </c>
      <c r="VE94" s="16" t="n">
        <v>80.4</v>
      </c>
      <c r="VF94" s="16" t="n">
        <v>42.8</v>
      </c>
      <c r="VG94" s="0" t="n">
        <v>57.15</v>
      </c>
      <c r="VH94" s="0" t="n">
        <v>0.45</v>
      </c>
      <c r="VI94" s="0" t="n">
        <v>39.09</v>
      </c>
      <c r="VJ94" s="0" t="n">
        <v>3.3</v>
      </c>
      <c r="VK94" s="0" t="n">
        <v>0</v>
      </c>
      <c r="VL94" s="0" t="n">
        <v>0</v>
      </c>
      <c r="VM94" s="0" t="n">
        <v>0</v>
      </c>
      <c r="VO94" s="0" t="n">
        <v>0</v>
      </c>
      <c r="VP94" s="0" t="n">
        <v>0</v>
      </c>
      <c r="VQ94" s="0" t="n">
        <v>0</v>
      </c>
      <c r="VR94" s="0" t="n">
        <v>0</v>
      </c>
      <c r="VS94" s="0" t="n">
        <v>18.26</v>
      </c>
      <c r="VT94" s="0" t="n">
        <v>34.4</v>
      </c>
      <c r="VU94" s="0" t="n">
        <v>6.27</v>
      </c>
      <c r="VV94" s="0" t="n">
        <v>0</v>
      </c>
      <c r="VW94" s="0" t="n">
        <v>0</v>
      </c>
      <c r="VX94" s="0" t="n">
        <v>0</v>
      </c>
      <c r="WK94" s="0" t="n">
        <v>18.2</v>
      </c>
      <c r="WL94" s="0" t="n">
        <v>1</v>
      </c>
      <c r="WM94" s="0" t="n">
        <v>35</v>
      </c>
      <c r="WN94" s="0" t="n">
        <v>9</v>
      </c>
      <c r="WO94" s="0" t="n">
        <v>2.55</v>
      </c>
      <c r="WP94" s="0" t="n">
        <v>3</v>
      </c>
      <c r="WW94" s="20"/>
      <c r="XO94" s="0" t="n">
        <v>1</v>
      </c>
      <c r="XP94" s="0" t="n">
        <v>50</v>
      </c>
      <c r="XQ94" s="0" t="n">
        <v>8</v>
      </c>
      <c r="XR94" s="0" t="n">
        <v>2.54</v>
      </c>
      <c r="XS94" s="0" t="n">
        <v>3</v>
      </c>
      <c r="YZ94" s="16" t="n">
        <v>7.59</v>
      </c>
      <c r="ZA94" s="16" t="n">
        <v>1</v>
      </c>
      <c r="ZB94" s="16" t="n">
        <v>1</v>
      </c>
      <c r="ZC94" s="16"/>
      <c r="ZD94" s="16" t="n">
        <v>22.38</v>
      </c>
      <c r="ZE94" s="16" t="n">
        <v>2</v>
      </c>
      <c r="ZF94" s="16"/>
      <c r="ZG94" s="16" t="n">
        <v>14.92</v>
      </c>
      <c r="ZH94" s="16"/>
      <c r="ZI94" s="16"/>
      <c r="ZJ94" s="16"/>
      <c r="ZK94" s="16" t="n">
        <v>5.05</v>
      </c>
      <c r="ZL94" s="16" t="n">
        <v>1.54</v>
      </c>
      <c r="ZM94" s="16" t="n">
        <v>0</v>
      </c>
      <c r="ZN94" s="16" t="n">
        <v>0</v>
      </c>
      <c r="ZO94" s="16" t="n">
        <v>0</v>
      </c>
      <c r="ZP94" s="16" t="n">
        <v>0</v>
      </c>
      <c r="ZQ94" s="16" t="n">
        <v>0</v>
      </c>
      <c r="ZR94" s="0" t="n">
        <v>0</v>
      </c>
      <c r="ZS94" s="0" t="s">
        <v>365</v>
      </c>
      <c r="ZT94" s="0" t="n">
        <v>75</v>
      </c>
      <c r="ZU94" s="16" t="n">
        <v>76.8</v>
      </c>
      <c r="ZV94" s="16" t="n">
        <v>80.4</v>
      </c>
      <c r="ZW94" s="16" t="n">
        <v>30.8</v>
      </c>
      <c r="ZX94" s="0" t="n">
        <v>74.74</v>
      </c>
      <c r="ZY94" s="17" t="n">
        <v>0</v>
      </c>
      <c r="ZZ94" s="0" t="n">
        <v>4.24</v>
      </c>
      <c r="AAA94" s="0" t="n">
        <v>16.45</v>
      </c>
      <c r="AAB94" s="0" t="n">
        <v>4.57</v>
      </c>
      <c r="AAC94" s="0" t="n">
        <v>0</v>
      </c>
      <c r="AAD94" s="0" t="n">
        <v>0</v>
      </c>
      <c r="AAF94" s="0" t="n">
        <v>0</v>
      </c>
      <c r="AAG94" s="0" t="n">
        <v>0</v>
      </c>
      <c r="AAH94" s="0" t="n">
        <v>0</v>
      </c>
      <c r="AAI94" s="0" t="n">
        <v>0</v>
      </c>
      <c r="AAJ94" s="0" t="n">
        <v>35.23</v>
      </c>
      <c r="AAK94" s="0" t="n">
        <v>6.53</v>
      </c>
      <c r="AAL94" s="0" t="n">
        <v>4.97</v>
      </c>
      <c r="AAM94" s="0" t="n">
        <v>0</v>
      </c>
      <c r="AAN94" s="0" t="n">
        <v>0</v>
      </c>
      <c r="AAO94" s="0" t="n">
        <v>0</v>
      </c>
      <c r="ABB94" s="0" t="n">
        <v>38.4</v>
      </c>
      <c r="ABC94" s="0" t="n">
        <v>1</v>
      </c>
      <c r="ABD94" s="0" t="n">
        <v>47</v>
      </c>
      <c r="ABE94" s="0" t="n">
        <v>7</v>
      </c>
      <c r="ABF94" s="0" t="n">
        <v>5.33</v>
      </c>
      <c r="ABG94" s="0" t="n">
        <v>3</v>
      </c>
      <c r="ABN94" s="20"/>
      <c r="ACF94" s="0" t="n">
        <v>0</v>
      </c>
      <c r="ADQ94" s="16" t="n">
        <v>2.02</v>
      </c>
      <c r="ADR94" s="16" t="n">
        <v>1</v>
      </c>
      <c r="ADS94" s="16" t="n">
        <v>1</v>
      </c>
      <c r="ADT94" s="16"/>
      <c r="ADU94" s="16" t="n">
        <v>9.95</v>
      </c>
      <c r="ADV94" s="16" t="n">
        <v>2</v>
      </c>
      <c r="ADW94" s="16"/>
      <c r="ADX94" s="16" t="n">
        <v>9.95</v>
      </c>
      <c r="ADY94" s="16"/>
      <c r="ADZ94" s="16"/>
      <c r="AEA94" s="16"/>
      <c r="AEB94" s="16" t="n">
        <v>0</v>
      </c>
      <c r="AEC94" s="16" t="n">
        <v>0</v>
      </c>
      <c r="AED94" s="16" t="n">
        <v>0</v>
      </c>
      <c r="AEE94" s="16" t="n">
        <v>0</v>
      </c>
      <c r="AEF94" s="16" t="n">
        <v>0</v>
      </c>
      <c r="AEG94" s="16" t="n">
        <v>0</v>
      </c>
      <c r="AEH94" s="16" t="n">
        <v>0</v>
      </c>
      <c r="AEI94" s="0" t="n">
        <v>0</v>
      </c>
      <c r="AEJ94" s="0" t="s">
        <v>351</v>
      </c>
      <c r="AEK94" s="0" t="n">
        <v>30.5</v>
      </c>
      <c r="AEL94" s="16" t="n">
        <v>68.4</v>
      </c>
      <c r="AEM94" s="16" t="n">
        <v>80.4</v>
      </c>
      <c r="AEN94" s="16" t="n">
        <v>19.8</v>
      </c>
      <c r="AEO94" s="0" t="n">
        <v>72.42</v>
      </c>
      <c r="AEP94" s="17" t="n">
        <v>0</v>
      </c>
      <c r="AEQ94" s="0" t="n">
        <v>0.94</v>
      </c>
      <c r="AER94" s="0" t="n">
        <v>0.94</v>
      </c>
      <c r="AES94" s="0" t="n">
        <v>25.7</v>
      </c>
      <c r="AET94" s="0" t="n">
        <v>0</v>
      </c>
      <c r="AEU94" s="0" t="n">
        <v>0</v>
      </c>
      <c r="AEW94" s="0" t="n">
        <v>0</v>
      </c>
      <c r="AEX94" s="0" t="n">
        <v>0</v>
      </c>
      <c r="AEY94" s="0" t="n">
        <v>0</v>
      </c>
      <c r="AEZ94" s="0" t="n">
        <v>0</v>
      </c>
      <c r="AFA94" s="0" t="n">
        <v>28.26</v>
      </c>
      <c r="AFB94" s="0" t="n">
        <v>10.55</v>
      </c>
      <c r="AFC94" s="0" t="n">
        <v>14.21</v>
      </c>
      <c r="AFD94" s="0" t="n">
        <v>0</v>
      </c>
      <c r="AFE94" s="0" t="n">
        <v>0</v>
      </c>
      <c r="AFF94" s="0" t="n">
        <v>0</v>
      </c>
      <c r="AFS94" s="0" t="n">
        <v>3.3</v>
      </c>
      <c r="AFT94" s="0" t="n">
        <v>1</v>
      </c>
      <c r="AFU94" s="0" t="n">
        <v>68</v>
      </c>
      <c r="AFV94" s="0" t="n">
        <v>2</v>
      </c>
      <c r="AFW94" s="0" t="n">
        <v>1.52</v>
      </c>
      <c r="AFX94" s="0" t="n">
        <v>1</v>
      </c>
      <c r="AGE94" s="20"/>
      <c r="AGW94" s="0" t="n">
        <v>0</v>
      </c>
      <c r="AIH94" s="16" t="n">
        <v>0</v>
      </c>
      <c r="AII94" s="16" t="n">
        <v>0</v>
      </c>
      <c r="AIJ94" s="16"/>
      <c r="AIK94" s="16"/>
      <c r="AIL94" s="16"/>
      <c r="AIM94" s="16"/>
      <c r="AIN94" s="16"/>
      <c r="AIO94" s="16"/>
      <c r="AIP94" s="16"/>
      <c r="AIQ94" s="16"/>
      <c r="AIR94" s="16"/>
      <c r="AIS94" s="16" t="n">
        <v>0.81</v>
      </c>
      <c r="AIT94" s="16" t="n">
        <v>0.8</v>
      </c>
      <c r="AIU94" s="16" t="n">
        <v>0</v>
      </c>
      <c r="AIV94" s="16" t="n">
        <v>0</v>
      </c>
      <c r="AIW94" s="16" t="n">
        <v>2.99</v>
      </c>
      <c r="AIX94" s="16" t="n">
        <v>5.71</v>
      </c>
      <c r="AIY94" s="16" t="n">
        <v>0</v>
      </c>
      <c r="AIZ94" s="0" t="n">
        <v>0</v>
      </c>
      <c r="AJA94" s="0" t="s">
        <v>356</v>
      </c>
      <c r="AJB94" s="0" t="n">
        <v>39.5</v>
      </c>
      <c r="AJC94" s="16" t="n">
        <v>85.1</v>
      </c>
      <c r="AJD94" s="16" t="n">
        <v>80.4</v>
      </c>
      <c r="AJE94" s="16" t="n">
        <v>13.6</v>
      </c>
      <c r="AJF94" s="0" t="n">
        <v>87.38</v>
      </c>
      <c r="AJG94" s="17" t="n">
        <v>0</v>
      </c>
      <c r="AJH94" s="0" t="n">
        <v>8.05</v>
      </c>
      <c r="AJI94" s="0" t="n">
        <v>0</v>
      </c>
      <c r="AJJ94" s="0" t="n">
        <v>4.57</v>
      </c>
      <c r="AJK94" s="0" t="n">
        <v>0</v>
      </c>
      <c r="AJL94" s="0" t="n">
        <v>0</v>
      </c>
      <c r="AJN94" s="0" t="n">
        <v>0</v>
      </c>
      <c r="AJO94" s="0" t="n">
        <v>0</v>
      </c>
      <c r="AJP94" s="0" t="n">
        <v>0</v>
      </c>
      <c r="AJQ94" s="0" t="n">
        <v>0</v>
      </c>
      <c r="AJR94" s="0" t="n">
        <v>45</v>
      </c>
      <c r="AJS94" s="0" t="n">
        <v>10.1</v>
      </c>
      <c r="AJT94" s="0" t="n">
        <v>11.8</v>
      </c>
      <c r="AJU94" s="0" t="n">
        <v>0</v>
      </c>
      <c r="AJV94" s="0" t="n">
        <v>0</v>
      </c>
      <c r="AJW94" s="0" t="n">
        <v>0</v>
      </c>
      <c r="AKJ94" s="0" t="n">
        <v>17.8</v>
      </c>
      <c r="AKK94" s="0" t="n">
        <v>1</v>
      </c>
      <c r="AKL94" s="0" t="n">
        <v>30</v>
      </c>
      <c r="AKM94" s="0" t="n">
        <v>7</v>
      </c>
      <c r="AKN94" s="0" t="n">
        <v>5.33</v>
      </c>
      <c r="AKO94" s="0" t="n">
        <v>3</v>
      </c>
      <c r="AKV94" s="20"/>
      <c r="ALN94" s="0" t="n">
        <v>1</v>
      </c>
      <c r="ALO94" s="0" t="n">
        <v>50</v>
      </c>
      <c r="ALP94" s="0" t="n">
        <v>1</v>
      </c>
      <c r="ALQ94" s="0" t="n">
        <v>0.03</v>
      </c>
      <c r="ALR94" s="0" t="n">
        <v>1</v>
      </c>
    </row>
    <row r="95" customFormat="false" ht="13.8" hidden="false" customHeight="false" outlineLevel="0" collapsed="false">
      <c r="A95" s="1" t="s">
        <v>479</v>
      </c>
      <c r="B95" s="12" t="n">
        <v>42894</v>
      </c>
      <c r="C95" s="0" t="n">
        <v>2</v>
      </c>
      <c r="D95" s="13" t="n">
        <v>40672</v>
      </c>
      <c r="E95" s="12" t="n">
        <v>31991</v>
      </c>
      <c r="F95" s="14" t="n">
        <f aca="false">(B95-E95)/365.25</f>
        <v>29.8507871321013</v>
      </c>
      <c r="G95" s="14" t="n">
        <f aca="false">(B95-D95)/365.25</f>
        <v>6.08350444900753</v>
      </c>
      <c r="H95" s="15" t="s">
        <v>183</v>
      </c>
      <c r="I95" s="15" t="s">
        <v>347</v>
      </c>
      <c r="J95" s="15" t="s">
        <v>183</v>
      </c>
      <c r="K95" s="21" t="n">
        <v>8</v>
      </c>
      <c r="L95" s="19" t="n">
        <v>83</v>
      </c>
      <c r="M95" s="0" t="n">
        <v>1.8</v>
      </c>
      <c r="N95" s="16" t="n">
        <f aca="false">L95/(M95*M95)</f>
        <v>25.6172839506173</v>
      </c>
      <c r="O95" s="19" t="n">
        <v>0</v>
      </c>
      <c r="P95" s="19" t="n">
        <v>0</v>
      </c>
      <c r="Q95" s="19" t="n">
        <v>0</v>
      </c>
      <c r="R95" s="19" t="n">
        <v>0</v>
      </c>
      <c r="S95" s="19" t="n">
        <v>0</v>
      </c>
      <c r="T95" s="19" t="n">
        <v>0</v>
      </c>
      <c r="U95" s="19" t="n">
        <v>1</v>
      </c>
      <c r="V95" s="19" t="n">
        <v>10</v>
      </c>
      <c r="W95" s="19" t="n">
        <v>1</v>
      </c>
      <c r="X95" s="19" t="n">
        <v>0</v>
      </c>
      <c r="Y95" s="19" t="n">
        <v>1</v>
      </c>
      <c r="Z95" s="19" t="n">
        <v>2</v>
      </c>
      <c r="AA95" s="19" t="n">
        <v>120</v>
      </c>
      <c r="AB95" s="19" t="s">
        <v>480</v>
      </c>
      <c r="AC95" s="19" t="n">
        <v>1</v>
      </c>
      <c r="AD95" s="19" t="n">
        <v>10</v>
      </c>
      <c r="AE95" s="19" t="n">
        <v>1</v>
      </c>
      <c r="AF95" s="19" t="n">
        <v>0</v>
      </c>
      <c r="AG95" s="19" t="n">
        <v>1</v>
      </c>
      <c r="AH95" s="19" t="n">
        <v>3</v>
      </c>
      <c r="AI95" s="19" t="n">
        <v>2</v>
      </c>
      <c r="AJ95" s="19" t="n">
        <v>2</v>
      </c>
      <c r="AK95" s="19" t="n">
        <v>2</v>
      </c>
      <c r="AL95" s="19" t="n">
        <v>0</v>
      </c>
      <c r="AM95" s="19" t="n">
        <v>7</v>
      </c>
      <c r="AN95" s="19" t="n">
        <v>0</v>
      </c>
      <c r="AO95" s="19" t="n">
        <v>0</v>
      </c>
      <c r="AP95" s="19" t="n">
        <v>0</v>
      </c>
      <c r="AQ95" s="19" t="n">
        <v>0</v>
      </c>
      <c r="AR95" s="19" t="n">
        <v>0</v>
      </c>
      <c r="AS95" s="19" t="n">
        <v>0</v>
      </c>
      <c r="AT95" s="19" t="n">
        <v>0</v>
      </c>
      <c r="AU95" s="19" t="n">
        <v>0</v>
      </c>
      <c r="AV95" s="19" t="n">
        <v>0</v>
      </c>
      <c r="AW95" s="19" t="n">
        <v>0</v>
      </c>
      <c r="AX95" s="19" t="n">
        <v>0</v>
      </c>
      <c r="AY95" s="19" t="n">
        <v>0</v>
      </c>
      <c r="AZ95" s="19" t="n">
        <v>0</v>
      </c>
      <c r="BA95" s="19" t="n">
        <v>0</v>
      </c>
      <c r="BB95" s="19" t="n">
        <v>1</v>
      </c>
      <c r="BC95" s="19" t="n">
        <v>1</v>
      </c>
      <c r="BD95" s="19" t="n">
        <v>1</v>
      </c>
      <c r="BE95" s="19" t="n">
        <v>5</v>
      </c>
      <c r="BF95" s="19" t="n">
        <v>0</v>
      </c>
      <c r="BG95" s="19" t="n">
        <v>0</v>
      </c>
      <c r="BH95" s="19" t="n">
        <v>0</v>
      </c>
      <c r="BI95" s="19" t="n">
        <v>0</v>
      </c>
      <c r="BJ95" s="19" t="n">
        <v>0</v>
      </c>
      <c r="BK95" s="19" t="n">
        <v>0</v>
      </c>
      <c r="BL95" s="19" t="n">
        <v>0</v>
      </c>
      <c r="BM95" s="19" t="n">
        <v>0</v>
      </c>
      <c r="BN95" s="19" t="n">
        <v>1</v>
      </c>
      <c r="BO95" s="19" t="n">
        <v>1</v>
      </c>
      <c r="BP95" s="19" t="n">
        <v>1</v>
      </c>
      <c r="BQ95" s="19" t="n">
        <v>4</v>
      </c>
      <c r="BR95" s="19" t="n">
        <v>3</v>
      </c>
      <c r="BS95" s="19" t="n">
        <v>2</v>
      </c>
      <c r="BT95" s="19" t="n">
        <v>3</v>
      </c>
      <c r="BU95" s="19" t="n">
        <v>3</v>
      </c>
      <c r="BV95" s="19" t="n">
        <v>1</v>
      </c>
      <c r="BW95" s="19" t="n">
        <v>1</v>
      </c>
      <c r="BX95" s="19" t="n">
        <v>1</v>
      </c>
      <c r="BY95" s="19" t="n">
        <v>3</v>
      </c>
      <c r="BZ95" s="19" t="n">
        <v>2</v>
      </c>
      <c r="CA95" s="19" t="n">
        <v>1</v>
      </c>
      <c r="CB95" s="19" t="n">
        <v>3</v>
      </c>
      <c r="CC95" s="19" t="n">
        <v>4</v>
      </c>
      <c r="CD95" s="19" t="n">
        <v>2</v>
      </c>
      <c r="CE95" s="19" t="n">
        <v>3</v>
      </c>
      <c r="CF95" s="19" t="n">
        <v>3</v>
      </c>
      <c r="CG95" s="19" t="n">
        <v>5</v>
      </c>
      <c r="CH95" s="19" t="n">
        <v>2</v>
      </c>
      <c r="CI95" s="19" t="n">
        <v>3</v>
      </c>
      <c r="CJ95" s="19" t="n">
        <v>3</v>
      </c>
      <c r="CK95" s="19" t="n">
        <v>9</v>
      </c>
      <c r="CL95" s="0" t="s">
        <v>350</v>
      </c>
      <c r="CM95" s="0" t="n">
        <v>75</v>
      </c>
      <c r="CN95" s="16" t="n">
        <v>87.9</v>
      </c>
      <c r="CO95" s="16" t="n">
        <v>80.4</v>
      </c>
      <c r="CP95" s="16" t="n">
        <v>45.2</v>
      </c>
      <c r="CQ95" s="0" t="n">
        <v>50.83</v>
      </c>
      <c r="CR95" s="0" t="n">
        <v>0.05</v>
      </c>
      <c r="CS95" s="0" t="n">
        <v>46.44</v>
      </c>
      <c r="CT95" s="0" t="n">
        <v>2.67</v>
      </c>
      <c r="CU95" s="0" t="n">
        <v>0</v>
      </c>
      <c r="CV95" s="0" t="n">
        <v>0</v>
      </c>
      <c r="CW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25.21</v>
      </c>
      <c r="DD95" s="0" t="n">
        <v>43.57</v>
      </c>
      <c r="DE95" s="0" t="n">
        <v>6.27</v>
      </c>
      <c r="DF95" s="0" t="n">
        <v>0</v>
      </c>
      <c r="DG95" s="0" t="n">
        <v>0</v>
      </c>
      <c r="DH95" s="0" t="n">
        <v>0</v>
      </c>
      <c r="DU95" s="0" t="n">
        <v>17.8</v>
      </c>
      <c r="DV95" s="0" t="n">
        <v>1</v>
      </c>
      <c r="DW95" s="0" t="n">
        <v>35</v>
      </c>
      <c r="DX95" s="0" t="n">
        <v>9</v>
      </c>
      <c r="DY95" s="0" t="n">
        <v>2.55</v>
      </c>
      <c r="DZ95" s="0" t="n">
        <v>3</v>
      </c>
      <c r="EG95" s="20"/>
      <c r="EY95" s="0" t="n">
        <v>1</v>
      </c>
      <c r="EZ95" s="0" t="n">
        <v>50</v>
      </c>
      <c r="FA95" s="0" t="n">
        <v>8</v>
      </c>
      <c r="FB95" s="0" t="n">
        <v>2.12</v>
      </c>
      <c r="FC95" s="0" t="n">
        <v>3</v>
      </c>
      <c r="GJ95" s="16" t="n">
        <v>3.43</v>
      </c>
      <c r="GK95" s="16" t="n">
        <v>1</v>
      </c>
      <c r="GL95" s="16" t="n">
        <v>1</v>
      </c>
      <c r="GM95" s="16"/>
      <c r="GN95" s="16" t="n">
        <v>26.11</v>
      </c>
      <c r="GO95" s="16" t="n">
        <v>2</v>
      </c>
      <c r="GP95" s="16"/>
      <c r="GQ95" s="16" t="n">
        <v>11.19</v>
      </c>
      <c r="GR95" s="16"/>
      <c r="GS95" s="16"/>
      <c r="GT95" s="16"/>
      <c r="GU95" s="16" t="n">
        <v>6.39</v>
      </c>
      <c r="GV95" s="16" t="n">
        <v>3.31</v>
      </c>
      <c r="GW95" s="16" t="n">
        <v>0</v>
      </c>
      <c r="GX95" s="16" t="n">
        <v>0</v>
      </c>
      <c r="GY95" s="16" t="n">
        <v>0</v>
      </c>
      <c r="GZ95" s="16" t="n">
        <v>0</v>
      </c>
      <c r="HA95" s="16" t="n">
        <v>0</v>
      </c>
      <c r="HB95" s="0" t="n">
        <v>0</v>
      </c>
      <c r="HC95" s="0" t="s">
        <v>361</v>
      </c>
      <c r="HD95" s="0" t="n">
        <v>74.5</v>
      </c>
      <c r="HE95" s="16" t="n">
        <v>76.2</v>
      </c>
      <c r="HF95" s="16" t="n">
        <v>80.4</v>
      </c>
      <c r="HG95" s="16" t="n">
        <v>42.8</v>
      </c>
      <c r="HH95" s="0" t="n">
        <v>57.15</v>
      </c>
      <c r="HI95" s="0" t="n">
        <v>0.45</v>
      </c>
      <c r="HJ95" s="0" t="n">
        <v>39.09</v>
      </c>
      <c r="HK95" s="0" t="n">
        <v>3.3</v>
      </c>
      <c r="HL95" s="0" t="n">
        <v>0</v>
      </c>
      <c r="HM95" s="0" t="n">
        <v>0</v>
      </c>
      <c r="HN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18.26</v>
      </c>
      <c r="HU95" s="0" t="n">
        <v>34.4</v>
      </c>
      <c r="HV95" s="0" t="n">
        <v>6.27</v>
      </c>
      <c r="HW95" s="0" t="n">
        <v>0</v>
      </c>
      <c r="HX95" s="0" t="n">
        <v>0</v>
      </c>
      <c r="HY95" s="0" t="n">
        <v>0</v>
      </c>
      <c r="IL95" s="0" t="n">
        <v>18.2</v>
      </c>
      <c r="IM95" s="0" t="n">
        <v>1</v>
      </c>
      <c r="IN95" s="0" t="n">
        <v>35</v>
      </c>
      <c r="IO95" s="0" t="n">
        <v>9</v>
      </c>
      <c r="IP95" s="0" t="n">
        <v>2.55</v>
      </c>
      <c r="IQ95" s="0" t="n">
        <v>3</v>
      </c>
      <c r="IX95" s="20"/>
      <c r="JP95" s="0" t="n">
        <v>1</v>
      </c>
      <c r="JQ95" s="0" t="n">
        <v>50</v>
      </c>
      <c r="JR95" s="0" t="n">
        <v>8</v>
      </c>
      <c r="JS95" s="0" t="n">
        <v>2.54</v>
      </c>
      <c r="JT95" s="0" t="n">
        <v>3</v>
      </c>
      <c r="LA95" s="16" t="n">
        <v>7.59</v>
      </c>
      <c r="LB95" s="16" t="n">
        <v>1</v>
      </c>
      <c r="LC95" s="16" t="n">
        <v>1</v>
      </c>
      <c r="LD95" s="16"/>
      <c r="LE95" s="16" t="n">
        <v>22.38</v>
      </c>
      <c r="LF95" s="16" t="n">
        <v>2</v>
      </c>
      <c r="LG95" s="16"/>
      <c r="LH95" s="16" t="n">
        <v>14.92</v>
      </c>
      <c r="LI95" s="16"/>
      <c r="LJ95" s="16"/>
      <c r="LK95" s="16"/>
      <c r="LL95" s="16" t="n">
        <v>5.05</v>
      </c>
      <c r="LM95" s="16" t="n">
        <v>1.54</v>
      </c>
      <c r="LN95" s="16" t="n">
        <v>0</v>
      </c>
      <c r="LO95" s="16" t="n">
        <v>0</v>
      </c>
      <c r="LP95" s="16" t="n">
        <v>0</v>
      </c>
      <c r="LQ95" s="16" t="n">
        <v>0</v>
      </c>
      <c r="LR95" s="16" t="n">
        <v>0</v>
      </c>
      <c r="LS95" s="0" t="n">
        <v>0</v>
      </c>
      <c r="LT95" s="0" t="s">
        <v>356</v>
      </c>
      <c r="LU95" s="0" t="n">
        <v>39.5</v>
      </c>
      <c r="LV95" s="16" t="n">
        <v>85.1</v>
      </c>
      <c r="LW95" s="16" t="n">
        <v>80.4</v>
      </c>
      <c r="LX95" s="16" t="n">
        <v>13.6</v>
      </c>
      <c r="LY95" s="0" t="n">
        <v>87.38</v>
      </c>
      <c r="MA95" s="0" t="n">
        <v>8.05</v>
      </c>
      <c r="MB95" s="0" t="n">
        <v>0</v>
      </c>
      <c r="MC95" s="0" t="n">
        <v>4.57</v>
      </c>
      <c r="MD95" s="0" t="n">
        <v>0</v>
      </c>
      <c r="ME95" s="0" t="n">
        <v>0</v>
      </c>
      <c r="MG95" s="0" t="n">
        <v>0</v>
      </c>
      <c r="MH95" s="0" t="n">
        <v>0</v>
      </c>
      <c r="MI95" s="0" t="n">
        <v>0</v>
      </c>
      <c r="MJ95" s="0" t="n">
        <v>0</v>
      </c>
      <c r="MK95" s="0" t="n">
        <v>45</v>
      </c>
      <c r="ML95" s="0" t="n">
        <v>10.1</v>
      </c>
      <c r="MM95" s="0" t="n">
        <v>11.8</v>
      </c>
      <c r="MN95" s="0" t="n">
        <v>0</v>
      </c>
      <c r="MO95" s="0" t="n">
        <v>0</v>
      </c>
      <c r="MP95" s="0" t="n">
        <v>0</v>
      </c>
      <c r="NC95" s="0" t="n">
        <v>17.8</v>
      </c>
      <c r="ND95" s="0" t="n">
        <v>1</v>
      </c>
      <c r="NE95" s="0" t="n">
        <v>30</v>
      </c>
      <c r="NF95" s="0" t="n">
        <v>7</v>
      </c>
      <c r="NG95" s="0" t="n">
        <v>5.33</v>
      </c>
      <c r="NH95" s="0" t="n">
        <v>3</v>
      </c>
      <c r="NO95" s="20"/>
      <c r="OG95" s="0" t="n">
        <v>1</v>
      </c>
      <c r="OH95" s="0" t="n">
        <v>50</v>
      </c>
      <c r="OI95" s="0" t="n">
        <v>1</v>
      </c>
      <c r="OJ95" s="0" t="n">
        <v>0.03</v>
      </c>
      <c r="OK95" s="0" t="n">
        <v>1</v>
      </c>
      <c r="PR95" s="16" t="n">
        <v>3.96</v>
      </c>
      <c r="PS95" s="16" t="n">
        <v>1</v>
      </c>
      <c r="PT95" s="16" t="n">
        <v>1</v>
      </c>
      <c r="PU95" s="16"/>
      <c r="PV95" s="16" t="n">
        <v>41.03</v>
      </c>
      <c r="PW95" s="16" t="n">
        <v>2</v>
      </c>
      <c r="PX95" s="16" t="n">
        <v>3.73</v>
      </c>
      <c r="PY95" s="16"/>
      <c r="PZ95" s="16"/>
      <c r="QA95" s="16"/>
      <c r="QB95" s="16"/>
      <c r="QC95" s="16" t="n">
        <v>0</v>
      </c>
      <c r="QD95" s="16" t="n">
        <v>0</v>
      </c>
      <c r="QE95" s="16" t="n">
        <v>0</v>
      </c>
      <c r="QF95" s="16" t="n">
        <v>0</v>
      </c>
      <c r="QG95" s="16" t="n">
        <v>0</v>
      </c>
      <c r="QH95" s="16" t="n">
        <v>0</v>
      </c>
      <c r="QI95" s="16" t="n">
        <v>0</v>
      </c>
      <c r="QJ95" s="0" t="n">
        <v>0</v>
      </c>
      <c r="QK95" s="0" t="s">
        <v>373</v>
      </c>
      <c r="QL95" s="0" t="n">
        <v>27.5</v>
      </c>
      <c r="QM95" s="16" t="n">
        <v>79.1</v>
      </c>
      <c r="QN95" s="16" t="n">
        <v>80.4</v>
      </c>
      <c r="QO95" s="16" t="n">
        <v>15.3</v>
      </c>
      <c r="QP95" s="0" t="n">
        <v>87.64</v>
      </c>
      <c r="QR95" s="0" t="n">
        <v>0</v>
      </c>
      <c r="QS95" s="0" t="n">
        <v>0</v>
      </c>
      <c r="QT95" s="0" t="n">
        <v>12.36</v>
      </c>
      <c r="QU95" s="0" t="n">
        <v>0</v>
      </c>
      <c r="QV95" s="0" t="n">
        <v>0</v>
      </c>
      <c r="QX95" s="0" t="n">
        <v>0</v>
      </c>
      <c r="QY95" s="0" t="n">
        <v>0</v>
      </c>
      <c r="QZ95" s="0" t="n">
        <v>0</v>
      </c>
      <c r="RA95" s="0" t="n">
        <v>24.9</v>
      </c>
      <c r="RB95" s="0" t="n">
        <v>31.79</v>
      </c>
      <c r="RC95" s="0" t="n">
        <v>18.86</v>
      </c>
      <c r="RD95" s="0" t="n">
        <v>0</v>
      </c>
      <c r="RE95" s="0" t="n">
        <v>0</v>
      </c>
      <c r="RF95" s="0" t="n">
        <v>4.8</v>
      </c>
      <c r="RG95" s="0" t="n">
        <v>5</v>
      </c>
      <c r="RH95" s="0" t="n">
        <v>50</v>
      </c>
      <c r="RI95" s="0" t="n">
        <v>4</v>
      </c>
      <c r="RN95" s="0" t="n">
        <v>50</v>
      </c>
      <c r="RO95" s="0" t="n">
        <v>4</v>
      </c>
      <c r="RT95" s="0" t="n">
        <v>5.5</v>
      </c>
      <c r="RU95" s="0" t="n">
        <v>0</v>
      </c>
      <c r="SF95" s="20"/>
      <c r="SX95" s="0" t="n">
        <v>1</v>
      </c>
      <c r="SY95" s="0" t="n">
        <v>50</v>
      </c>
      <c r="SZ95" s="0" t="n">
        <v>4</v>
      </c>
      <c r="TA95" s="0" t="n">
        <v>3.59</v>
      </c>
      <c r="TB95" s="0" t="n">
        <v>3</v>
      </c>
      <c r="TC95" s="0" t="n">
        <v>70</v>
      </c>
      <c r="TD95" s="0" t="n">
        <v>14</v>
      </c>
      <c r="TE95" s="0" t="n">
        <v>4.93</v>
      </c>
      <c r="TF95" s="0" t="n">
        <v>2</v>
      </c>
      <c r="UI95" s="16" t="n">
        <v>0.75</v>
      </c>
      <c r="UJ95" s="16" t="n">
        <v>1</v>
      </c>
      <c r="UK95" s="16" t="n">
        <v>1</v>
      </c>
      <c r="UL95" s="16"/>
      <c r="UM95" s="16" t="n">
        <v>9.96</v>
      </c>
      <c r="UN95" s="16"/>
      <c r="UO95" s="16"/>
      <c r="UP95" s="16"/>
      <c r="UQ95" s="16"/>
      <c r="UR95" s="16"/>
      <c r="US95" s="16"/>
      <c r="UT95" s="16" t="n">
        <v>0</v>
      </c>
      <c r="UU95" s="16" t="n">
        <v>0</v>
      </c>
      <c r="UV95" s="16" t="n">
        <v>0</v>
      </c>
      <c r="UW95" s="16" t="n">
        <v>0</v>
      </c>
      <c r="UX95" s="16" t="n">
        <v>0</v>
      </c>
      <c r="UY95" s="16" t="n">
        <v>0</v>
      </c>
      <c r="UZ95" s="16" t="n">
        <v>0</v>
      </c>
      <c r="VA95" s="0" t="n">
        <v>0</v>
      </c>
      <c r="VB95" s="0" t="s">
        <v>357</v>
      </c>
      <c r="VC95" s="0" t="n">
        <v>27.5</v>
      </c>
      <c r="VD95" s="16" t="n">
        <v>76.2</v>
      </c>
      <c r="VE95" s="16" t="n">
        <v>80.4</v>
      </c>
      <c r="VF95" s="16" t="n">
        <v>15.3</v>
      </c>
      <c r="VG95" s="0" t="n">
        <v>87.64</v>
      </c>
      <c r="VI95" s="0" t="n">
        <v>0</v>
      </c>
      <c r="VJ95" s="0" t="n">
        <v>0</v>
      </c>
      <c r="VK95" s="0" t="n">
        <v>12.36</v>
      </c>
      <c r="VL95" s="0" t="n">
        <v>0</v>
      </c>
      <c r="VM95" s="0" t="n">
        <v>0</v>
      </c>
      <c r="VO95" s="0" t="n">
        <v>0</v>
      </c>
      <c r="VP95" s="0" t="n">
        <v>0</v>
      </c>
      <c r="VQ95" s="0" t="n">
        <v>0</v>
      </c>
      <c r="VR95" s="0" t="n">
        <v>24.9</v>
      </c>
      <c r="VS95" s="0" t="n">
        <v>31.99</v>
      </c>
      <c r="VT95" s="0" t="n">
        <v>18.66</v>
      </c>
      <c r="VU95" s="0" t="n">
        <v>0</v>
      </c>
      <c r="VV95" s="0" t="n">
        <v>0</v>
      </c>
      <c r="VW95" s="0" t="n">
        <v>4.8</v>
      </c>
      <c r="VX95" s="0" t="n">
        <v>5</v>
      </c>
      <c r="VY95" s="0" t="n">
        <v>50</v>
      </c>
      <c r="VZ95" s="0" t="n">
        <v>4</v>
      </c>
      <c r="WE95" s="0" t="n">
        <v>50</v>
      </c>
      <c r="WF95" s="0" t="n">
        <v>4</v>
      </c>
      <c r="WK95" s="0" t="n">
        <v>5.5</v>
      </c>
      <c r="WL95" s="0" t="n">
        <v>0</v>
      </c>
      <c r="WW95" s="20"/>
      <c r="XO95" s="0" t="n">
        <v>1</v>
      </c>
      <c r="XP95" s="0" t="n">
        <v>50</v>
      </c>
      <c r="XQ95" s="0" t="n">
        <v>4</v>
      </c>
      <c r="XR95" s="0" t="n">
        <v>3.59</v>
      </c>
      <c r="XS95" s="0" t="n">
        <v>3</v>
      </c>
      <c r="XT95" s="0" t="n">
        <v>70</v>
      </c>
      <c r="XU95" s="0" t="n">
        <v>14</v>
      </c>
      <c r="XV95" s="0" t="n">
        <v>4.93</v>
      </c>
      <c r="XW95" s="0" t="n">
        <v>2</v>
      </c>
      <c r="YZ95" s="16" t="n">
        <v>0.75</v>
      </c>
      <c r="ZA95" s="16" t="n">
        <v>1</v>
      </c>
      <c r="ZB95" s="16" t="n">
        <v>1</v>
      </c>
      <c r="ZC95" s="16"/>
      <c r="ZD95" s="16" t="n">
        <v>9.96</v>
      </c>
      <c r="ZE95" s="16"/>
      <c r="ZF95" s="16"/>
      <c r="ZG95" s="16"/>
      <c r="ZH95" s="16"/>
      <c r="ZI95" s="16"/>
      <c r="ZJ95" s="16"/>
      <c r="ZK95" s="16" t="n">
        <v>0</v>
      </c>
      <c r="ZL95" s="16" t="n">
        <v>0</v>
      </c>
      <c r="ZM95" s="16" t="n">
        <v>0</v>
      </c>
      <c r="ZN95" s="16" t="n">
        <v>0</v>
      </c>
      <c r="ZO95" s="16" t="n">
        <v>0</v>
      </c>
      <c r="ZP95" s="16" t="n">
        <v>0</v>
      </c>
      <c r="ZQ95" s="16" t="n">
        <v>0</v>
      </c>
      <c r="ZR95" s="0" t="n">
        <v>0</v>
      </c>
      <c r="ZS95" s="0" t="s">
        <v>370</v>
      </c>
      <c r="ZT95" s="0" t="n">
        <v>80.5</v>
      </c>
      <c r="ZU95" s="16" t="n">
        <v>42.5</v>
      </c>
      <c r="ZV95" s="16" t="n">
        <v>80.4</v>
      </c>
      <c r="ZW95" s="16" t="n">
        <v>4.3</v>
      </c>
      <c r="ZX95" s="0" t="n">
        <v>100</v>
      </c>
      <c r="ZZ95" s="0" t="n">
        <v>0</v>
      </c>
      <c r="AAA95" s="0" t="n">
        <v>0</v>
      </c>
      <c r="AAB95" s="0" t="n">
        <v>0</v>
      </c>
      <c r="AAC95" s="0" t="n">
        <v>0</v>
      </c>
      <c r="AAD95" s="0" t="n">
        <v>0</v>
      </c>
      <c r="AAF95" s="0" t="n">
        <v>0</v>
      </c>
      <c r="AAG95" s="0" t="n">
        <v>0</v>
      </c>
      <c r="AAH95" s="0" t="n">
        <v>0</v>
      </c>
      <c r="AAI95" s="0" t="n">
        <v>0</v>
      </c>
      <c r="AAJ95" s="0" t="n">
        <v>61.07</v>
      </c>
      <c r="AAK95" s="0" t="n">
        <v>4</v>
      </c>
      <c r="AAL95" s="0" t="n">
        <v>0.14</v>
      </c>
      <c r="AAM95" s="0" t="n">
        <v>0</v>
      </c>
      <c r="AAN95" s="0" t="n">
        <v>15.7</v>
      </c>
      <c r="AAO95" s="0" t="n">
        <v>1</v>
      </c>
      <c r="AAP95" s="0" t="n">
        <v>3</v>
      </c>
      <c r="AAR95" s="0" t="n">
        <v>1</v>
      </c>
      <c r="AAV95" s="0" t="n">
        <v>3</v>
      </c>
      <c r="AAX95" s="0" t="n">
        <v>1</v>
      </c>
      <c r="ABB95" s="0" t="n">
        <v>12.4</v>
      </c>
      <c r="ABC95" s="0" t="n">
        <v>1</v>
      </c>
      <c r="ABD95" s="0" t="n">
        <v>34</v>
      </c>
      <c r="ABE95" s="0" t="n">
        <v>4</v>
      </c>
      <c r="ABF95" s="0" t="n">
        <v>1.28</v>
      </c>
      <c r="ABG95" s="0" t="n">
        <v>1</v>
      </c>
      <c r="ABN95" s="20"/>
      <c r="ACF95" s="0" t="n">
        <v>1</v>
      </c>
      <c r="ACG95" s="0" t="n">
        <v>50</v>
      </c>
      <c r="ACH95" s="0" t="n">
        <v>2</v>
      </c>
      <c r="ACI95" s="0" t="n">
        <v>2.28</v>
      </c>
      <c r="ACJ95" s="0" t="n">
        <v>3</v>
      </c>
      <c r="ACK95" s="0" t="n">
        <v>50</v>
      </c>
      <c r="ACL95" s="0" t="n">
        <v>12</v>
      </c>
      <c r="ACM95" s="0" t="n">
        <v>8.75</v>
      </c>
      <c r="ACN95" s="0" t="n">
        <v>4</v>
      </c>
      <c r="ADQ95" s="16" t="n">
        <v>0.63</v>
      </c>
      <c r="ADR95" s="16" t="n">
        <v>1</v>
      </c>
      <c r="ADS95" s="16" t="n">
        <v>1</v>
      </c>
      <c r="ADT95" s="16"/>
      <c r="ADU95" s="16" t="n">
        <v>7.46</v>
      </c>
      <c r="ADV95" s="16"/>
      <c r="ADW95" s="16"/>
      <c r="ADX95" s="16"/>
      <c r="ADY95" s="16"/>
      <c r="ADZ95" s="16"/>
      <c r="AEA95" s="16"/>
      <c r="AEB95" s="16" t="n">
        <v>8.47</v>
      </c>
      <c r="AEC95" s="16" t="n">
        <v>4.95</v>
      </c>
      <c r="AED95" s="16" t="n">
        <v>0</v>
      </c>
      <c r="AEE95" s="16" t="n">
        <v>0</v>
      </c>
      <c r="AEF95" s="16" t="n">
        <v>0</v>
      </c>
      <c r="AEG95" s="16" t="n">
        <v>0</v>
      </c>
      <c r="AEH95" s="16" t="n">
        <v>0</v>
      </c>
      <c r="AEI95" s="0" t="n">
        <v>0</v>
      </c>
      <c r="AEJ95" s="0" t="s">
        <v>358</v>
      </c>
      <c r="AEK95" s="0" t="n">
        <v>41</v>
      </c>
      <c r="AEL95" s="16" t="n">
        <v>91.1</v>
      </c>
      <c r="AEM95" s="16" t="n">
        <v>80.4</v>
      </c>
      <c r="AEN95" s="16" t="n">
        <v>6.5</v>
      </c>
      <c r="AEO95" s="0" t="n">
        <v>94.94</v>
      </c>
      <c r="AEQ95" s="0" t="n">
        <v>0</v>
      </c>
      <c r="AER95" s="0" t="n">
        <v>0</v>
      </c>
      <c r="AES95" s="0" t="n">
        <v>5.06</v>
      </c>
      <c r="AET95" s="0" t="n">
        <v>0</v>
      </c>
      <c r="AEU95" s="0" t="n">
        <v>0</v>
      </c>
      <c r="AEW95" s="0" t="n">
        <v>0</v>
      </c>
      <c r="AEX95" s="0" t="n">
        <v>0</v>
      </c>
      <c r="AEY95" s="0" t="n">
        <v>0</v>
      </c>
      <c r="AEZ95" s="0" t="n">
        <v>0</v>
      </c>
      <c r="AFA95" s="0" t="n">
        <v>64.35</v>
      </c>
      <c r="AFB95" s="0" t="n">
        <v>9.29</v>
      </c>
      <c r="AFC95" s="0" t="n">
        <v>0</v>
      </c>
      <c r="AFD95" s="0" t="n">
        <v>0</v>
      </c>
      <c r="AFE95" s="0" t="n">
        <v>15.7</v>
      </c>
      <c r="AFF95" s="0" t="n">
        <v>1</v>
      </c>
      <c r="AFG95" s="0" t="n">
        <v>3</v>
      </c>
      <c r="AFI95" s="0" t="n">
        <v>1</v>
      </c>
      <c r="AFM95" s="0" t="n">
        <v>3</v>
      </c>
      <c r="AFO95" s="0" t="n">
        <v>1</v>
      </c>
      <c r="AFS95" s="0" t="n">
        <v>10.8</v>
      </c>
      <c r="AFT95" s="0" t="n">
        <v>1</v>
      </c>
      <c r="AFU95" s="0" t="n">
        <v>34</v>
      </c>
      <c r="AFV95" s="0" t="n">
        <v>4</v>
      </c>
      <c r="AFW95" s="0" t="n">
        <v>1.68</v>
      </c>
      <c r="AFX95" s="0" t="n">
        <v>1</v>
      </c>
      <c r="AGE95" s="20"/>
      <c r="AGW95" s="0" t="n">
        <v>1</v>
      </c>
      <c r="AGX95" s="0" t="n">
        <v>50</v>
      </c>
      <c r="AGY95" s="0" t="n">
        <v>2</v>
      </c>
      <c r="AGZ95" s="0" t="n">
        <v>2.24</v>
      </c>
      <c r="AHA95" s="0" t="n">
        <v>3</v>
      </c>
      <c r="AHB95" s="0" t="n">
        <v>50</v>
      </c>
      <c r="AHC95" s="0" t="n">
        <v>12</v>
      </c>
      <c r="AHD95" s="0" t="n">
        <v>8.51</v>
      </c>
      <c r="AHE95" s="0" t="n">
        <v>4</v>
      </c>
      <c r="AIH95" s="16" t="n">
        <v>0.86</v>
      </c>
      <c r="AII95" s="16" t="n">
        <v>1</v>
      </c>
      <c r="AIJ95" s="16" t="n">
        <v>1</v>
      </c>
      <c r="AIK95" s="16"/>
      <c r="AIL95" s="16" t="n">
        <v>12.44</v>
      </c>
      <c r="AIM95" s="16"/>
      <c r="AIN95" s="16"/>
      <c r="AIO95" s="16"/>
      <c r="AIP95" s="16"/>
      <c r="AIQ95" s="16"/>
      <c r="AIR95" s="16"/>
      <c r="AIS95" s="16" t="n">
        <v>5.31</v>
      </c>
      <c r="AIT95" s="16" t="n">
        <v>7.99</v>
      </c>
      <c r="AIU95" s="16" t="n">
        <v>0</v>
      </c>
      <c r="AIV95" s="16" t="n">
        <v>0</v>
      </c>
      <c r="AIW95" s="16" t="n">
        <v>0</v>
      </c>
      <c r="AIX95" s="16" t="n">
        <v>0</v>
      </c>
      <c r="AIY95" s="16" t="n">
        <v>0</v>
      </c>
      <c r="AIZ95" s="0" t="n">
        <v>0</v>
      </c>
      <c r="AJA95" s="15"/>
      <c r="AJB95" s="15"/>
      <c r="AJI95" s="15"/>
      <c r="AJJ95" s="15"/>
      <c r="AJQ95" s="15"/>
      <c r="AJR95" s="15"/>
      <c r="AJY95" s="15"/>
      <c r="AJZ95" s="15"/>
      <c r="AKG95" s="15"/>
      <c r="AKH95" s="15"/>
      <c r="AKO95" s="15"/>
      <c r="AKP95" s="15"/>
      <c r="AKW95" s="15"/>
      <c r="AKX95" s="15"/>
      <c r="ALE95" s="15"/>
      <c r="ALF95" s="15"/>
      <c r="ALM95" s="15"/>
      <c r="ALN95" s="15"/>
      <c r="ALU95" s="15"/>
      <c r="ALV95" s="15"/>
      <c r="AMC95" s="15"/>
      <c r="AMD95" s="15"/>
    </row>
    <row r="96" customFormat="false" ht="13.8" hidden="false" customHeight="false" outlineLevel="0" collapsed="false">
      <c r="A96" s="1" t="s">
        <v>481</v>
      </c>
      <c r="B96" s="12" t="n">
        <v>42894</v>
      </c>
      <c r="C96" s="0" t="n">
        <v>2</v>
      </c>
      <c r="D96" s="13" t="n">
        <v>42870</v>
      </c>
      <c r="E96" s="12" t="n">
        <v>28024</v>
      </c>
      <c r="F96" s="14" t="n">
        <f aca="false">(B96-E96)/365.25</f>
        <v>40.7118412046543</v>
      </c>
      <c r="G96" s="14" t="n">
        <f aca="false">(B96-D96)/365.25</f>
        <v>0.0657084188911704</v>
      </c>
      <c r="H96" s="15" t="s">
        <v>183</v>
      </c>
      <c r="I96" s="15" t="s">
        <v>347</v>
      </c>
      <c r="J96" s="15" t="s">
        <v>183</v>
      </c>
      <c r="K96" s="21" t="n">
        <v>8</v>
      </c>
      <c r="L96" s="19" t="n">
        <v>70</v>
      </c>
      <c r="M96" s="0" t="n">
        <v>1.64</v>
      </c>
      <c r="N96" s="16" t="n">
        <f aca="false">L96/(M96*M96)</f>
        <v>26.0261748958953</v>
      </c>
      <c r="O96" s="19" t="n">
        <v>0</v>
      </c>
      <c r="P96" s="19" t="n">
        <v>0</v>
      </c>
      <c r="Q96" s="19" t="n">
        <v>0</v>
      </c>
      <c r="R96" s="19" t="n">
        <v>0</v>
      </c>
      <c r="S96" s="19" t="n">
        <v>0</v>
      </c>
      <c r="T96" s="19" t="n">
        <v>0</v>
      </c>
      <c r="U96" s="19" t="n">
        <v>0</v>
      </c>
      <c r="V96" s="19" t="n">
        <v>0</v>
      </c>
      <c r="W96" s="19" t="n">
        <v>0</v>
      </c>
      <c r="X96" s="19" t="n">
        <v>0</v>
      </c>
      <c r="Y96" s="19" t="n">
        <v>1</v>
      </c>
      <c r="Z96" s="19" t="n">
        <v>2</v>
      </c>
      <c r="AA96" s="19" t="n">
        <v>120</v>
      </c>
      <c r="AB96" s="19" t="s">
        <v>482</v>
      </c>
      <c r="AC96" s="19" t="n">
        <v>1</v>
      </c>
      <c r="AD96" s="19" t="n">
        <v>15</v>
      </c>
      <c r="AE96" s="19" t="n">
        <v>0</v>
      </c>
      <c r="AF96" s="19" t="n">
        <v>0</v>
      </c>
      <c r="AG96" s="19" t="n">
        <v>0</v>
      </c>
      <c r="AH96" s="19" t="n">
        <v>0</v>
      </c>
      <c r="AI96" s="19" t="n">
        <v>0</v>
      </c>
      <c r="AJ96" s="19" t="n">
        <v>0</v>
      </c>
      <c r="AK96" s="19" t="n">
        <v>0</v>
      </c>
      <c r="AL96" s="19" t="n">
        <v>0</v>
      </c>
      <c r="AM96" s="19" t="n">
        <v>0</v>
      </c>
      <c r="AN96" s="19" t="n">
        <v>0</v>
      </c>
      <c r="AO96" s="19" t="n">
        <v>0</v>
      </c>
      <c r="AP96" s="19" t="n">
        <v>0</v>
      </c>
      <c r="AQ96" s="19" t="n">
        <v>0</v>
      </c>
      <c r="AR96" s="19" t="n">
        <v>0</v>
      </c>
      <c r="AS96" s="19" t="n">
        <v>0</v>
      </c>
      <c r="AT96" s="19" t="n">
        <v>0</v>
      </c>
      <c r="AU96" s="19" t="n">
        <v>0</v>
      </c>
      <c r="AV96" s="19" t="n">
        <v>0</v>
      </c>
      <c r="AW96" s="19" t="n">
        <v>0</v>
      </c>
      <c r="AX96" s="19" t="n">
        <v>0</v>
      </c>
      <c r="AY96" s="19" t="n">
        <v>0</v>
      </c>
      <c r="AZ96" s="19" t="n">
        <v>0</v>
      </c>
      <c r="BA96" s="19" t="n">
        <v>0</v>
      </c>
      <c r="BB96" s="19" t="n">
        <v>0</v>
      </c>
      <c r="BC96" s="19" t="n">
        <v>0</v>
      </c>
      <c r="BD96" s="19" t="n">
        <v>0</v>
      </c>
      <c r="BE96" s="19" t="n">
        <v>0</v>
      </c>
      <c r="BF96" s="19" t="n">
        <v>0</v>
      </c>
      <c r="BG96" s="19" t="n">
        <v>0</v>
      </c>
      <c r="BH96" s="19" t="n">
        <v>0</v>
      </c>
      <c r="BI96" s="19" t="n">
        <v>0</v>
      </c>
      <c r="BJ96" s="19" t="n">
        <v>0</v>
      </c>
      <c r="BK96" s="19" t="n">
        <v>0</v>
      </c>
      <c r="BL96" s="19" t="n">
        <v>0</v>
      </c>
      <c r="BM96" s="19" t="n">
        <v>0</v>
      </c>
      <c r="BN96" s="19" t="n">
        <v>0</v>
      </c>
      <c r="BO96" s="19" t="n">
        <v>0</v>
      </c>
      <c r="BP96" s="19" t="n">
        <v>0</v>
      </c>
      <c r="BQ96" s="19" t="n">
        <v>0</v>
      </c>
      <c r="BR96" s="19" t="n">
        <v>3</v>
      </c>
      <c r="BS96" s="19" t="n">
        <v>2</v>
      </c>
      <c r="BT96" s="19" t="n">
        <v>3</v>
      </c>
      <c r="BU96" s="19" t="n">
        <v>4</v>
      </c>
      <c r="BV96" s="19" t="n">
        <v>3</v>
      </c>
      <c r="BW96" s="19" t="n">
        <v>2</v>
      </c>
      <c r="BX96" s="19" t="n">
        <v>3</v>
      </c>
      <c r="BY96" s="19" t="n">
        <v>3</v>
      </c>
      <c r="BZ96" s="19" t="n">
        <v>4</v>
      </c>
      <c r="CA96" s="19" t="n">
        <v>4</v>
      </c>
      <c r="CB96" s="19" t="n">
        <v>4</v>
      </c>
      <c r="CC96" s="19" t="n">
        <v>4</v>
      </c>
      <c r="CD96" s="19" t="n">
        <v>4</v>
      </c>
      <c r="CE96" s="19" t="n">
        <v>4</v>
      </c>
      <c r="CF96" s="19" t="n">
        <v>5</v>
      </c>
      <c r="CG96" s="19" t="n">
        <v>5</v>
      </c>
      <c r="CH96" s="19" t="n">
        <v>3</v>
      </c>
      <c r="CI96" s="19" t="n">
        <v>5</v>
      </c>
      <c r="CJ96" s="19" t="n">
        <v>4</v>
      </c>
      <c r="CK96" s="19" t="n">
        <v>8</v>
      </c>
      <c r="CL96" s="0" t="s">
        <v>355</v>
      </c>
      <c r="CM96" s="0" t="n">
        <v>37</v>
      </c>
      <c r="CN96" s="16" t="n">
        <v>95.1</v>
      </c>
      <c r="CO96" s="16" t="n">
        <v>80.4</v>
      </c>
      <c r="CP96" s="16" t="n">
        <v>15.9</v>
      </c>
      <c r="CQ96" s="0" t="n">
        <v>82.71</v>
      </c>
      <c r="CS96" s="0" t="n">
        <v>10.32</v>
      </c>
      <c r="CT96" s="0" t="n">
        <v>0.39</v>
      </c>
      <c r="CU96" s="0" t="n">
        <v>10.32</v>
      </c>
      <c r="CV96" s="0" t="n">
        <v>0</v>
      </c>
      <c r="CW96" s="0" t="n">
        <v>0</v>
      </c>
      <c r="CY96" s="0" t="n">
        <v>0</v>
      </c>
      <c r="CZ96" s="0" t="n">
        <v>0</v>
      </c>
      <c r="DA96" s="0" t="n">
        <v>0</v>
      </c>
      <c r="DB96" s="0" t="n">
        <v>1.9</v>
      </c>
      <c r="DC96" s="0" t="n">
        <v>26.26</v>
      </c>
      <c r="DD96" s="0" t="n">
        <v>6.04</v>
      </c>
      <c r="DE96" s="0" t="n">
        <v>2.19</v>
      </c>
      <c r="DF96" s="0" t="n">
        <v>0</v>
      </c>
      <c r="DG96" s="0" t="n">
        <v>0</v>
      </c>
      <c r="DH96" s="0" t="n">
        <v>0</v>
      </c>
      <c r="DU96" s="0" t="n">
        <v>14.7</v>
      </c>
      <c r="DV96" s="0" t="n">
        <v>1</v>
      </c>
      <c r="DW96" s="0" t="n">
        <v>35</v>
      </c>
      <c r="DX96" s="0" t="n">
        <v>2</v>
      </c>
      <c r="DY96" s="0" t="n">
        <v>1.8</v>
      </c>
      <c r="DZ96" s="0" t="n">
        <v>3</v>
      </c>
      <c r="EG96" s="20"/>
      <c r="EY96" s="0" t="n">
        <v>1</v>
      </c>
      <c r="EZ96" s="0" t="n">
        <v>50</v>
      </c>
      <c r="FA96" s="0" t="n">
        <v>1</v>
      </c>
      <c r="FB96" s="0" t="n">
        <v>1.34</v>
      </c>
      <c r="FC96" s="0" t="n">
        <v>2</v>
      </c>
      <c r="FD96" s="0" t="n">
        <v>40</v>
      </c>
      <c r="FE96" s="0" t="n">
        <v>1</v>
      </c>
      <c r="FF96" s="0" t="n">
        <v>0.9</v>
      </c>
      <c r="FG96" s="0" t="n">
        <v>3</v>
      </c>
      <c r="FH96" s="0" t="n">
        <v>50</v>
      </c>
      <c r="FI96" s="0" t="n">
        <v>1</v>
      </c>
      <c r="FJ96" s="0" t="n">
        <v>0.9</v>
      </c>
      <c r="FK96" s="0" t="n">
        <v>3</v>
      </c>
      <c r="FL96" s="0" t="n">
        <v>80</v>
      </c>
      <c r="FM96" s="0" t="n">
        <v>2</v>
      </c>
      <c r="FN96" s="0" t="n">
        <v>2.68</v>
      </c>
      <c r="FO96" s="0" t="n">
        <v>2</v>
      </c>
      <c r="FP96" s="0" t="n">
        <v>100</v>
      </c>
      <c r="FQ96" s="0" t="n">
        <v>1</v>
      </c>
      <c r="FR96" s="0" t="n">
        <v>2.57</v>
      </c>
      <c r="FS96" s="0" t="n">
        <v>2</v>
      </c>
      <c r="GJ96" s="0" t="n">
        <v>0</v>
      </c>
      <c r="GK96" s="19" t="n">
        <v>0</v>
      </c>
      <c r="GL96" s="19"/>
      <c r="GM96" s="13"/>
      <c r="GN96" s="13"/>
      <c r="GO96" s="19"/>
      <c r="GP96" s="13"/>
      <c r="GQ96" s="13"/>
      <c r="GR96" s="13"/>
      <c r="GS96" s="13"/>
      <c r="GT96" s="13"/>
      <c r="GU96" s="16" t="n">
        <v>5.11</v>
      </c>
      <c r="GV96" s="0" t="n">
        <v>4.81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s">
        <v>350</v>
      </c>
      <c r="HD96" s="0" t="n">
        <v>75</v>
      </c>
      <c r="HE96" s="16" t="n">
        <v>87.9</v>
      </c>
      <c r="HF96" s="16" t="n">
        <v>80.4</v>
      </c>
      <c r="HG96" s="16" t="n">
        <v>45.2</v>
      </c>
      <c r="HH96" s="0" t="n">
        <v>50.83</v>
      </c>
      <c r="HI96" s="0" t="n">
        <v>0.05</v>
      </c>
      <c r="HJ96" s="0" t="n">
        <v>46.44</v>
      </c>
      <c r="HK96" s="0" t="n">
        <v>2.67</v>
      </c>
      <c r="HL96" s="0" t="n">
        <v>0</v>
      </c>
      <c r="HM96" s="0" t="n">
        <v>0</v>
      </c>
      <c r="HN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25.21</v>
      </c>
      <c r="HU96" s="0" t="n">
        <v>43.57</v>
      </c>
      <c r="HV96" s="0" t="n">
        <v>6.27</v>
      </c>
      <c r="HW96" s="0" t="n">
        <v>0</v>
      </c>
      <c r="HX96" s="0" t="n">
        <v>0</v>
      </c>
      <c r="HY96" s="0" t="n">
        <v>0</v>
      </c>
      <c r="IL96" s="0" t="n">
        <v>17.8</v>
      </c>
      <c r="IM96" s="0" t="n">
        <v>1</v>
      </c>
      <c r="IN96" s="0" t="n">
        <v>35</v>
      </c>
      <c r="IO96" s="0" t="n">
        <v>9</v>
      </c>
      <c r="IP96" s="0" t="n">
        <v>2.55</v>
      </c>
      <c r="IQ96" s="0" t="n">
        <v>3</v>
      </c>
      <c r="IX96" s="20"/>
      <c r="JP96" s="0" t="n">
        <v>1</v>
      </c>
      <c r="JQ96" s="0" t="n">
        <v>50</v>
      </c>
      <c r="JR96" s="0" t="n">
        <v>8</v>
      </c>
      <c r="JS96" s="0" t="n">
        <v>2.12</v>
      </c>
      <c r="JT96" s="0" t="n">
        <v>3</v>
      </c>
      <c r="LA96" s="16" t="n">
        <v>3.43</v>
      </c>
      <c r="LB96" s="16" t="n">
        <v>1</v>
      </c>
      <c r="LC96" s="16" t="n">
        <v>1</v>
      </c>
      <c r="LD96" s="16"/>
      <c r="LE96" s="16" t="n">
        <v>26.11</v>
      </c>
      <c r="LF96" s="16" t="n">
        <v>2</v>
      </c>
      <c r="LG96" s="16"/>
      <c r="LH96" s="16" t="n">
        <v>11.19</v>
      </c>
      <c r="LI96" s="16"/>
      <c r="LJ96" s="16"/>
      <c r="LK96" s="16"/>
      <c r="LL96" s="16" t="n">
        <v>6.39</v>
      </c>
      <c r="LM96" s="16" t="n">
        <v>3.31</v>
      </c>
      <c r="LN96" s="16" t="n">
        <v>0</v>
      </c>
      <c r="LO96" s="16" t="n">
        <v>0</v>
      </c>
      <c r="LP96" s="16" t="n">
        <v>0</v>
      </c>
      <c r="LQ96" s="16" t="n">
        <v>0</v>
      </c>
      <c r="LR96" s="16" t="n">
        <v>0</v>
      </c>
      <c r="LS96" s="0" t="n">
        <v>0</v>
      </c>
      <c r="LT96" s="0" t="s">
        <v>361</v>
      </c>
      <c r="LU96" s="0" t="n">
        <v>74.5</v>
      </c>
      <c r="LV96" s="16" t="n">
        <v>76.2</v>
      </c>
      <c r="LW96" s="16" t="n">
        <v>80.4</v>
      </c>
      <c r="LX96" s="16" t="n">
        <v>42.8</v>
      </c>
      <c r="LY96" s="0" t="n">
        <v>57.15</v>
      </c>
      <c r="LZ96" s="0" t="n">
        <v>0.45</v>
      </c>
      <c r="MA96" s="0" t="n">
        <v>39.09</v>
      </c>
      <c r="MB96" s="0" t="n">
        <v>3.3</v>
      </c>
      <c r="MC96" s="0" t="n">
        <v>0</v>
      </c>
      <c r="MD96" s="0" t="n">
        <v>0</v>
      </c>
      <c r="ME96" s="0" t="n">
        <v>0</v>
      </c>
      <c r="MG96" s="0" t="n">
        <v>0</v>
      </c>
      <c r="MH96" s="0" t="n">
        <v>0</v>
      </c>
      <c r="MI96" s="0" t="n">
        <v>0</v>
      </c>
      <c r="MJ96" s="0" t="n">
        <v>0</v>
      </c>
      <c r="MK96" s="0" t="n">
        <v>18.26</v>
      </c>
      <c r="ML96" s="0" t="n">
        <v>34.4</v>
      </c>
      <c r="MM96" s="0" t="n">
        <v>6.27</v>
      </c>
      <c r="MN96" s="0" t="n">
        <v>0</v>
      </c>
      <c r="MO96" s="0" t="n">
        <v>0</v>
      </c>
      <c r="MP96" s="0" t="n">
        <v>0</v>
      </c>
      <c r="NC96" s="0" t="n">
        <v>18.2</v>
      </c>
      <c r="ND96" s="0" t="n">
        <v>1</v>
      </c>
      <c r="NE96" s="0" t="n">
        <v>35</v>
      </c>
      <c r="NF96" s="0" t="n">
        <v>9</v>
      </c>
      <c r="NG96" s="0" t="n">
        <v>2.55</v>
      </c>
      <c r="NH96" s="0" t="n">
        <v>3</v>
      </c>
      <c r="NO96" s="20"/>
      <c r="OG96" s="0" t="n">
        <v>1</v>
      </c>
      <c r="OH96" s="0" t="n">
        <v>50</v>
      </c>
      <c r="OI96" s="0" t="n">
        <v>8</v>
      </c>
      <c r="OJ96" s="0" t="n">
        <v>2.54</v>
      </c>
      <c r="OK96" s="0" t="n">
        <v>3</v>
      </c>
      <c r="PR96" s="16" t="n">
        <v>7.59</v>
      </c>
      <c r="PS96" s="16" t="n">
        <v>1</v>
      </c>
      <c r="PT96" s="16" t="n">
        <v>1</v>
      </c>
      <c r="PU96" s="16"/>
      <c r="PV96" s="16" t="n">
        <v>22.38</v>
      </c>
      <c r="PW96" s="16" t="n">
        <v>2</v>
      </c>
      <c r="PX96" s="16"/>
      <c r="PY96" s="16" t="n">
        <v>14.92</v>
      </c>
      <c r="PZ96" s="16"/>
      <c r="QA96" s="16"/>
      <c r="QB96" s="16"/>
      <c r="QC96" s="16" t="n">
        <v>5.05</v>
      </c>
      <c r="QD96" s="16" t="n">
        <v>1.54</v>
      </c>
      <c r="QE96" s="16" t="n">
        <v>0</v>
      </c>
      <c r="QF96" s="16" t="n">
        <v>0</v>
      </c>
      <c r="QG96" s="16" t="n">
        <v>0</v>
      </c>
      <c r="QH96" s="16" t="n">
        <v>0</v>
      </c>
      <c r="QI96" s="16" t="n">
        <v>0</v>
      </c>
      <c r="QJ96" s="0" t="n">
        <v>0</v>
      </c>
      <c r="QK96" s="0" t="s">
        <v>356</v>
      </c>
      <c r="QL96" s="0" t="n">
        <v>39.5</v>
      </c>
      <c r="QM96" s="16" t="n">
        <v>85.1</v>
      </c>
      <c r="QN96" s="16" t="n">
        <v>80.4</v>
      </c>
      <c r="QO96" s="16" t="n">
        <v>13.6</v>
      </c>
      <c r="QP96" s="0" t="n">
        <v>87.38</v>
      </c>
      <c r="QR96" s="0" t="n">
        <v>8.05</v>
      </c>
      <c r="QS96" s="0" t="n">
        <v>0</v>
      </c>
      <c r="QT96" s="0" t="n">
        <v>4.57</v>
      </c>
      <c r="QU96" s="0" t="n">
        <v>0</v>
      </c>
      <c r="QV96" s="0" t="n">
        <v>0</v>
      </c>
      <c r="QX96" s="0" t="n">
        <v>0</v>
      </c>
      <c r="QY96" s="0" t="n">
        <v>0</v>
      </c>
      <c r="QZ96" s="0" t="n">
        <v>0</v>
      </c>
      <c r="RA96" s="0" t="n">
        <v>0</v>
      </c>
      <c r="RB96" s="0" t="n">
        <v>45</v>
      </c>
      <c r="RC96" s="0" t="n">
        <v>10.1</v>
      </c>
      <c r="RD96" s="0" t="n">
        <v>11.8</v>
      </c>
      <c r="RE96" s="0" t="n">
        <v>0</v>
      </c>
      <c r="RF96" s="0" t="n">
        <v>0</v>
      </c>
      <c r="RG96" s="0" t="n">
        <v>0</v>
      </c>
      <c r="RT96" s="0" t="n">
        <v>17.8</v>
      </c>
      <c r="RU96" s="0" t="n">
        <v>1</v>
      </c>
      <c r="RV96" s="0" t="n">
        <v>30</v>
      </c>
      <c r="RW96" s="0" t="n">
        <v>7</v>
      </c>
      <c r="RX96" s="0" t="n">
        <v>5.33</v>
      </c>
      <c r="RY96" s="0" t="n">
        <v>3</v>
      </c>
      <c r="SF96" s="20"/>
      <c r="SX96" s="0" t="n">
        <v>1</v>
      </c>
      <c r="SY96" s="0" t="n">
        <v>50</v>
      </c>
      <c r="SZ96" s="0" t="n">
        <v>1</v>
      </c>
      <c r="TA96" s="0" t="n">
        <v>0.03</v>
      </c>
      <c r="TB96" s="0" t="n">
        <v>1</v>
      </c>
      <c r="UI96" s="16" t="n">
        <v>3.96</v>
      </c>
      <c r="UJ96" s="16" t="n">
        <v>1</v>
      </c>
      <c r="UK96" s="16" t="n">
        <v>1</v>
      </c>
      <c r="UL96" s="16"/>
      <c r="UM96" s="16" t="n">
        <v>41.03</v>
      </c>
      <c r="UN96" s="16" t="n">
        <v>2</v>
      </c>
      <c r="UO96" s="16" t="n">
        <v>3.73</v>
      </c>
      <c r="UP96" s="16"/>
      <c r="UQ96" s="16"/>
      <c r="UR96" s="16"/>
      <c r="US96" s="16"/>
      <c r="UT96" s="16" t="n">
        <v>0</v>
      </c>
      <c r="UU96" s="16" t="n">
        <v>0</v>
      </c>
      <c r="UV96" s="16" t="n">
        <v>0</v>
      </c>
      <c r="UW96" s="16" t="n">
        <v>0</v>
      </c>
      <c r="UX96" s="16" t="n">
        <v>0</v>
      </c>
      <c r="UY96" s="16" t="n">
        <v>0</v>
      </c>
      <c r="UZ96" s="16" t="n">
        <v>0</v>
      </c>
      <c r="VA96" s="0" t="n">
        <v>0</v>
      </c>
      <c r="VB96" s="0" t="s">
        <v>352</v>
      </c>
      <c r="VC96" s="0" t="n">
        <v>49</v>
      </c>
      <c r="VD96" s="16" t="n">
        <v>65.5</v>
      </c>
      <c r="VE96" s="16" t="n">
        <v>80.4</v>
      </c>
      <c r="VF96" s="16" t="n">
        <v>8.2</v>
      </c>
      <c r="VG96" s="0" t="n">
        <v>84.28</v>
      </c>
      <c r="VI96" s="0" t="n">
        <v>0</v>
      </c>
      <c r="VJ96" s="0" t="n">
        <v>0</v>
      </c>
      <c r="VK96" s="0" t="n">
        <v>15.72</v>
      </c>
      <c r="VL96" s="0" t="n">
        <v>0</v>
      </c>
      <c r="VM96" s="0" t="n">
        <v>0</v>
      </c>
      <c r="VO96" s="0" t="n">
        <v>0</v>
      </c>
      <c r="VP96" s="0" t="n">
        <v>0</v>
      </c>
      <c r="VQ96" s="0" t="n">
        <v>0</v>
      </c>
      <c r="VR96" s="0" t="n">
        <v>0</v>
      </c>
      <c r="VS96" s="0" t="n">
        <v>21.31</v>
      </c>
      <c r="VT96" s="0" t="n">
        <v>26.03</v>
      </c>
      <c r="VU96" s="0" t="n">
        <v>0</v>
      </c>
      <c r="VV96" s="0" t="n">
        <v>0</v>
      </c>
      <c r="VW96" s="0" t="n">
        <v>8.2</v>
      </c>
      <c r="VX96" s="0" t="n">
        <v>5</v>
      </c>
      <c r="VY96" s="0" t="n">
        <v>50</v>
      </c>
      <c r="VZ96" s="0" t="n">
        <v>2</v>
      </c>
      <c r="WE96" s="0" t="n">
        <v>50</v>
      </c>
      <c r="WF96" s="0" t="n">
        <v>2</v>
      </c>
      <c r="WK96" s="0" t="n">
        <v>25.5</v>
      </c>
      <c r="WL96" s="0" t="n">
        <v>1</v>
      </c>
      <c r="WM96" s="0" t="n">
        <v>35</v>
      </c>
      <c r="WN96" s="0" t="n">
        <v>21</v>
      </c>
      <c r="WO96" s="0" t="n">
        <v>7.69</v>
      </c>
      <c r="WP96" s="0" t="n">
        <v>3</v>
      </c>
      <c r="WW96" s="20"/>
      <c r="XO96" s="0" t="n">
        <v>0</v>
      </c>
      <c r="YZ96" s="16" t="n">
        <v>0</v>
      </c>
      <c r="ZA96" s="16" t="n">
        <v>0</v>
      </c>
      <c r="ZB96" s="16"/>
      <c r="ZC96" s="16"/>
      <c r="ZD96" s="16"/>
      <c r="ZE96" s="16"/>
      <c r="ZF96" s="16"/>
      <c r="ZG96" s="16"/>
      <c r="ZH96" s="16"/>
      <c r="ZI96" s="16"/>
      <c r="ZJ96" s="16"/>
      <c r="ZK96" s="16" t="n">
        <v>0</v>
      </c>
      <c r="ZL96" s="16" t="n">
        <v>0</v>
      </c>
      <c r="ZM96" s="16" t="n">
        <v>0</v>
      </c>
      <c r="ZN96" s="16" t="n">
        <v>0</v>
      </c>
      <c r="ZO96" s="16" t="n">
        <v>0</v>
      </c>
      <c r="ZP96" s="16" t="n">
        <v>0</v>
      </c>
      <c r="ZQ96" s="16" t="n">
        <v>0</v>
      </c>
      <c r="ZR96" s="0" t="n">
        <v>0</v>
      </c>
      <c r="ZU96" s="15"/>
      <c r="ZV96" s="15"/>
      <c r="AAC96" s="15"/>
      <c r="AAD96" s="15"/>
      <c r="AAK96" s="15"/>
      <c r="AAL96" s="15"/>
      <c r="AAS96" s="15"/>
      <c r="AAT96" s="15"/>
      <c r="ABA96" s="15"/>
      <c r="ABB96" s="15"/>
      <c r="ABI96" s="15"/>
      <c r="ABJ96" s="15"/>
      <c r="ABQ96" s="15"/>
      <c r="ABR96" s="15"/>
      <c r="ABY96" s="15"/>
      <c r="ABZ96" s="15"/>
      <c r="ACG96" s="15"/>
      <c r="ACH96" s="15"/>
      <c r="ACO96" s="15"/>
      <c r="ACP96" s="15"/>
      <c r="ACW96" s="15"/>
      <c r="ACX96" s="15"/>
      <c r="ADE96" s="15"/>
      <c r="ADF96" s="15"/>
      <c r="ADM96" s="15"/>
      <c r="ADN96" s="15"/>
      <c r="ADU96" s="15"/>
      <c r="ADV96" s="15"/>
      <c r="AEC96" s="15"/>
      <c r="AED96" s="15"/>
      <c r="AEK96" s="15"/>
      <c r="AEL96" s="15"/>
      <c r="AES96" s="15"/>
      <c r="AET96" s="15"/>
      <c r="AFA96" s="15"/>
      <c r="AFB96" s="15"/>
      <c r="AFI96" s="15"/>
      <c r="AFJ96" s="15"/>
      <c r="AFQ96" s="15"/>
      <c r="AFR96" s="15"/>
      <c r="AFY96" s="15"/>
      <c r="AFZ96" s="15"/>
      <c r="AGG96" s="15"/>
      <c r="AGH96" s="15"/>
      <c r="AGO96" s="15"/>
      <c r="AGP96" s="15"/>
      <c r="AGW96" s="15"/>
      <c r="AGX96" s="15"/>
      <c r="AHE96" s="15"/>
      <c r="AHF96" s="15"/>
      <c r="AHM96" s="15"/>
      <c r="AHN96" s="15"/>
      <c r="AHU96" s="15"/>
      <c r="AHV96" s="15"/>
      <c r="AIC96" s="15"/>
      <c r="AID96" s="15"/>
      <c r="AIK96" s="15"/>
      <c r="AIL96" s="15"/>
      <c r="AIS96" s="15"/>
      <c r="AIT96" s="15"/>
      <c r="AJA96" s="15"/>
      <c r="AJB96" s="15"/>
      <c r="AJI96" s="15"/>
      <c r="AJJ96" s="15"/>
      <c r="AJQ96" s="15"/>
      <c r="AJR96" s="15"/>
      <c r="AJY96" s="15"/>
      <c r="AJZ96" s="15"/>
      <c r="AKG96" s="15"/>
      <c r="AKH96" s="15"/>
      <c r="AKO96" s="15"/>
      <c r="AKP96" s="15"/>
      <c r="AKW96" s="15"/>
      <c r="AKX96" s="15"/>
      <c r="ALE96" s="15"/>
      <c r="ALF96" s="15"/>
      <c r="ALM96" s="15"/>
      <c r="ALN96" s="15"/>
      <c r="ALU96" s="15"/>
      <c r="ALV96" s="15"/>
      <c r="AMC96" s="15"/>
      <c r="AMD96" s="15"/>
    </row>
    <row r="97" customFormat="false" ht="13.8" hidden="false" customHeight="false" outlineLevel="0" collapsed="false">
      <c r="A97" s="1" t="s">
        <v>483</v>
      </c>
      <c r="B97" s="12" t="n">
        <v>42894</v>
      </c>
      <c r="C97" s="0" t="n">
        <v>1</v>
      </c>
      <c r="D97" s="13" t="n">
        <v>42797</v>
      </c>
      <c r="E97" s="12" t="n">
        <v>33785</v>
      </c>
      <c r="F97" s="14" t="n">
        <f aca="false">(B97-E97)/365.25</f>
        <v>24.9390828199863</v>
      </c>
      <c r="G97" s="14" t="n">
        <f aca="false">(B97-D97)/365.25</f>
        <v>0.265571526351814</v>
      </c>
      <c r="H97" s="15" t="s">
        <v>183</v>
      </c>
      <c r="I97" s="15" t="s">
        <v>347</v>
      </c>
      <c r="J97" s="15" t="s">
        <v>183</v>
      </c>
      <c r="K97" s="21" t="n">
        <v>8</v>
      </c>
      <c r="L97" s="19" t="n">
        <v>68</v>
      </c>
      <c r="M97" s="0" t="n">
        <v>1.56</v>
      </c>
      <c r="N97" s="16" t="n">
        <f aca="false">L97/(M97*M97)</f>
        <v>27.9421433267587</v>
      </c>
      <c r="O97" s="19" t="n">
        <v>0</v>
      </c>
      <c r="P97" s="19" t="n">
        <v>0</v>
      </c>
      <c r="Q97" s="19" t="n">
        <v>0</v>
      </c>
      <c r="R97" s="19" t="n">
        <v>0</v>
      </c>
      <c r="S97" s="19" t="n">
        <v>0</v>
      </c>
      <c r="T97" s="19" t="n">
        <v>0</v>
      </c>
      <c r="U97" s="19" t="n">
        <v>0</v>
      </c>
      <c r="V97" s="19" t="n">
        <v>0</v>
      </c>
      <c r="W97" s="19" t="n">
        <v>0</v>
      </c>
      <c r="X97" s="19" t="n">
        <v>0</v>
      </c>
      <c r="Y97" s="19" t="n">
        <v>1</v>
      </c>
      <c r="Z97" s="19" t="n">
        <v>2</v>
      </c>
      <c r="AA97" s="19" t="n">
        <v>60</v>
      </c>
      <c r="AB97" s="19" t="s">
        <v>484</v>
      </c>
      <c r="AC97" s="19" t="n">
        <v>0</v>
      </c>
      <c r="AD97" s="19" t="n">
        <v>0</v>
      </c>
      <c r="AE97" s="19" t="n">
        <v>0</v>
      </c>
      <c r="AF97" s="19" t="n">
        <v>0</v>
      </c>
      <c r="AG97" s="19" t="n">
        <v>0</v>
      </c>
      <c r="AH97" s="19" t="n">
        <v>0</v>
      </c>
      <c r="AI97" s="19" t="n">
        <v>0</v>
      </c>
      <c r="AJ97" s="19" t="n">
        <v>0</v>
      </c>
      <c r="AK97" s="19" t="n">
        <v>0</v>
      </c>
      <c r="AL97" s="19" t="n">
        <v>0</v>
      </c>
      <c r="AM97" s="19" t="n">
        <v>0</v>
      </c>
      <c r="AN97" s="19" t="n">
        <v>0</v>
      </c>
      <c r="AO97" s="19" t="n">
        <v>0</v>
      </c>
      <c r="AP97" s="19" t="n">
        <v>0</v>
      </c>
      <c r="AQ97" s="19" t="n">
        <v>0</v>
      </c>
      <c r="AR97" s="19" t="n">
        <v>0</v>
      </c>
      <c r="AS97" s="19" t="n">
        <v>0</v>
      </c>
      <c r="AT97" s="19" t="n">
        <v>0</v>
      </c>
      <c r="AU97" s="19" t="n">
        <v>0</v>
      </c>
      <c r="AV97" s="19" t="n">
        <v>0</v>
      </c>
      <c r="AW97" s="19" t="n">
        <v>0</v>
      </c>
      <c r="AX97" s="19" t="n">
        <v>0</v>
      </c>
      <c r="AY97" s="19" t="n">
        <v>0</v>
      </c>
      <c r="AZ97" s="19" t="n">
        <v>0</v>
      </c>
      <c r="BA97" s="19" t="n">
        <v>0</v>
      </c>
      <c r="BB97" s="19" t="n">
        <v>0</v>
      </c>
      <c r="BC97" s="19" t="n">
        <v>0</v>
      </c>
      <c r="BD97" s="19" t="n">
        <v>0</v>
      </c>
      <c r="BE97" s="19" t="n">
        <v>0</v>
      </c>
      <c r="BF97" s="19" t="n">
        <v>0</v>
      </c>
      <c r="BG97" s="19" t="n">
        <v>0</v>
      </c>
      <c r="BH97" s="19" t="n">
        <v>0</v>
      </c>
      <c r="BI97" s="19" t="n">
        <v>0</v>
      </c>
      <c r="BJ97" s="19" t="n">
        <v>0</v>
      </c>
      <c r="BK97" s="19" t="n">
        <v>0</v>
      </c>
      <c r="BL97" s="19" t="n">
        <v>0</v>
      </c>
      <c r="BM97" s="19" t="n">
        <v>0</v>
      </c>
      <c r="BN97" s="19" t="n">
        <v>0</v>
      </c>
      <c r="BO97" s="19" t="n">
        <v>0</v>
      </c>
      <c r="BP97" s="19" t="n">
        <v>0</v>
      </c>
      <c r="BQ97" s="19" t="n">
        <v>0</v>
      </c>
      <c r="BR97" s="19" t="n">
        <v>2</v>
      </c>
      <c r="BS97" s="19" t="n">
        <v>2</v>
      </c>
      <c r="BT97" s="19" t="n">
        <v>2</v>
      </c>
      <c r="BU97" s="19" t="n">
        <v>3</v>
      </c>
      <c r="BV97" s="19" t="n">
        <v>1</v>
      </c>
      <c r="BW97" s="19" t="n">
        <v>1</v>
      </c>
      <c r="BX97" s="19" t="n">
        <v>3</v>
      </c>
      <c r="BY97" s="19" t="n">
        <v>3</v>
      </c>
      <c r="BZ97" s="19" t="n">
        <v>4</v>
      </c>
      <c r="CA97" s="19" t="n">
        <v>5</v>
      </c>
      <c r="CB97" s="19" t="n">
        <v>4</v>
      </c>
      <c r="CC97" s="19" t="n">
        <v>4</v>
      </c>
      <c r="CD97" s="19" t="n">
        <v>4</v>
      </c>
      <c r="CE97" s="19" t="n">
        <v>5</v>
      </c>
      <c r="CF97" s="19" t="n">
        <v>3</v>
      </c>
      <c r="CG97" s="19" t="n">
        <v>5</v>
      </c>
      <c r="CH97" s="19" t="n">
        <v>4</v>
      </c>
      <c r="CI97" s="19" t="n">
        <v>5</v>
      </c>
      <c r="CJ97" s="19" t="n">
        <v>5</v>
      </c>
      <c r="CK97" s="19" t="n">
        <v>8</v>
      </c>
      <c r="CL97" s="0" t="s">
        <v>355</v>
      </c>
      <c r="CM97" s="0" t="n">
        <v>37</v>
      </c>
      <c r="CN97" s="16" t="n">
        <v>95.1</v>
      </c>
      <c r="CO97" s="16" t="n">
        <v>80.4</v>
      </c>
      <c r="CP97" s="16" t="n">
        <v>15.9</v>
      </c>
      <c r="CQ97" s="0" t="n">
        <v>82.71</v>
      </c>
      <c r="CS97" s="0" t="n">
        <v>10.32</v>
      </c>
      <c r="CT97" s="0" t="n">
        <v>0.39</v>
      </c>
      <c r="CU97" s="0" t="n">
        <v>10.32</v>
      </c>
      <c r="CV97" s="0" t="n">
        <v>0</v>
      </c>
      <c r="CW97" s="0" t="n">
        <v>0</v>
      </c>
      <c r="CY97" s="0" t="n">
        <v>0</v>
      </c>
      <c r="CZ97" s="0" t="n">
        <v>0</v>
      </c>
      <c r="DA97" s="0" t="n">
        <v>0</v>
      </c>
      <c r="DB97" s="0" t="n">
        <v>1.9</v>
      </c>
      <c r="DC97" s="0" t="n">
        <v>26.26</v>
      </c>
      <c r="DD97" s="0" t="n">
        <v>6.04</v>
      </c>
      <c r="DE97" s="0" t="n">
        <v>2.19</v>
      </c>
      <c r="DF97" s="0" t="n">
        <v>0</v>
      </c>
      <c r="DG97" s="0" t="n">
        <v>0</v>
      </c>
      <c r="DH97" s="0" t="n">
        <v>0</v>
      </c>
      <c r="DU97" s="0" t="n">
        <v>14.7</v>
      </c>
      <c r="DV97" s="0" t="n">
        <v>1</v>
      </c>
      <c r="DW97" s="0" t="n">
        <v>35</v>
      </c>
      <c r="DX97" s="0" t="n">
        <v>2</v>
      </c>
      <c r="DY97" s="0" t="n">
        <v>1.8</v>
      </c>
      <c r="DZ97" s="0" t="n">
        <v>3</v>
      </c>
      <c r="EG97" s="20"/>
      <c r="EY97" s="0" t="n">
        <v>1</v>
      </c>
      <c r="EZ97" s="0" t="n">
        <v>50</v>
      </c>
      <c r="FA97" s="0" t="n">
        <v>1</v>
      </c>
      <c r="FB97" s="0" t="n">
        <v>1.34</v>
      </c>
      <c r="FC97" s="0" t="n">
        <v>2</v>
      </c>
      <c r="FD97" s="0" t="n">
        <v>40</v>
      </c>
      <c r="FE97" s="0" t="n">
        <v>1</v>
      </c>
      <c r="FF97" s="0" t="n">
        <v>0.9</v>
      </c>
      <c r="FG97" s="0" t="n">
        <v>3</v>
      </c>
      <c r="FH97" s="0" t="n">
        <v>50</v>
      </c>
      <c r="FI97" s="0" t="n">
        <v>1</v>
      </c>
      <c r="FJ97" s="0" t="n">
        <v>0.9</v>
      </c>
      <c r="FK97" s="0" t="n">
        <v>3</v>
      </c>
      <c r="FL97" s="0" t="n">
        <v>80</v>
      </c>
      <c r="FM97" s="0" t="n">
        <v>2</v>
      </c>
      <c r="FN97" s="0" t="n">
        <v>2.68</v>
      </c>
      <c r="FO97" s="0" t="n">
        <v>2</v>
      </c>
      <c r="FP97" s="0" t="n">
        <v>100</v>
      </c>
      <c r="FQ97" s="0" t="n">
        <v>1</v>
      </c>
      <c r="FR97" s="0" t="n">
        <v>2.57</v>
      </c>
      <c r="FS97" s="0" t="n">
        <v>2</v>
      </c>
      <c r="GJ97" s="0" t="n">
        <v>0</v>
      </c>
      <c r="GK97" s="19" t="n">
        <v>0</v>
      </c>
      <c r="GL97" s="19"/>
      <c r="GM97" s="13"/>
      <c r="GN97" s="13"/>
      <c r="GO97" s="19"/>
      <c r="GP97" s="13"/>
      <c r="GQ97" s="13"/>
      <c r="GR97" s="13"/>
      <c r="GS97" s="13"/>
      <c r="GT97" s="13"/>
      <c r="GU97" s="16" t="n">
        <v>5.11</v>
      </c>
      <c r="GV97" s="0" t="n">
        <v>4.81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s">
        <v>351</v>
      </c>
      <c r="HD97" s="0" t="n">
        <v>30.5</v>
      </c>
      <c r="HE97" s="16" t="n">
        <v>68.4</v>
      </c>
      <c r="HF97" s="16" t="n">
        <v>80.4</v>
      </c>
      <c r="HG97" s="16" t="n">
        <v>19.8</v>
      </c>
      <c r="HH97" s="0" t="n">
        <v>72.42</v>
      </c>
      <c r="HJ97" s="0" t="n">
        <v>0.94</v>
      </c>
      <c r="HK97" s="0" t="n">
        <v>0.94</v>
      </c>
      <c r="HL97" s="0" t="n">
        <v>25.7</v>
      </c>
      <c r="HM97" s="0" t="n">
        <v>0</v>
      </c>
      <c r="HN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28.26</v>
      </c>
      <c r="HU97" s="0" t="n">
        <v>10.55</v>
      </c>
      <c r="HV97" s="0" t="n">
        <v>14.21</v>
      </c>
      <c r="HW97" s="0" t="n">
        <v>0</v>
      </c>
      <c r="HX97" s="0" t="n">
        <v>0</v>
      </c>
      <c r="HY97" s="0" t="n">
        <v>0</v>
      </c>
      <c r="IL97" s="0" t="n">
        <v>3.3</v>
      </c>
      <c r="IM97" s="0" t="n">
        <v>1</v>
      </c>
      <c r="IN97" s="0" t="n">
        <v>68</v>
      </c>
      <c r="IO97" s="0" t="n">
        <v>2</v>
      </c>
      <c r="IP97" s="0" t="n">
        <v>1.52</v>
      </c>
      <c r="IQ97" s="0" t="n">
        <v>1</v>
      </c>
      <c r="IX97" s="20"/>
      <c r="JP97" s="0" t="n">
        <v>0</v>
      </c>
      <c r="LA97" s="16" t="n">
        <v>0</v>
      </c>
      <c r="LB97" s="16" t="n">
        <v>0</v>
      </c>
      <c r="LC97" s="16"/>
      <c r="LD97" s="16"/>
      <c r="LE97" s="16"/>
      <c r="LF97" s="16"/>
      <c r="LG97" s="16"/>
      <c r="LH97" s="16"/>
      <c r="LI97" s="16"/>
      <c r="LJ97" s="16"/>
      <c r="LK97" s="16"/>
      <c r="LL97" s="16" t="n">
        <v>0.81</v>
      </c>
      <c r="LM97" s="16" t="n">
        <v>0.8</v>
      </c>
      <c r="LN97" s="16" t="n">
        <v>0</v>
      </c>
      <c r="LO97" s="16" t="n">
        <v>0</v>
      </c>
      <c r="LP97" s="16" t="n">
        <v>2.99</v>
      </c>
      <c r="LQ97" s="16" t="n">
        <v>5.71</v>
      </c>
      <c r="LR97" s="16" t="n">
        <v>0</v>
      </c>
      <c r="LS97" s="0" t="n">
        <v>0</v>
      </c>
      <c r="LT97" s="0" t="s">
        <v>373</v>
      </c>
      <c r="LU97" s="0" t="n">
        <v>27.5</v>
      </c>
      <c r="LV97" s="16" t="n">
        <v>79.1</v>
      </c>
      <c r="LW97" s="16" t="n">
        <v>80.4</v>
      </c>
      <c r="LX97" s="16" t="n">
        <v>15.3</v>
      </c>
      <c r="LY97" s="0" t="n">
        <v>87.64</v>
      </c>
      <c r="MA97" s="0" t="n">
        <v>0</v>
      </c>
      <c r="MB97" s="0" t="n">
        <v>0</v>
      </c>
      <c r="MC97" s="0" t="n">
        <v>12.36</v>
      </c>
      <c r="MD97" s="0" t="n">
        <v>0</v>
      </c>
      <c r="ME97" s="0" t="n">
        <v>0</v>
      </c>
      <c r="MG97" s="0" t="n">
        <v>0</v>
      </c>
      <c r="MH97" s="0" t="n">
        <v>0</v>
      </c>
      <c r="MI97" s="0" t="n">
        <v>0</v>
      </c>
      <c r="MJ97" s="0" t="n">
        <v>24.9</v>
      </c>
      <c r="MK97" s="0" t="n">
        <v>31.79</v>
      </c>
      <c r="ML97" s="0" t="n">
        <v>18.86</v>
      </c>
      <c r="MM97" s="0" t="n">
        <v>0</v>
      </c>
      <c r="MN97" s="0" t="n">
        <v>0</v>
      </c>
      <c r="MO97" s="0" t="n">
        <v>4.8</v>
      </c>
      <c r="MP97" s="0" t="n">
        <v>5</v>
      </c>
      <c r="MQ97" s="0" t="n">
        <v>50</v>
      </c>
      <c r="MR97" s="0" t="n">
        <v>4</v>
      </c>
      <c r="MW97" s="0" t="n">
        <v>50</v>
      </c>
      <c r="MX97" s="0" t="n">
        <v>4</v>
      </c>
      <c r="NC97" s="0" t="n">
        <v>5.5</v>
      </c>
      <c r="ND97" s="0" t="n">
        <v>0</v>
      </c>
      <c r="NO97" s="20"/>
      <c r="OG97" s="0" t="n">
        <v>1</v>
      </c>
      <c r="OH97" s="0" t="n">
        <v>50</v>
      </c>
      <c r="OI97" s="0" t="n">
        <v>4</v>
      </c>
      <c r="OJ97" s="0" t="n">
        <v>3.59</v>
      </c>
      <c r="OK97" s="0" t="n">
        <v>3</v>
      </c>
      <c r="OL97" s="0" t="n">
        <v>70</v>
      </c>
      <c r="OM97" s="0" t="n">
        <v>14</v>
      </c>
      <c r="ON97" s="0" t="n">
        <v>4.93</v>
      </c>
      <c r="OO97" s="0" t="n">
        <v>2</v>
      </c>
      <c r="PR97" s="16" t="n">
        <v>0.75</v>
      </c>
      <c r="PS97" s="16" t="n">
        <v>1</v>
      </c>
      <c r="PT97" s="16" t="n">
        <v>1</v>
      </c>
      <c r="PU97" s="16"/>
      <c r="PV97" s="16" t="n">
        <v>9.96</v>
      </c>
      <c r="PW97" s="16"/>
      <c r="PX97" s="16"/>
      <c r="PY97" s="16"/>
      <c r="PZ97" s="16"/>
      <c r="QA97" s="16"/>
      <c r="QB97" s="16"/>
      <c r="QC97" s="16" t="n">
        <v>0</v>
      </c>
      <c r="QD97" s="16" t="n">
        <v>0</v>
      </c>
      <c r="QE97" s="16" t="n">
        <v>0</v>
      </c>
      <c r="QF97" s="16" t="n">
        <v>0</v>
      </c>
      <c r="QG97" s="16" t="n">
        <v>0</v>
      </c>
      <c r="QH97" s="16" t="n">
        <v>0</v>
      </c>
      <c r="QI97" s="16" t="n">
        <v>0</v>
      </c>
      <c r="QJ97" s="0" t="n">
        <v>0</v>
      </c>
      <c r="QK97" s="0" t="s">
        <v>357</v>
      </c>
      <c r="QL97" s="0" t="n">
        <v>27.5</v>
      </c>
      <c r="QM97" s="16" t="n">
        <v>76.2</v>
      </c>
      <c r="QN97" s="16" t="n">
        <v>80.4</v>
      </c>
      <c r="QO97" s="16" t="n">
        <v>15.3</v>
      </c>
      <c r="QP97" s="0" t="n">
        <v>87.64</v>
      </c>
      <c r="QR97" s="0" t="n">
        <v>0</v>
      </c>
      <c r="QS97" s="0" t="n">
        <v>0</v>
      </c>
      <c r="QT97" s="0" t="n">
        <v>12.36</v>
      </c>
      <c r="QU97" s="0" t="n">
        <v>0</v>
      </c>
      <c r="QV97" s="0" t="n">
        <v>0</v>
      </c>
      <c r="QX97" s="0" t="n">
        <v>0</v>
      </c>
      <c r="QY97" s="0" t="n">
        <v>0</v>
      </c>
      <c r="QZ97" s="0" t="n">
        <v>0</v>
      </c>
      <c r="RA97" s="0" t="n">
        <v>24.9</v>
      </c>
      <c r="RB97" s="0" t="n">
        <v>31.99</v>
      </c>
      <c r="RC97" s="0" t="n">
        <v>18.66</v>
      </c>
      <c r="RD97" s="0" t="n">
        <v>0</v>
      </c>
      <c r="RE97" s="0" t="n">
        <v>0</v>
      </c>
      <c r="RF97" s="0" t="n">
        <v>4.8</v>
      </c>
      <c r="RG97" s="0" t="n">
        <v>5</v>
      </c>
      <c r="RH97" s="0" t="n">
        <v>50</v>
      </c>
      <c r="RI97" s="0" t="n">
        <v>4</v>
      </c>
      <c r="RN97" s="0" t="n">
        <v>50</v>
      </c>
      <c r="RO97" s="0" t="n">
        <v>4</v>
      </c>
      <c r="RT97" s="0" t="n">
        <v>5.5</v>
      </c>
      <c r="RU97" s="0" t="n">
        <v>0</v>
      </c>
      <c r="SF97" s="20"/>
      <c r="SX97" s="0" t="n">
        <v>1</v>
      </c>
      <c r="SY97" s="0" t="n">
        <v>50</v>
      </c>
      <c r="SZ97" s="0" t="n">
        <v>4</v>
      </c>
      <c r="TA97" s="0" t="n">
        <v>3.59</v>
      </c>
      <c r="TB97" s="0" t="n">
        <v>3</v>
      </c>
      <c r="TC97" s="0" t="n">
        <v>70</v>
      </c>
      <c r="TD97" s="0" t="n">
        <v>14</v>
      </c>
      <c r="TE97" s="0" t="n">
        <v>4.93</v>
      </c>
      <c r="TF97" s="0" t="n">
        <v>2</v>
      </c>
      <c r="UI97" s="16" t="n">
        <v>0.75</v>
      </c>
      <c r="UJ97" s="16" t="n">
        <v>1</v>
      </c>
      <c r="UK97" s="16" t="n">
        <v>1</v>
      </c>
      <c r="UL97" s="16"/>
      <c r="UM97" s="16" t="n">
        <v>9.96</v>
      </c>
      <c r="UN97" s="16"/>
      <c r="UO97" s="16"/>
      <c r="UP97" s="16"/>
      <c r="UQ97" s="16"/>
      <c r="UR97" s="16"/>
      <c r="US97" s="16"/>
      <c r="UT97" s="16" t="n">
        <v>0</v>
      </c>
      <c r="UU97" s="16" t="n">
        <v>0</v>
      </c>
      <c r="UV97" s="16" t="n">
        <v>0</v>
      </c>
      <c r="UW97" s="16" t="n">
        <v>0</v>
      </c>
      <c r="UX97" s="16" t="n">
        <v>0</v>
      </c>
      <c r="UY97" s="16" t="n">
        <v>0</v>
      </c>
      <c r="UZ97" s="16" t="n">
        <v>0</v>
      </c>
      <c r="VA97" s="0" t="n">
        <v>0</v>
      </c>
      <c r="VE97" s="15"/>
      <c r="VF97" s="15"/>
      <c r="VM97" s="15"/>
      <c r="VN97" s="15"/>
      <c r="VU97" s="15"/>
      <c r="VV97" s="15"/>
      <c r="WC97" s="15"/>
      <c r="WD97" s="15"/>
      <c r="WK97" s="15"/>
      <c r="WL97" s="15"/>
      <c r="WS97" s="15"/>
      <c r="WT97" s="15"/>
      <c r="XA97" s="15"/>
      <c r="XB97" s="15"/>
      <c r="XI97" s="15"/>
      <c r="XJ97" s="15"/>
      <c r="XQ97" s="15"/>
      <c r="XR97" s="15"/>
      <c r="XY97" s="15"/>
      <c r="XZ97" s="15"/>
      <c r="YG97" s="15"/>
      <c r="YH97" s="15"/>
      <c r="YO97" s="15"/>
      <c r="YP97" s="15"/>
      <c r="YW97" s="15"/>
      <c r="YX97" s="15"/>
      <c r="ZE97" s="15"/>
      <c r="ZF97" s="15"/>
      <c r="ZM97" s="15"/>
      <c r="ZN97" s="15"/>
      <c r="ZU97" s="15"/>
      <c r="ZV97" s="15"/>
      <c r="AAC97" s="15"/>
      <c r="AAD97" s="15"/>
      <c r="AAK97" s="15"/>
      <c r="AAL97" s="15"/>
      <c r="AAS97" s="15"/>
      <c r="AAT97" s="15"/>
      <c r="ABA97" s="15"/>
      <c r="ABB97" s="15"/>
      <c r="ABI97" s="15"/>
      <c r="ABJ97" s="15"/>
      <c r="ABQ97" s="15"/>
      <c r="ABR97" s="15"/>
      <c r="ABY97" s="15"/>
      <c r="ABZ97" s="15"/>
      <c r="ACG97" s="15"/>
      <c r="ACH97" s="15"/>
      <c r="ACO97" s="15"/>
      <c r="ACP97" s="15"/>
      <c r="ACW97" s="15"/>
      <c r="ACX97" s="15"/>
      <c r="ADE97" s="15"/>
      <c r="ADF97" s="15"/>
      <c r="ADM97" s="15"/>
      <c r="ADN97" s="15"/>
      <c r="ADU97" s="15"/>
      <c r="ADV97" s="15"/>
      <c r="AEC97" s="15"/>
      <c r="AED97" s="15"/>
      <c r="AEK97" s="15"/>
      <c r="AEL97" s="15"/>
      <c r="AES97" s="15"/>
      <c r="AET97" s="15"/>
      <c r="AFA97" s="15"/>
      <c r="AFB97" s="15"/>
      <c r="AFI97" s="15"/>
      <c r="AFJ97" s="15"/>
      <c r="AFQ97" s="15"/>
      <c r="AFR97" s="15"/>
      <c r="AFY97" s="15"/>
      <c r="AFZ97" s="15"/>
      <c r="AGG97" s="15"/>
      <c r="AGH97" s="15"/>
      <c r="AGO97" s="15"/>
      <c r="AGP97" s="15"/>
      <c r="AGW97" s="15"/>
      <c r="AGX97" s="15"/>
      <c r="AHE97" s="15"/>
      <c r="AHF97" s="15"/>
      <c r="AHM97" s="15"/>
      <c r="AHN97" s="15"/>
      <c r="AHU97" s="15"/>
      <c r="AHV97" s="15"/>
      <c r="AIC97" s="15"/>
      <c r="AID97" s="15"/>
      <c r="AIK97" s="15"/>
      <c r="AIL97" s="15"/>
      <c r="AIS97" s="15"/>
      <c r="AIT97" s="15"/>
      <c r="AJA97" s="15"/>
      <c r="AJB97" s="15"/>
      <c r="AJI97" s="15"/>
      <c r="AJJ97" s="15"/>
      <c r="AJQ97" s="15"/>
      <c r="AJR97" s="15"/>
      <c r="AJY97" s="15"/>
      <c r="AJZ97" s="15"/>
      <c r="AKG97" s="15"/>
      <c r="AKH97" s="15"/>
      <c r="AKO97" s="15"/>
      <c r="AKP97" s="15"/>
      <c r="AKW97" s="15"/>
      <c r="AKX97" s="15"/>
      <c r="ALE97" s="15"/>
      <c r="ALF97" s="15"/>
      <c r="ALM97" s="15"/>
      <c r="ALN97" s="15"/>
      <c r="ALU97" s="15"/>
      <c r="ALV97" s="15"/>
      <c r="AMC97" s="15"/>
      <c r="AMD97" s="15"/>
    </row>
    <row r="98" customFormat="false" ht="13.8" hidden="false" customHeight="false" outlineLevel="0" collapsed="false">
      <c r="A98" s="1" t="s">
        <v>485</v>
      </c>
      <c r="B98" s="12" t="n">
        <v>42894</v>
      </c>
      <c r="C98" s="0" t="n">
        <v>2</v>
      </c>
      <c r="D98" s="13" t="n">
        <v>35486</v>
      </c>
      <c r="E98" s="12" t="n">
        <v>23392</v>
      </c>
      <c r="F98" s="14" t="n">
        <f aca="false">(B98-E98)/365.25</f>
        <v>53.3935660506502</v>
      </c>
      <c r="G98" s="14" t="n">
        <f aca="false">(B98-D98)/365.25</f>
        <v>20.2819986310746</v>
      </c>
      <c r="H98" s="15" t="s">
        <v>183</v>
      </c>
      <c r="I98" s="15" t="s">
        <v>347</v>
      </c>
      <c r="J98" s="15" t="s">
        <v>183</v>
      </c>
      <c r="K98" s="21" t="n">
        <v>8</v>
      </c>
      <c r="L98" s="19" t="n">
        <v>78</v>
      </c>
      <c r="M98" s="0" t="n">
        <v>1.82</v>
      </c>
      <c r="N98" s="16" t="n">
        <f aca="false">L98/(M98*M98)</f>
        <v>23.5478806907378</v>
      </c>
      <c r="O98" s="19" t="n">
        <v>0</v>
      </c>
      <c r="P98" s="19" t="n">
        <v>0</v>
      </c>
      <c r="Q98" s="19" t="n">
        <v>0</v>
      </c>
      <c r="R98" s="19" t="n">
        <v>0</v>
      </c>
      <c r="S98" s="19" t="n">
        <v>0</v>
      </c>
      <c r="T98" s="19" t="n">
        <v>0</v>
      </c>
      <c r="U98" s="19" t="n">
        <v>1</v>
      </c>
      <c r="V98" s="19" t="n">
        <v>4</v>
      </c>
      <c r="W98" s="19" t="n">
        <v>0</v>
      </c>
      <c r="X98" s="19" t="n">
        <v>1</v>
      </c>
      <c r="Y98" s="19" t="n">
        <v>1</v>
      </c>
      <c r="Z98" s="19" t="n">
        <v>1</v>
      </c>
      <c r="AA98" s="19" t="n">
        <v>60</v>
      </c>
      <c r="AB98" s="19" t="s">
        <v>486</v>
      </c>
      <c r="AC98" s="19" t="n">
        <v>1</v>
      </c>
      <c r="AD98" s="19" t="n">
        <v>10</v>
      </c>
      <c r="AE98" s="19" t="n">
        <v>1</v>
      </c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 t="n">
        <v>3</v>
      </c>
      <c r="AU98" s="19"/>
      <c r="AV98" s="19"/>
      <c r="AW98" s="19"/>
      <c r="AX98" s="19"/>
      <c r="AY98" s="19"/>
      <c r="AZ98" s="19"/>
      <c r="BA98" s="19"/>
      <c r="BB98" s="19"/>
      <c r="BC98" s="19" t="n">
        <v>1</v>
      </c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 t="n">
        <v>3</v>
      </c>
      <c r="BS98" s="19" t="n">
        <v>3</v>
      </c>
      <c r="BT98" s="19" t="n">
        <v>5</v>
      </c>
      <c r="BU98" s="19" t="n">
        <v>5</v>
      </c>
      <c r="BV98" s="19" t="n">
        <v>3</v>
      </c>
      <c r="BW98" s="19" t="n">
        <v>4</v>
      </c>
      <c r="BX98" s="19" t="n">
        <v>3</v>
      </c>
      <c r="BY98" s="19" t="n">
        <v>3</v>
      </c>
      <c r="BZ98" s="19" t="n">
        <v>2</v>
      </c>
      <c r="CA98" s="19" t="n">
        <v>3</v>
      </c>
      <c r="CB98" s="19" t="n">
        <v>5</v>
      </c>
      <c r="CC98" s="19" t="n">
        <v>5</v>
      </c>
      <c r="CD98" s="19" t="n">
        <v>3</v>
      </c>
      <c r="CE98" s="19" t="n">
        <v>4</v>
      </c>
      <c r="CF98" s="19" t="n">
        <v>5</v>
      </c>
      <c r="CG98" s="19" t="n">
        <v>3</v>
      </c>
      <c r="CH98" s="19" t="n">
        <v>4</v>
      </c>
      <c r="CI98" s="19" t="n">
        <v>3</v>
      </c>
      <c r="CJ98" s="19" t="n">
        <v>4</v>
      </c>
      <c r="CK98" s="19" t="n">
        <v>8</v>
      </c>
      <c r="CL98" s="0" t="s">
        <v>355</v>
      </c>
      <c r="CM98" s="0" t="n">
        <v>37</v>
      </c>
      <c r="CN98" s="16" t="n">
        <v>95.1</v>
      </c>
      <c r="CO98" s="16" t="n">
        <v>80.4</v>
      </c>
      <c r="CP98" s="16" t="n">
        <v>15.9</v>
      </c>
      <c r="CQ98" s="0" t="n">
        <v>82.71</v>
      </c>
      <c r="CR98" s="17" t="n">
        <v>0</v>
      </c>
      <c r="CS98" s="0" t="n">
        <v>10.32</v>
      </c>
      <c r="CT98" s="0" t="n">
        <v>0.39</v>
      </c>
      <c r="CU98" s="0" t="n">
        <v>10.32</v>
      </c>
      <c r="CV98" s="0" t="n">
        <v>0</v>
      </c>
      <c r="CW98" s="0" t="n">
        <v>0</v>
      </c>
      <c r="CY98" s="0" t="n">
        <v>0</v>
      </c>
      <c r="CZ98" s="0" t="n">
        <v>0</v>
      </c>
      <c r="DA98" s="0" t="n">
        <v>0</v>
      </c>
      <c r="DB98" s="0" t="n">
        <v>1.9</v>
      </c>
      <c r="DC98" s="0" t="n">
        <v>26.26</v>
      </c>
      <c r="DD98" s="0" t="n">
        <v>6.04</v>
      </c>
      <c r="DE98" s="0" t="n">
        <v>2.19</v>
      </c>
      <c r="DF98" s="0" t="n">
        <v>0</v>
      </c>
      <c r="DG98" s="0" t="n">
        <v>0</v>
      </c>
      <c r="DH98" s="0" t="n">
        <v>0</v>
      </c>
      <c r="DU98" s="0" t="n">
        <v>14.7</v>
      </c>
      <c r="DV98" s="0" t="n">
        <v>1</v>
      </c>
      <c r="DW98" s="0" t="n">
        <v>35</v>
      </c>
      <c r="DX98" s="0" t="n">
        <v>2</v>
      </c>
      <c r="DY98" s="0" t="n">
        <v>1.8</v>
      </c>
      <c r="DZ98" s="0" t="n">
        <v>3</v>
      </c>
      <c r="EG98" s="20"/>
      <c r="EY98" s="0" t="n">
        <v>1</v>
      </c>
      <c r="EZ98" s="0" t="n">
        <v>50</v>
      </c>
      <c r="FA98" s="0" t="n">
        <v>1</v>
      </c>
      <c r="FB98" s="0" t="n">
        <v>1.34</v>
      </c>
      <c r="FC98" s="0" t="n">
        <v>2</v>
      </c>
      <c r="FD98" s="0" t="n">
        <v>40</v>
      </c>
      <c r="FE98" s="0" t="n">
        <v>1</v>
      </c>
      <c r="FF98" s="0" t="n">
        <v>0.9</v>
      </c>
      <c r="FG98" s="0" t="n">
        <v>3</v>
      </c>
      <c r="FH98" s="0" t="n">
        <v>50</v>
      </c>
      <c r="FI98" s="0" t="n">
        <v>1</v>
      </c>
      <c r="FJ98" s="0" t="n">
        <v>0.9</v>
      </c>
      <c r="FK98" s="0" t="n">
        <v>3</v>
      </c>
      <c r="FL98" s="0" t="n">
        <v>80</v>
      </c>
      <c r="FM98" s="0" t="n">
        <v>2</v>
      </c>
      <c r="FN98" s="0" t="n">
        <v>2.68</v>
      </c>
      <c r="FO98" s="0" t="n">
        <v>2</v>
      </c>
      <c r="FP98" s="0" t="n">
        <v>100</v>
      </c>
      <c r="FQ98" s="0" t="n">
        <v>1</v>
      </c>
      <c r="FR98" s="0" t="n">
        <v>2.57</v>
      </c>
      <c r="FS98" s="0" t="n">
        <v>2</v>
      </c>
      <c r="GJ98" s="0" t="n">
        <v>0</v>
      </c>
      <c r="GK98" s="19" t="n">
        <v>0</v>
      </c>
      <c r="GL98" s="19"/>
      <c r="GM98" s="13"/>
      <c r="GN98" s="13"/>
      <c r="GO98" s="19"/>
      <c r="GP98" s="13"/>
      <c r="GQ98" s="13"/>
      <c r="GR98" s="13"/>
      <c r="GS98" s="13"/>
      <c r="GT98" s="13"/>
      <c r="GU98" s="16" t="n">
        <v>5.11</v>
      </c>
      <c r="GV98" s="0" t="n">
        <v>4.81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s">
        <v>363</v>
      </c>
      <c r="HD98" s="0" t="n">
        <v>34.5</v>
      </c>
      <c r="HE98" s="16" t="n">
        <v>88.3</v>
      </c>
      <c r="HF98" s="16" t="n">
        <v>80.4</v>
      </c>
      <c r="HG98" s="16" t="n">
        <v>22.8</v>
      </c>
      <c r="HH98" s="0" t="n">
        <v>73.89</v>
      </c>
      <c r="HI98" s="17" t="n">
        <v>0</v>
      </c>
      <c r="HJ98" s="0" t="n">
        <v>14.94</v>
      </c>
      <c r="HK98" s="0" t="n">
        <v>0.5</v>
      </c>
      <c r="HL98" s="0" t="n">
        <v>10.66</v>
      </c>
      <c r="HM98" s="0" t="n">
        <v>0</v>
      </c>
      <c r="HN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46.29</v>
      </c>
      <c r="HU98" s="0" t="n">
        <v>23.15</v>
      </c>
      <c r="HV98" s="0" t="n">
        <v>0</v>
      </c>
      <c r="HW98" s="0" t="n">
        <v>0</v>
      </c>
      <c r="HX98" s="0" t="n">
        <v>0</v>
      </c>
      <c r="HY98" s="0" t="n">
        <v>0</v>
      </c>
      <c r="IL98" s="0" t="n">
        <v>2.8</v>
      </c>
      <c r="IM98" s="0" t="n">
        <v>1</v>
      </c>
      <c r="IN98" s="0" t="n">
        <v>35</v>
      </c>
      <c r="IO98" s="0" t="n">
        <v>1</v>
      </c>
      <c r="IP98" s="0" t="n">
        <v>0.5</v>
      </c>
      <c r="IQ98" s="0" t="n">
        <v>3</v>
      </c>
      <c r="IX98" s="20"/>
      <c r="JP98" s="0" t="n">
        <v>1</v>
      </c>
      <c r="JQ98" s="0" t="n">
        <v>60</v>
      </c>
      <c r="JR98" s="0" t="n">
        <v>4</v>
      </c>
      <c r="JS98" s="0" t="n">
        <v>0.54</v>
      </c>
      <c r="JT98" s="0" t="n">
        <v>3</v>
      </c>
      <c r="LA98" s="16" t="n">
        <v>3.05</v>
      </c>
      <c r="LB98" s="16" t="n">
        <v>1</v>
      </c>
      <c r="LC98" s="16" t="n">
        <v>1</v>
      </c>
      <c r="LD98" s="16" t="n">
        <v>5</v>
      </c>
      <c r="LE98" s="16" t="n">
        <v>8.71</v>
      </c>
      <c r="LF98" s="16" t="n">
        <v>2</v>
      </c>
      <c r="LG98" s="16" t="n">
        <v>25</v>
      </c>
      <c r="LH98" s="16" t="n">
        <v>12.44</v>
      </c>
      <c r="LI98" s="16"/>
      <c r="LJ98" s="16"/>
      <c r="LK98" s="16"/>
      <c r="LL98" s="16" t="n">
        <v>4.5</v>
      </c>
      <c r="LM98" s="16" t="n">
        <v>1.2</v>
      </c>
      <c r="LN98" s="16" t="n">
        <v>0</v>
      </c>
      <c r="LO98" s="16" t="n">
        <v>0</v>
      </c>
      <c r="LP98" s="16" t="n">
        <v>0</v>
      </c>
      <c r="LQ98" s="16" t="n">
        <v>0</v>
      </c>
      <c r="LR98" s="16" t="n">
        <v>0</v>
      </c>
      <c r="LS98" s="0" t="n">
        <v>0</v>
      </c>
      <c r="LT98" s="0" t="s">
        <v>364</v>
      </c>
      <c r="LU98" s="0" t="n">
        <v>32</v>
      </c>
      <c r="LV98" s="16" t="n">
        <v>75</v>
      </c>
      <c r="LW98" s="16" t="n">
        <v>80.4</v>
      </c>
      <c r="LX98" s="16" t="n">
        <v>22.6</v>
      </c>
      <c r="LY98" s="0" t="n">
        <v>76.24</v>
      </c>
      <c r="LZ98" s="17" t="n">
        <v>0</v>
      </c>
      <c r="MA98" s="0" t="n">
        <v>15.36</v>
      </c>
      <c r="MB98" s="0" t="n">
        <v>1.93</v>
      </c>
      <c r="MC98" s="0" t="n">
        <v>6.47</v>
      </c>
      <c r="MD98" s="0" t="n">
        <v>0</v>
      </c>
      <c r="ME98" s="0" t="n">
        <v>0</v>
      </c>
      <c r="MG98" s="0" t="n">
        <v>0</v>
      </c>
      <c r="MH98" s="0" t="n">
        <v>0</v>
      </c>
      <c r="MI98" s="0" t="n">
        <v>0</v>
      </c>
      <c r="MJ98" s="0" t="n">
        <v>0</v>
      </c>
      <c r="MK98" s="0" t="n">
        <v>32.86</v>
      </c>
      <c r="ML98" s="0" t="n">
        <v>26.39</v>
      </c>
      <c r="MM98" s="0" t="n">
        <v>0</v>
      </c>
      <c r="MN98" s="0" t="n">
        <v>0</v>
      </c>
      <c r="MO98" s="0" t="n">
        <v>0</v>
      </c>
      <c r="MP98" s="0" t="n">
        <v>0</v>
      </c>
      <c r="NC98" s="0" t="n">
        <v>5.6</v>
      </c>
      <c r="ND98" s="0" t="n">
        <v>1</v>
      </c>
      <c r="NE98" s="0" t="n">
        <v>35</v>
      </c>
      <c r="NF98" s="0" t="n">
        <v>1</v>
      </c>
      <c r="NG98" s="0" t="n">
        <v>0.5</v>
      </c>
      <c r="NH98" s="0" t="n">
        <v>3</v>
      </c>
      <c r="NO98" s="20"/>
      <c r="OG98" s="0" t="n">
        <v>1</v>
      </c>
      <c r="OH98" s="0" t="n">
        <v>60</v>
      </c>
      <c r="OI98" s="0" t="n">
        <v>5</v>
      </c>
      <c r="OJ98" s="0" t="n">
        <v>3.13</v>
      </c>
      <c r="OK98" s="0" t="n">
        <v>2</v>
      </c>
      <c r="OL98" s="0" t="n">
        <v>50</v>
      </c>
      <c r="OM98" s="0" t="n">
        <v>2</v>
      </c>
      <c r="ON98" s="0" t="n">
        <v>0.67</v>
      </c>
      <c r="OO98" s="0" t="n">
        <v>2</v>
      </c>
      <c r="PR98" s="16" t="n">
        <v>1.43</v>
      </c>
      <c r="PS98" s="16" t="n">
        <v>1</v>
      </c>
      <c r="PT98" s="16" t="n">
        <v>1</v>
      </c>
      <c r="PU98" s="16" t="n">
        <v>4</v>
      </c>
      <c r="PV98" s="16" t="n">
        <v>17.43</v>
      </c>
      <c r="PW98" s="16"/>
      <c r="PX98" s="16"/>
      <c r="PY98" s="16"/>
      <c r="PZ98" s="16"/>
      <c r="QA98" s="16"/>
      <c r="QB98" s="16"/>
      <c r="QC98" s="16" t="n">
        <v>1.7</v>
      </c>
      <c r="QD98" s="16" t="n">
        <v>1.7</v>
      </c>
      <c r="QE98" s="16" t="n">
        <v>0</v>
      </c>
      <c r="QF98" s="16" t="n">
        <v>0</v>
      </c>
      <c r="QG98" s="16" t="n">
        <v>0</v>
      </c>
      <c r="QH98" s="16" t="n">
        <v>0</v>
      </c>
      <c r="QI98" s="16" t="n">
        <v>0</v>
      </c>
      <c r="QJ98" s="0" t="n">
        <v>0</v>
      </c>
      <c r="QK98" s="0" t="s">
        <v>350</v>
      </c>
      <c r="QL98" s="0" t="n">
        <v>75</v>
      </c>
      <c r="QM98" s="16" t="n">
        <v>87.9</v>
      </c>
      <c r="QN98" s="16" t="n">
        <v>80.4</v>
      </c>
      <c r="QO98" s="16" t="n">
        <v>45.2</v>
      </c>
      <c r="QP98" s="0" t="n">
        <v>50.83</v>
      </c>
      <c r="QQ98" s="0" t="n">
        <v>0.05</v>
      </c>
      <c r="QR98" s="0" t="n">
        <v>46.44</v>
      </c>
      <c r="QS98" s="0" t="n">
        <v>2.67</v>
      </c>
      <c r="QT98" s="0" t="n">
        <v>0</v>
      </c>
      <c r="QU98" s="0" t="n">
        <v>0</v>
      </c>
      <c r="QV98" s="0" t="n">
        <v>0</v>
      </c>
      <c r="QX98" s="0" t="n">
        <v>0</v>
      </c>
      <c r="QY98" s="0" t="n">
        <v>0</v>
      </c>
      <c r="QZ98" s="0" t="n">
        <v>0</v>
      </c>
      <c r="RA98" s="0" t="n">
        <v>0</v>
      </c>
      <c r="RB98" s="0" t="n">
        <v>25.21</v>
      </c>
      <c r="RC98" s="0" t="n">
        <v>43.57</v>
      </c>
      <c r="RD98" s="0" t="n">
        <v>6.27</v>
      </c>
      <c r="RE98" s="0" t="n">
        <v>0</v>
      </c>
      <c r="RF98" s="0" t="n">
        <v>0</v>
      </c>
      <c r="RG98" s="0" t="n">
        <v>0</v>
      </c>
      <c r="RT98" s="0" t="n">
        <v>17.8</v>
      </c>
      <c r="RU98" s="0" t="n">
        <v>1</v>
      </c>
      <c r="RV98" s="0" t="n">
        <v>35</v>
      </c>
      <c r="RW98" s="0" t="n">
        <v>9</v>
      </c>
      <c r="RX98" s="0" t="n">
        <v>2.55</v>
      </c>
      <c r="RY98" s="0" t="n">
        <v>3</v>
      </c>
      <c r="SF98" s="20"/>
      <c r="SX98" s="0" t="n">
        <v>1</v>
      </c>
      <c r="SY98" s="0" t="n">
        <v>50</v>
      </c>
      <c r="SZ98" s="0" t="n">
        <v>8</v>
      </c>
      <c r="TA98" s="0" t="n">
        <v>2.12</v>
      </c>
      <c r="TB98" s="0" t="n">
        <v>3</v>
      </c>
      <c r="UI98" s="16" t="n">
        <v>3.43</v>
      </c>
      <c r="UJ98" s="16" t="n">
        <v>1</v>
      </c>
      <c r="UK98" s="16" t="n">
        <v>1</v>
      </c>
      <c r="UL98" s="16"/>
      <c r="UM98" s="16" t="n">
        <v>26.11</v>
      </c>
      <c r="UN98" s="16" t="n">
        <v>2</v>
      </c>
      <c r="UO98" s="16"/>
      <c r="UP98" s="16" t="n">
        <v>11.19</v>
      </c>
      <c r="UQ98" s="16"/>
      <c r="UR98" s="16"/>
      <c r="US98" s="16"/>
      <c r="UT98" s="16" t="n">
        <v>6.39</v>
      </c>
      <c r="UU98" s="16" t="n">
        <v>3.31</v>
      </c>
      <c r="UV98" s="16" t="n">
        <v>0</v>
      </c>
      <c r="UW98" s="16" t="n">
        <v>0</v>
      </c>
      <c r="UX98" s="16" t="n">
        <v>0</v>
      </c>
      <c r="UY98" s="16" t="n">
        <v>0</v>
      </c>
      <c r="UZ98" s="16" t="n">
        <v>0</v>
      </c>
      <c r="VA98" s="0" t="n">
        <v>0</v>
      </c>
      <c r="VB98" s="0" t="s">
        <v>361</v>
      </c>
      <c r="VC98" s="0" t="n">
        <v>74.5</v>
      </c>
      <c r="VD98" s="16" t="n">
        <v>76.2</v>
      </c>
      <c r="VE98" s="16" t="n">
        <v>80.4</v>
      </c>
      <c r="VF98" s="16" t="n">
        <v>42.8</v>
      </c>
      <c r="VG98" s="0" t="n">
        <v>57.15</v>
      </c>
      <c r="VH98" s="0" t="n">
        <v>0.45</v>
      </c>
      <c r="VI98" s="0" t="n">
        <v>39.09</v>
      </c>
      <c r="VJ98" s="0" t="n">
        <v>3.3</v>
      </c>
      <c r="VK98" s="0" t="n">
        <v>0</v>
      </c>
      <c r="VL98" s="0" t="n">
        <v>0</v>
      </c>
      <c r="VM98" s="0" t="n">
        <v>0</v>
      </c>
      <c r="VO98" s="0" t="n">
        <v>0</v>
      </c>
      <c r="VP98" s="0" t="n">
        <v>0</v>
      </c>
      <c r="VQ98" s="0" t="n">
        <v>0</v>
      </c>
      <c r="VR98" s="0" t="n">
        <v>0</v>
      </c>
      <c r="VS98" s="0" t="n">
        <v>18.26</v>
      </c>
      <c r="VT98" s="0" t="n">
        <v>34.4</v>
      </c>
      <c r="VU98" s="0" t="n">
        <v>6.27</v>
      </c>
      <c r="VV98" s="0" t="n">
        <v>0</v>
      </c>
      <c r="VW98" s="0" t="n">
        <v>0</v>
      </c>
      <c r="VX98" s="0" t="n">
        <v>0</v>
      </c>
      <c r="WK98" s="0" t="n">
        <v>18.2</v>
      </c>
      <c r="WL98" s="0" t="n">
        <v>1</v>
      </c>
      <c r="WM98" s="0" t="n">
        <v>35</v>
      </c>
      <c r="WN98" s="0" t="n">
        <v>9</v>
      </c>
      <c r="WO98" s="0" t="n">
        <v>2.55</v>
      </c>
      <c r="WP98" s="0" t="n">
        <v>3</v>
      </c>
      <c r="WW98" s="20"/>
      <c r="XO98" s="0" t="n">
        <v>1</v>
      </c>
      <c r="XP98" s="0" t="n">
        <v>50</v>
      </c>
      <c r="XQ98" s="0" t="n">
        <v>8</v>
      </c>
      <c r="XR98" s="0" t="n">
        <v>2.54</v>
      </c>
      <c r="XS98" s="0" t="n">
        <v>3</v>
      </c>
      <c r="YZ98" s="16" t="n">
        <v>7.59</v>
      </c>
      <c r="ZA98" s="16" t="n">
        <v>1</v>
      </c>
      <c r="ZB98" s="16" t="n">
        <v>1</v>
      </c>
      <c r="ZC98" s="16"/>
      <c r="ZD98" s="16" t="n">
        <v>22.38</v>
      </c>
      <c r="ZE98" s="16" t="n">
        <v>2</v>
      </c>
      <c r="ZF98" s="16"/>
      <c r="ZG98" s="16" t="n">
        <v>14.92</v>
      </c>
      <c r="ZH98" s="16"/>
      <c r="ZI98" s="16"/>
      <c r="ZJ98" s="16"/>
      <c r="ZK98" s="16" t="n">
        <v>5.05</v>
      </c>
      <c r="ZL98" s="16" t="n">
        <v>1.54</v>
      </c>
      <c r="ZM98" s="16" t="n">
        <v>0</v>
      </c>
      <c r="ZN98" s="16" t="n">
        <v>0</v>
      </c>
      <c r="ZO98" s="16" t="n">
        <v>0</v>
      </c>
      <c r="ZP98" s="16" t="n">
        <v>0</v>
      </c>
      <c r="ZQ98" s="16" t="n">
        <v>0</v>
      </c>
      <c r="ZR98" s="0" t="n">
        <v>0</v>
      </c>
      <c r="ZS98" s="0" t="s">
        <v>365</v>
      </c>
      <c r="ZT98" s="0" t="n">
        <v>75</v>
      </c>
      <c r="ZU98" s="16" t="n">
        <v>76.8</v>
      </c>
      <c r="ZV98" s="16" t="n">
        <v>80.4</v>
      </c>
      <c r="ZW98" s="16" t="n">
        <v>30.8</v>
      </c>
      <c r="ZX98" s="0" t="n">
        <v>74.74</v>
      </c>
      <c r="ZY98" s="17" t="n">
        <v>0</v>
      </c>
      <c r="ZZ98" s="0" t="n">
        <v>4.24</v>
      </c>
      <c r="AAA98" s="0" t="n">
        <v>16.45</v>
      </c>
      <c r="AAB98" s="0" t="n">
        <v>4.57</v>
      </c>
      <c r="AAC98" s="0" t="n">
        <v>0</v>
      </c>
      <c r="AAD98" s="0" t="n">
        <v>0</v>
      </c>
      <c r="AAF98" s="0" t="n">
        <v>0</v>
      </c>
      <c r="AAG98" s="0" t="n">
        <v>0</v>
      </c>
      <c r="AAH98" s="0" t="n">
        <v>0</v>
      </c>
      <c r="AAI98" s="0" t="n">
        <v>0</v>
      </c>
      <c r="AAJ98" s="0" t="n">
        <v>35.23</v>
      </c>
      <c r="AAK98" s="0" t="n">
        <v>6.53</v>
      </c>
      <c r="AAL98" s="0" t="n">
        <v>4.97</v>
      </c>
      <c r="AAM98" s="0" t="n">
        <v>0</v>
      </c>
      <c r="AAN98" s="0" t="n">
        <v>0</v>
      </c>
      <c r="AAO98" s="0" t="n">
        <v>0</v>
      </c>
      <c r="ABB98" s="0" t="n">
        <v>38.4</v>
      </c>
      <c r="ABC98" s="0" t="n">
        <v>1</v>
      </c>
      <c r="ABD98" s="0" t="n">
        <v>47</v>
      </c>
      <c r="ABE98" s="0" t="n">
        <v>7</v>
      </c>
      <c r="ABF98" s="0" t="n">
        <v>5.33</v>
      </c>
      <c r="ABG98" s="0" t="n">
        <v>3</v>
      </c>
      <c r="ABN98" s="20"/>
      <c r="ACF98" s="0" t="n">
        <v>0</v>
      </c>
      <c r="ADQ98" s="16" t="n">
        <v>2.02</v>
      </c>
      <c r="ADR98" s="16" t="n">
        <v>1</v>
      </c>
      <c r="ADS98" s="16" t="n">
        <v>1</v>
      </c>
      <c r="ADT98" s="16"/>
      <c r="ADU98" s="16" t="n">
        <v>9.95</v>
      </c>
      <c r="ADV98" s="16" t="n">
        <v>2</v>
      </c>
      <c r="ADW98" s="16"/>
      <c r="ADX98" s="16" t="n">
        <v>9.95</v>
      </c>
      <c r="ADY98" s="16"/>
      <c r="ADZ98" s="16"/>
      <c r="AEA98" s="16"/>
      <c r="AEB98" s="16" t="n">
        <v>0</v>
      </c>
      <c r="AEC98" s="16" t="n">
        <v>0</v>
      </c>
      <c r="AED98" s="16" t="n">
        <v>0</v>
      </c>
      <c r="AEE98" s="16" t="n">
        <v>0</v>
      </c>
      <c r="AEF98" s="16" t="n">
        <v>0</v>
      </c>
      <c r="AEG98" s="16" t="n">
        <v>0</v>
      </c>
      <c r="AEH98" s="16" t="n">
        <v>0</v>
      </c>
      <c r="AEI98" s="0" t="n">
        <v>0</v>
      </c>
      <c r="AEJ98" s="0" t="s">
        <v>351</v>
      </c>
      <c r="AEK98" s="0" t="n">
        <v>30.5</v>
      </c>
      <c r="AEL98" s="16" t="n">
        <v>68.4</v>
      </c>
      <c r="AEM98" s="16" t="n">
        <v>80.4</v>
      </c>
      <c r="AEN98" s="16" t="n">
        <v>19.8</v>
      </c>
      <c r="AEO98" s="0" t="n">
        <v>72.42</v>
      </c>
      <c r="AEP98" s="17" t="n">
        <v>0</v>
      </c>
      <c r="AEQ98" s="0" t="n">
        <v>0.94</v>
      </c>
      <c r="AER98" s="0" t="n">
        <v>0.94</v>
      </c>
      <c r="AES98" s="0" t="n">
        <v>25.7</v>
      </c>
      <c r="AET98" s="0" t="n">
        <v>0</v>
      </c>
      <c r="AEU98" s="0" t="n">
        <v>0</v>
      </c>
      <c r="AEW98" s="0" t="n">
        <v>0</v>
      </c>
      <c r="AEX98" s="0" t="n">
        <v>0</v>
      </c>
      <c r="AEY98" s="0" t="n">
        <v>0</v>
      </c>
      <c r="AEZ98" s="0" t="n">
        <v>0</v>
      </c>
      <c r="AFA98" s="0" t="n">
        <v>28.26</v>
      </c>
      <c r="AFB98" s="0" t="n">
        <v>10.55</v>
      </c>
      <c r="AFC98" s="0" t="n">
        <v>14.21</v>
      </c>
      <c r="AFD98" s="0" t="n">
        <v>0</v>
      </c>
      <c r="AFE98" s="0" t="n">
        <v>0</v>
      </c>
      <c r="AFF98" s="0" t="n">
        <v>0</v>
      </c>
      <c r="AFS98" s="0" t="n">
        <v>3.3</v>
      </c>
      <c r="AFT98" s="0" t="n">
        <v>1</v>
      </c>
      <c r="AFU98" s="0" t="n">
        <v>68</v>
      </c>
      <c r="AFV98" s="0" t="n">
        <v>2</v>
      </c>
      <c r="AFW98" s="0" t="n">
        <v>1.52</v>
      </c>
      <c r="AFX98" s="0" t="n">
        <v>1</v>
      </c>
      <c r="AGE98" s="20"/>
      <c r="AGW98" s="0" t="n">
        <v>0</v>
      </c>
      <c r="AIH98" s="16" t="n">
        <v>0</v>
      </c>
      <c r="AII98" s="16" t="n">
        <v>0</v>
      </c>
      <c r="AIJ98" s="16"/>
      <c r="AIK98" s="16"/>
      <c r="AIL98" s="16"/>
      <c r="AIM98" s="16"/>
      <c r="AIN98" s="16"/>
      <c r="AIO98" s="16"/>
      <c r="AIP98" s="16"/>
      <c r="AIQ98" s="16"/>
      <c r="AIR98" s="16"/>
      <c r="AIS98" s="16" t="n">
        <v>0.81</v>
      </c>
      <c r="AIT98" s="16" t="n">
        <v>0.8</v>
      </c>
      <c r="AIU98" s="16" t="n">
        <v>0</v>
      </c>
      <c r="AIV98" s="16" t="n">
        <v>0</v>
      </c>
      <c r="AIW98" s="16" t="n">
        <v>2.99</v>
      </c>
      <c r="AIX98" s="16" t="n">
        <v>5.71</v>
      </c>
      <c r="AIY98" s="16" t="n">
        <v>0</v>
      </c>
      <c r="AIZ98" s="0" t="n">
        <v>0</v>
      </c>
      <c r="AJA98" s="0" t="s">
        <v>356</v>
      </c>
      <c r="AJB98" s="0" t="n">
        <v>39.5</v>
      </c>
      <c r="AJC98" s="16" t="n">
        <v>85.1</v>
      </c>
      <c r="AJD98" s="16" t="n">
        <v>80.4</v>
      </c>
      <c r="AJE98" s="16" t="n">
        <v>13.6</v>
      </c>
      <c r="AJF98" s="0" t="n">
        <v>87.38</v>
      </c>
      <c r="AJG98" s="17" t="n">
        <v>0</v>
      </c>
      <c r="AJH98" s="0" t="n">
        <v>8.05</v>
      </c>
      <c r="AJI98" s="0" t="n">
        <v>0</v>
      </c>
      <c r="AJJ98" s="0" t="n">
        <v>4.57</v>
      </c>
      <c r="AJK98" s="0" t="n">
        <v>0</v>
      </c>
      <c r="AJL98" s="0" t="n">
        <v>0</v>
      </c>
      <c r="AJN98" s="0" t="n">
        <v>0</v>
      </c>
      <c r="AJO98" s="0" t="n">
        <v>0</v>
      </c>
      <c r="AJP98" s="0" t="n">
        <v>0</v>
      </c>
      <c r="AJQ98" s="0" t="n">
        <v>0</v>
      </c>
      <c r="AJR98" s="0" t="n">
        <v>45</v>
      </c>
      <c r="AJS98" s="0" t="n">
        <v>10.1</v>
      </c>
      <c r="AJT98" s="0" t="n">
        <v>11.8</v>
      </c>
      <c r="AJU98" s="0" t="n">
        <v>0</v>
      </c>
      <c r="AJV98" s="0" t="n">
        <v>0</v>
      </c>
      <c r="AJW98" s="0" t="n">
        <v>0</v>
      </c>
      <c r="AKJ98" s="0" t="n">
        <v>17.8</v>
      </c>
      <c r="AKK98" s="0" t="n">
        <v>1</v>
      </c>
      <c r="AKL98" s="0" t="n">
        <v>30</v>
      </c>
      <c r="AKM98" s="0" t="n">
        <v>7</v>
      </c>
      <c r="AKN98" s="0" t="n">
        <v>5.33</v>
      </c>
      <c r="AKO98" s="0" t="n">
        <v>3</v>
      </c>
      <c r="AKV98" s="20"/>
      <c r="ALN98" s="0" t="n">
        <v>1</v>
      </c>
      <c r="ALO98" s="0" t="n">
        <v>50</v>
      </c>
      <c r="ALP98" s="0" t="n">
        <v>1</v>
      </c>
      <c r="ALQ98" s="0" t="n">
        <v>0.03</v>
      </c>
      <c r="ALR98" s="0" t="n">
        <v>1</v>
      </c>
    </row>
    <row r="99" customFormat="false" ht="13.8" hidden="false" customHeight="false" outlineLevel="0" collapsed="false">
      <c r="A99" s="1" t="s">
        <v>487</v>
      </c>
      <c r="B99" s="12" t="n">
        <v>42893</v>
      </c>
      <c r="C99" s="0" t="n">
        <v>1</v>
      </c>
      <c r="D99" s="13" t="n">
        <v>42804</v>
      </c>
      <c r="E99" s="12" t="n">
        <v>34143</v>
      </c>
      <c r="F99" s="14" t="n">
        <f aca="false">(B99-E99)/365.25</f>
        <v>23.9561943874059</v>
      </c>
      <c r="G99" s="14" t="n">
        <f aca="false">(B99-D99)/365.25</f>
        <v>0.243668720054757</v>
      </c>
      <c r="H99" s="15" t="s">
        <v>183</v>
      </c>
      <c r="I99" s="15" t="s">
        <v>347</v>
      </c>
      <c r="J99" s="15" t="s">
        <v>183</v>
      </c>
      <c r="K99" s="21" t="n">
        <v>4</v>
      </c>
      <c r="L99" s="19" t="n">
        <v>59</v>
      </c>
      <c r="M99" s="0" t="n">
        <v>1.58</v>
      </c>
      <c r="N99" s="16" t="n">
        <f aca="false">L99/(M99*M99)</f>
        <v>23.6340330075308</v>
      </c>
      <c r="O99" s="19" t="n">
        <v>0</v>
      </c>
      <c r="P99" s="19" t="n">
        <v>0</v>
      </c>
      <c r="Q99" s="19" t="n">
        <v>0</v>
      </c>
      <c r="R99" s="19" t="n">
        <v>0</v>
      </c>
      <c r="S99" s="19" t="n">
        <v>0</v>
      </c>
      <c r="T99" s="19" t="n">
        <v>0</v>
      </c>
      <c r="U99" s="19" t="n">
        <v>0</v>
      </c>
      <c r="V99" s="19" t="n">
        <v>0</v>
      </c>
      <c r="W99" s="19" t="n">
        <v>0</v>
      </c>
      <c r="X99" s="19" t="n">
        <v>0</v>
      </c>
      <c r="Y99" s="19" t="n">
        <v>1</v>
      </c>
      <c r="Z99" s="19" t="n">
        <v>1</v>
      </c>
      <c r="AA99" s="19" t="n">
        <v>60</v>
      </c>
      <c r="AB99" s="19" t="s">
        <v>308</v>
      </c>
      <c r="AC99" s="19" t="n">
        <v>0</v>
      </c>
      <c r="AD99" s="19" t="n">
        <v>0</v>
      </c>
      <c r="AE99" s="19" t="n">
        <v>0</v>
      </c>
      <c r="AF99" s="19" t="n">
        <v>0</v>
      </c>
      <c r="AG99" s="19" t="n">
        <v>0</v>
      </c>
      <c r="AH99" s="19" t="n">
        <v>0</v>
      </c>
      <c r="AI99" s="19" t="n">
        <v>0</v>
      </c>
      <c r="AJ99" s="19" t="n">
        <v>0</v>
      </c>
      <c r="AK99" s="19" t="n">
        <v>0</v>
      </c>
      <c r="AL99" s="19" t="n">
        <v>0</v>
      </c>
      <c r="AM99" s="19" t="n">
        <v>0</v>
      </c>
      <c r="AN99" s="19" t="n">
        <v>0</v>
      </c>
      <c r="AO99" s="19" t="n">
        <v>0</v>
      </c>
      <c r="AP99" s="19" t="n">
        <v>0</v>
      </c>
      <c r="AQ99" s="19" t="n">
        <v>0</v>
      </c>
      <c r="AR99" s="19" t="n">
        <v>0</v>
      </c>
      <c r="AS99" s="19" t="n">
        <v>0</v>
      </c>
      <c r="AT99" s="19" t="n">
        <v>0</v>
      </c>
      <c r="AU99" s="19" t="n">
        <v>0</v>
      </c>
      <c r="AV99" s="19" t="n">
        <v>0</v>
      </c>
      <c r="AW99" s="19" t="n">
        <v>0</v>
      </c>
      <c r="AX99" s="19" t="n">
        <v>0</v>
      </c>
      <c r="AY99" s="19" t="n">
        <v>0</v>
      </c>
      <c r="AZ99" s="19" t="n">
        <v>0</v>
      </c>
      <c r="BA99" s="19" t="n">
        <v>0</v>
      </c>
      <c r="BB99" s="19" t="n">
        <v>0</v>
      </c>
      <c r="BC99" s="19" t="n">
        <v>0</v>
      </c>
      <c r="BD99" s="19" t="n">
        <v>0</v>
      </c>
      <c r="BE99" s="19" t="n">
        <v>0</v>
      </c>
      <c r="BF99" s="19" t="n">
        <v>0</v>
      </c>
      <c r="BG99" s="19" t="n">
        <v>0</v>
      </c>
      <c r="BH99" s="19" t="n">
        <v>0</v>
      </c>
      <c r="BI99" s="19" t="n">
        <v>0</v>
      </c>
      <c r="BJ99" s="19" t="n">
        <v>0</v>
      </c>
      <c r="BK99" s="19" t="n">
        <v>0</v>
      </c>
      <c r="BL99" s="19" t="n">
        <v>0</v>
      </c>
      <c r="BM99" s="19" t="n">
        <v>0</v>
      </c>
      <c r="BN99" s="19" t="n">
        <v>0</v>
      </c>
      <c r="BO99" s="19" t="n">
        <v>0</v>
      </c>
      <c r="BP99" s="19" t="n">
        <v>0</v>
      </c>
      <c r="BQ99" s="19" t="n">
        <v>0</v>
      </c>
      <c r="BR99" s="19" t="n">
        <v>3</v>
      </c>
      <c r="BS99" s="19" t="n">
        <v>3</v>
      </c>
      <c r="BT99" s="19" t="n">
        <v>3</v>
      </c>
      <c r="BU99" s="19" t="n">
        <v>5</v>
      </c>
      <c r="BV99" s="19" t="n">
        <v>1</v>
      </c>
      <c r="BW99" s="19" t="n">
        <v>1</v>
      </c>
      <c r="BX99" s="19" t="n">
        <v>3</v>
      </c>
      <c r="BY99" s="19" t="n">
        <v>5</v>
      </c>
      <c r="BZ99" s="19" t="n">
        <v>3</v>
      </c>
      <c r="CA99" s="19" t="n">
        <v>4</v>
      </c>
      <c r="CB99" s="19" t="n">
        <v>5</v>
      </c>
      <c r="CC99" s="19" t="n">
        <v>5</v>
      </c>
      <c r="CD99" s="19" t="n">
        <v>4</v>
      </c>
      <c r="CE99" s="19" t="n">
        <v>5</v>
      </c>
      <c r="CF99" s="19" t="n">
        <v>3</v>
      </c>
      <c r="CG99" s="19" t="n">
        <v>5</v>
      </c>
      <c r="CH99" s="19" t="n">
        <v>5</v>
      </c>
      <c r="CI99" s="19" t="n">
        <v>5</v>
      </c>
      <c r="CJ99" s="19" t="n">
        <v>5</v>
      </c>
      <c r="CK99" s="19" t="n">
        <v>8</v>
      </c>
      <c r="CL99" s="0" t="s">
        <v>355</v>
      </c>
      <c r="CM99" s="0" t="n">
        <v>37</v>
      </c>
      <c r="CN99" s="16" t="n">
        <v>95.1</v>
      </c>
      <c r="CO99" s="16" t="n">
        <v>80.4</v>
      </c>
      <c r="CP99" s="16" t="n">
        <v>15.9</v>
      </c>
      <c r="CQ99" s="0" t="n">
        <v>82.71</v>
      </c>
      <c r="CR99" s="17" t="n">
        <v>0</v>
      </c>
      <c r="CS99" s="0" t="n">
        <v>10.32</v>
      </c>
      <c r="CT99" s="0" t="n">
        <v>0.39</v>
      </c>
      <c r="CU99" s="0" t="n">
        <v>10.32</v>
      </c>
      <c r="CV99" s="0" t="n">
        <v>0</v>
      </c>
      <c r="CW99" s="0" t="n">
        <v>0</v>
      </c>
      <c r="CY99" s="0" t="n">
        <v>0</v>
      </c>
      <c r="CZ99" s="0" t="n">
        <v>0</v>
      </c>
      <c r="DA99" s="0" t="n">
        <v>0</v>
      </c>
      <c r="DB99" s="0" t="n">
        <v>1.9</v>
      </c>
      <c r="DC99" s="0" t="n">
        <v>26.26</v>
      </c>
      <c r="DD99" s="0" t="n">
        <v>6.04</v>
      </c>
      <c r="DE99" s="0" t="n">
        <v>2.19</v>
      </c>
      <c r="DF99" s="0" t="n">
        <v>0</v>
      </c>
      <c r="DG99" s="0" t="n">
        <v>0</v>
      </c>
      <c r="DH99" s="0" t="n">
        <v>0</v>
      </c>
      <c r="DU99" s="0" t="n">
        <v>14.7</v>
      </c>
      <c r="DV99" s="0" t="n">
        <v>1</v>
      </c>
      <c r="DW99" s="0" t="n">
        <v>35</v>
      </c>
      <c r="DX99" s="0" t="n">
        <v>2</v>
      </c>
      <c r="DY99" s="0" t="n">
        <v>1.8</v>
      </c>
      <c r="DZ99" s="0" t="n">
        <v>3</v>
      </c>
      <c r="EG99" s="20"/>
      <c r="EY99" s="0" t="n">
        <v>1</v>
      </c>
      <c r="EZ99" s="0" t="n">
        <v>50</v>
      </c>
      <c r="FA99" s="0" t="n">
        <v>1</v>
      </c>
      <c r="FB99" s="0" t="n">
        <v>1.34</v>
      </c>
      <c r="FC99" s="0" t="n">
        <v>2</v>
      </c>
      <c r="FD99" s="0" t="n">
        <v>40</v>
      </c>
      <c r="FE99" s="0" t="n">
        <v>1</v>
      </c>
      <c r="FF99" s="0" t="n">
        <v>0.9</v>
      </c>
      <c r="FG99" s="0" t="n">
        <v>3</v>
      </c>
      <c r="FH99" s="0" t="n">
        <v>50</v>
      </c>
      <c r="FI99" s="0" t="n">
        <v>1</v>
      </c>
      <c r="FJ99" s="0" t="n">
        <v>0.9</v>
      </c>
      <c r="FK99" s="0" t="n">
        <v>3</v>
      </c>
      <c r="FL99" s="0" t="n">
        <v>80</v>
      </c>
      <c r="FM99" s="0" t="n">
        <v>2</v>
      </c>
      <c r="FN99" s="0" t="n">
        <v>2.68</v>
      </c>
      <c r="FO99" s="0" t="n">
        <v>2</v>
      </c>
      <c r="FP99" s="0" t="n">
        <v>100</v>
      </c>
      <c r="FQ99" s="0" t="n">
        <v>1</v>
      </c>
      <c r="FR99" s="0" t="n">
        <v>2.57</v>
      </c>
      <c r="FS99" s="0" t="n">
        <v>2</v>
      </c>
      <c r="GJ99" s="0" t="n">
        <v>0</v>
      </c>
      <c r="GK99" s="19" t="n">
        <v>0</v>
      </c>
      <c r="GL99" s="19"/>
      <c r="GM99" s="13"/>
      <c r="GN99" s="13"/>
      <c r="GO99" s="19"/>
      <c r="GP99" s="13"/>
      <c r="GQ99" s="13"/>
      <c r="GR99" s="13"/>
      <c r="GS99" s="13"/>
      <c r="GT99" s="13"/>
      <c r="GU99" s="16" t="n">
        <v>5.11</v>
      </c>
      <c r="GV99" s="0" t="n">
        <v>4.81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s">
        <v>363</v>
      </c>
      <c r="HD99" s="0" t="n">
        <v>34.5</v>
      </c>
      <c r="HE99" s="16" t="n">
        <v>88.3</v>
      </c>
      <c r="HF99" s="16" t="n">
        <v>80.4</v>
      </c>
      <c r="HG99" s="16" t="n">
        <v>22.8</v>
      </c>
      <c r="HH99" s="0" t="n">
        <v>73.89</v>
      </c>
      <c r="HI99" s="17" t="n">
        <v>0</v>
      </c>
      <c r="HJ99" s="0" t="n">
        <v>14.94</v>
      </c>
      <c r="HK99" s="0" t="n">
        <v>0.5</v>
      </c>
      <c r="HL99" s="0" t="n">
        <v>10.66</v>
      </c>
      <c r="HM99" s="0" t="n">
        <v>0</v>
      </c>
      <c r="HN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46.29</v>
      </c>
      <c r="HU99" s="0" t="n">
        <v>23.15</v>
      </c>
      <c r="HV99" s="0" t="n">
        <v>0</v>
      </c>
      <c r="HW99" s="0" t="n">
        <v>0</v>
      </c>
      <c r="HX99" s="0" t="n">
        <v>0</v>
      </c>
      <c r="HY99" s="0" t="n">
        <v>0</v>
      </c>
      <c r="IL99" s="0" t="n">
        <v>2.8</v>
      </c>
      <c r="IM99" s="0" t="n">
        <v>1</v>
      </c>
      <c r="IN99" s="0" t="n">
        <v>35</v>
      </c>
      <c r="IO99" s="0" t="n">
        <v>1</v>
      </c>
      <c r="IP99" s="0" t="n">
        <v>0.5</v>
      </c>
      <c r="IQ99" s="0" t="n">
        <v>3</v>
      </c>
      <c r="IX99" s="20"/>
      <c r="JP99" s="0" t="n">
        <v>1</v>
      </c>
      <c r="JQ99" s="0" t="n">
        <v>60</v>
      </c>
      <c r="JR99" s="0" t="n">
        <v>4</v>
      </c>
      <c r="JS99" s="0" t="n">
        <v>0.54</v>
      </c>
      <c r="JT99" s="0" t="n">
        <v>3</v>
      </c>
      <c r="LA99" s="16" t="n">
        <v>3.05</v>
      </c>
      <c r="LB99" s="16" t="n">
        <v>1</v>
      </c>
      <c r="LC99" s="16" t="n">
        <v>1</v>
      </c>
      <c r="LD99" s="16" t="n">
        <v>5</v>
      </c>
      <c r="LE99" s="16" t="n">
        <v>8.71</v>
      </c>
      <c r="LF99" s="16" t="n">
        <v>2</v>
      </c>
      <c r="LG99" s="16" t="n">
        <v>25</v>
      </c>
      <c r="LH99" s="16" t="n">
        <v>12.44</v>
      </c>
      <c r="LI99" s="16"/>
      <c r="LJ99" s="16"/>
      <c r="LK99" s="16"/>
      <c r="LL99" s="16" t="n">
        <v>4.5</v>
      </c>
      <c r="LM99" s="16" t="n">
        <v>1.2</v>
      </c>
      <c r="LN99" s="16" t="n">
        <v>0</v>
      </c>
      <c r="LO99" s="16" t="n">
        <v>0</v>
      </c>
      <c r="LP99" s="16" t="n">
        <v>0</v>
      </c>
      <c r="LQ99" s="16" t="n">
        <v>0</v>
      </c>
      <c r="LR99" s="16" t="n">
        <v>0</v>
      </c>
      <c r="LS99" s="0" t="n">
        <v>0</v>
      </c>
      <c r="LT99" s="0" t="s">
        <v>364</v>
      </c>
      <c r="LU99" s="0" t="n">
        <v>32</v>
      </c>
      <c r="LV99" s="16" t="n">
        <v>75</v>
      </c>
      <c r="LW99" s="16" t="n">
        <v>80.4</v>
      </c>
      <c r="LX99" s="16" t="n">
        <v>22.6</v>
      </c>
      <c r="LY99" s="0" t="n">
        <v>76.24</v>
      </c>
      <c r="LZ99" s="17" t="n">
        <v>0</v>
      </c>
      <c r="MA99" s="0" t="n">
        <v>15.36</v>
      </c>
      <c r="MB99" s="0" t="n">
        <v>1.93</v>
      </c>
      <c r="MC99" s="0" t="n">
        <v>6.47</v>
      </c>
      <c r="MD99" s="0" t="n">
        <v>0</v>
      </c>
      <c r="ME99" s="0" t="n">
        <v>0</v>
      </c>
      <c r="MG99" s="0" t="n">
        <v>0</v>
      </c>
      <c r="MH99" s="0" t="n">
        <v>0</v>
      </c>
      <c r="MI99" s="0" t="n">
        <v>0</v>
      </c>
      <c r="MJ99" s="0" t="n">
        <v>0</v>
      </c>
      <c r="MK99" s="0" t="n">
        <v>32.86</v>
      </c>
      <c r="ML99" s="0" t="n">
        <v>26.39</v>
      </c>
      <c r="MM99" s="0" t="n">
        <v>0</v>
      </c>
      <c r="MN99" s="0" t="n">
        <v>0</v>
      </c>
      <c r="MO99" s="0" t="n">
        <v>0</v>
      </c>
      <c r="MP99" s="0" t="n">
        <v>0</v>
      </c>
      <c r="NC99" s="0" t="n">
        <v>5.6</v>
      </c>
      <c r="ND99" s="0" t="n">
        <v>1</v>
      </c>
      <c r="NE99" s="0" t="n">
        <v>35</v>
      </c>
      <c r="NF99" s="0" t="n">
        <v>1</v>
      </c>
      <c r="NG99" s="0" t="n">
        <v>0.5</v>
      </c>
      <c r="NH99" s="0" t="n">
        <v>3</v>
      </c>
      <c r="NO99" s="20"/>
      <c r="OG99" s="0" t="n">
        <v>1</v>
      </c>
      <c r="OH99" s="0" t="n">
        <v>60</v>
      </c>
      <c r="OI99" s="0" t="n">
        <v>5</v>
      </c>
      <c r="OJ99" s="0" t="n">
        <v>3.13</v>
      </c>
      <c r="OK99" s="0" t="n">
        <v>2</v>
      </c>
      <c r="OL99" s="0" t="n">
        <v>50</v>
      </c>
      <c r="OM99" s="0" t="n">
        <v>2</v>
      </c>
      <c r="ON99" s="0" t="n">
        <v>0.67</v>
      </c>
      <c r="OO99" s="0" t="n">
        <v>2</v>
      </c>
      <c r="PR99" s="16" t="n">
        <v>1.43</v>
      </c>
      <c r="PS99" s="16" t="n">
        <v>1</v>
      </c>
      <c r="PT99" s="16" t="n">
        <v>1</v>
      </c>
      <c r="PU99" s="16" t="n">
        <v>4</v>
      </c>
      <c r="PV99" s="16" t="n">
        <v>17.43</v>
      </c>
      <c r="PW99" s="16"/>
      <c r="PX99" s="16"/>
      <c r="PY99" s="16"/>
      <c r="PZ99" s="16"/>
      <c r="QA99" s="16"/>
      <c r="QB99" s="16"/>
      <c r="QC99" s="16" t="n">
        <v>1.7</v>
      </c>
      <c r="QD99" s="16" t="n">
        <v>1.7</v>
      </c>
      <c r="QE99" s="16" t="n">
        <v>0</v>
      </c>
      <c r="QF99" s="16" t="n">
        <v>0</v>
      </c>
      <c r="QG99" s="16" t="n">
        <v>0</v>
      </c>
      <c r="QH99" s="16" t="n">
        <v>0</v>
      </c>
      <c r="QI99" s="16" t="n">
        <v>0</v>
      </c>
      <c r="QJ99" s="0" t="n">
        <v>0</v>
      </c>
      <c r="QK99" s="0" t="s">
        <v>350</v>
      </c>
      <c r="QL99" s="0" t="n">
        <v>75</v>
      </c>
      <c r="QM99" s="16" t="n">
        <v>87.9</v>
      </c>
      <c r="QN99" s="16" t="n">
        <v>80.4</v>
      </c>
      <c r="QO99" s="16" t="n">
        <v>45.2</v>
      </c>
      <c r="QP99" s="0" t="n">
        <v>50.83</v>
      </c>
      <c r="QQ99" s="0" t="n">
        <v>0.05</v>
      </c>
      <c r="QR99" s="0" t="n">
        <v>46.44</v>
      </c>
      <c r="QS99" s="0" t="n">
        <v>2.67</v>
      </c>
      <c r="QT99" s="0" t="n">
        <v>0</v>
      </c>
      <c r="QU99" s="0" t="n">
        <v>0</v>
      </c>
      <c r="QV99" s="0" t="n">
        <v>0</v>
      </c>
      <c r="QX99" s="0" t="n">
        <v>0</v>
      </c>
      <c r="QY99" s="0" t="n">
        <v>0</v>
      </c>
      <c r="QZ99" s="0" t="n">
        <v>0</v>
      </c>
      <c r="RA99" s="0" t="n">
        <v>0</v>
      </c>
      <c r="RB99" s="0" t="n">
        <v>25.21</v>
      </c>
      <c r="RC99" s="0" t="n">
        <v>43.57</v>
      </c>
      <c r="RD99" s="0" t="n">
        <v>6.27</v>
      </c>
      <c r="RE99" s="0" t="n">
        <v>0</v>
      </c>
      <c r="RF99" s="0" t="n">
        <v>0</v>
      </c>
      <c r="RG99" s="0" t="n">
        <v>0</v>
      </c>
      <c r="RT99" s="0" t="n">
        <v>17.8</v>
      </c>
      <c r="RU99" s="0" t="n">
        <v>1</v>
      </c>
      <c r="RV99" s="0" t="n">
        <v>35</v>
      </c>
      <c r="RW99" s="0" t="n">
        <v>9</v>
      </c>
      <c r="RX99" s="0" t="n">
        <v>2.55</v>
      </c>
      <c r="RY99" s="0" t="n">
        <v>3</v>
      </c>
      <c r="SF99" s="20"/>
      <c r="SX99" s="0" t="n">
        <v>1</v>
      </c>
      <c r="SY99" s="0" t="n">
        <v>50</v>
      </c>
      <c r="SZ99" s="0" t="n">
        <v>8</v>
      </c>
      <c r="TA99" s="0" t="n">
        <v>2.12</v>
      </c>
      <c r="TB99" s="0" t="n">
        <v>3</v>
      </c>
      <c r="UI99" s="16" t="n">
        <v>3.43</v>
      </c>
      <c r="UJ99" s="16" t="n">
        <v>1</v>
      </c>
      <c r="UK99" s="16" t="n">
        <v>1</v>
      </c>
      <c r="UL99" s="16"/>
      <c r="UM99" s="16" t="n">
        <v>26.11</v>
      </c>
      <c r="UN99" s="16" t="n">
        <v>2</v>
      </c>
      <c r="UO99" s="16"/>
      <c r="UP99" s="16" t="n">
        <v>11.19</v>
      </c>
      <c r="UQ99" s="16"/>
      <c r="UR99" s="16"/>
      <c r="US99" s="16"/>
      <c r="UT99" s="16" t="n">
        <v>6.39</v>
      </c>
      <c r="UU99" s="16" t="n">
        <v>3.31</v>
      </c>
      <c r="UV99" s="16" t="n">
        <v>0</v>
      </c>
      <c r="UW99" s="16" t="n">
        <v>0</v>
      </c>
      <c r="UX99" s="16" t="n">
        <v>0</v>
      </c>
      <c r="UY99" s="16" t="n">
        <v>0</v>
      </c>
      <c r="UZ99" s="16" t="n">
        <v>0</v>
      </c>
      <c r="VA99" s="0" t="n">
        <v>0</v>
      </c>
      <c r="VB99" s="0" t="s">
        <v>361</v>
      </c>
      <c r="VC99" s="0" t="n">
        <v>74.5</v>
      </c>
      <c r="VD99" s="16" t="n">
        <v>76.2</v>
      </c>
      <c r="VE99" s="16" t="n">
        <v>80.4</v>
      </c>
      <c r="VF99" s="16" t="n">
        <v>42.8</v>
      </c>
      <c r="VG99" s="0" t="n">
        <v>57.15</v>
      </c>
      <c r="VH99" s="0" t="n">
        <v>0.45</v>
      </c>
      <c r="VI99" s="0" t="n">
        <v>39.09</v>
      </c>
      <c r="VJ99" s="0" t="n">
        <v>3.3</v>
      </c>
      <c r="VK99" s="0" t="n">
        <v>0</v>
      </c>
      <c r="VL99" s="0" t="n">
        <v>0</v>
      </c>
      <c r="VM99" s="0" t="n">
        <v>0</v>
      </c>
      <c r="VO99" s="0" t="n">
        <v>0</v>
      </c>
      <c r="VP99" s="0" t="n">
        <v>0</v>
      </c>
      <c r="VQ99" s="0" t="n">
        <v>0</v>
      </c>
      <c r="VR99" s="0" t="n">
        <v>0</v>
      </c>
      <c r="VS99" s="0" t="n">
        <v>18.26</v>
      </c>
      <c r="VT99" s="0" t="n">
        <v>34.4</v>
      </c>
      <c r="VU99" s="0" t="n">
        <v>6.27</v>
      </c>
      <c r="VV99" s="0" t="n">
        <v>0</v>
      </c>
      <c r="VW99" s="0" t="n">
        <v>0</v>
      </c>
      <c r="VX99" s="0" t="n">
        <v>0</v>
      </c>
      <c r="WK99" s="0" t="n">
        <v>18.2</v>
      </c>
      <c r="WL99" s="0" t="n">
        <v>1</v>
      </c>
      <c r="WM99" s="0" t="n">
        <v>35</v>
      </c>
      <c r="WN99" s="0" t="n">
        <v>9</v>
      </c>
      <c r="WO99" s="0" t="n">
        <v>2.55</v>
      </c>
      <c r="WP99" s="0" t="n">
        <v>3</v>
      </c>
      <c r="WW99" s="20"/>
      <c r="XO99" s="0" t="n">
        <v>1</v>
      </c>
      <c r="XP99" s="0" t="n">
        <v>50</v>
      </c>
      <c r="XQ99" s="0" t="n">
        <v>8</v>
      </c>
      <c r="XR99" s="0" t="n">
        <v>2.54</v>
      </c>
      <c r="XS99" s="0" t="n">
        <v>3</v>
      </c>
      <c r="YZ99" s="16" t="n">
        <v>7.59</v>
      </c>
      <c r="ZA99" s="16" t="n">
        <v>1</v>
      </c>
      <c r="ZB99" s="16" t="n">
        <v>1</v>
      </c>
      <c r="ZC99" s="16"/>
      <c r="ZD99" s="16" t="n">
        <v>22.38</v>
      </c>
      <c r="ZE99" s="16" t="n">
        <v>2</v>
      </c>
      <c r="ZF99" s="16"/>
      <c r="ZG99" s="16" t="n">
        <v>14.92</v>
      </c>
      <c r="ZH99" s="16"/>
      <c r="ZI99" s="16"/>
      <c r="ZJ99" s="16"/>
      <c r="ZK99" s="16" t="n">
        <v>5.05</v>
      </c>
      <c r="ZL99" s="16" t="n">
        <v>1.54</v>
      </c>
      <c r="ZM99" s="16" t="n">
        <v>0</v>
      </c>
      <c r="ZN99" s="16" t="n">
        <v>0</v>
      </c>
      <c r="ZO99" s="16" t="n">
        <v>0</v>
      </c>
      <c r="ZP99" s="16" t="n">
        <v>0</v>
      </c>
      <c r="ZQ99" s="16" t="n">
        <v>0</v>
      </c>
      <c r="ZR99" s="0" t="n">
        <v>0</v>
      </c>
      <c r="ZS99" s="0" t="s">
        <v>365</v>
      </c>
      <c r="ZT99" s="0" t="n">
        <v>75</v>
      </c>
      <c r="ZU99" s="16" t="n">
        <v>76.8</v>
      </c>
      <c r="ZV99" s="16" t="n">
        <v>80.4</v>
      </c>
      <c r="ZW99" s="16" t="n">
        <v>30.8</v>
      </c>
      <c r="ZX99" s="0" t="n">
        <v>74.74</v>
      </c>
      <c r="ZY99" s="17" t="n">
        <v>0</v>
      </c>
      <c r="ZZ99" s="0" t="n">
        <v>4.24</v>
      </c>
      <c r="AAA99" s="0" t="n">
        <v>16.45</v>
      </c>
      <c r="AAB99" s="0" t="n">
        <v>4.57</v>
      </c>
      <c r="AAC99" s="0" t="n">
        <v>0</v>
      </c>
      <c r="AAD99" s="0" t="n">
        <v>0</v>
      </c>
      <c r="AAF99" s="0" t="n">
        <v>0</v>
      </c>
      <c r="AAG99" s="0" t="n">
        <v>0</v>
      </c>
      <c r="AAH99" s="0" t="n">
        <v>0</v>
      </c>
      <c r="AAI99" s="0" t="n">
        <v>0</v>
      </c>
      <c r="AAJ99" s="0" t="n">
        <v>35.23</v>
      </c>
      <c r="AAK99" s="0" t="n">
        <v>6.53</v>
      </c>
      <c r="AAL99" s="0" t="n">
        <v>4.97</v>
      </c>
      <c r="AAM99" s="0" t="n">
        <v>0</v>
      </c>
      <c r="AAN99" s="0" t="n">
        <v>0</v>
      </c>
      <c r="AAO99" s="0" t="n">
        <v>0</v>
      </c>
      <c r="ABB99" s="0" t="n">
        <v>38.4</v>
      </c>
      <c r="ABC99" s="0" t="n">
        <v>1</v>
      </c>
      <c r="ABD99" s="0" t="n">
        <v>47</v>
      </c>
      <c r="ABE99" s="0" t="n">
        <v>7</v>
      </c>
      <c r="ABF99" s="0" t="n">
        <v>5.33</v>
      </c>
      <c r="ABG99" s="0" t="n">
        <v>3</v>
      </c>
      <c r="ABN99" s="20"/>
      <c r="ACF99" s="0" t="n">
        <v>0</v>
      </c>
      <c r="ADQ99" s="16" t="n">
        <v>2.02</v>
      </c>
      <c r="ADR99" s="16" t="n">
        <v>1</v>
      </c>
      <c r="ADS99" s="16" t="n">
        <v>1</v>
      </c>
      <c r="ADT99" s="16"/>
      <c r="ADU99" s="16" t="n">
        <v>9.95</v>
      </c>
      <c r="ADV99" s="16" t="n">
        <v>2</v>
      </c>
      <c r="ADW99" s="16"/>
      <c r="ADX99" s="16" t="n">
        <v>9.95</v>
      </c>
      <c r="ADY99" s="16"/>
      <c r="ADZ99" s="16"/>
      <c r="AEA99" s="16"/>
      <c r="AEB99" s="16" t="n">
        <v>0</v>
      </c>
      <c r="AEC99" s="16" t="n">
        <v>0</v>
      </c>
      <c r="AED99" s="16" t="n">
        <v>0</v>
      </c>
      <c r="AEE99" s="16" t="n">
        <v>0</v>
      </c>
      <c r="AEF99" s="16" t="n">
        <v>0</v>
      </c>
      <c r="AEG99" s="16" t="n">
        <v>0</v>
      </c>
      <c r="AEH99" s="16" t="n">
        <v>0</v>
      </c>
      <c r="AEI99" s="0" t="n">
        <v>0</v>
      </c>
      <c r="AEJ99" s="0" t="s">
        <v>351</v>
      </c>
      <c r="AEK99" s="0" t="n">
        <v>30.5</v>
      </c>
      <c r="AEL99" s="16" t="n">
        <v>68.4</v>
      </c>
      <c r="AEM99" s="16" t="n">
        <v>80.4</v>
      </c>
      <c r="AEN99" s="16" t="n">
        <v>19.8</v>
      </c>
      <c r="AEO99" s="0" t="n">
        <v>72.42</v>
      </c>
      <c r="AEP99" s="17" t="n">
        <v>0</v>
      </c>
      <c r="AEQ99" s="0" t="n">
        <v>0.94</v>
      </c>
      <c r="AER99" s="0" t="n">
        <v>0.94</v>
      </c>
      <c r="AES99" s="0" t="n">
        <v>25.7</v>
      </c>
      <c r="AET99" s="0" t="n">
        <v>0</v>
      </c>
      <c r="AEU99" s="0" t="n">
        <v>0</v>
      </c>
      <c r="AEW99" s="0" t="n">
        <v>0</v>
      </c>
      <c r="AEX99" s="0" t="n">
        <v>0</v>
      </c>
      <c r="AEY99" s="0" t="n">
        <v>0</v>
      </c>
      <c r="AEZ99" s="0" t="n">
        <v>0</v>
      </c>
      <c r="AFA99" s="0" t="n">
        <v>28.26</v>
      </c>
      <c r="AFB99" s="0" t="n">
        <v>10.55</v>
      </c>
      <c r="AFC99" s="0" t="n">
        <v>14.21</v>
      </c>
      <c r="AFD99" s="0" t="n">
        <v>0</v>
      </c>
      <c r="AFE99" s="0" t="n">
        <v>0</v>
      </c>
      <c r="AFF99" s="0" t="n">
        <v>0</v>
      </c>
      <c r="AFS99" s="0" t="n">
        <v>3.3</v>
      </c>
      <c r="AFT99" s="0" t="n">
        <v>1</v>
      </c>
      <c r="AFU99" s="0" t="n">
        <v>68</v>
      </c>
      <c r="AFV99" s="0" t="n">
        <v>2</v>
      </c>
      <c r="AFW99" s="0" t="n">
        <v>1.52</v>
      </c>
      <c r="AFX99" s="0" t="n">
        <v>1</v>
      </c>
      <c r="AGE99" s="20"/>
      <c r="AGW99" s="0" t="n">
        <v>0</v>
      </c>
      <c r="AIH99" s="16" t="n">
        <v>0</v>
      </c>
      <c r="AII99" s="16" t="n">
        <v>0</v>
      </c>
      <c r="AIJ99" s="16"/>
      <c r="AIK99" s="16"/>
      <c r="AIL99" s="16"/>
      <c r="AIM99" s="16"/>
      <c r="AIN99" s="16"/>
      <c r="AIO99" s="16"/>
      <c r="AIP99" s="16"/>
      <c r="AIQ99" s="16"/>
      <c r="AIR99" s="16"/>
      <c r="AIS99" s="16" t="n">
        <v>0.81</v>
      </c>
      <c r="AIT99" s="16" t="n">
        <v>0.8</v>
      </c>
      <c r="AIU99" s="16" t="n">
        <v>0</v>
      </c>
      <c r="AIV99" s="16" t="n">
        <v>0</v>
      </c>
      <c r="AIW99" s="16" t="n">
        <v>2.99</v>
      </c>
      <c r="AIX99" s="16" t="n">
        <v>5.71</v>
      </c>
      <c r="AIY99" s="16" t="n">
        <v>0</v>
      </c>
      <c r="AIZ99" s="0" t="n">
        <v>0</v>
      </c>
      <c r="AJA99" s="0" t="s">
        <v>356</v>
      </c>
      <c r="AJB99" s="0" t="n">
        <v>39.5</v>
      </c>
      <c r="AJC99" s="16" t="n">
        <v>85.1</v>
      </c>
      <c r="AJD99" s="16" t="n">
        <v>80.4</v>
      </c>
      <c r="AJE99" s="16" t="n">
        <v>13.6</v>
      </c>
      <c r="AJF99" s="0" t="n">
        <v>87.38</v>
      </c>
      <c r="AJG99" s="17" t="n">
        <v>0</v>
      </c>
      <c r="AJH99" s="0" t="n">
        <v>8.05</v>
      </c>
      <c r="AJI99" s="0" t="n">
        <v>0</v>
      </c>
      <c r="AJJ99" s="0" t="n">
        <v>4.57</v>
      </c>
      <c r="AJK99" s="0" t="n">
        <v>0</v>
      </c>
      <c r="AJL99" s="0" t="n">
        <v>0</v>
      </c>
      <c r="AJN99" s="0" t="n">
        <v>0</v>
      </c>
      <c r="AJO99" s="0" t="n">
        <v>0</v>
      </c>
      <c r="AJP99" s="0" t="n">
        <v>0</v>
      </c>
      <c r="AJQ99" s="0" t="n">
        <v>0</v>
      </c>
      <c r="AJR99" s="0" t="n">
        <v>45</v>
      </c>
      <c r="AJS99" s="0" t="n">
        <v>10.1</v>
      </c>
      <c r="AJT99" s="0" t="n">
        <v>11.8</v>
      </c>
      <c r="AJU99" s="0" t="n">
        <v>0</v>
      </c>
      <c r="AJV99" s="0" t="n">
        <v>0</v>
      </c>
      <c r="AJW99" s="0" t="n">
        <v>0</v>
      </c>
      <c r="AKJ99" s="0" t="n">
        <v>17.8</v>
      </c>
      <c r="AKK99" s="0" t="n">
        <v>1</v>
      </c>
      <c r="AKL99" s="0" t="n">
        <v>30</v>
      </c>
      <c r="AKM99" s="0" t="n">
        <v>7</v>
      </c>
      <c r="AKN99" s="0" t="n">
        <v>5.33</v>
      </c>
      <c r="AKO99" s="0" t="n">
        <v>3</v>
      </c>
      <c r="AKV99" s="20"/>
      <c r="ALN99" s="0" t="n">
        <v>1</v>
      </c>
      <c r="ALO99" s="0" t="n">
        <v>50</v>
      </c>
      <c r="ALP99" s="0" t="n">
        <v>1</v>
      </c>
      <c r="ALQ99" s="0" t="n">
        <v>0.03</v>
      </c>
      <c r="ALR99" s="0" t="n">
        <v>1</v>
      </c>
    </row>
    <row r="100" customFormat="false" ht="13.8" hidden="false" customHeight="false" outlineLevel="0" collapsed="false">
      <c r="A100" s="1" t="s">
        <v>488</v>
      </c>
      <c r="B100" s="12" t="n">
        <v>42894</v>
      </c>
      <c r="C100" s="0" t="n">
        <v>1</v>
      </c>
      <c r="D100" s="13" t="n">
        <v>34596</v>
      </c>
      <c r="E100" s="12" t="n">
        <v>25896</v>
      </c>
      <c r="F100" s="14" t="n">
        <f aca="false">(B100-E100)/365.25</f>
        <v>46.5379876796715</v>
      </c>
      <c r="G100" s="14" t="n">
        <f aca="false">(B100-D100)/365.25</f>
        <v>22.7186858316222</v>
      </c>
      <c r="H100" s="15" t="s">
        <v>183</v>
      </c>
      <c r="I100" s="15" t="s">
        <v>347</v>
      </c>
      <c r="J100" s="15" t="s">
        <v>183</v>
      </c>
      <c r="K100" s="21" t="n">
        <v>8</v>
      </c>
      <c r="L100" s="19" t="n">
        <v>75</v>
      </c>
      <c r="M100" s="0" t="n">
        <v>1.61</v>
      </c>
      <c r="N100" s="16" t="n">
        <f aca="false">L100/(M100*M100)</f>
        <v>28.9340689016627</v>
      </c>
      <c r="O100" s="19" t="n">
        <v>0</v>
      </c>
      <c r="P100" s="19" t="n">
        <v>0</v>
      </c>
      <c r="Q100" s="19" t="n">
        <v>0</v>
      </c>
      <c r="R100" s="19" t="n">
        <v>0</v>
      </c>
      <c r="S100" s="19" t="n">
        <v>0</v>
      </c>
      <c r="T100" s="19" t="n">
        <v>0</v>
      </c>
      <c r="U100" s="19" t="n">
        <v>0</v>
      </c>
      <c r="V100" s="19" t="n">
        <v>0</v>
      </c>
      <c r="W100" s="19" t="n">
        <v>0</v>
      </c>
      <c r="X100" s="19" t="n">
        <v>0</v>
      </c>
      <c r="Y100" s="19" t="n">
        <v>0</v>
      </c>
      <c r="Z100" s="19" t="n">
        <v>0</v>
      </c>
      <c r="AA100" s="19" t="n">
        <v>0</v>
      </c>
      <c r="AB100" s="19" t="n">
        <v>0</v>
      </c>
      <c r="AC100" s="19" t="n">
        <v>0</v>
      </c>
      <c r="AD100" s="19" t="n">
        <v>0</v>
      </c>
      <c r="AE100" s="19" t="n">
        <v>0</v>
      </c>
      <c r="AF100" s="19" t="n">
        <v>0</v>
      </c>
      <c r="AG100" s="19" t="n">
        <v>0</v>
      </c>
      <c r="AH100" s="19" t="n">
        <v>0</v>
      </c>
      <c r="AI100" s="19" t="n">
        <v>0</v>
      </c>
      <c r="AJ100" s="19" t="n">
        <v>0</v>
      </c>
      <c r="AK100" s="19" t="n">
        <v>0</v>
      </c>
      <c r="AL100" s="19" t="n">
        <v>0</v>
      </c>
      <c r="AM100" s="19" t="n">
        <v>0</v>
      </c>
      <c r="AN100" s="19" t="n">
        <v>0</v>
      </c>
      <c r="AO100" s="19" t="n">
        <v>0</v>
      </c>
      <c r="AP100" s="19" t="n">
        <v>0</v>
      </c>
      <c r="AQ100" s="19" t="n">
        <v>0</v>
      </c>
      <c r="AR100" s="19" t="n">
        <v>0</v>
      </c>
      <c r="AS100" s="19" t="n">
        <v>0</v>
      </c>
      <c r="AT100" s="19" t="n">
        <v>0</v>
      </c>
      <c r="AU100" s="19" t="n">
        <v>0</v>
      </c>
      <c r="AV100" s="19" t="n">
        <v>0</v>
      </c>
      <c r="AW100" s="19" t="n">
        <v>0</v>
      </c>
      <c r="AX100" s="19" t="n">
        <v>0</v>
      </c>
      <c r="AY100" s="19" t="n">
        <v>0</v>
      </c>
      <c r="AZ100" s="19" t="n">
        <v>0</v>
      </c>
      <c r="BA100" s="19" t="n">
        <v>0</v>
      </c>
      <c r="BB100" s="19" t="n">
        <v>0</v>
      </c>
      <c r="BC100" s="19" t="n">
        <v>0</v>
      </c>
      <c r="BD100" s="19" t="n">
        <v>0</v>
      </c>
      <c r="BE100" s="19" t="n">
        <v>0</v>
      </c>
      <c r="BF100" s="19" t="n">
        <v>1</v>
      </c>
      <c r="BG100" s="19" t="n">
        <v>0</v>
      </c>
      <c r="BH100" s="19" t="n">
        <v>1</v>
      </c>
      <c r="BI100" s="19" t="n">
        <v>7</v>
      </c>
      <c r="BJ100" s="19" t="n">
        <v>1</v>
      </c>
      <c r="BK100" s="19" t="n">
        <v>0</v>
      </c>
      <c r="BL100" s="19" t="n">
        <v>0</v>
      </c>
      <c r="BM100" s="19" t="n">
        <v>0</v>
      </c>
      <c r="BN100" s="19" t="n">
        <v>0</v>
      </c>
      <c r="BO100" s="19" t="n">
        <v>0</v>
      </c>
      <c r="BP100" s="19" t="n">
        <v>0</v>
      </c>
      <c r="BQ100" s="19" t="n">
        <v>0</v>
      </c>
      <c r="BR100" s="19" t="n">
        <v>3</v>
      </c>
      <c r="BS100" s="19" t="n">
        <v>3</v>
      </c>
      <c r="BT100" s="19" t="n">
        <v>4</v>
      </c>
      <c r="BU100" s="19" t="n">
        <v>5</v>
      </c>
      <c r="BV100" s="19" t="n">
        <v>3</v>
      </c>
      <c r="BW100" s="19" t="n">
        <v>4</v>
      </c>
      <c r="BX100" s="19" t="n">
        <v>3</v>
      </c>
      <c r="BY100" s="19" t="n">
        <v>4</v>
      </c>
      <c r="BZ100" s="19" t="n">
        <v>4</v>
      </c>
      <c r="CA100" s="19" t="n">
        <v>3</v>
      </c>
      <c r="CB100" s="19" t="n">
        <v>4</v>
      </c>
      <c r="CC100" s="19" t="n">
        <v>5</v>
      </c>
      <c r="CD100" s="19" t="n">
        <v>3</v>
      </c>
      <c r="CE100" s="19" t="n">
        <v>3</v>
      </c>
      <c r="CF100" s="19" t="n">
        <v>4</v>
      </c>
      <c r="CG100" s="19" t="n">
        <v>4</v>
      </c>
      <c r="CH100" s="19" t="n">
        <v>2</v>
      </c>
      <c r="CI100" s="19" t="n">
        <v>3</v>
      </c>
      <c r="CJ100" s="19" t="n">
        <v>3</v>
      </c>
      <c r="CK100" s="19" t="n">
        <v>10</v>
      </c>
      <c r="CL100" s="0" t="s">
        <v>355</v>
      </c>
      <c r="CM100" s="0" t="n">
        <v>37</v>
      </c>
      <c r="CN100" s="16" t="n">
        <v>95.1</v>
      </c>
      <c r="CO100" s="16" t="n">
        <v>80.4</v>
      </c>
      <c r="CP100" s="16" t="n">
        <v>15.9</v>
      </c>
      <c r="CQ100" s="0" t="n">
        <v>82.71</v>
      </c>
      <c r="CR100" s="17" t="n">
        <v>0</v>
      </c>
      <c r="CS100" s="0" t="n">
        <v>10.32</v>
      </c>
      <c r="CT100" s="0" t="n">
        <v>0.39</v>
      </c>
      <c r="CU100" s="0" t="n">
        <v>10.32</v>
      </c>
      <c r="CV100" s="0" t="n">
        <v>0</v>
      </c>
      <c r="CW100" s="0" t="n">
        <v>0</v>
      </c>
      <c r="CY100" s="0" t="n">
        <v>0</v>
      </c>
      <c r="CZ100" s="0" t="n">
        <v>0</v>
      </c>
      <c r="DA100" s="0" t="n">
        <v>0</v>
      </c>
      <c r="DB100" s="0" t="n">
        <v>1.9</v>
      </c>
      <c r="DC100" s="0" t="n">
        <v>26.26</v>
      </c>
      <c r="DD100" s="0" t="n">
        <v>6.04</v>
      </c>
      <c r="DE100" s="0" t="n">
        <v>2.19</v>
      </c>
      <c r="DF100" s="0" t="n">
        <v>0</v>
      </c>
      <c r="DG100" s="0" t="n">
        <v>0</v>
      </c>
      <c r="DH100" s="0" t="n">
        <v>0</v>
      </c>
      <c r="DU100" s="0" t="n">
        <v>14.7</v>
      </c>
      <c r="DV100" s="0" t="n">
        <v>1</v>
      </c>
      <c r="DW100" s="0" t="n">
        <v>35</v>
      </c>
      <c r="DX100" s="0" t="n">
        <v>2</v>
      </c>
      <c r="DY100" s="0" t="n">
        <v>1.8</v>
      </c>
      <c r="DZ100" s="0" t="n">
        <v>3</v>
      </c>
      <c r="EG100" s="20"/>
      <c r="EY100" s="0" t="n">
        <v>1</v>
      </c>
      <c r="EZ100" s="0" t="n">
        <v>50</v>
      </c>
      <c r="FA100" s="0" t="n">
        <v>1</v>
      </c>
      <c r="FB100" s="0" t="n">
        <v>1.34</v>
      </c>
      <c r="FC100" s="0" t="n">
        <v>2</v>
      </c>
      <c r="FD100" s="0" t="n">
        <v>40</v>
      </c>
      <c r="FE100" s="0" t="n">
        <v>1</v>
      </c>
      <c r="FF100" s="0" t="n">
        <v>0.9</v>
      </c>
      <c r="FG100" s="0" t="n">
        <v>3</v>
      </c>
      <c r="FH100" s="0" t="n">
        <v>50</v>
      </c>
      <c r="FI100" s="0" t="n">
        <v>1</v>
      </c>
      <c r="FJ100" s="0" t="n">
        <v>0.9</v>
      </c>
      <c r="FK100" s="0" t="n">
        <v>3</v>
      </c>
      <c r="FL100" s="0" t="n">
        <v>80</v>
      </c>
      <c r="FM100" s="0" t="n">
        <v>2</v>
      </c>
      <c r="FN100" s="0" t="n">
        <v>2.68</v>
      </c>
      <c r="FO100" s="0" t="n">
        <v>2</v>
      </c>
      <c r="FP100" s="0" t="n">
        <v>100</v>
      </c>
      <c r="FQ100" s="0" t="n">
        <v>1</v>
      </c>
      <c r="FR100" s="0" t="n">
        <v>2.57</v>
      </c>
      <c r="FS100" s="0" t="n">
        <v>2</v>
      </c>
      <c r="GJ100" s="0" t="n">
        <v>0</v>
      </c>
      <c r="GK100" s="19" t="n">
        <v>0</v>
      </c>
      <c r="GL100" s="19"/>
      <c r="GM100" s="13"/>
      <c r="GN100" s="13"/>
      <c r="GO100" s="19"/>
      <c r="GP100" s="13"/>
      <c r="GQ100" s="13"/>
      <c r="GR100" s="13"/>
      <c r="GS100" s="13"/>
      <c r="GT100" s="13"/>
      <c r="GU100" s="16" t="n">
        <v>5.11</v>
      </c>
      <c r="GV100" s="0" t="n">
        <v>4.81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s">
        <v>363</v>
      </c>
      <c r="HD100" s="0" t="n">
        <v>34.5</v>
      </c>
      <c r="HE100" s="16" t="n">
        <v>88.3</v>
      </c>
      <c r="HF100" s="16" t="n">
        <v>80.4</v>
      </c>
      <c r="HG100" s="16" t="n">
        <v>22.8</v>
      </c>
      <c r="HH100" s="0" t="n">
        <v>73.89</v>
      </c>
      <c r="HI100" s="17" t="n">
        <v>0</v>
      </c>
      <c r="HJ100" s="0" t="n">
        <v>14.94</v>
      </c>
      <c r="HK100" s="0" t="n">
        <v>0.5</v>
      </c>
      <c r="HL100" s="0" t="n">
        <v>10.66</v>
      </c>
      <c r="HM100" s="0" t="n">
        <v>0</v>
      </c>
      <c r="HN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46.29</v>
      </c>
      <c r="HU100" s="0" t="n">
        <v>23.15</v>
      </c>
      <c r="HV100" s="0" t="n">
        <v>0</v>
      </c>
      <c r="HW100" s="0" t="n">
        <v>0</v>
      </c>
      <c r="HX100" s="0" t="n">
        <v>0</v>
      </c>
      <c r="HY100" s="0" t="n">
        <v>0</v>
      </c>
      <c r="IL100" s="0" t="n">
        <v>2.8</v>
      </c>
      <c r="IM100" s="0" t="n">
        <v>1</v>
      </c>
      <c r="IN100" s="0" t="n">
        <v>35</v>
      </c>
      <c r="IO100" s="0" t="n">
        <v>1</v>
      </c>
      <c r="IP100" s="0" t="n">
        <v>0.5</v>
      </c>
      <c r="IQ100" s="0" t="n">
        <v>3</v>
      </c>
      <c r="IX100" s="20"/>
      <c r="JP100" s="0" t="n">
        <v>1</v>
      </c>
      <c r="JQ100" s="0" t="n">
        <v>60</v>
      </c>
      <c r="JR100" s="0" t="n">
        <v>4</v>
      </c>
      <c r="JS100" s="0" t="n">
        <v>0.54</v>
      </c>
      <c r="JT100" s="0" t="n">
        <v>3</v>
      </c>
      <c r="LA100" s="16" t="n">
        <v>3.05</v>
      </c>
      <c r="LB100" s="16" t="n">
        <v>1</v>
      </c>
      <c r="LC100" s="16" t="n">
        <v>1</v>
      </c>
      <c r="LD100" s="16" t="n">
        <v>5</v>
      </c>
      <c r="LE100" s="16" t="n">
        <v>8.71</v>
      </c>
      <c r="LF100" s="16" t="n">
        <v>2</v>
      </c>
      <c r="LG100" s="16" t="n">
        <v>25</v>
      </c>
      <c r="LH100" s="16" t="n">
        <v>12.44</v>
      </c>
      <c r="LI100" s="16"/>
      <c r="LJ100" s="16"/>
      <c r="LK100" s="16"/>
      <c r="LL100" s="16" t="n">
        <v>4.5</v>
      </c>
      <c r="LM100" s="16" t="n">
        <v>1.2</v>
      </c>
      <c r="LN100" s="16" t="n">
        <v>0</v>
      </c>
      <c r="LO100" s="16" t="n">
        <v>0</v>
      </c>
      <c r="LP100" s="16" t="n">
        <v>0</v>
      </c>
      <c r="LQ100" s="16" t="n">
        <v>0</v>
      </c>
      <c r="LR100" s="16" t="n">
        <v>0</v>
      </c>
      <c r="LS100" s="0" t="n">
        <v>0</v>
      </c>
      <c r="LT100" s="0" t="s">
        <v>364</v>
      </c>
      <c r="LU100" s="0" t="n">
        <v>32</v>
      </c>
      <c r="LV100" s="16" t="n">
        <v>75</v>
      </c>
      <c r="LW100" s="16" t="n">
        <v>80.4</v>
      </c>
      <c r="LX100" s="16" t="n">
        <v>22.6</v>
      </c>
      <c r="LY100" s="0" t="n">
        <v>76.24</v>
      </c>
      <c r="LZ100" s="17" t="n">
        <v>0</v>
      </c>
      <c r="MA100" s="0" t="n">
        <v>15.36</v>
      </c>
      <c r="MB100" s="0" t="n">
        <v>1.93</v>
      </c>
      <c r="MC100" s="0" t="n">
        <v>6.47</v>
      </c>
      <c r="MD100" s="0" t="n">
        <v>0</v>
      </c>
      <c r="ME100" s="0" t="n">
        <v>0</v>
      </c>
      <c r="MG100" s="0" t="n">
        <v>0</v>
      </c>
      <c r="MH100" s="0" t="n">
        <v>0</v>
      </c>
      <c r="MI100" s="0" t="n">
        <v>0</v>
      </c>
      <c r="MJ100" s="0" t="n">
        <v>0</v>
      </c>
      <c r="MK100" s="0" t="n">
        <v>32.86</v>
      </c>
      <c r="ML100" s="0" t="n">
        <v>26.39</v>
      </c>
      <c r="MM100" s="0" t="n">
        <v>0</v>
      </c>
      <c r="MN100" s="0" t="n">
        <v>0</v>
      </c>
      <c r="MO100" s="0" t="n">
        <v>0</v>
      </c>
      <c r="MP100" s="0" t="n">
        <v>0</v>
      </c>
      <c r="NC100" s="0" t="n">
        <v>5.6</v>
      </c>
      <c r="ND100" s="0" t="n">
        <v>1</v>
      </c>
      <c r="NE100" s="0" t="n">
        <v>35</v>
      </c>
      <c r="NF100" s="0" t="n">
        <v>1</v>
      </c>
      <c r="NG100" s="0" t="n">
        <v>0.5</v>
      </c>
      <c r="NH100" s="0" t="n">
        <v>3</v>
      </c>
      <c r="NO100" s="20"/>
      <c r="OG100" s="0" t="n">
        <v>1</v>
      </c>
      <c r="OH100" s="0" t="n">
        <v>60</v>
      </c>
      <c r="OI100" s="0" t="n">
        <v>5</v>
      </c>
      <c r="OJ100" s="0" t="n">
        <v>3.13</v>
      </c>
      <c r="OK100" s="0" t="n">
        <v>2</v>
      </c>
      <c r="OL100" s="0" t="n">
        <v>50</v>
      </c>
      <c r="OM100" s="0" t="n">
        <v>2</v>
      </c>
      <c r="ON100" s="0" t="n">
        <v>0.67</v>
      </c>
      <c r="OO100" s="0" t="n">
        <v>2</v>
      </c>
      <c r="PR100" s="16" t="n">
        <v>1.43</v>
      </c>
      <c r="PS100" s="16" t="n">
        <v>1</v>
      </c>
      <c r="PT100" s="16" t="n">
        <v>1</v>
      </c>
      <c r="PU100" s="16" t="n">
        <v>4</v>
      </c>
      <c r="PV100" s="16" t="n">
        <v>17.43</v>
      </c>
      <c r="PW100" s="16"/>
      <c r="PX100" s="16"/>
      <c r="PY100" s="16"/>
      <c r="PZ100" s="16"/>
      <c r="QA100" s="16"/>
      <c r="QB100" s="16"/>
      <c r="QC100" s="16" t="n">
        <v>1.7</v>
      </c>
      <c r="QD100" s="16" t="n">
        <v>1.7</v>
      </c>
      <c r="QE100" s="16" t="n">
        <v>0</v>
      </c>
      <c r="QF100" s="16" t="n">
        <v>0</v>
      </c>
      <c r="QG100" s="16" t="n">
        <v>0</v>
      </c>
      <c r="QH100" s="16" t="n">
        <v>0</v>
      </c>
      <c r="QI100" s="16" t="n">
        <v>0</v>
      </c>
      <c r="QJ100" s="0" t="n">
        <v>0</v>
      </c>
      <c r="QK100" s="0" t="s">
        <v>350</v>
      </c>
      <c r="QL100" s="0" t="n">
        <v>75</v>
      </c>
      <c r="QM100" s="16" t="n">
        <v>87.9</v>
      </c>
      <c r="QN100" s="16" t="n">
        <v>80.4</v>
      </c>
      <c r="QO100" s="16" t="n">
        <v>45.2</v>
      </c>
      <c r="QP100" s="0" t="n">
        <v>50.83</v>
      </c>
      <c r="QQ100" s="0" t="n">
        <v>0.05</v>
      </c>
      <c r="QR100" s="0" t="n">
        <v>46.44</v>
      </c>
      <c r="QS100" s="0" t="n">
        <v>2.67</v>
      </c>
      <c r="QT100" s="0" t="n">
        <v>0</v>
      </c>
      <c r="QU100" s="0" t="n">
        <v>0</v>
      </c>
      <c r="QV100" s="0" t="n">
        <v>0</v>
      </c>
      <c r="QX100" s="0" t="n">
        <v>0</v>
      </c>
      <c r="QY100" s="0" t="n">
        <v>0</v>
      </c>
      <c r="QZ100" s="0" t="n">
        <v>0</v>
      </c>
      <c r="RA100" s="0" t="n">
        <v>0</v>
      </c>
      <c r="RB100" s="0" t="n">
        <v>25.21</v>
      </c>
      <c r="RC100" s="0" t="n">
        <v>43.57</v>
      </c>
      <c r="RD100" s="0" t="n">
        <v>6.27</v>
      </c>
      <c r="RE100" s="0" t="n">
        <v>0</v>
      </c>
      <c r="RF100" s="0" t="n">
        <v>0</v>
      </c>
      <c r="RG100" s="0" t="n">
        <v>0</v>
      </c>
      <c r="RT100" s="0" t="n">
        <v>17.8</v>
      </c>
      <c r="RU100" s="0" t="n">
        <v>1</v>
      </c>
      <c r="RV100" s="0" t="n">
        <v>35</v>
      </c>
      <c r="RW100" s="0" t="n">
        <v>9</v>
      </c>
      <c r="RX100" s="0" t="n">
        <v>2.55</v>
      </c>
      <c r="RY100" s="0" t="n">
        <v>3</v>
      </c>
      <c r="SF100" s="20"/>
      <c r="SX100" s="0" t="n">
        <v>1</v>
      </c>
      <c r="SY100" s="0" t="n">
        <v>50</v>
      </c>
      <c r="SZ100" s="0" t="n">
        <v>8</v>
      </c>
      <c r="TA100" s="0" t="n">
        <v>2.12</v>
      </c>
      <c r="TB100" s="0" t="n">
        <v>3</v>
      </c>
      <c r="UI100" s="16" t="n">
        <v>3.43</v>
      </c>
      <c r="UJ100" s="16" t="n">
        <v>1</v>
      </c>
      <c r="UK100" s="16" t="n">
        <v>1</v>
      </c>
      <c r="UL100" s="16"/>
      <c r="UM100" s="16" t="n">
        <v>26.11</v>
      </c>
      <c r="UN100" s="16" t="n">
        <v>2</v>
      </c>
      <c r="UO100" s="16"/>
      <c r="UP100" s="16" t="n">
        <v>11.19</v>
      </c>
      <c r="UQ100" s="16"/>
      <c r="UR100" s="16"/>
      <c r="US100" s="16"/>
      <c r="UT100" s="16" t="n">
        <v>6.39</v>
      </c>
      <c r="UU100" s="16" t="n">
        <v>3.31</v>
      </c>
      <c r="UV100" s="16" t="n">
        <v>0</v>
      </c>
      <c r="UW100" s="16" t="n">
        <v>0</v>
      </c>
      <c r="UX100" s="16" t="n">
        <v>0</v>
      </c>
      <c r="UY100" s="16" t="n">
        <v>0</v>
      </c>
      <c r="UZ100" s="16" t="n">
        <v>0</v>
      </c>
      <c r="VA100" s="0" t="n">
        <v>0</v>
      </c>
      <c r="VB100" s="0" t="s">
        <v>361</v>
      </c>
      <c r="VC100" s="0" t="n">
        <v>74.5</v>
      </c>
      <c r="VD100" s="16" t="n">
        <v>76.2</v>
      </c>
      <c r="VE100" s="16" t="n">
        <v>80.4</v>
      </c>
      <c r="VF100" s="16" t="n">
        <v>42.8</v>
      </c>
      <c r="VG100" s="0" t="n">
        <v>57.15</v>
      </c>
      <c r="VH100" s="0" t="n">
        <v>0.45</v>
      </c>
      <c r="VI100" s="0" t="n">
        <v>39.09</v>
      </c>
      <c r="VJ100" s="0" t="n">
        <v>3.3</v>
      </c>
      <c r="VK100" s="0" t="n">
        <v>0</v>
      </c>
      <c r="VL100" s="0" t="n">
        <v>0</v>
      </c>
      <c r="VM100" s="0" t="n">
        <v>0</v>
      </c>
      <c r="VO100" s="0" t="n">
        <v>0</v>
      </c>
      <c r="VP100" s="0" t="n">
        <v>0</v>
      </c>
      <c r="VQ100" s="0" t="n">
        <v>0</v>
      </c>
      <c r="VR100" s="0" t="n">
        <v>0</v>
      </c>
      <c r="VS100" s="0" t="n">
        <v>18.26</v>
      </c>
      <c r="VT100" s="0" t="n">
        <v>34.4</v>
      </c>
      <c r="VU100" s="0" t="n">
        <v>6.27</v>
      </c>
      <c r="VV100" s="0" t="n">
        <v>0</v>
      </c>
      <c r="VW100" s="0" t="n">
        <v>0</v>
      </c>
      <c r="VX100" s="0" t="n">
        <v>0</v>
      </c>
      <c r="WK100" s="0" t="n">
        <v>18.2</v>
      </c>
      <c r="WL100" s="0" t="n">
        <v>1</v>
      </c>
      <c r="WM100" s="0" t="n">
        <v>35</v>
      </c>
      <c r="WN100" s="0" t="n">
        <v>9</v>
      </c>
      <c r="WO100" s="0" t="n">
        <v>2.55</v>
      </c>
      <c r="WP100" s="0" t="n">
        <v>3</v>
      </c>
      <c r="WW100" s="20"/>
      <c r="XO100" s="0" t="n">
        <v>1</v>
      </c>
      <c r="XP100" s="0" t="n">
        <v>50</v>
      </c>
      <c r="XQ100" s="0" t="n">
        <v>8</v>
      </c>
      <c r="XR100" s="0" t="n">
        <v>2.54</v>
      </c>
      <c r="XS100" s="0" t="n">
        <v>3</v>
      </c>
      <c r="YZ100" s="16" t="n">
        <v>7.59</v>
      </c>
      <c r="ZA100" s="16" t="n">
        <v>1</v>
      </c>
      <c r="ZB100" s="16" t="n">
        <v>1</v>
      </c>
      <c r="ZC100" s="16"/>
      <c r="ZD100" s="16" t="n">
        <v>22.38</v>
      </c>
      <c r="ZE100" s="16" t="n">
        <v>2</v>
      </c>
      <c r="ZF100" s="16"/>
      <c r="ZG100" s="16" t="n">
        <v>14.92</v>
      </c>
      <c r="ZH100" s="16"/>
      <c r="ZI100" s="16"/>
      <c r="ZJ100" s="16"/>
      <c r="ZK100" s="16" t="n">
        <v>5.05</v>
      </c>
      <c r="ZL100" s="16" t="n">
        <v>1.54</v>
      </c>
      <c r="ZM100" s="16" t="n">
        <v>0</v>
      </c>
      <c r="ZN100" s="16" t="n">
        <v>0</v>
      </c>
      <c r="ZO100" s="16" t="n">
        <v>0</v>
      </c>
      <c r="ZP100" s="16" t="n">
        <v>0</v>
      </c>
      <c r="ZQ100" s="16" t="n">
        <v>0</v>
      </c>
      <c r="ZR100" s="0" t="n">
        <v>0</v>
      </c>
      <c r="ZS100" s="0" t="s">
        <v>365</v>
      </c>
      <c r="ZT100" s="0" t="n">
        <v>75</v>
      </c>
      <c r="ZU100" s="16" t="n">
        <v>76.8</v>
      </c>
      <c r="ZV100" s="16" t="n">
        <v>80.4</v>
      </c>
      <c r="ZW100" s="16" t="n">
        <v>30.8</v>
      </c>
      <c r="ZX100" s="0" t="n">
        <v>74.74</v>
      </c>
      <c r="ZY100" s="17" t="n">
        <v>0</v>
      </c>
      <c r="ZZ100" s="0" t="n">
        <v>4.24</v>
      </c>
      <c r="AAA100" s="0" t="n">
        <v>16.45</v>
      </c>
      <c r="AAB100" s="0" t="n">
        <v>4.57</v>
      </c>
      <c r="AAC100" s="0" t="n">
        <v>0</v>
      </c>
      <c r="AAD100" s="0" t="n">
        <v>0</v>
      </c>
      <c r="AAF100" s="0" t="n">
        <v>0</v>
      </c>
      <c r="AAG100" s="0" t="n">
        <v>0</v>
      </c>
      <c r="AAH100" s="0" t="n">
        <v>0</v>
      </c>
      <c r="AAI100" s="0" t="n">
        <v>0</v>
      </c>
      <c r="AAJ100" s="0" t="n">
        <v>35.23</v>
      </c>
      <c r="AAK100" s="0" t="n">
        <v>6.53</v>
      </c>
      <c r="AAL100" s="0" t="n">
        <v>4.97</v>
      </c>
      <c r="AAM100" s="0" t="n">
        <v>0</v>
      </c>
      <c r="AAN100" s="0" t="n">
        <v>0</v>
      </c>
      <c r="AAO100" s="0" t="n">
        <v>0</v>
      </c>
      <c r="ABB100" s="0" t="n">
        <v>38.4</v>
      </c>
      <c r="ABC100" s="0" t="n">
        <v>1</v>
      </c>
      <c r="ABD100" s="0" t="n">
        <v>47</v>
      </c>
      <c r="ABE100" s="0" t="n">
        <v>7</v>
      </c>
      <c r="ABF100" s="0" t="n">
        <v>5.33</v>
      </c>
      <c r="ABG100" s="0" t="n">
        <v>3</v>
      </c>
      <c r="ABN100" s="20"/>
      <c r="ACF100" s="0" t="n">
        <v>0</v>
      </c>
      <c r="ADQ100" s="16" t="n">
        <v>2.02</v>
      </c>
      <c r="ADR100" s="16" t="n">
        <v>1</v>
      </c>
      <c r="ADS100" s="16" t="n">
        <v>1</v>
      </c>
      <c r="ADT100" s="16"/>
      <c r="ADU100" s="16" t="n">
        <v>9.95</v>
      </c>
      <c r="ADV100" s="16" t="n">
        <v>2</v>
      </c>
      <c r="ADW100" s="16"/>
      <c r="ADX100" s="16" t="n">
        <v>9.95</v>
      </c>
      <c r="ADY100" s="16"/>
      <c r="ADZ100" s="16"/>
      <c r="AEA100" s="16"/>
      <c r="AEB100" s="16" t="n">
        <v>0</v>
      </c>
      <c r="AEC100" s="16" t="n">
        <v>0</v>
      </c>
      <c r="AED100" s="16" t="n">
        <v>0</v>
      </c>
      <c r="AEE100" s="16" t="n">
        <v>0</v>
      </c>
      <c r="AEF100" s="16" t="n">
        <v>0</v>
      </c>
      <c r="AEG100" s="16" t="n">
        <v>0</v>
      </c>
      <c r="AEH100" s="16" t="n">
        <v>0</v>
      </c>
      <c r="AEI100" s="0" t="n">
        <v>0</v>
      </c>
      <c r="AEJ100" s="0" t="s">
        <v>351</v>
      </c>
      <c r="AEK100" s="0" t="n">
        <v>30.5</v>
      </c>
      <c r="AEL100" s="16" t="n">
        <v>68.4</v>
      </c>
      <c r="AEM100" s="16" t="n">
        <v>80.4</v>
      </c>
      <c r="AEN100" s="16" t="n">
        <v>19.8</v>
      </c>
      <c r="AEO100" s="0" t="n">
        <v>72.42</v>
      </c>
      <c r="AEP100" s="17" t="n">
        <v>0</v>
      </c>
      <c r="AEQ100" s="0" t="n">
        <v>0.94</v>
      </c>
      <c r="AER100" s="0" t="n">
        <v>0.94</v>
      </c>
      <c r="AES100" s="0" t="n">
        <v>25.7</v>
      </c>
      <c r="AET100" s="0" t="n">
        <v>0</v>
      </c>
      <c r="AEU100" s="0" t="n">
        <v>0</v>
      </c>
      <c r="AEW100" s="0" t="n">
        <v>0</v>
      </c>
      <c r="AEX100" s="0" t="n">
        <v>0</v>
      </c>
      <c r="AEY100" s="0" t="n">
        <v>0</v>
      </c>
      <c r="AEZ100" s="0" t="n">
        <v>0</v>
      </c>
      <c r="AFA100" s="0" t="n">
        <v>28.26</v>
      </c>
      <c r="AFB100" s="0" t="n">
        <v>10.55</v>
      </c>
      <c r="AFC100" s="0" t="n">
        <v>14.21</v>
      </c>
      <c r="AFD100" s="0" t="n">
        <v>0</v>
      </c>
      <c r="AFE100" s="0" t="n">
        <v>0</v>
      </c>
      <c r="AFF100" s="0" t="n">
        <v>0</v>
      </c>
      <c r="AFS100" s="0" t="n">
        <v>3.3</v>
      </c>
      <c r="AFT100" s="0" t="n">
        <v>1</v>
      </c>
      <c r="AFU100" s="0" t="n">
        <v>68</v>
      </c>
      <c r="AFV100" s="0" t="n">
        <v>2</v>
      </c>
      <c r="AFW100" s="0" t="n">
        <v>1.52</v>
      </c>
      <c r="AFX100" s="0" t="n">
        <v>1</v>
      </c>
      <c r="AGE100" s="20"/>
      <c r="AGW100" s="0" t="n">
        <v>0</v>
      </c>
      <c r="AIH100" s="16" t="n">
        <v>0</v>
      </c>
      <c r="AII100" s="16" t="n">
        <v>0</v>
      </c>
      <c r="AIJ100" s="16"/>
      <c r="AIK100" s="16"/>
      <c r="AIL100" s="16"/>
      <c r="AIM100" s="16"/>
      <c r="AIN100" s="16"/>
      <c r="AIO100" s="16"/>
      <c r="AIP100" s="16"/>
      <c r="AIQ100" s="16"/>
      <c r="AIR100" s="16"/>
      <c r="AIS100" s="16" t="n">
        <v>0.81</v>
      </c>
      <c r="AIT100" s="16" t="n">
        <v>0.8</v>
      </c>
      <c r="AIU100" s="16" t="n">
        <v>0</v>
      </c>
      <c r="AIV100" s="16" t="n">
        <v>0</v>
      </c>
      <c r="AIW100" s="16" t="n">
        <v>2.99</v>
      </c>
      <c r="AIX100" s="16" t="n">
        <v>5.71</v>
      </c>
      <c r="AIY100" s="16" t="n">
        <v>0</v>
      </c>
      <c r="AIZ100" s="0" t="n">
        <v>0</v>
      </c>
      <c r="AJA100" s="0" t="s">
        <v>356</v>
      </c>
      <c r="AJB100" s="0" t="n">
        <v>39.5</v>
      </c>
      <c r="AJC100" s="16" t="n">
        <v>85.1</v>
      </c>
      <c r="AJD100" s="16" t="n">
        <v>80.4</v>
      </c>
      <c r="AJE100" s="16" t="n">
        <v>13.6</v>
      </c>
      <c r="AJF100" s="0" t="n">
        <v>87.38</v>
      </c>
      <c r="AJG100" s="17" t="n">
        <v>0</v>
      </c>
      <c r="AJH100" s="0" t="n">
        <v>8.05</v>
      </c>
      <c r="AJI100" s="0" t="n">
        <v>0</v>
      </c>
      <c r="AJJ100" s="0" t="n">
        <v>4.57</v>
      </c>
      <c r="AJK100" s="0" t="n">
        <v>0</v>
      </c>
      <c r="AJL100" s="0" t="n">
        <v>0</v>
      </c>
      <c r="AJN100" s="0" t="n">
        <v>0</v>
      </c>
      <c r="AJO100" s="0" t="n">
        <v>0</v>
      </c>
      <c r="AJP100" s="0" t="n">
        <v>0</v>
      </c>
      <c r="AJQ100" s="0" t="n">
        <v>0</v>
      </c>
      <c r="AJR100" s="0" t="n">
        <v>45</v>
      </c>
      <c r="AJS100" s="0" t="n">
        <v>10.1</v>
      </c>
      <c r="AJT100" s="0" t="n">
        <v>11.8</v>
      </c>
      <c r="AJU100" s="0" t="n">
        <v>0</v>
      </c>
      <c r="AJV100" s="0" t="n">
        <v>0</v>
      </c>
      <c r="AJW100" s="0" t="n">
        <v>0</v>
      </c>
      <c r="AKJ100" s="0" t="n">
        <v>17.8</v>
      </c>
      <c r="AKK100" s="0" t="n">
        <v>1</v>
      </c>
      <c r="AKL100" s="0" t="n">
        <v>30</v>
      </c>
      <c r="AKM100" s="0" t="n">
        <v>7</v>
      </c>
      <c r="AKN100" s="0" t="n">
        <v>5.33</v>
      </c>
      <c r="AKO100" s="0" t="n">
        <v>3</v>
      </c>
      <c r="AKV100" s="20"/>
      <c r="ALN100" s="0" t="n">
        <v>1</v>
      </c>
      <c r="ALO100" s="0" t="n">
        <v>50</v>
      </c>
      <c r="ALP100" s="0" t="n">
        <v>1</v>
      </c>
      <c r="ALQ100" s="0" t="n">
        <v>0.03</v>
      </c>
      <c r="ALR100" s="0" t="n">
        <v>1</v>
      </c>
    </row>
    <row r="101" customFormat="false" ht="13.8" hidden="false" customHeight="false" outlineLevel="0" collapsed="false">
      <c r="A101" s="1" t="s">
        <v>489</v>
      </c>
      <c r="B101" s="12" t="n">
        <v>42894</v>
      </c>
      <c r="C101" s="0" t="n">
        <v>1</v>
      </c>
      <c r="D101" s="13" t="n">
        <v>42821</v>
      </c>
      <c r="E101" s="12" t="n">
        <v>30181</v>
      </c>
      <c r="F101" s="14" t="n">
        <f aca="false">(B101-E101)/365.25</f>
        <v>34.8062970568104</v>
      </c>
      <c r="G101" s="14" t="n">
        <f aca="false">(B101-D101)/365.25</f>
        <v>0.199863107460643</v>
      </c>
      <c r="H101" s="15" t="s">
        <v>183</v>
      </c>
      <c r="I101" s="15" t="s">
        <v>347</v>
      </c>
      <c r="J101" s="15" t="s">
        <v>183</v>
      </c>
      <c r="K101" s="21" t="n">
        <v>8</v>
      </c>
      <c r="L101" s="19" t="n">
        <v>65</v>
      </c>
      <c r="M101" s="0" t="n">
        <v>1.59</v>
      </c>
      <c r="N101" s="16" t="n">
        <f aca="false">L101/(M101*M101)</f>
        <v>25.711008267078</v>
      </c>
      <c r="O101" s="19" t="n">
        <v>0</v>
      </c>
      <c r="P101" s="19" t="n">
        <v>0</v>
      </c>
      <c r="Q101" s="19" t="n">
        <v>0</v>
      </c>
      <c r="R101" s="19" t="n">
        <v>0</v>
      </c>
      <c r="S101" s="19" t="n">
        <v>0</v>
      </c>
      <c r="T101" s="19" t="n">
        <v>0</v>
      </c>
      <c r="U101" s="19" t="n">
        <v>0</v>
      </c>
      <c r="V101" s="19" t="n">
        <v>0</v>
      </c>
      <c r="W101" s="19" t="n">
        <v>0</v>
      </c>
      <c r="X101" s="19" t="n">
        <v>0</v>
      </c>
      <c r="Y101" s="19" t="n">
        <v>0</v>
      </c>
      <c r="Z101" s="19" t="n">
        <v>0</v>
      </c>
      <c r="AA101" s="19" t="n">
        <v>0</v>
      </c>
      <c r="AB101" s="19" t="n">
        <v>0</v>
      </c>
      <c r="AC101" s="19" t="n">
        <v>0</v>
      </c>
      <c r="AD101" s="19" t="n">
        <v>0</v>
      </c>
      <c r="AE101" s="19" t="n">
        <v>0</v>
      </c>
      <c r="AF101" s="19" t="n">
        <v>0</v>
      </c>
      <c r="AG101" s="19" t="n">
        <v>0</v>
      </c>
      <c r="AH101" s="19" t="n">
        <v>0</v>
      </c>
      <c r="AI101" s="19" t="n">
        <v>0</v>
      </c>
      <c r="AJ101" s="19" t="n">
        <v>0</v>
      </c>
      <c r="AK101" s="19" t="n">
        <v>0</v>
      </c>
      <c r="AL101" s="19" t="n">
        <v>0</v>
      </c>
      <c r="AM101" s="19" t="n">
        <v>0</v>
      </c>
      <c r="AN101" s="19" t="n">
        <v>0</v>
      </c>
      <c r="AO101" s="19" t="n">
        <v>0</v>
      </c>
      <c r="AP101" s="19" t="n">
        <v>0</v>
      </c>
      <c r="AQ101" s="19" t="n">
        <v>0</v>
      </c>
      <c r="AR101" s="19" t="n">
        <v>0</v>
      </c>
      <c r="AS101" s="19" t="n">
        <v>0</v>
      </c>
      <c r="AT101" s="19" t="n">
        <v>0</v>
      </c>
      <c r="AU101" s="19" t="n">
        <v>0</v>
      </c>
      <c r="AV101" s="19" t="n">
        <v>0</v>
      </c>
      <c r="AW101" s="19" t="n">
        <v>0</v>
      </c>
      <c r="AX101" s="19" t="n">
        <v>0</v>
      </c>
      <c r="AY101" s="19" t="n">
        <v>0</v>
      </c>
      <c r="AZ101" s="19" t="n">
        <v>0</v>
      </c>
      <c r="BA101" s="19" t="n">
        <v>0</v>
      </c>
      <c r="BB101" s="19" t="n">
        <v>0</v>
      </c>
      <c r="BC101" s="19" t="n">
        <v>0</v>
      </c>
      <c r="BD101" s="19" t="n">
        <v>0</v>
      </c>
      <c r="BE101" s="19" t="n">
        <v>0</v>
      </c>
      <c r="BF101" s="19" t="n">
        <v>0</v>
      </c>
      <c r="BG101" s="19" t="n">
        <v>0</v>
      </c>
      <c r="BH101" s="19" t="n">
        <v>0</v>
      </c>
      <c r="BI101" s="19" t="n">
        <v>0</v>
      </c>
      <c r="BJ101" s="19" t="n">
        <v>0</v>
      </c>
      <c r="BK101" s="19" t="n">
        <v>0</v>
      </c>
      <c r="BL101" s="19" t="n">
        <v>0</v>
      </c>
      <c r="BM101" s="19" t="n">
        <v>0</v>
      </c>
      <c r="BN101" s="19" t="n">
        <v>0</v>
      </c>
      <c r="BO101" s="19" t="n">
        <v>0</v>
      </c>
      <c r="BP101" s="19" t="n">
        <v>0</v>
      </c>
      <c r="BQ101" s="19" t="n">
        <v>0</v>
      </c>
      <c r="BR101" s="19" t="n">
        <v>2</v>
      </c>
      <c r="BS101" s="19" t="n">
        <v>2</v>
      </c>
      <c r="BT101" s="19" t="n">
        <v>3</v>
      </c>
      <c r="BU101" s="19" t="n">
        <v>5</v>
      </c>
      <c r="BV101" s="19" t="n">
        <v>1</v>
      </c>
      <c r="BW101" s="19" t="n">
        <v>1</v>
      </c>
      <c r="BX101" s="19" t="n">
        <v>1</v>
      </c>
      <c r="BY101" s="19" t="n">
        <v>2</v>
      </c>
      <c r="BZ101" s="19" t="n">
        <v>3</v>
      </c>
      <c r="CA101" s="19" t="n">
        <v>4</v>
      </c>
      <c r="CB101" s="19" t="n">
        <v>4</v>
      </c>
      <c r="CC101" s="19" t="n">
        <v>4</v>
      </c>
      <c r="CD101" s="19"/>
      <c r="CE101" s="19" t="n">
        <v>4</v>
      </c>
      <c r="CF101" s="19" t="n">
        <v>5</v>
      </c>
      <c r="CG101" s="19" t="n">
        <v>5</v>
      </c>
      <c r="CH101" s="19" t="n">
        <v>4</v>
      </c>
      <c r="CI101" s="19" t="n">
        <v>4</v>
      </c>
      <c r="CJ101" s="19" t="n">
        <v>4</v>
      </c>
      <c r="CK101" s="19" t="n">
        <v>10</v>
      </c>
      <c r="CL101" s="0" t="s">
        <v>355</v>
      </c>
      <c r="CM101" s="0" t="n">
        <v>37</v>
      </c>
      <c r="CN101" s="16" t="n">
        <v>95.1</v>
      </c>
      <c r="CO101" s="16" t="n">
        <v>80.4</v>
      </c>
      <c r="CP101" s="16" t="n">
        <v>15.9</v>
      </c>
      <c r="CQ101" s="0" t="n">
        <v>82.71</v>
      </c>
      <c r="CS101" s="0" t="n">
        <v>10.32</v>
      </c>
      <c r="CT101" s="0" t="n">
        <v>0.39</v>
      </c>
      <c r="CU101" s="0" t="n">
        <v>10.32</v>
      </c>
      <c r="CV101" s="0" t="n">
        <v>0</v>
      </c>
      <c r="CW101" s="0" t="n">
        <v>0</v>
      </c>
      <c r="CY101" s="0" t="n">
        <v>0</v>
      </c>
      <c r="CZ101" s="0" t="n">
        <v>0</v>
      </c>
      <c r="DA101" s="0" t="n">
        <v>0</v>
      </c>
      <c r="DB101" s="0" t="n">
        <v>1.9</v>
      </c>
      <c r="DC101" s="0" t="n">
        <v>26.26</v>
      </c>
      <c r="DD101" s="0" t="n">
        <v>6.04</v>
      </c>
      <c r="DE101" s="0" t="n">
        <v>2.19</v>
      </c>
      <c r="DF101" s="0" t="n">
        <v>0</v>
      </c>
      <c r="DG101" s="0" t="n">
        <v>0</v>
      </c>
      <c r="DH101" s="0" t="n">
        <v>0</v>
      </c>
      <c r="DU101" s="0" t="n">
        <v>14.7</v>
      </c>
      <c r="DV101" s="0" t="n">
        <v>1</v>
      </c>
      <c r="DW101" s="0" t="n">
        <v>35</v>
      </c>
      <c r="DX101" s="0" t="n">
        <v>2</v>
      </c>
      <c r="DY101" s="0" t="n">
        <v>1.8</v>
      </c>
      <c r="DZ101" s="0" t="n">
        <v>3</v>
      </c>
      <c r="EG101" s="20"/>
      <c r="EY101" s="0" t="n">
        <v>1</v>
      </c>
      <c r="EZ101" s="0" t="n">
        <v>50</v>
      </c>
      <c r="FA101" s="0" t="n">
        <v>1</v>
      </c>
      <c r="FB101" s="0" t="n">
        <v>1.34</v>
      </c>
      <c r="FC101" s="0" t="n">
        <v>2</v>
      </c>
      <c r="FD101" s="0" t="n">
        <v>40</v>
      </c>
      <c r="FE101" s="0" t="n">
        <v>1</v>
      </c>
      <c r="FF101" s="0" t="n">
        <v>0.9</v>
      </c>
      <c r="FG101" s="0" t="n">
        <v>3</v>
      </c>
      <c r="FH101" s="0" t="n">
        <v>50</v>
      </c>
      <c r="FI101" s="0" t="n">
        <v>1</v>
      </c>
      <c r="FJ101" s="0" t="n">
        <v>0.9</v>
      </c>
      <c r="FK101" s="0" t="n">
        <v>3</v>
      </c>
      <c r="FL101" s="0" t="n">
        <v>80</v>
      </c>
      <c r="FM101" s="0" t="n">
        <v>2</v>
      </c>
      <c r="FN101" s="0" t="n">
        <v>2.68</v>
      </c>
      <c r="FO101" s="0" t="n">
        <v>2</v>
      </c>
      <c r="FP101" s="0" t="n">
        <v>100</v>
      </c>
      <c r="FQ101" s="0" t="n">
        <v>1</v>
      </c>
      <c r="FR101" s="0" t="n">
        <v>2.57</v>
      </c>
      <c r="FS101" s="0" t="n">
        <v>2</v>
      </c>
      <c r="GJ101" s="0" t="n">
        <v>0</v>
      </c>
      <c r="GK101" s="19" t="n">
        <v>0</v>
      </c>
      <c r="GL101" s="19"/>
      <c r="GM101" s="13"/>
      <c r="GN101" s="13"/>
      <c r="GO101" s="19"/>
      <c r="GP101" s="13"/>
      <c r="GQ101" s="13"/>
      <c r="GR101" s="13"/>
      <c r="GS101" s="13"/>
      <c r="GT101" s="13"/>
      <c r="GU101" s="16" t="n">
        <v>5.11</v>
      </c>
      <c r="GV101" s="0" t="n">
        <v>4.81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s">
        <v>350</v>
      </c>
      <c r="HD101" s="0" t="n">
        <v>75</v>
      </c>
      <c r="HE101" s="16" t="n">
        <v>87.9</v>
      </c>
      <c r="HF101" s="16" t="n">
        <v>80.4</v>
      </c>
      <c r="HG101" s="16" t="n">
        <v>45.2</v>
      </c>
      <c r="HH101" s="0" t="n">
        <v>50.83</v>
      </c>
      <c r="HI101" s="0" t="n">
        <v>0.05</v>
      </c>
      <c r="HJ101" s="0" t="n">
        <v>46.44</v>
      </c>
      <c r="HK101" s="0" t="n">
        <v>2.67</v>
      </c>
      <c r="HL101" s="0" t="n">
        <v>0</v>
      </c>
      <c r="HM101" s="0" t="n">
        <v>0</v>
      </c>
      <c r="HN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25.21</v>
      </c>
      <c r="HU101" s="0" t="n">
        <v>43.57</v>
      </c>
      <c r="HV101" s="0" t="n">
        <v>6.27</v>
      </c>
      <c r="HW101" s="0" t="n">
        <v>0</v>
      </c>
      <c r="HX101" s="0" t="n">
        <v>0</v>
      </c>
      <c r="HY101" s="0" t="n">
        <v>0</v>
      </c>
      <c r="IL101" s="0" t="n">
        <v>17.8</v>
      </c>
      <c r="IM101" s="0" t="n">
        <v>1</v>
      </c>
      <c r="IN101" s="0" t="n">
        <v>35</v>
      </c>
      <c r="IO101" s="0" t="n">
        <v>9</v>
      </c>
      <c r="IP101" s="0" t="n">
        <v>2.55</v>
      </c>
      <c r="IQ101" s="0" t="n">
        <v>3</v>
      </c>
      <c r="IX101" s="20"/>
      <c r="JP101" s="0" t="n">
        <v>1</v>
      </c>
      <c r="JQ101" s="0" t="n">
        <v>50</v>
      </c>
      <c r="JR101" s="0" t="n">
        <v>8</v>
      </c>
      <c r="JS101" s="0" t="n">
        <v>2.12</v>
      </c>
      <c r="JT101" s="0" t="n">
        <v>3</v>
      </c>
      <c r="LA101" s="16" t="n">
        <v>3.43</v>
      </c>
      <c r="LB101" s="16" t="n">
        <v>1</v>
      </c>
      <c r="LC101" s="16" t="n">
        <v>1</v>
      </c>
      <c r="LD101" s="16"/>
      <c r="LE101" s="16" t="n">
        <v>26.11</v>
      </c>
      <c r="LF101" s="16" t="n">
        <v>2</v>
      </c>
      <c r="LG101" s="16"/>
      <c r="LH101" s="16" t="n">
        <v>11.19</v>
      </c>
      <c r="LI101" s="16"/>
      <c r="LJ101" s="16"/>
      <c r="LK101" s="16"/>
      <c r="LL101" s="16" t="n">
        <v>6.39</v>
      </c>
      <c r="LM101" s="16" t="n">
        <v>3.31</v>
      </c>
      <c r="LN101" s="16" t="n">
        <v>0</v>
      </c>
      <c r="LO101" s="16" t="n">
        <v>0</v>
      </c>
      <c r="LP101" s="16" t="n">
        <v>0</v>
      </c>
      <c r="LQ101" s="16" t="n">
        <v>0</v>
      </c>
      <c r="LR101" s="16" t="n">
        <v>0</v>
      </c>
      <c r="LS101" s="0" t="n">
        <v>0</v>
      </c>
      <c r="LT101" s="0" t="s">
        <v>373</v>
      </c>
      <c r="LU101" s="0" t="n">
        <v>27.5</v>
      </c>
      <c r="LV101" s="16" t="n">
        <v>79.1</v>
      </c>
      <c r="LW101" s="16" t="n">
        <v>80.4</v>
      </c>
      <c r="LX101" s="16" t="n">
        <v>15.3</v>
      </c>
      <c r="LY101" s="0" t="n">
        <v>87.64</v>
      </c>
      <c r="MA101" s="0" t="n">
        <v>0</v>
      </c>
      <c r="MB101" s="0" t="n">
        <v>0</v>
      </c>
      <c r="MC101" s="0" t="n">
        <v>12.36</v>
      </c>
      <c r="MD101" s="0" t="n">
        <v>0</v>
      </c>
      <c r="ME101" s="0" t="n">
        <v>0</v>
      </c>
      <c r="MG101" s="0" t="n">
        <v>0</v>
      </c>
      <c r="MH101" s="0" t="n">
        <v>0</v>
      </c>
      <c r="MI101" s="0" t="n">
        <v>0</v>
      </c>
      <c r="MJ101" s="0" t="n">
        <v>24.9</v>
      </c>
      <c r="MK101" s="0" t="n">
        <v>31.79</v>
      </c>
      <c r="ML101" s="0" t="n">
        <v>18.86</v>
      </c>
      <c r="MM101" s="0" t="n">
        <v>0</v>
      </c>
      <c r="MN101" s="0" t="n">
        <v>0</v>
      </c>
      <c r="MO101" s="0" t="n">
        <v>4.8</v>
      </c>
      <c r="MP101" s="0" t="n">
        <v>5</v>
      </c>
      <c r="MQ101" s="0" t="n">
        <v>50</v>
      </c>
      <c r="MR101" s="0" t="n">
        <v>4</v>
      </c>
      <c r="MW101" s="0" t="n">
        <v>50</v>
      </c>
      <c r="MX101" s="0" t="n">
        <v>4</v>
      </c>
      <c r="NC101" s="0" t="n">
        <v>5.5</v>
      </c>
      <c r="ND101" s="0" t="n">
        <v>0</v>
      </c>
      <c r="NO101" s="20"/>
      <c r="OG101" s="0" t="n">
        <v>1</v>
      </c>
      <c r="OH101" s="0" t="n">
        <v>50</v>
      </c>
      <c r="OI101" s="0" t="n">
        <v>4</v>
      </c>
      <c r="OJ101" s="0" t="n">
        <v>3.59</v>
      </c>
      <c r="OK101" s="0" t="n">
        <v>3</v>
      </c>
      <c r="OL101" s="0" t="n">
        <v>70</v>
      </c>
      <c r="OM101" s="0" t="n">
        <v>14</v>
      </c>
      <c r="ON101" s="0" t="n">
        <v>4.93</v>
      </c>
      <c r="OO101" s="0" t="n">
        <v>2</v>
      </c>
      <c r="PR101" s="16" t="n">
        <v>0.75</v>
      </c>
      <c r="PS101" s="16" t="n">
        <v>1</v>
      </c>
      <c r="PT101" s="16" t="n">
        <v>1</v>
      </c>
      <c r="PU101" s="16"/>
      <c r="PV101" s="16" t="n">
        <v>9.96</v>
      </c>
      <c r="PW101" s="16"/>
      <c r="PX101" s="16"/>
      <c r="PY101" s="16"/>
      <c r="PZ101" s="16"/>
      <c r="QA101" s="16"/>
      <c r="QB101" s="16"/>
      <c r="QC101" s="16" t="n">
        <v>0</v>
      </c>
      <c r="QD101" s="16" t="n">
        <v>0</v>
      </c>
      <c r="QE101" s="16" t="n">
        <v>0</v>
      </c>
      <c r="QF101" s="16" t="n">
        <v>0</v>
      </c>
      <c r="QG101" s="16" t="n">
        <v>0</v>
      </c>
      <c r="QH101" s="16" t="n">
        <v>0</v>
      </c>
      <c r="QI101" s="16" t="n">
        <v>0</v>
      </c>
      <c r="QJ101" s="0" t="n">
        <v>0</v>
      </c>
      <c r="QK101" s="0" t="s">
        <v>370</v>
      </c>
      <c r="QL101" s="0" t="n">
        <v>80.5</v>
      </c>
      <c r="QM101" s="16" t="n">
        <v>42.5</v>
      </c>
      <c r="QN101" s="16" t="n">
        <v>80.4</v>
      </c>
      <c r="QO101" s="16" t="n">
        <v>4.3</v>
      </c>
      <c r="QP101" s="0" t="n">
        <v>100</v>
      </c>
      <c r="QR101" s="0" t="n">
        <v>0</v>
      </c>
      <c r="QS101" s="0" t="n">
        <v>0</v>
      </c>
      <c r="QT101" s="0" t="n">
        <v>0</v>
      </c>
      <c r="QU101" s="0" t="n">
        <v>0</v>
      </c>
      <c r="QV101" s="0" t="n">
        <v>0</v>
      </c>
      <c r="QX101" s="0" t="n">
        <v>0</v>
      </c>
      <c r="QY101" s="0" t="n">
        <v>0</v>
      </c>
      <c r="QZ101" s="0" t="n">
        <v>0</v>
      </c>
      <c r="RA101" s="0" t="n">
        <v>0</v>
      </c>
      <c r="RB101" s="0" t="n">
        <v>61.07</v>
      </c>
      <c r="RC101" s="0" t="n">
        <v>4</v>
      </c>
      <c r="RD101" s="0" t="n">
        <v>0.14</v>
      </c>
      <c r="RE101" s="0" t="n">
        <v>0</v>
      </c>
      <c r="RF101" s="0" t="n">
        <v>15.7</v>
      </c>
      <c r="RG101" s="0" t="n">
        <v>1</v>
      </c>
      <c r="RH101" s="0" t="n">
        <v>3</v>
      </c>
      <c r="RJ101" s="0" t="n">
        <v>1</v>
      </c>
      <c r="RN101" s="0" t="n">
        <v>3</v>
      </c>
      <c r="RP101" s="0" t="n">
        <v>1</v>
      </c>
      <c r="RT101" s="0" t="n">
        <v>12.4</v>
      </c>
      <c r="RU101" s="0" t="n">
        <v>1</v>
      </c>
      <c r="RV101" s="0" t="n">
        <v>34</v>
      </c>
      <c r="RW101" s="0" t="n">
        <v>4</v>
      </c>
      <c r="RX101" s="0" t="n">
        <v>1.28</v>
      </c>
      <c r="RY101" s="0" t="n">
        <v>1</v>
      </c>
      <c r="SF101" s="20"/>
      <c r="SX101" s="0" t="n">
        <v>1</v>
      </c>
      <c r="SY101" s="0" t="n">
        <v>50</v>
      </c>
      <c r="SZ101" s="0" t="n">
        <v>2</v>
      </c>
      <c r="TA101" s="0" t="n">
        <v>2.28</v>
      </c>
      <c r="TB101" s="0" t="n">
        <v>3</v>
      </c>
      <c r="TC101" s="0" t="n">
        <v>50</v>
      </c>
      <c r="TD101" s="0" t="n">
        <v>12</v>
      </c>
      <c r="TE101" s="0" t="n">
        <v>8.75</v>
      </c>
      <c r="TF101" s="0" t="n">
        <v>4</v>
      </c>
      <c r="UI101" s="16" t="n">
        <v>0.63</v>
      </c>
      <c r="UJ101" s="16" t="n">
        <v>1</v>
      </c>
      <c r="UK101" s="16" t="n">
        <v>1</v>
      </c>
      <c r="UL101" s="16"/>
      <c r="UM101" s="16" t="n">
        <v>7.46</v>
      </c>
      <c r="UN101" s="16"/>
      <c r="UO101" s="16"/>
      <c r="UP101" s="16"/>
      <c r="UQ101" s="16"/>
      <c r="UR101" s="16"/>
      <c r="US101" s="16"/>
      <c r="UT101" s="16" t="n">
        <v>8.47</v>
      </c>
      <c r="UU101" s="16" t="n">
        <v>4.95</v>
      </c>
      <c r="UV101" s="16" t="n">
        <v>0</v>
      </c>
      <c r="UW101" s="16" t="n">
        <v>0</v>
      </c>
      <c r="UX101" s="16" t="n">
        <v>0</v>
      </c>
      <c r="UY101" s="16" t="n">
        <v>0</v>
      </c>
      <c r="UZ101" s="16" t="n">
        <v>0</v>
      </c>
      <c r="VA101" s="0" t="n">
        <v>0</v>
      </c>
      <c r="VE101" s="15"/>
      <c r="VF101" s="15"/>
      <c r="VM101" s="15"/>
      <c r="VN101" s="15"/>
      <c r="VU101" s="15"/>
      <c r="VV101" s="15"/>
      <c r="WC101" s="15"/>
      <c r="WD101" s="15"/>
      <c r="WK101" s="15"/>
      <c r="WL101" s="15"/>
      <c r="WS101" s="15"/>
      <c r="WT101" s="15"/>
      <c r="XA101" s="15"/>
      <c r="XB101" s="15"/>
      <c r="XI101" s="15"/>
      <c r="XJ101" s="15"/>
      <c r="XQ101" s="15"/>
      <c r="XR101" s="15"/>
      <c r="XY101" s="15"/>
      <c r="XZ101" s="15"/>
      <c r="YG101" s="15"/>
      <c r="YH101" s="15"/>
      <c r="YO101" s="15"/>
      <c r="YP101" s="15"/>
      <c r="YW101" s="15"/>
      <c r="YX101" s="15"/>
      <c r="ZE101" s="15"/>
      <c r="ZF101" s="15"/>
      <c r="ZM101" s="15"/>
      <c r="ZN101" s="15"/>
      <c r="ZU101" s="15"/>
      <c r="ZV101" s="15"/>
      <c r="AAC101" s="15"/>
      <c r="AAD101" s="15"/>
      <c r="AAK101" s="15"/>
      <c r="AAL101" s="15"/>
      <c r="AAS101" s="15"/>
      <c r="AAT101" s="15"/>
      <c r="ABA101" s="15"/>
      <c r="ABB101" s="15"/>
      <c r="ABI101" s="15"/>
      <c r="ABJ101" s="15"/>
      <c r="ABQ101" s="15"/>
      <c r="ABR101" s="15"/>
      <c r="ABY101" s="15"/>
      <c r="ABZ101" s="15"/>
      <c r="ACG101" s="15"/>
      <c r="ACH101" s="15"/>
      <c r="ACO101" s="15"/>
      <c r="ACP101" s="15"/>
      <c r="ACW101" s="15"/>
      <c r="ACX101" s="15"/>
      <c r="ADE101" s="15"/>
      <c r="ADF101" s="15"/>
      <c r="ADM101" s="15"/>
      <c r="ADN101" s="15"/>
      <c r="ADU101" s="15"/>
      <c r="ADV101" s="15"/>
      <c r="AEC101" s="15"/>
      <c r="AED101" s="15"/>
      <c r="AEK101" s="15"/>
      <c r="AEL101" s="15"/>
      <c r="AES101" s="15"/>
      <c r="AET101" s="15"/>
      <c r="AFA101" s="15"/>
      <c r="AFB101" s="15"/>
      <c r="AFI101" s="15"/>
      <c r="AFJ101" s="15"/>
      <c r="AFQ101" s="15"/>
      <c r="AFR101" s="15"/>
      <c r="AFY101" s="15"/>
      <c r="AFZ101" s="15"/>
      <c r="AGG101" s="15"/>
      <c r="AGH101" s="15"/>
      <c r="AGO101" s="15"/>
      <c r="AGP101" s="15"/>
      <c r="AGW101" s="15"/>
      <c r="AGX101" s="15"/>
      <c r="AHE101" s="15"/>
      <c r="AHF101" s="15"/>
      <c r="AHM101" s="15"/>
      <c r="AHN101" s="15"/>
      <c r="AHU101" s="15"/>
      <c r="AHV101" s="15"/>
      <c r="AIC101" s="15"/>
      <c r="AID101" s="15"/>
      <c r="AIK101" s="15"/>
      <c r="AIL101" s="15"/>
      <c r="AIS101" s="15"/>
      <c r="AIT101" s="15"/>
      <c r="AJA101" s="15"/>
      <c r="AJB101" s="15"/>
      <c r="AJI101" s="15"/>
      <c r="AJJ101" s="15"/>
      <c r="AJQ101" s="15"/>
      <c r="AJR101" s="15"/>
      <c r="AJY101" s="15"/>
      <c r="AJZ101" s="15"/>
      <c r="AKG101" s="15"/>
      <c r="AKH101" s="15"/>
      <c r="AKO101" s="15"/>
      <c r="AKP101" s="15"/>
      <c r="AKW101" s="15"/>
      <c r="AKX101" s="15"/>
      <c r="ALE101" s="15"/>
      <c r="ALF101" s="15"/>
      <c r="ALM101" s="15"/>
      <c r="ALN101" s="15"/>
      <c r="ALU101" s="15"/>
      <c r="ALV101" s="15"/>
      <c r="AMC101" s="15"/>
      <c r="AMD101" s="15"/>
    </row>
    <row r="102" customFormat="false" ht="13.8" hidden="false" customHeight="false" outlineLevel="0" collapsed="false">
      <c r="A102" s="1" t="s">
        <v>490</v>
      </c>
      <c r="B102" s="12" t="n">
        <v>42894</v>
      </c>
      <c r="C102" s="0" t="n">
        <v>2</v>
      </c>
      <c r="D102" s="13" t="n">
        <v>42804</v>
      </c>
      <c r="E102" s="12" t="n">
        <v>31944</v>
      </c>
      <c r="F102" s="14" t="n">
        <f aca="false">(B102-E102)/365.25</f>
        <v>29.9794661190965</v>
      </c>
      <c r="G102" s="14" t="n">
        <f aca="false">(B102-D102)/365.25</f>
        <v>0.246406570841889</v>
      </c>
      <c r="H102" s="15" t="s">
        <v>183</v>
      </c>
      <c r="I102" s="15" t="s">
        <v>347</v>
      </c>
      <c r="J102" s="15" t="s">
        <v>183</v>
      </c>
      <c r="K102" s="21" t="n">
        <v>8</v>
      </c>
      <c r="L102" s="19" t="n">
        <v>74</v>
      </c>
      <c r="M102" s="0" t="n">
        <v>1.74</v>
      </c>
      <c r="N102" s="16" t="n">
        <f aca="false">L102/(M102*M102)</f>
        <v>24.441802087462</v>
      </c>
      <c r="O102" s="19" t="n">
        <v>0</v>
      </c>
      <c r="P102" s="19" t="n">
        <v>0</v>
      </c>
      <c r="Q102" s="19" t="n">
        <v>0</v>
      </c>
      <c r="R102" s="19" t="n">
        <v>0</v>
      </c>
      <c r="S102" s="19" t="n">
        <v>0</v>
      </c>
      <c r="T102" s="19" t="n">
        <v>0</v>
      </c>
      <c r="U102" s="19" t="n">
        <v>0</v>
      </c>
      <c r="V102" s="19" t="n">
        <v>0</v>
      </c>
      <c r="W102" s="19" t="n">
        <v>0</v>
      </c>
      <c r="X102" s="19" t="n">
        <v>0</v>
      </c>
      <c r="Y102" s="19" t="n">
        <v>1</v>
      </c>
      <c r="Z102" s="19" t="n">
        <v>3</v>
      </c>
      <c r="AA102" s="19" t="n">
        <v>180</v>
      </c>
      <c r="AB102" s="19" t="s">
        <v>343</v>
      </c>
      <c r="AC102" s="19" t="n">
        <v>0</v>
      </c>
      <c r="AD102" s="19" t="n">
        <v>0</v>
      </c>
      <c r="AE102" s="19" t="n">
        <v>0</v>
      </c>
      <c r="AF102" s="19" t="n">
        <v>0</v>
      </c>
      <c r="AG102" s="19" t="n">
        <v>0</v>
      </c>
      <c r="AH102" s="19" t="n">
        <v>0</v>
      </c>
      <c r="AI102" s="19" t="n">
        <v>0</v>
      </c>
      <c r="AJ102" s="19" t="n">
        <v>0</v>
      </c>
      <c r="AK102" s="19" t="n">
        <v>0</v>
      </c>
      <c r="AL102" s="19" t="n">
        <v>0</v>
      </c>
      <c r="AM102" s="19" t="n">
        <v>0</v>
      </c>
      <c r="AN102" s="19" t="n">
        <v>0</v>
      </c>
      <c r="AO102" s="19" t="n">
        <v>0</v>
      </c>
      <c r="AP102" s="19" t="n">
        <v>0</v>
      </c>
      <c r="AQ102" s="19" t="n">
        <v>0</v>
      </c>
      <c r="AR102" s="19" t="n">
        <v>0</v>
      </c>
      <c r="AS102" s="19" t="n">
        <v>0</v>
      </c>
      <c r="AT102" s="19" t="n">
        <v>0</v>
      </c>
      <c r="AU102" s="19" t="n">
        <v>0</v>
      </c>
      <c r="AV102" s="19" t="n">
        <v>0</v>
      </c>
      <c r="AW102" s="19" t="n">
        <v>0</v>
      </c>
      <c r="AX102" s="19" t="n">
        <v>0</v>
      </c>
      <c r="AY102" s="19" t="n">
        <v>0</v>
      </c>
      <c r="AZ102" s="19" t="n">
        <v>0</v>
      </c>
      <c r="BA102" s="19" t="n">
        <v>0</v>
      </c>
      <c r="BB102" s="19" t="n">
        <v>0</v>
      </c>
      <c r="BC102" s="19" t="n">
        <v>0</v>
      </c>
      <c r="BD102" s="19" t="n">
        <v>0</v>
      </c>
      <c r="BE102" s="19" t="n">
        <v>0</v>
      </c>
      <c r="BF102" s="19" t="n">
        <v>0</v>
      </c>
      <c r="BG102" s="19" t="n">
        <v>0</v>
      </c>
      <c r="BH102" s="19" t="n">
        <v>0</v>
      </c>
      <c r="BI102" s="19" t="n">
        <v>0</v>
      </c>
      <c r="BJ102" s="19" t="n">
        <v>0</v>
      </c>
      <c r="BK102" s="19" t="n">
        <v>0</v>
      </c>
      <c r="BL102" s="19" t="n">
        <v>0</v>
      </c>
      <c r="BM102" s="19" t="n">
        <v>0</v>
      </c>
      <c r="BN102" s="19" t="n">
        <v>0</v>
      </c>
      <c r="BO102" s="19" t="n">
        <v>0</v>
      </c>
      <c r="BP102" s="19" t="n">
        <v>0</v>
      </c>
      <c r="BQ102" s="19" t="n">
        <v>0</v>
      </c>
      <c r="BR102" s="19" t="n">
        <v>3</v>
      </c>
      <c r="BS102" s="19" t="n">
        <v>3</v>
      </c>
      <c r="BT102" s="19" t="n">
        <v>3</v>
      </c>
      <c r="BU102" s="19" t="n">
        <v>5</v>
      </c>
      <c r="BV102" s="19" t="n">
        <v>1</v>
      </c>
      <c r="BW102" s="19" t="n">
        <v>1</v>
      </c>
      <c r="BX102" s="19" t="n">
        <v>1</v>
      </c>
      <c r="BY102" s="19" t="n">
        <v>4</v>
      </c>
      <c r="BZ102" s="19" t="n">
        <v>1</v>
      </c>
      <c r="CA102" s="19" t="n">
        <v>4</v>
      </c>
      <c r="CB102" s="19" t="n">
        <v>4</v>
      </c>
      <c r="CC102" s="19" t="n">
        <v>5</v>
      </c>
      <c r="CD102" s="19" t="n">
        <v>1</v>
      </c>
      <c r="CE102" s="19" t="n">
        <v>5</v>
      </c>
      <c r="CF102" s="19" t="n">
        <v>5</v>
      </c>
      <c r="CG102" s="19" t="n">
        <v>5</v>
      </c>
      <c r="CH102" s="19" t="n">
        <v>3</v>
      </c>
      <c r="CI102" s="19" t="n">
        <v>5</v>
      </c>
      <c r="CJ102" s="19" t="n">
        <v>4</v>
      </c>
      <c r="CK102" s="19" t="n">
        <v>8</v>
      </c>
      <c r="CL102" s="0" t="s">
        <v>355</v>
      </c>
      <c r="CM102" s="0" t="n">
        <v>37</v>
      </c>
      <c r="CN102" s="16" t="n">
        <v>95.1</v>
      </c>
      <c r="CO102" s="16" t="n">
        <v>80.4</v>
      </c>
      <c r="CP102" s="16" t="n">
        <v>15.9</v>
      </c>
      <c r="CQ102" s="0" t="n">
        <v>82.71</v>
      </c>
      <c r="CR102" s="17" t="n">
        <v>0</v>
      </c>
      <c r="CS102" s="0" t="n">
        <v>10.32</v>
      </c>
      <c r="CT102" s="0" t="n">
        <v>0.39</v>
      </c>
      <c r="CU102" s="0" t="n">
        <v>10.32</v>
      </c>
      <c r="CV102" s="0" t="n">
        <v>0</v>
      </c>
      <c r="CW102" s="0" t="n">
        <v>0</v>
      </c>
      <c r="CY102" s="0" t="n">
        <v>0</v>
      </c>
      <c r="CZ102" s="0" t="n">
        <v>0</v>
      </c>
      <c r="DA102" s="0" t="n">
        <v>0</v>
      </c>
      <c r="DB102" s="0" t="n">
        <v>1.9</v>
      </c>
      <c r="DC102" s="0" t="n">
        <v>26.26</v>
      </c>
      <c r="DD102" s="0" t="n">
        <v>6.04</v>
      </c>
      <c r="DE102" s="0" t="n">
        <v>2.19</v>
      </c>
      <c r="DF102" s="0" t="n">
        <v>0</v>
      </c>
      <c r="DG102" s="0" t="n">
        <v>0</v>
      </c>
      <c r="DH102" s="0" t="n">
        <v>0</v>
      </c>
      <c r="DU102" s="0" t="n">
        <v>14.7</v>
      </c>
      <c r="DV102" s="0" t="n">
        <v>1</v>
      </c>
      <c r="DW102" s="0" t="n">
        <v>35</v>
      </c>
      <c r="DX102" s="0" t="n">
        <v>2</v>
      </c>
      <c r="DY102" s="0" t="n">
        <v>1.8</v>
      </c>
      <c r="DZ102" s="0" t="n">
        <v>3</v>
      </c>
      <c r="EG102" s="20"/>
      <c r="EY102" s="0" t="n">
        <v>1</v>
      </c>
      <c r="EZ102" s="0" t="n">
        <v>50</v>
      </c>
      <c r="FA102" s="0" t="n">
        <v>1</v>
      </c>
      <c r="FB102" s="0" t="n">
        <v>1.34</v>
      </c>
      <c r="FC102" s="0" t="n">
        <v>2</v>
      </c>
      <c r="FD102" s="0" t="n">
        <v>40</v>
      </c>
      <c r="FE102" s="0" t="n">
        <v>1</v>
      </c>
      <c r="FF102" s="0" t="n">
        <v>0.9</v>
      </c>
      <c r="FG102" s="0" t="n">
        <v>3</v>
      </c>
      <c r="FH102" s="0" t="n">
        <v>50</v>
      </c>
      <c r="FI102" s="0" t="n">
        <v>1</v>
      </c>
      <c r="FJ102" s="0" t="n">
        <v>0.9</v>
      </c>
      <c r="FK102" s="0" t="n">
        <v>3</v>
      </c>
      <c r="FL102" s="0" t="n">
        <v>80</v>
      </c>
      <c r="FM102" s="0" t="n">
        <v>2</v>
      </c>
      <c r="FN102" s="0" t="n">
        <v>2.68</v>
      </c>
      <c r="FO102" s="0" t="n">
        <v>2</v>
      </c>
      <c r="FP102" s="0" t="n">
        <v>100</v>
      </c>
      <c r="FQ102" s="0" t="n">
        <v>1</v>
      </c>
      <c r="FR102" s="0" t="n">
        <v>2.57</v>
      </c>
      <c r="FS102" s="0" t="n">
        <v>2</v>
      </c>
      <c r="GJ102" s="0" t="n">
        <v>0</v>
      </c>
      <c r="GK102" s="19" t="n">
        <v>0</v>
      </c>
      <c r="GL102" s="19"/>
      <c r="GM102" s="13"/>
      <c r="GN102" s="13"/>
      <c r="GO102" s="19"/>
      <c r="GP102" s="13"/>
      <c r="GQ102" s="13"/>
      <c r="GR102" s="13"/>
      <c r="GS102" s="13"/>
      <c r="GT102" s="13"/>
      <c r="GU102" s="16" t="n">
        <v>5.11</v>
      </c>
      <c r="GV102" s="0" t="n">
        <v>4.81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s">
        <v>363</v>
      </c>
      <c r="HD102" s="0" t="n">
        <v>34.5</v>
      </c>
      <c r="HE102" s="16" t="n">
        <v>88.3</v>
      </c>
      <c r="HF102" s="16" t="n">
        <v>80.4</v>
      </c>
      <c r="HG102" s="16" t="n">
        <v>22.8</v>
      </c>
      <c r="HH102" s="0" t="n">
        <v>73.89</v>
      </c>
      <c r="HI102" s="17" t="n">
        <v>0</v>
      </c>
      <c r="HJ102" s="0" t="n">
        <v>14.94</v>
      </c>
      <c r="HK102" s="0" t="n">
        <v>0.5</v>
      </c>
      <c r="HL102" s="0" t="n">
        <v>10.66</v>
      </c>
      <c r="HM102" s="0" t="n">
        <v>0</v>
      </c>
      <c r="HN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46.29</v>
      </c>
      <c r="HU102" s="0" t="n">
        <v>23.15</v>
      </c>
      <c r="HV102" s="0" t="n">
        <v>0</v>
      </c>
      <c r="HW102" s="0" t="n">
        <v>0</v>
      </c>
      <c r="HX102" s="0" t="n">
        <v>0</v>
      </c>
      <c r="HY102" s="0" t="n">
        <v>0</v>
      </c>
      <c r="IL102" s="0" t="n">
        <v>2.8</v>
      </c>
      <c r="IM102" s="0" t="n">
        <v>1</v>
      </c>
      <c r="IN102" s="0" t="n">
        <v>35</v>
      </c>
      <c r="IO102" s="0" t="n">
        <v>1</v>
      </c>
      <c r="IP102" s="0" t="n">
        <v>0.5</v>
      </c>
      <c r="IQ102" s="0" t="n">
        <v>3</v>
      </c>
      <c r="IX102" s="20"/>
      <c r="JP102" s="0" t="n">
        <v>1</v>
      </c>
      <c r="JQ102" s="0" t="n">
        <v>60</v>
      </c>
      <c r="JR102" s="0" t="n">
        <v>4</v>
      </c>
      <c r="JS102" s="0" t="n">
        <v>0.54</v>
      </c>
      <c r="JT102" s="0" t="n">
        <v>3</v>
      </c>
      <c r="LA102" s="16" t="n">
        <v>3.05</v>
      </c>
      <c r="LB102" s="16" t="n">
        <v>1</v>
      </c>
      <c r="LC102" s="16" t="n">
        <v>1</v>
      </c>
      <c r="LD102" s="16" t="n">
        <v>5</v>
      </c>
      <c r="LE102" s="16" t="n">
        <v>8.71</v>
      </c>
      <c r="LF102" s="16" t="n">
        <v>2</v>
      </c>
      <c r="LG102" s="16" t="n">
        <v>25</v>
      </c>
      <c r="LH102" s="16" t="n">
        <v>12.44</v>
      </c>
      <c r="LI102" s="16"/>
      <c r="LJ102" s="16"/>
      <c r="LK102" s="16"/>
      <c r="LL102" s="16" t="n">
        <v>4.5</v>
      </c>
      <c r="LM102" s="16" t="n">
        <v>1.2</v>
      </c>
      <c r="LN102" s="16" t="n">
        <v>0</v>
      </c>
      <c r="LO102" s="16" t="n">
        <v>0</v>
      </c>
      <c r="LP102" s="16" t="n">
        <v>0</v>
      </c>
      <c r="LQ102" s="16" t="n">
        <v>0</v>
      </c>
      <c r="LR102" s="16" t="n">
        <v>0</v>
      </c>
      <c r="LS102" s="0" t="n">
        <v>0</v>
      </c>
      <c r="LT102" s="0" t="s">
        <v>364</v>
      </c>
      <c r="LU102" s="0" t="n">
        <v>32</v>
      </c>
      <c r="LV102" s="16" t="n">
        <v>75</v>
      </c>
      <c r="LW102" s="16" t="n">
        <v>80.4</v>
      </c>
      <c r="LX102" s="16" t="n">
        <v>22.6</v>
      </c>
      <c r="LY102" s="0" t="n">
        <v>76.24</v>
      </c>
      <c r="LZ102" s="17" t="n">
        <v>0</v>
      </c>
      <c r="MA102" s="0" t="n">
        <v>15.36</v>
      </c>
      <c r="MB102" s="0" t="n">
        <v>1.93</v>
      </c>
      <c r="MC102" s="0" t="n">
        <v>6.47</v>
      </c>
      <c r="MD102" s="0" t="n">
        <v>0</v>
      </c>
      <c r="ME102" s="0" t="n">
        <v>0</v>
      </c>
      <c r="MG102" s="0" t="n">
        <v>0</v>
      </c>
      <c r="MH102" s="0" t="n">
        <v>0</v>
      </c>
      <c r="MI102" s="0" t="n">
        <v>0</v>
      </c>
      <c r="MJ102" s="0" t="n">
        <v>0</v>
      </c>
      <c r="MK102" s="0" t="n">
        <v>32.86</v>
      </c>
      <c r="ML102" s="0" t="n">
        <v>26.39</v>
      </c>
      <c r="MM102" s="0" t="n">
        <v>0</v>
      </c>
      <c r="MN102" s="0" t="n">
        <v>0</v>
      </c>
      <c r="MO102" s="0" t="n">
        <v>0</v>
      </c>
      <c r="MP102" s="0" t="n">
        <v>0</v>
      </c>
      <c r="NC102" s="0" t="n">
        <v>5.6</v>
      </c>
      <c r="ND102" s="0" t="n">
        <v>1</v>
      </c>
      <c r="NE102" s="0" t="n">
        <v>35</v>
      </c>
      <c r="NF102" s="0" t="n">
        <v>1</v>
      </c>
      <c r="NG102" s="0" t="n">
        <v>0.5</v>
      </c>
      <c r="NH102" s="0" t="n">
        <v>3</v>
      </c>
      <c r="NO102" s="20"/>
      <c r="OG102" s="0" t="n">
        <v>1</v>
      </c>
      <c r="OH102" s="0" t="n">
        <v>60</v>
      </c>
      <c r="OI102" s="0" t="n">
        <v>5</v>
      </c>
      <c r="OJ102" s="0" t="n">
        <v>3.13</v>
      </c>
      <c r="OK102" s="0" t="n">
        <v>2</v>
      </c>
      <c r="OL102" s="0" t="n">
        <v>50</v>
      </c>
      <c r="OM102" s="0" t="n">
        <v>2</v>
      </c>
      <c r="ON102" s="0" t="n">
        <v>0.67</v>
      </c>
      <c r="OO102" s="0" t="n">
        <v>2</v>
      </c>
      <c r="PR102" s="16" t="n">
        <v>1.43</v>
      </c>
      <c r="PS102" s="16" t="n">
        <v>1</v>
      </c>
      <c r="PT102" s="16" t="n">
        <v>1</v>
      </c>
      <c r="PU102" s="16" t="n">
        <v>4</v>
      </c>
      <c r="PV102" s="16" t="n">
        <v>17.43</v>
      </c>
      <c r="PW102" s="16"/>
      <c r="PX102" s="16"/>
      <c r="PY102" s="16"/>
      <c r="PZ102" s="16"/>
      <c r="QA102" s="16"/>
      <c r="QB102" s="16"/>
      <c r="QC102" s="16" t="n">
        <v>1.7</v>
      </c>
      <c r="QD102" s="16" t="n">
        <v>1.7</v>
      </c>
      <c r="QE102" s="16" t="n">
        <v>0</v>
      </c>
      <c r="QF102" s="16" t="n">
        <v>0</v>
      </c>
      <c r="QG102" s="16" t="n">
        <v>0</v>
      </c>
      <c r="QH102" s="16" t="n">
        <v>0</v>
      </c>
      <c r="QI102" s="16" t="n">
        <v>0</v>
      </c>
      <c r="QJ102" s="0" t="n">
        <v>0</v>
      </c>
      <c r="QK102" s="0" t="s">
        <v>350</v>
      </c>
      <c r="QL102" s="0" t="n">
        <v>75</v>
      </c>
      <c r="QM102" s="16" t="n">
        <v>87.9</v>
      </c>
      <c r="QN102" s="16" t="n">
        <v>80.4</v>
      </c>
      <c r="QO102" s="16" t="n">
        <v>45.2</v>
      </c>
      <c r="QP102" s="0" t="n">
        <v>50.83</v>
      </c>
      <c r="QQ102" s="0" t="n">
        <v>0.05</v>
      </c>
      <c r="QR102" s="0" t="n">
        <v>46.44</v>
      </c>
      <c r="QS102" s="0" t="n">
        <v>2.67</v>
      </c>
      <c r="QT102" s="0" t="n">
        <v>0</v>
      </c>
      <c r="QU102" s="0" t="n">
        <v>0</v>
      </c>
      <c r="QV102" s="0" t="n">
        <v>0</v>
      </c>
      <c r="QX102" s="0" t="n">
        <v>0</v>
      </c>
      <c r="QY102" s="0" t="n">
        <v>0</v>
      </c>
      <c r="QZ102" s="0" t="n">
        <v>0</v>
      </c>
      <c r="RA102" s="0" t="n">
        <v>0</v>
      </c>
      <c r="RB102" s="0" t="n">
        <v>25.21</v>
      </c>
      <c r="RC102" s="0" t="n">
        <v>43.57</v>
      </c>
      <c r="RD102" s="0" t="n">
        <v>6.27</v>
      </c>
      <c r="RE102" s="0" t="n">
        <v>0</v>
      </c>
      <c r="RF102" s="0" t="n">
        <v>0</v>
      </c>
      <c r="RG102" s="0" t="n">
        <v>0</v>
      </c>
      <c r="RT102" s="0" t="n">
        <v>17.8</v>
      </c>
      <c r="RU102" s="0" t="n">
        <v>1</v>
      </c>
      <c r="RV102" s="0" t="n">
        <v>35</v>
      </c>
      <c r="RW102" s="0" t="n">
        <v>9</v>
      </c>
      <c r="RX102" s="0" t="n">
        <v>2.55</v>
      </c>
      <c r="RY102" s="0" t="n">
        <v>3</v>
      </c>
      <c r="SF102" s="20"/>
      <c r="SX102" s="0" t="n">
        <v>1</v>
      </c>
      <c r="SY102" s="0" t="n">
        <v>50</v>
      </c>
      <c r="SZ102" s="0" t="n">
        <v>8</v>
      </c>
      <c r="TA102" s="0" t="n">
        <v>2.12</v>
      </c>
      <c r="TB102" s="0" t="n">
        <v>3</v>
      </c>
      <c r="UI102" s="16" t="n">
        <v>3.43</v>
      </c>
      <c r="UJ102" s="16" t="n">
        <v>1</v>
      </c>
      <c r="UK102" s="16" t="n">
        <v>1</v>
      </c>
      <c r="UL102" s="16"/>
      <c r="UM102" s="16" t="n">
        <v>26.11</v>
      </c>
      <c r="UN102" s="16" t="n">
        <v>2</v>
      </c>
      <c r="UO102" s="16"/>
      <c r="UP102" s="16" t="n">
        <v>11.19</v>
      </c>
      <c r="UQ102" s="16"/>
      <c r="UR102" s="16"/>
      <c r="US102" s="16"/>
      <c r="UT102" s="16" t="n">
        <v>6.39</v>
      </c>
      <c r="UU102" s="16" t="n">
        <v>3.31</v>
      </c>
      <c r="UV102" s="16" t="n">
        <v>0</v>
      </c>
      <c r="UW102" s="16" t="n">
        <v>0</v>
      </c>
      <c r="UX102" s="16" t="n">
        <v>0</v>
      </c>
      <c r="UY102" s="16" t="n">
        <v>0</v>
      </c>
      <c r="UZ102" s="16" t="n">
        <v>0</v>
      </c>
      <c r="VA102" s="0" t="n">
        <v>0</v>
      </c>
      <c r="VB102" s="0" t="s">
        <v>361</v>
      </c>
      <c r="VC102" s="0" t="n">
        <v>74.5</v>
      </c>
      <c r="VD102" s="16" t="n">
        <v>76.2</v>
      </c>
      <c r="VE102" s="16" t="n">
        <v>80.4</v>
      </c>
      <c r="VF102" s="16" t="n">
        <v>42.8</v>
      </c>
      <c r="VG102" s="0" t="n">
        <v>57.15</v>
      </c>
      <c r="VH102" s="0" t="n">
        <v>0.45</v>
      </c>
      <c r="VI102" s="0" t="n">
        <v>39.09</v>
      </c>
      <c r="VJ102" s="0" t="n">
        <v>3.3</v>
      </c>
      <c r="VK102" s="0" t="n">
        <v>0</v>
      </c>
      <c r="VL102" s="0" t="n">
        <v>0</v>
      </c>
      <c r="VM102" s="0" t="n">
        <v>0</v>
      </c>
      <c r="VO102" s="0" t="n">
        <v>0</v>
      </c>
      <c r="VP102" s="0" t="n">
        <v>0</v>
      </c>
      <c r="VQ102" s="0" t="n">
        <v>0</v>
      </c>
      <c r="VR102" s="0" t="n">
        <v>0</v>
      </c>
      <c r="VS102" s="0" t="n">
        <v>18.26</v>
      </c>
      <c r="VT102" s="0" t="n">
        <v>34.4</v>
      </c>
      <c r="VU102" s="0" t="n">
        <v>6.27</v>
      </c>
      <c r="VV102" s="0" t="n">
        <v>0</v>
      </c>
      <c r="VW102" s="0" t="n">
        <v>0</v>
      </c>
      <c r="VX102" s="0" t="n">
        <v>0</v>
      </c>
      <c r="WK102" s="0" t="n">
        <v>18.2</v>
      </c>
      <c r="WL102" s="0" t="n">
        <v>1</v>
      </c>
      <c r="WM102" s="0" t="n">
        <v>35</v>
      </c>
      <c r="WN102" s="0" t="n">
        <v>9</v>
      </c>
      <c r="WO102" s="0" t="n">
        <v>2.55</v>
      </c>
      <c r="WP102" s="0" t="n">
        <v>3</v>
      </c>
      <c r="WW102" s="20"/>
      <c r="XO102" s="0" t="n">
        <v>1</v>
      </c>
      <c r="XP102" s="0" t="n">
        <v>50</v>
      </c>
      <c r="XQ102" s="0" t="n">
        <v>8</v>
      </c>
      <c r="XR102" s="0" t="n">
        <v>2.54</v>
      </c>
      <c r="XS102" s="0" t="n">
        <v>3</v>
      </c>
      <c r="YZ102" s="16" t="n">
        <v>7.59</v>
      </c>
      <c r="ZA102" s="16" t="n">
        <v>1</v>
      </c>
      <c r="ZB102" s="16" t="n">
        <v>1</v>
      </c>
      <c r="ZC102" s="16"/>
      <c r="ZD102" s="16" t="n">
        <v>22.38</v>
      </c>
      <c r="ZE102" s="16" t="n">
        <v>2</v>
      </c>
      <c r="ZF102" s="16"/>
      <c r="ZG102" s="16" t="n">
        <v>14.92</v>
      </c>
      <c r="ZH102" s="16"/>
      <c r="ZI102" s="16"/>
      <c r="ZJ102" s="16"/>
      <c r="ZK102" s="16" t="n">
        <v>5.05</v>
      </c>
      <c r="ZL102" s="16" t="n">
        <v>1.54</v>
      </c>
      <c r="ZM102" s="16" t="n">
        <v>0</v>
      </c>
      <c r="ZN102" s="16" t="n">
        <v>0</v>
      </c>
      <c r="ZO102" s="16" t="n">
        <v>0</v>
      </c>
      <c r="ZP102" s="16" t="n">
        <v>0</v>
      </c>
      <c r="ZQ102" s="16" t="n">
        <v>0</v>
      </c>
      <c r="ZR102" s="0" t="n">
        <v>0</v>
      </c>
      <c r="ZS102" s="0" t="s">
        <v>365</v>
      </c>
      <c r="ZT102" s="0" t="n">
        <v>75</v>
      </c>
      <c r="ZU102" s="16" t="n">
        <v>76.8</v>
      </c>
      <c r="ZV102" s="16" t="n">
        <v>80.4</v>
      </c>
      <c r="ZW102" s="16" t="n">
        <v>30.8</v>
      </c>
      <c r="ZX102" s="0" t="n">
        <v>74.74</v>
      </c>
      <c r="ZY102" s="17" t="n">
        <v>0</v>
      </c>
      <c r="ZZ102" s="0" t="n">
        <v>4.24</v>
      </c>
      <c r="AAA102" s="0" t="n">
        <v>16.45</v>
      </c>
      <c r="AAB102" s="0" t="n">
        <v>4.57</v>
      </c>
      <c r="AAC102" s="0" t="n">
        <v>0</v>
      </c>
      <c r="AAD102" s="0" t="n">
        <v>0</v>
      </c>
      <c r="AAF102" s="0" t="n">
        <v>0</v>
      </c>
      <c r="AAG102" s="0" t="n">
        <v>0</v>
      </c>
      <c r="AAH102" s="0" t="n">
        <v>0</v>
      </c>
      <c r="AAI102" s="0" t="n">
        <v>0</v>
      </c>
      <c r="AAJ102" s="0" t="n">
        <v>35.23</v>
      </c>
      <c r="AAK102" s="0" t="n">
        <v>6.53</v>
      </c>
      <c r="AAL102" s="0" t="n">
        <v>4.97</v>
      </c>
      <c r="AAM102" s="0" t="n">
        <v>0</v>
      </c>
      <c r="AAN102" s="0" t="n">
        <v>0</v>
      </c>
      <c r="AAO102" s="0" t="n">
        <v>0</v>
      </c>
      <c r="ABB102" s="0" t="n">
        <v>38.4</v>
      </c>
      <c r="ABC102" s="0" t="n">
        <v>1</v>
      </c>
      <c r="ABD102" s="0" t="n">
        <v>47</v>
      </c>
      <c r="ABE102" s="0" t="n">
        <v>7</v>
      </c>
      <c r="ABF102" s="0" t="n">
        <v>5.33</v>
      </c>
      <c r="ABG102" s="0" t="n">
        <v>3</v>
      </c>
      <c r="ABN102" s="20"/>
      <c r="ACF102" s="0" t="n">
        <v>0</v>
      </c>
      <c r="ADQ102" s="16" t="n">
        <v>2.02</v>
      </c>
      <c r="ADR102" s="16" t="n">
        <v>1</v>
      </c>
      <c r="ADS102" s="16" t="n">
        <v>1</v>
      </c>
      <c r="ADT102" s="16"/>
      <c r="ADU102" s="16" t="n">
        <v>9.95</v>
      </c>
      <c r="ADV102" s="16" t="n">
        <v>2</v>
      </c>
      <c r="ADW102" s="16"/>
      <c r="ADX102" s="16" t="n">
        <v>9.95</v>
      </c>
      <c r="ADY102" s="16"/>
      <c r="ADZ102" s="16"/>
      <c r="AEA102" s="16"/>
      <c r="AEB102" s="16" t="n">
        <v>0</v>
      </c>
      <c r="AEC102" s="16" t="n">
        <v>0</v>
      </c>
      <c r="AED102" s="16" t="n">
        <v>0</v>
      </c>
      <c r="AEE102" s="16" t="n">
        <v>0</v>
      </c>
      <c r="AEF102" s="16" t="n">
        <v>0</v>
      </c>
      <c r="AEG102" s="16" t="n">
        <v>0</v>
      </c>
      <c r="AEH102" s="16" t="n">
        <v>0</v>
      </c>
      <c r="AEI102" s="0" t="n">
        <v>0</v>
      </c>
      <c r="AEJ102" s="0" t="s">
        <v>351</v>
      </c>
      <c r="AEK102" s="0" t="n">
        <v>30.5</v>
      </c>
      <c r="AEL102" s="16" t="n">
        <v>68.4</v>
      </c>
      <c r="AEM102" s="16" t="n">
        <v>80.4</v>
      </c>
      <c r="AEN102" s="16" t="n">
        <v>19.8</v>
      </c>
      <c r="AEO102" s="0" t="n">
        <v>72.42</v>
      </c>
      <c r="AEP102" s="17" t="n">
        <v>0</v>
      </c>
      <c r="AEQ102" s="0" t="n">
        <v>0.94</v>
      </c>
      <c r="AER102" s="0" t="n">
        <v>0.94</v>
      </c>
      <c r="AES102" s="0" t="n">
        <v>25.7</v>
      </c>
      <c r="AET102" s="0" t="n">
        <v>0</v>
      </c>
      <c r="AEU102" s="0" t="n">
        <v>0</v>
      </c>
      <c r="AEW102" s="0" t="n">
        <v>0</v>
      </c>
      <c r="AEX102" s="0" t="n">
        <v>0</v>
      </c>
      <c r="AEY102" s="0" t="n">
        <v>0</v>
      </c>
      <c r="AEZ102" s="0" t="n">
        <v>0</v>
      </c>
      <c r="AFA102" s="0" t="n">
        <v>28.26</v>
      </c>
      <c r="AFB102" s="0" t="n">
        <v>10.55</v>
      </c>
      <c r="AFC102" s="0" t="n">
        <v>14.21</v>
      </c>
      <c r="AFD102" s="0" t="n">
        <v>0</v>
      </c>
      <c r="AFE102" s="0" t="n">
        <v>0</v>
      </c>
      <c r="AFF102" s="0" t="n">
        <v>0</v>
      </c>
      <c r="AFS102" s="0" t="n">
        <v>3.3</v>
      </c>
      <c r="AFT102" s="0" t="n">
        <v>1</v>
      </c>
      <c r="AFU102" s="0" t="n">
        <v>68</v>
      </c>
      <c r="AFV102" s="0" t="n">
        <v>2</v>
      </c>
      <c r="AFW102" s="0" t="n">
        <v>1.52</v>
      </c>
      <c r="AFX102" s="0" t="n">
        <v>1</v>
      </c>
      <c r="AGE102" s="20"/>
      <c r="AGW102" s="0" t="n">
        <v>0</v>
      </c>
      <c r="AIH102" s="16" t="n">
        <v>0</v>
      </c>
      <c r="AII102" s="16" t="n">
        <v>0</v>
      </c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 t="n">
        <v>0.81</v>
      </c>
      <c r="AIT102" s="16" t="n">
        <v>0.8</v>
      </c>
      <c r="AIU102" s="16" t="n">
        <v>0</v>
      </c>
      <c r="AIV102" s="16" t="n">
        <v>0</v>
      </c>
      <c r="AIW102" s="16" t="n">
        <v>2.99</v>
      </c>
      <c r="AIX102" s="16" t="n">
        <v>5.71</v>
      </c>
      <c r="AIY102" s="16" t="n">
        <v>0</v>
      </c>
      <c r="AIZ102" s="0" t="n">
        <v>0</v>
      </c>
      <c r="AJA102" s="0" t="s">
        <v>356</v>
      </c>
      <c r="AJB102" s="0" t="n">
        <v>39.5</v>
      </c>
      <c r="AJC102" s="16" t="n">
        <v>85.1</v>
      </c>
      <c r="AJD102" s="16" t="n">
        <v>80.4</v>
      </c>
      <c r="AJE102" s="16" t="n">
        <v>13.6</v>
      </c>
      <c r="AJF102" s="0" t="n">
        <v>87.38</v>
      </c>
      <c r="AJG102" s="17" t="n">
        <v>0</v>
      </c>
      <c r="AJH102" s="0" t="n">
        <v>8.05</v>
      </c>
      <c r="AJI102" s="0" t="n">
        <v>0</v>
      </c>
      <c r="AJJ102" s="0" t="n">
        <v>4.57</v>
      </c>
      <c r="AJK102" s="0" t="n">
        <v>0</v>
      </c>
      <c r="AJL102" s="0" t="n">
        <v>0</v>
      </c>
      <c r="AJN102" s="0" t="n">
        <v>0</v>
      </c>
      <c r="AJO102" s="0" t="n">
        <v>0</v>
      </c>
      <c r="AJP102" s="0" t="n">
        <v>0</v>
      </c>
      <c r="AJQ102" s="0" t="n">
        <v>0</v>
      </c>
      <c r="AJR102" s="0" t="n">
        <v>45</v>
      </c>
      <c r="AJS102" s="0" t="n">
        <v>10.1</v>
      </c>
      <c r="AJT102" s="0" t="n">
        <v>11.8</v>
      </c>
      <c r="AJU102" s="0" t="n">
        <v>0</v>
      </c>
      <c r="AJV102" s="0" t="n">
        <v>0</v>
      </c>
      <c r="AJW102" s="0" t="n">
        <v>0</v>
      </c>
      <c r="AKJ102" s="0" t="n">
        <v>17.8</v>
      </c>
      <c r="AKK102" s="0" t="n">
        <v>1</v>
      </c>
      <c r="AKL102" s="0" t="n">
        <v>30</v>
      </c>
      <c r="AKM102" s="0" t="n">
        <v>7</v>
      </c>
      <c r="AKN102" s="0" t="n">
        <v>5.33</v>
      </c>
      <c r="AKO102" s="0" t="n">
        <v>3</v>
      </c>
      <c r="AKV102" s="20"/>
      <c r="ALN102" s="0" t="n">
        <v>1</v>
      </c>
      <c r="ALO102" s="0" t="n">
        <v>50</v>
      </c>
      <c r="ALP102" s="0" t="n">
        <v>1</v>
      </c>
      <c r="ALQ102" s="0" t="n">
        <v>0.03</v>
      </c>
      <c r="ALR102" s="0" t="n">
        <v>1</v>
      </c>
    </row>
    <row r="103" customFormat="false" ht="13.8" hidden="false" customHeight="false" outlineLevel="0" collapsed="false">
      <c r="A103" s="1" t="s">
        <v>491</v>
      </c>
      <c r="B103" s="12" t="n">
        <v>42901</v>
      </c>
      <c r="C103" s="0" t="n">
        <v>1</v>
      </c>
      <c r="D103" s="13" t="n">
        <v>40301</v>
      </c>
      <c r="E103" s="12" t="n">
        <v>29242</v>
      </c>
      <c r="F103" s="14" t="n">
        <f aca="false">(B103-E103)/365.25</f>
        <v>37.3963039014374</v>
      </c>
      <c r="G103" s="14" t="n">
        <f aca="false">(B103-D103)/365.25</f>
        <v>7.11841204654346</v>
      </c>
      <c r="H103" s="15" t="s">
        <v>217</v>
      </c>
      <c r="I103" s="15" t="s">
        <v>272</v>
      </c>
      <c r="J103" s="15" t="s">
        <v>181</v>
      </c>
      <c r="K103" s="21" t="n">
        <v>8</v>
      </c>
      <c r="L103" s="19" t="n">
        <v>58</v>
      </c>
      <c r="M103" s="0" t="n">
        <v>1.6</v>
      </c>
      <c r="N103" s="16" t="n">
        <f aca="false">L103/(M103*M103)</f>
        <v>22.65625</v>
      </c>
      <c r="O103" s="19" t="n">
        <v>0</v>
      </c>
      <c r="P103" s="19" t="n">
        <v>0</v>
      </c>
      <c r="Q103" s="19" t="n">
        <v>0</v>
      </c>
      <c r="R103" s="19" t="n">
        <v>0</v>
      </c>
      <c r="S103" s="19" t="n">
        <v>0</v>
      </c>
      <c r="T103" s="19" t="n">
        <v>0</v>
      </c>
      <c r="U103" s="19" t="n">
        <v>0</v>
      </c>
      <c r="V103" s="19" t="n">
        <v>0</v>
      </c>
      <c r="W103" s="19" t="n">
        <v>1</v>
      </c>
      <c r="X103" s="19" t="n">
        <v>0</v>
      </c>
      <c r="Y103" s="19" t="n">
        <v>1</v>
      </c>
      <c r="Z103" s="19" t="n">
        <v>2</v>
      </c>
      <c r="AA103" s="19" t="n">
        <v>60</v>
      </c>
      <c r="AB103" s="19" t="s">
        <v>308</v>
      </c>
      <c r="AC103" s="19" t="n">
        <v>0</v>
      </c>
      <c r="AD103" s="19" t="n">
        <v>0</v>
      </c>
      <c r="AE103" s="19" t="n">
        <v>1</v>
      </c>
      <c r="AF103" s="19"/>
      <c r="AG103" s="19" t="n">
        <v>1</v>
      </c>
      <c r="AH103" s="19" t="n">
        <v>7</v>
      </c>
      <c r="AI103" s="19"/>
      <c r="AJ103" s="19"/>
      <c r="AK103" s="19" t="n">
        <v>1</v>
      </c>
      <c r="AL103" s="19" t="n">
        <v>5</v>
      </c>
      <c r="AM103" s="19" t="n">
        <v>0</v>
      </c>
      <c r="AN103" s="19" t="n">
        <v>0</v>
      </c>
      <c r="AO103" s="19" t="n">
        <v>0</v>
      </c>
      <c r="AP103" s="19" t="n">
        <v>0</v>
      </c>
      <c r="AQ103" s="19" t="n">
        <v>0</v>
      </c>
      <c r="AR103" s="19" t="n">
        <v>0</v>
      </c>
      <c r="AS103" s="19" t="n">
        <v>0</v>
      </c>
      <c r="AT103" s="19" t="n">
        <v>0</v>
      </c>
      <c r="AU103" s="19" t="n">
        <v>0</v>
      </c>
      <c r="AV103" s="19" t="n">
        <v>0</v>
      </c>
      <c r="AW103" s="19" t="n">
        <v>0</v>
      </c>
      <c r="AX103" s="19" t="n">
        <v>0</v>
      </c>
      <c r="AY103" s="19" t="n">
        <v>0</v>
      </c>
      <c r="AZ103" s="19" t="n">
        <v>0</v>
      </c>
      <c r="BA103" s="19" t="n">
        <v>0</v>
      </c>
      <c r="BB103" s="19" t="n">
        <v>0</v>
      </c>
      <c r="BC103" s="19" t="n">
        <v>0</v>
      </c>
      <c r="BD103" s="19" t="n">
        <v>0</v>
      </c>
      <c r="BE103" s="19" t="n">
        <v>0</v>
      </c>
      <c r="BF103" s="19" t="n">
        <v>0</v>
      </c>
      <c r="BG103" s="19" t="n">
        <v>0</v>
      </c>
      <c r="BH103" s="19" t="n">
        <v>0</v>
      </c>
      <c r="BI103" s="19" t="n">
        <v>0</v>
      </c>
      <c r="BJ103" s="19"/>
      <c r="BK103" s="19"/>
      <c r="BL103" s="19" t="n">
        <v>1</v>
      </c>
      <c r="BM103" s="19" t="n">
        <v>9</v>
      </c>
      <c r="BN103" s="19" t="n">
        <v>0</v>
      </c>
      <c r="BO103" s="19" t="n">
        <v>0</v>
      </c>
      <c r="BP103" s="19" t="n">
        <v>0</v>
      </c>
      <c r="BQ103" s="19" t="n">
        <v>0</v>
      </c>
      <c r="BR103" s="19" t="n">
        <v>2</v>
      </c>
      <c r="BS103" s="19" t="n">
        <v>2</v>
      </c>
      <c r="BT103" s="19" t="n">
        <v>5</v>
      </c>
      <c r="BU103" s="19" t="n">
        <v>5</v>
      </c>
      <c r="BV103" s="19" t="n">
        <v>3</v>
      </c>
      <c r="BW103" s="19" t="n">
        <v>5</v>
      </c>
      <c r="BX103" s="19" t="n">
        <v>3</v>
      </c>
      <c r="BY103" s="19" t="n">
        <v>5</v>
      </c>
      <c r="BZ103" s="19" t="n">
        <v>2</v>
      </c>
      <c r="CA103" s="19" t="n">
        <v>3</v>
      </c>
      <c r="CB103" s="19" t="n">
        <v>3</v>
      </c>
      <c r="CC103" s="19" t="n">
        <v>5</v>
      </c>
      <c r="CD103" s="19" t="n">
        <v>2</v>
      </c>
      <c r="CE103" s="19" t="n">
        <v>3</v>
      </c>
      <c r="CF103" s="19" t="n">
        <v>4</v>
      </c>
      <c r="CG103" s="19" t="n">
        <v>5</v>
      </c>
      <c r="CH103" s="19"/>
      <c r="CI103" s="19"/>
      <c r="CJ103" s="19"/>
      <c r="CK103" s="19" t="n">
        <v>7</v>
      </c>
      <c r="CL103" s="0" t="s">
        <v>274</v>
      </c>
      <c r="CM103" s="0" t="n">
        <v>19.5</v>
      </c>
      <c r="CN103" s="16" t="n">
        <v>74.3</v>
      </c>
      <c r="CO103" s="16" t="n">
        <v>80.4</v>
      </c>
      <c r="CP103" s="16" t="n">
        <v>7.8</v>
      </c>
      <c r="CQ103" s="0" t="n">
        <v>89.52</v>
      </c>
      <c r="CR103" s="0" t="n">
        <v>8.69</v>
      </c>
      <c r="CS103" s="0" t="n">
        <v>1.79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18.73</v>
      </c>
      <c r="DD103" s="0" t="n">
        <v>9.35</v>
      </c>
      <c r="DE103" s="0" t="n">
        <v>0</v>
      </c>
      <c r="DF103" s="0" t="n">
        <v>0</v>
      </c>
      <c r="DG103" s="0" t="n">
        <v>0</v>
      </c>
      <c r="DU103" s="0" t="n">
        <v>3.92</v>
      </c>
      <c r="DV103" s="0" t="n">
        <v>1</v>
      </c>
      <c r="DW103" s="0" t="n">
        <v>52</v>
      </c>
      <c r="DX103" s="0" t="n">
        <v>4</v>
      </c>
      <c r="DY103" s="0" t="n">
        <f aca="false">1.01*2+0.56+0.9</f>
        <v>3.48</v>
      </c>
      <c r="DZ103" s="0" t="n">
        <v>2</v>
      </c>
      <c r="EG103" s="18"/>
      <c r="EY103" s="0" t="n">
        <v>1</v>
      </c>
      <c r="EZ103" s="0" t="n">
        <v>50</v>
      </c>
      <c r="FA103" s="0" t="n">
        <v>1</v>
      </c>
      <c r="FB103" s="0" t="n">
        <v>1.9</v>
      </c>
      <c r="FC103" s="0" t="n">
        <v>3</v>
      </c>
      <c r="GJ103" s="16" t="n">
        <v>2.24</v>
      </c>
      <c r="GK103" s="16" t="n">
        <v>1</v>
      </c>
      <c r="GL103" s="16" t="n">
        <v>2</v>
      </c>
      <c r="GM103" s="16"/>
      <c r="GN103" s="16" t="n">
        <f aca="false">1.87*2</f>
        <v>3.74</v>
      </c>
      <c r="GO103" s="16"/>
      <c r="GP103" s="16"/>
      <c r="GQ103" s="16"/>
      <c r="GR103" s="16"/>
      <c r="GS103" s="16"/>
      <c r="GT103" s="16"/>
      <c r="GU103" s="16" t="n">
        <v>5.49</v>
      </c>
      <c r="GV103" s="16" t="n">
        <f aca="false">1.01*2+0.56+1.87*2+0.9</f>
        <v>7.22</v>
      </c>
      <c r="GW103" s="16"/>
      <c r="GX103" s="16"/>
      <c r="GY103" s="16" t="n">
        <v>0</v>
      </c>
      <c r="GZ103" s="16" t="n">
        <v>0</v>
      </c>
      <c r="HA103" s="16" t="n">
        <v>0</v>
      </c>
      <c r="HB103" s="0" t="n">
        <v>0</v>
      </c>
      <c r="HC103" s="0" t="s">
        <v>275</v>
      </c>
      <c r="HD103" s="0" t="n">
        <v>19.5</v>
      </c>
      <c r="HE103" s="16" t="n">
        <v>74.6</v>
      </c>
      <c r="HF103" s="16" t="n">
        <v>80.4</v>
      </c>
      <c r="HG103" s="16" t="n">
        <v>7.8</v>
      </c>
      <c r="HH103" s="0" t="n">
        <v>89.29</v>
      </c>
      <c r="HI103" s="0" t="n">
        <v>8.92</v>
      </c>
      <c r="HJ103" s="0" t="n">
        <v>1.79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18.95</v>
      </c>
      <c r="HU103" s="0" t="n">
        <v>9.35</v>
      </c>
      <c r="HV103" s="0" t="n">
        <v>0</v>
      </c>
      <c r="HW103" s="0" t="n">
        <v>0</v>
      </c>
      <c r="HX103" s="0" t="n">
        <v>0</v>
      </c>
      <c r="IL103" s="0" t="n">
        <v>3.9</v>
      </c>
      <c r="IM103" s="0" t="n">
        <v>1</v>
      </c>
      <c r="IN103" s="0" t="n">
        <v>52</v>
      </c>
      <c r="IO103" s="0" t="n">
        <v>4</v>
      </c>
      <c r="IP103" s="0" t="n">
        <f aca="false">1.01*2+0.56+0.9</f>
        <v>3.48</v>
      </c>
      <c r="IQ103" s="0" t="n">
        <v>3</v>
      </c>
      <c r="IX103" s="18"/>
      <c r="JP103" s="0" t="n">
        <v>1</v>
      </c>
      <c r="JQ103" s="0" t="n">
        <v>50</v>
      </c>
      <c r="JR103" s="0" t="n">
        <v>1</v>
      </c>
      <c r="JS103" s="0" t="n">
        <v>1.9</v>
      </c>
      <c r="JT103" s="0" t="n">
        <v>3</v>
      </c>
      <c r="LA103" s="16" t="n">
        <v>2.24</v>
      </c>
      <c r="LB103" s="16" t="n">
        <v>1</v>
      </c>
      <c r="LC103" s="16" t="n">
        <v>2</v>
      </c>
      <c r="LD103" s="16"/>
      <c r="LE103" s="16" t="n">
        <f aca="false">1.87*2</f>
        <v>3.74</v>
      </c>
      <c r="LF103" s="16"/>
      <c r="LG103" s="16"/>
      <c r="LH103" s="16"/>
      <c r="LI103" s="16"/>
      <c r="LJ103" s="16"/>
      <c r="LK103" s="16"/>
      <c r="LL103" s="16" t="n">
        <v>6.49</v>
      </c>
      <c r="LM103" s="16" t="n">
        <f aca="false">1.01*2+0.56+1.87*2+0.9</f>
        <v>7.22</v>
      </c>
      <c r="LN103" s="16"/>
      <c r="LO103" s="16"/>
      <c r="LP103" s="16" t="n">
        <v>0</v>
      </c>
      <c r="LQ103" s="16" t="n">
        <v>0</v>
      </c>
      <c r="LR103" s="16" t="n">
        <v>0</v>
      </c>
      <c r="LS103" s="0" t="n">
        <v>0</v>
      </c>
      <c r="LT103" s="0" t="s">
        <v>276</v>
      </c>
      <c r="LU103" s="0" t="n">
        <v>22.5</v>
      </c>
      <c r="LV103" s="16" t="n">
        <v>73.4</v>
      </c>
      <c r="LW103" s="16" t="n">
        <v>80.4</v>
      </c>
      <c r="LX103" s="16" t="n">
        <v>10.4</v>
      </c>
      <c r="LY103" s="0" t="n">
        <v>88.12</v>
      </c>
      <c r="LZ103" s="0" t="n">
        <v>6.29</v>
      </c>
      <c r="MA103" s="0" t="n">
        <v>4.25</v>
      </c>
      <c r="MB103" s="0" t="n">
        <v>0</v>
      </c>
      <c r="MC103" s="0" t="n">
        <v>1.34</v>
      </c>
      <c r="MD103" s="0" t="n">
        <v>0</v>
      </c>
      <c r="ME103" s="0" t="n">
        <v>0</v>
      </c>
      <c r="MF103" s="0" t="n">
        <v>0</v>
      </c>
      <c r="MG103" s="0" t="n">
        <v>0</v>
      </c>
      <c r="MH103" s="0" t="n">
        <v>0</v>
      </c>
      <c r="MI103" s="0" t="n">
        <v>0</v>
      </c>
      <c r="MJ103" s="0" t="n">
        <v>0</v>
      </c>
      <c r="MK103" s="0" t="n">
        <v>2.46</v>
      </c>
      <c r="ML103" s="0" t="n">
        <v>13.2</v>
      </c>
      <c r="MM103" s="0" t="n">
        <v>0</v>
      </c>
      <c r="MN103" s="0" t="n">
        <v>0</v>
      </c>
      <c r="MO103" s="0" t="n">
        <v>0</v>
      </c>
      <c r="NC103" s="0" t="n">
        <v>0</v>
      </c>
      <c r="NO103" s="18"/>
      <c r="PR103" s="16" t="n">
        <v>2.24</v>
      </c>
      <c r="PS103" s="16" t="n">
        <v>1</v>
      </c>
      <c r="PT103" s="16" t="n">
        <v>2</v>
      </c>
      <c r="PU103" s="16" t="n">
        <v>3.73</v>
      </c>
      <c r="PV103" s="16"/>
      <c r="PW103" s="16"/>
      <c r="PX103" s="16"/>
      <c r="PY103" s="16"/>
      <c r="PZ103" s="16"/>
      <c r="QA103" s="16"/>
      <c r="QB103" s="16"/>
      <c r="QC103" s="16" t="n">
        <v>9.68</v>
      </c>
      <c r="QD103" s="16" t="n">
        <f aca="false">2.01+1.34+2.69+3.73+0.81</f>
        <v>10.58</v>
      </c>
      <c r="QE103" s="16"/>
      <c r="QF103" s="16"/>
      <c r="QG103" s="16" t="n">
        <v>0</v>
      </c>
      <c r="QH103" s="16" t="n">
        <v>0</v>
      </c>
      <c r="QI103" s="16" t="n">
        <v>0.16</v>
      </c>
      <c r="QJ103" s="0" t="n">
        <v>0</v>
      </c>
      <c r="QK103" s="0" t="s">
        <v>277</v>
      </c>
      <c r="QL103" s="0" t="n">
        <v>29.5</v>
      </c>
      <c r="QM103" s="16" t="n">
        <v>53.8</v>
      </c>
      <c r="QN103" s="16" t="n">
        <v>80.4</v>
      </c>
      <c r="QO103" s="16" t="n">
        <v>12.1</v>
      </c>
      <c r="QP103" s="0" t="n">
        <v>86.6</v>
      </c>
      <c r="QQ103" s="0" t="n">
        <v>8.48</v>
      </c>
      <c r="QR103" s="0" t="n">
        <v>4.93</v>
      </c>
      <c r="QS103" s="0" t="n">
        <v>0</v>
      </c>
      <c r="QT103" s="0" t="n">
        <v>0</v>
      </c>
      <c r="QU103" s="0" t="n">
        <v>0</v>
      </c>
      <c r="QV103" s="0" t="n">
        <v>0</v>
      </c>
      <c r="QW103" s="0" t="n">
        <v>0</v>
      </c>
      <c r="QX103" s="0" t="n">
        <v>0</v>
      </c>
      <c r="QY103" s="0" t="n">
        <v>0</v>
      </c>
      <c r="QZ103" s="0" t="n">
        <v>0</v>
      </c>
      <c r="RA103" s="0" t="n">
        <v>0</v>
      </c>
      <c r="RB103" s="0" t="n">
        <v>2.02</v>
      </c>
      <c r="RC103" s="0" t="n">
        <v>19.56</v>
      </c>
      <c r="RD103" s="0" t="n">
        <v>0.25</v>
      </c>
      <c r="RE103" s="0" t="n">
        <v>0</v>
      </c>
      <c r="RF103" s="0" t="n">
        <v>0</v>
      </c>
      <c r="RG103" s="0" t="n">
        <v>0</v>
      </c>
      <c r="RH103" s="0" t="n">
        <v>0</v>
      </c>
      <c r="RN103" s="0" t="n">
        <v>0</v>
      </c>
      <c r="RT103" s="0" t="n">
        <v>0</v>
      </c>
      <c r="RU103" s="0" t="n">
        <v>0</v>
      </c>
      <c r="SF103" s="18"/>
      <c r="SX103" s="0" t="n">
        <v>0</v>
      </c>
      <c r="UI103" s="16" t="n">
        <v>6.72</v>
      </c>
      <c r="UJ103" s="16" t="n">
        <v>1</v>
      </c>
      <c r="UK103" s="16" t="n">
        <v>2</v>
      </c>
      <c r="UL103" s="16"/>
      <c r="UM103" s="16" t="n">
        <f aca="false">3.73*3</f>
        <v>11.19</v>
      </c>
      <c r="UN103" s="16"/>
      <c r="UO103" s="16"/>
      <c r="UP103" s="16"/>
      <c r="UQ103" s="16"/>
      <c r="UR103" s="16"/>
      <c r="US103" s="16"/>
      <c r="UT103" s="16" t="n">
        <v>10.6</v>
      </c>
      <c r="UU103" s="16" t="n">
        <v>12.44</v>
      </c>
      <c r="UV103" s="16"/>
      <c r="UW103" s="16"/>
      <c r="UX103" s="16" t="n">
        <v>0</v>
      </c>
      <c r="UY103" s="16" t="n">
        <v>0</v>
      </c>
      <c r="UZ103" s="16" t="n">
        <v>0</v>
      </c>
      <c r="VA103" s="0" t="n">
        <v>0</v>
      </c>
      <c r="VB103" s="0" t="s">
        <v>278</v>
      </c>
      <c r="VC103" s="0" t="n">
        <v>51.5</v>
      </c>
      <c r="VD103" s="16" t="n">
        <v>63.4</v>
      </c>
      <c r="VE103" s="16" t="n">
        <v>80.4</v>
      </c>
      <c r="VF103" s="16" t="n">
        <v>18.1</v>
      </c>
      <c r="VG103" s="0" t="n">
        <v>83.5</v>
      </c>
      <c r="VH103" s="0" t="n">
        <v>5.36</v>
      </c>
      <c r="VI103" s="0" t="n">
        <v>8.46</v>
      </c>
      <c r="VJ103" s="0" t="n">
        <v>0</v>
      </c>
      <c r="VK103" s="0" t="n">
        <v>2.69</v>
      </c>
      <c r="VL103" s="0" t="n">
        <v>0</v>
      </c>
      <c r="VM103" s="0" t="n">
        <v>0</v>
      </c>
      <c r="VN103" s="0" t="n">
        <v>0</v>
      </c>
      <c r="VO103" s="0" t="n">
        <v>0</v>
      </c>
      <c r="VP103" s="0" t="n">
        <v>0</v>
      </c>
      <c r="VQ103" s="0" t="n">
        <v>0</v>
      </c>
      <c r="VR103" s="0" t="n">
        <v>0</v>
      </c>
      <c r="VS103" s="0" t="n">
        <v>0.99</v>
      </c>
      <c r="VT103" s="0" t="n">
        <v>13.55</v>
      </c>
      <c r="VU103" s="0" t="n">
        <v>16.2</v>
      </c>
      <c r="VV103" s="0" t="n">
        <v>0</v>
      </c>
      <c r="VW103" s="0" t="n">
        <v>0</v>
      </c>
      <c r="VX103" s="0" t="n">
        <v>0</v>
      </c>
      <c r="WK103" s="0" t="n">
        <v>18.4</v>
      </c>
      <c r="WL103" s="0" t="n">
        <v>1</v>
      </c>
      <c r="WM103" s="0" t="n">
        <v>47</v>
      </c>
      <c r="WN103" s="0" t="n">
        <v>1</v>
      </c>
      <c r="WO103" s="0" t="n">
        <v>0.9</v>
      </c>
      <c r="WP103" s="0" t="n">
        <v>3</v>
      </c>
      <c r="WQ103" s="0" t="n">
        <v>35</v>
      </c>
      <c r="WR103" s="0" t="n">
        <v>3</v>
      </c>
      <c r="WS103" s="0" t="n">
        <f aca="false">0.94</f>
        <v>0.94</v>
      </c>
      <c r="WT103" s="0" t="n">
        <v>3</v>
      </c>
      <c r="WU103" s="0" t="n">
        <v>68</v>
      </c>
      <c r="WV103" s="0" t="n">
        <v>1</v>
      </c>
      <c r="WW103" s="18" t="n">
        <v>6.22</v>
      </c>
      <c r="WX103" s="0" t="n">
        <v>1</v>
      </c>
      <c r="XO103" s="0" t="n">
        <v>0</v>
      </c>
      <c r="YZ103" s="16" t="n">
        <v>3.75</v>
      </c>
      <c r="ZA103" s="16" t="n">
        <v>1</v>
      </c>
      <c r="ZB103" s="16" t="n">
        <v>1</v>
      </c>
      <c r="ZC103" s="16"/>
      <c r="ZD103" s="16" t="n">
        <f aca="false">2.49+0.05+0.03</f>
        <v>2.57</v>
      </c>
      <c r="ZE103" s="16" t="n">
        <v>2</v>
      </c>
      <c r="ZF103" s="16"/>
      <c r="ZG103" s="16" t="n">
        <v>2.49</v>
      </c>
      <c r="ZH103" s="16"/>
      <c r="ZI103" s="16"/>
      <c r="ZJ103" s="16"/>
      <c r="ZK103" s="16" t="n">
        <v>11.1</v>
      </c>
      <c r="ZL103" s="16" t="n">
        <v>18.47</v>
      </c>
      <c r="ZM103" s="16"/>
      <c r="ZN103" s="16"/>
      <c r="ZO103" s="16" t="n">
        <v>0</v>
      </c>
      <c r="ZP103" s="16" t="n">
        <v>0</v>
      </c>
      <c r="ZQ103" s="16" t="n">
        <v>0</v>
      </c>
      <c r="ZR103" s="0" t="n">
        <v>0</v>
      </c>
      <c r="ZS103" s="0" t="s">
        <v>279</v>
      </c>
      <c r="ZT103" s="0" t="n">
        <v>33.5</v>
      </c>
      <c r="ZU103" s="16" t="n">
        <v>54</v>
      </c>
      <c r="ZV103" s="16" t="n">
        <v>80.4</v>
      </c>
      <c r="ZW103" s="16" t="n">
        <v>9.6</v>
      </c>
      <c r="ZX103" s="0" t="n">
        <v>86.69</v>
      </c>
      <c r="ZY103" s="0" t="n">
        <v>8.34</v>
      </c>
      <c r="ZZ103" s="0" t="n">
        <v>4.97</v>
      </c>
      <c r="AAA103" s="0" t="n">
        <v>0</v>
      </c>
      <c r="AAB103" s="0" t="n">
        <v>0</v>
      </c>
      <c r="AAC103" s="0" t="n">
        <v>0</v>
      </c>
      <c r="AAD103" s="0" t="n">
        <v>0</v>
      </c>
      <c r="AAE103" s="0" t="n">
        <v>0</v>
      </c>
      <c r="AAF103" s="0" t="n">
        <v>0</v>
      </c>
      <c r="AAG103" s="0" t="n">
        <v>0</v>
      </c>
      <c r="AAH103" s="0" t="n">
        <v>0</v>
      </c>
      <c r="AAI103" s="0" t="n">
        <v>0</v>
      </c>
      <c r="AAJ103" s="0" t="n">
        <v>12.83</v>
      </c>
      <c r="AAK103" s="0" t="n">
        <v>6.09</v>
      </c>
      <c r="AAL103" s="0" t="n">
        <v>0</v>
      </c>
      <c r="AAM103" s="0" t="n">
        <v>0</v>
      </c>
      <c r="AAN103" s="0" t="n">
        <v>0</v>
      </c>
      <c r="AAO103" s="0" t="n">
        <v>0</v>
      </c>
      <c r="ABB103" s="0" t="n">
        <v>11.3</v>
      </c>
      <c r="ABC103" s="0" t="n">
        <v>1</v>
      </c>
      <c r="ABD103" s="0" t="n">
        <v>47</v>
      </c>
      <c r="ABE103" s="0" t="n">
        <v>1</v>
      </c>
      <c r="ABF103" s="0" t="n">
        <v>0.9</v>
      </c>
      <c r="ABG103" s="0" t="n">
        <v>3</v>
      </c>
      <c r="ABH103" s="0" t="n">
        <v>35</v>
      </c>
      <c r="ABI103" s="0" t="n">
        <v>2</v>
      </c>
      <c r="ABJ103" s="0" t="n">
        <v>0.92</v>
      </c>
      <c r="ABK103" s="0" t="n">
        <v>3</v>
      </c>
      <c r="ABN103" s="18"/>
      <c r="ACF103" s="0" t="n">
        <v>0</v>
      </c>
      <c r="ADQ103" s="16" t="n">
        <v>3.75</v>
      </c>
      <c r="ADR103" s="16" t="n">
        <v>1</v>
      </c>
      <c r="ADS103" s="16" t="n">
        <v>1</v>
      </c>
      <c r="ADT103" s="16"/>
      <c r="ADU103" s="16" t="n">
        <f aca="false">2.49+0.05+0.03</f>
        <v>2.57</v>
      </c>
      <c r="ADV103" s="16" t="n">
        <v>2</v>
      </c>
      <c r="ADW103" s="16"/>
      <c r="ADX103" s="16" t="n">
        <v>2.49</v>
      </c>
      <c r="ADY103" s="16"/>
      <c r="ADZ103" s="16"/>
      <c r="AEA103" s="16"/>
      <c r="AEB103" s="16" t="n">
        <v>8.81</v>
      </c>
      <c r="AEC103" s="16" t="n">
        <v>6.01</v>
      </c>
      <c r="AED103" s="16"/>
      <c r="AEE103" s="16"/>
      <c r="AEF103" s="16" t="n">
        <v>0</v>
      </c>
      <c r="AEG103" s="16" t="n">
        <v>0</v>
      </c>
      <c r="AEH103" s="16" t="n">
        <v>0</v>
      </c>
      <c r="AEI103" s="0" t="n">
        <v>0</v>
      </c>
      <c r="AEJ103" s="0" t="s">
        <v>280</v>
      </c>
      <c r="AEK103" s="0" t="n">
        <v>79</v>
      </c>
      <c r="AEL103" s="16" t="n">
        <v>63.9</v>
      </c>
      <c r="AEM103" s="16" t="n">
        <v>80.4</v>
      </c>
      <c r="AEN103" s="16" t="n">
        <v>11.2</v>
      </c>
      <c r="AEO103" s="0" t="n">
        <v>77.43</v>
      </c>
      <c r="AEP103" s="0" t="n">
        <v>22.57</v>
      </c>
      <c r="AEQ103" s="0" t="n">
        <v>0</v>
      </c>
      <c r="AER103" s="0" t="n">
        <v>0</v>
      </c>
      <c r="AES103" s="0" t="n">
        <v>0</v>
      </c>
      <c r="AET103" s="0" t="n">
        <v>0</v>
      </c>
      <c r="AEU103" s="0" t="n">
        <v>0</v>
      </c>
      <c r="AEV103" s="0" t="n">
        <v>0</v>
      </c>
      <c r="AEW103" s="0" t="n">
        <v>0</v>
      </c>
      <c r="AEX103" s="0" t="n">
        <v>0</v>
      </c>
      <c r="AEY103" s="0" t="n">
        <v>0</v>
      </c>
      <c r="AEZ103" s="0" t="n">
        <v>0</v>
      </c>
      <c r="AFA103" s="0" t="n">
        <v>0</v>
      </c>
      <c r="AFB103" s="0" t="n">
        <v>45.87</v>
      </c>
      <c r="AFC103" s="0" t="n">
        <v>0</v>
      </c>
      <c r="AFD103" s="0" t="n">
        <v>0</v>
      </c>
      <c r="AFE103" s="0" t="n">
        <v>0</v>
      </c>
      <c r="AFF103" s="0" t="n">
        <v>0</v>
      </c>
      <c r="AFS103" s="0" t="n">
        <v>56.3</v>
      </c>
      <c r="AFT103" s="0" t="n">
        <v>1</v>
      </c>
      <c r="AFU103" s="0" t="n">
        <v>47</v>
      </c>
      <c r="AFV103" s="0" t="n">
        <v>18</v>
      </c>
      <c r="AFW103" s="0" t="n">
        <f aca="false">13.43+9.14</f>
        <v>22.57</v>
      </c>
      <c r="AFX103" s="0" t="n">
        <v>3</v>
      </c>
      <c r="AGE103" s="18"/>
      <c r="AGW103" s="0" t="n">
        <v>0</v>
      </c>
      <c r="AIH103" s="16" t="n">
        <v>0</v>
      </c>
      <c r="AII103" s="16" t="n">
        <v>0</v>
      </c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 t="n">
        <v>11.54</v>
      </c>
      <c r="AIT103" s="16" t="n">
        <v>22.57</v>
      </c>
      <c r="AIU103" s="16"/>
      <c r="AIV103" s="16"/>
      <c r="AIW103" s="16" t="n">
        <v>0</v>
      </c>
      <c r="AIX103" s="16" t="n">
        <v>0</v>
      </c>
      <c r="AIY103" s="16" t="n">
        <v>0</v>
      </c>
      <c r="AIZ103" s="0" t="n">
        <v>0</v>
      </c>
      <c r="AJA103" s="0" t="s">
        <v>281</v>
      </c>
      <c r="AJB103" s="0" t="n">
        <v>42.5</v>
      </c>
      <c r="AJC103" s="16" t="n">
        <v>76.4</v>
      </c>
      <c r="AJD103" s="16" t="n">
        <v>80.4</v>
      </c>
      <c r="AJE103" s="16" t="n">
        <v>15.3</v>
      </c>
      <c r="AJF103" s="0" t="n">
        <v>73.6</v>
      </c>
      <c r="AJG103" s="0" t="n">
        <v>20.42</v>
      </c>
      <c r="AJH103" s="0" t="n">
        <v>3.69</v>
      </c>
      <c r="AJI103" s="0" t="n">
        <v>0</v>
      </c>
      <c r="AJJ103" s="0" t="n">
        <v>2.28</v>
      </c>
      <c r="AJK103" s="0" t="n">
        <v>0</v>
      </c>
      <c r="AJL103" s="0" t="n">
        <v>0</v>
      </c>
      <c r="AJM103" s="0" t="n">
        <v>0</v>
      </c>
      <c r="AJN103" s="0" t="n">
        <v>0</v>
      </c>
      <c r="AJO103" s="0" t="n">
        <v>0</v>
      </c>
      <c r="AJP103" s="0" t="n">
        <v>0</v>
      </c>
      <c r="AJQ103" s="0" t="n">
        <v>0</v>
      </c>
      <c r="AJR103" s="0" t="n">
        <v>0</v>
      </c>
      <c r="AJS103" s="0" t="n">
        <v>35.36</v>
      </c>
      <c r="AJT103" s="0" t="n">
        <v>16.37</v>
      </c>
      <c r="AJU103" s="0" t="n">
        <v>0</v>
      </c>
      <c r="AJV103" s="0" t="n">
        <v>4.4</v>
      </c>
      <c r="AJW103" s="0" t="n">
        <v>2</v>
      </c>
      <c r="AJX103" s="0" t="n">
        <v>10</v>
      </c>
      <c r="AJY103" s="0" t="n">
        <v>0.9</v>
      </c>
      <c r="AKD103" s="0" t="n">
        <v>10</v>
      </c>
      <c r="AKE103" s="0" t="n">
        <v>0.9</v>
      </c>
      <c r="AKJ103" s="0" t="n">
        <v>9.7</v>
      </c>
      <c r="AKK103" s="0" t="n">
        <v>1</v>
      </c>
      <c r="AKL103" s="0" t="n">
        <v>68</v>
      </c>
      <c r="AKM103" s="0" t="n">
        <v>2</v>
      </c>
      <c r="AKN103" s="0" t="n">
        <f aca="false">3.34+5.29</f>
        <v>8.63</v>
      </c>
      <c r="AKO103" s="0" t="n">
        <v>1</v>
      </c>
      <c r="AKP103" s="0" t="n">
        <v>34</v>
      </c>
      <c r="AKQ103" s="0" t="n">
        <v>86</v>
      </c>
      <c r="AKR103" s="0" t="n">
        <f aca="false">0.8+0.6</f>
        <v>1.4</v>
      </c>
      <c r="AKS103" s="0" t="n">
        <v>1</v>
      </c>
      <c r="AKT103" s="0" t="n">
        <v>47</v>
      </c>
      <c r="AKU103" s="0" t="n">
        <v>1</v>
      </c>
      <c r="AKV103" s="18" t="n">
        <v>1.52</v>
      </c>
      <c r="AKW103" s="0" t="n">
        <v>3</v>
      </c>
      <c r="ALN103" s="0" t="n">
        <v>0</v>
      </c>
    </row>
    <row r="104" customFormat="false" ht="13.8" hidden="false" customHeight="false" outlineLevel="0" collapsed="false">
      <c r="A104" s="1" t="s">
        <v>492</v>
      </c>
      <c r="B104" s="12" t="n">
        <v>42894</v>
      </c>
      <c r="C104" s="0" t="n">
        <v>1</v>
      </c>
      <c r="D104" s="13" t="n">
        <v>42814</v>
      </c>
      <c r="E104" s="12" t="n">
        <v>30010</v>
      </c>
      <c r="F104" s="14" t="n">
        <f aca="false">(B104-E104)/365.25</f>
        <v>35.27446954141</v>
      </c>
      <c r="G104" s="14" t="n">
        <f aca="false">(B104-D104)/365.25</f>
        <v>0.219028062970568</v>
      </c>
      <c r="H104" s="15" t="s">
        <v>181</v>
      </c>
      <c r="I104" s="15" t="s">
        <v>182</v>
      </c>
      <c r="J104" s="15" t="s">
        <v>183</v>
      </c>
      <c r="K104" s="21" t="n">
        <v>8</v>
      </c>
      <c r="L104" s="19" t="n">
        <v>64</v>
      </c>
      <c r="M104" s="0" t="n">
        <v>1.7</v>
      </c>
      <c r="N104" s="16" t="n">
        <f aca="false">L104/(M104*M104)</f>
        <v>22.1453287197232</v>
      </c>
      <c r="O104" s="19" t="n">
        <v>0</v>
      </c>
      <c r="P104" s="19" t="n">
        <v>0</v>
      </c>
      <c r="Q104" s="19" t="n">
        <v>0</v>
      </c>
      <c r="R104" s="19" t="n">
        <v>0</v>
      </c>
      <c r="S104" s="19" t="n">
        <v>0</v>
      </c>
      <c r="T104" s="19" t="n">
        <v>0</v>
      </c>
      <c r="U104" s="19" t="n">
        <v>0</v>
      </c>
      <c r="V104" s="19" t="n">
        <v>0</v>
      </c>
      <c r="W104" s="19" t="n">
        <v>1</v>
      </c>
      <c r="X104" s="19" t="n">
        <v>0</v>
      </c>
      <c r="Y104" s="19" t="n">
        <v>0</v>
      </c>
      <c r="Z104" s="19" t="n">
        <v>0</v>
      </c>
      <c r="AA104" s="19" t="n">
        <v>0</v>
      </c>
      <c r="AB104" s="19" t="n">
        <v>0</v>
      </c>
      <c r="AC104" s="19" t="n">
        <v>0</v>
      </c>
      <c r="AD104" s="19" t="n">
        <v>0</v>
      </c>
      <c r="AE104" s="19"/>
      <c r="AF104" s="19"/>
      <c r="AG104" s="19"/>
      <c r="AH104" s="19"/>
      <c r="AI104" s="19" t="n">
        <v>0</v>
      </c>
      <c r="AJ104" s="19" t="n">
        <v>0</v>
      </c>
      <c r="AK104" s="19" t="n">
        <v>0</v>
      </c>
      <c r="AL104" s="19" t="n">
        <v>0</v>
      </c>
      <c r="AM104" s="19" t="n">
        <v>0</v>
      </c>
      <c r="AN104" s="19" t="n">
        <v>0</v>
      </c>
      <c r="AO104" s="19" t="n">
        <v>0</v>
      </c>
      <c r="AP104" s="19" t="n">
        <v>0</v>
      </c>
      <c r="AQ104" s="19" t="n">
        <v>0</v>
      </c>
      <c r="AR104" s="19" t="n">
        <v>0</v>
      </c>
      <c r="AS104" s="19" t="n">
        <v>3</v>
      </c>
      <c r="AT104" s="19" t="n">
        <v>3</v>
      </c>
      <c r="AU104" s="19" t="n">
        <v>0</v>
      </c>
      <c r="AV104" s="19" t="n">
        <v>0</v>
      </c>
      <c r="AW104" s="19" t="n">
        <v>0</v>
      </c>
      <c r="AX104" s="19" t="n">
        <v>1</v>
      </c>
      <c r="AY104" s="19" t="n">
        <v>0</v>
      </c>
      <c r="AZ104" s="19" t="n">
        <v>0</v>
      </c>
      <c r="BA104" s="19" t="n">
        <v>0</v>
      </c>
      <c r="BB104" s="19" t="n">
        <v>1</v>
      </c>
      <c r="BC104" s="19" t="n">
        <v>1</v>
      </c>
      <c r="BD104" s="19" t="n">
        <v>0</v>
      </c>
      <c r="BE104" s="19"/>
      <c r="BF104" s="19" t="n">
        <v>1</v>
      </c>
      <c r="BG104" s="19" t="n">
        <v>1</v>
      </c>
      <c r="BH104" s="19" t="n">
        <v>1</v>
      </c>
      <c r="BI104" s="19" t="n">
        <v>7</v>
      </c>
      <c r="BJ104" s="19" t="n">
        <v>0</v>
      </c>
      <c r="BK104" s="19" t="n">
        <v>0</v>
      </c>
      <c r="BL104" s="19" t="n">
        <v>0</v>
      </c>
      <c r="BM104" s="19" t="n">
        <v>0</v>
      </c>
      <c r="BN104" s="19" t="n">
        <v>0</v>
      </c>
      <c r="BO104" s="19" t="n">
        <v>0</v>
      </c>
      <c r="BP104" s="19" t="n">
        <v>0</v>
      </c>
      <c r="BQ104" s="19" t="n">
        <v>0</v>
      </c>
      <c r="BR104" s="19" t="n">
        <v>1</v>
      </c>
      <c r="BS104" s="19" t="n">
        <v>1</v>
      </c>
      <c r="BT104" s="19" t="n">
        <v>4</v>
      </c>
      <c r="BU104" s="19" t="n">
        <v>5</v>
      </c>
      <c r="BV104" s="19" t="n">
        <v>1</v>
      </c>
      <c r="BW104" s="19" t="n">
        <v>1</v>
      </c>
      <c r="BX104" s="19" t="n">
        <v>3</v>
      </c>
      <c r="BY104" s="19" t="n">
        <v>3</v>
      </c>
      <c r="BZ104" s="19" t="n">
        <v>4</v>
      </c>
      <c r="CA104" s="19" t="n">
        <v>4</v>
      </c>
      <c r="CB104" s="19" t="n">
        <v>5</v>
      </c>
      <c r="CC104" s="19" t="n">
        <v>5</v>
      </c>
      <c r="CD104" s="19" t="n">
        <v>4</v>
      </c>
      <c r="CE104" s="19" t="n">
        <v>4</v>
      </c>
      <c r="CF104" s="19" t="n">
        <v>5</v>
      </c>
      <c r="CG104" s="19" t="n">
        <v>4</v>
      </c>
      <c r="CH104" s="19" t="n">
        <v>5</v>
      </c>
      <c r="CI104" s="19" t="n">
        <v>4</v>
      </c>
      <c r="CJ104" s="19" t="n">
        <v>5</v>
      </c>
      <c r="CK104" s="19" t="n">
        <v>10</v>
      </c>
      <c r="CL104" s="0" t="s">
        <v>185</v>
      </c>
      <c r="CM104" s="0" t="n">
        <v>21.5</v>
      </c>
      <c r="CN104" s="16" t="n">
        <v>54.9</v>
      </c>
      <c r="CO104" s="16" t="n">
        <v>80.4</v>
      </c>
      <c r="CP104" s="16" t="n">
        <v>17.9</v>
      </c>
      <c r="CQ104" s="0" t="n">
        <v>90.61</v>
      </c>
      <c r="CR104" s="17" t="n">
        <v>0</v>
      </c>
      <c r="CS104" s="0" t="n">
        <v>0</v>
      </c>
      <c r="CT104" s="0" t="n">
        <v>2.45</v>
      </c>
      <c r="CU104" s="0" t="n">
        <v>6.94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12.16</v>
      </c>
      <c r="DC104" s="0" t="n">
        <v>24.45</v>
      </c>
      <c r="DD104" s="0" t="n">
        <v>4.8</v>
      </c>
      <c r="DE104" s="0" t="n">
        <v>5.11</v>
      </c>
      <c r="DF104" s="0" t="n">
        <v>0</v>
      </c>
      <c r="DG104" s="0" t="n">
        <v>0</v>
      </c>
      <c r="DH104" s="0" t="n">
        <v>0</v>
      </c>
      <c r="DU104" s="0" t="n">
        <v>2.9</v>
      </c>
      <c r="DV104" s="0" t="n">
        <v>1</v>
      </c>
      <c r="DW104" s="0" t="n">
        <v>68</v>
      </c>
      <c r="DX104" s="0" t="n">
        <v>2</v>
      </c>
      <c r="DY104" s="0" t="n">
        <f aca="false">0.38+0.07</f>
        <v>0.45</v>
      </c>
      <c r="DZ104" s="0" t="n">
        <v>1</v>
      </c>
      <c r="EG104" s="18"/>
      <c r="EY104" s="0" t="n">
        <v>1</v>
      </c>
      <c r="EZ104" s="0" t="n">
        <v>40</v>
      </c>
      <c r="FA104" s="0" t="n">
        <v>1</v>
      </c>
      <c r="FB104" s="0" t="n">
        <v>0.06</v>
      </c>
      <c r="FC104" s="0" t="n">
        <v>1</v>
      </c>
      <c r="FD104" s="0" t="n">
        <v>60</v>
      </c>
      <c r="FE104" s="0" t="n">
        <v>1</v>
      </c>
      <c r="FF104" s="0" t="n">
        <v>0.11</v>
      </c>
      <c r="FG104" s="0" t="n">
        <v>1</v>
      </c>
      <c r="FH104" s="0" t="n">
        <v>40</v>
      </c>
      <c r="FI104" s="0" t="n">
        <v>1</v>
      </c>
      <c r="FJ104" s="0" t="n">
        <v>0.58</v>
      </c>
      <c r="FK104" s="0" t="n">
        <v>6</v>
      </c>
      <c r="GJ104" s="16" t="n">
        <v>0</v>
      </c>
      <c r="GK104" s="16" t="n">
        <v>0</v>
      </c>
      <c r="GL104" s="16"/>
      <c r="GM104" s="16"/>
      <c r="GN104" s="16"/>
      <c r="GO104" s="16"/>
      <c r="GP104" s="16"/>
      <c r="GQ104" s="16"/>
      <c r="GR104" s="16"/>
      <c r="GS104" s="16"/>
      <c r="GT104" s="16"/>
      <c r="GU104" s="16" t="n">
        <v>0.67</v>
      </c>
      <c r="GV104" s="16" t="n">
        <v>0.65</v>
      </c>
      <c r="GW104" s="16"/>
      <c r="GX104" s="16"/>
      <c r="GY104" s="16" t="n">
        <v>0</v>
      </c>
      <c r="GZ104" s="16" t="n">
        <v>0</v>
      </c>
      <c r="HA104" s="16" t="n">
        <v>0</v>
      </c>
      <c r="HB104" s="0" t="n">
        <v>0</v>
      </c>
      <c r="HC104" s="0" t="s">
        <v>186</v>
      </c>
      <c r="HD104" s="0" t="n">
        <v>52.5</v>
      </c>
      <c r="HE104" s="16" t="n">
        <v>78.3</v>
      </c>
      <c r="HF104" s="16" t="n">
        <v>80.4</v>
      </c>
      <c r="HG104" s="16" t="n">
        <v>33.2</v>
      </c>
      <c r="HH104" s="0" t="n">
        <v>67.5</v>
      </c>
      <c r="HI104" s="17" t="n">
        <v>0</v>
      </c>
      <c r="HJ104" s="0" t="n">
        <v>21.37</v>
      </c>
      <c r="HK104" s="0" t="n">
        <v>0</v>
      </c>
      <c r="HL104" s="0" t="n">
        <v>3.99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5.93</v>
      </c>
      <c r="HU104" s="0" t="n">
        <v>42.2</v>
      </c>
      <c r="HV104" s="0" t="n">
        <v>15.97</v>
      </c>
      <c r="HW104" s="0" t="n">
        <v>7.14</v>
      </c>
      <c r="HX104" s="0" t="n">
        <v>0</v>
      </c>
      <c r="HY104" s="0" t="n">
        <v>0</v>
      </c>
      <c r="IL104" s="0" t="n">
        <v>1.7</v>
      </c>
      <c r="IM104" s="0" t="n">
        <v>1</v>
      </c>
      <c r="IN104" s="0" t="n">
        <v>34</v>
      </c>
      <c r="IO104" s="0" t="n">
        <v>5</v>
      </c>
      <c r="IP104" s="0" t="n">
        <v>0.21</v>
      </c>
      <c r="IQ104" s="0" t="n">
        <v>1</v>
      </c>
      <c r="IR104" s="0" t="n">
        <v>68</v>
      </c>
      <c r="IS104" s="0" t="n">
        <v>3</v>
      </c>
      <c r="IT104" s="0" t="n">
        <v>0.3</v>
      </c>
      <c r="IU104" s="0" t="n">
        <v>1</v>
      </c>
      <c r="IV104" s="0" t="n">
        <v>47</v>
      </c>
      <c r="IW104" s="0" t="n">
        <v>4</v>
      </c>
      <c r="IX104" s="18" t="n">
        <v>0.11</v>
      </c>
      <c r="IY104" s="0" t="n">
        <v>1</v>
      </c>
      <c r="IZ104" s="0" t="n">
        <v>35</v>
      </c>
      <c r="JA104" s="0" t="n">
        <v>2</v>
      </c>
      <c r="JB104" s="0" t="n">
        <v>0.1</v>
      </c>
      <c r="JC104" s="0" t="n">
        <v>1</v>
      </c>
      <c r="JP104" s="0" t="n">
        <v>0</v>
      </c>
      <c r="LA104" s="16" t="n">
        <v>1.04</v>
      </c>
      <c r="LB104" s="16" t="n">
        <v>1</v>
      </c>
      <c r="LC104" s="16" t="n">
        <v>1</v>
      </c>
      <c r="LD104" s="16"/>
      <c r="LE104" s="16" t="n">
        <f aca="false">3.74+3.17+0.1</f>
        <v>7.01</v>
      </c>
      <c r="LF104" s="16"/>
      <c r="LG104" s="16"/>
      <c r="LH104" s="16"/>
      <c r="LI104" s="16"/>
      <c r="LJ104" s="16"/>
      <c r="LK104" s="16"/>
      <c r="LL104" s="16" t="n">
        <v>8.9</v>
      </c>
      <c r="LM104" s="16" t="n">
        <v>9.79</v>
      </c>
      <c r="LN104" s="16"/>
      <c r="LO104" s="16"/>
      <c r="LP104" s="16" t="n">
        <v>2.99</v>
      </c>
      <c r="LQ104" s="16" t="n">
        <v>4</v>
      </c>
      <c r="LR104" s="16" t="n">
        <v>3</v>
      </c>
      <c r="LS104" s="0" t="n">
        <v>0</v>
      </c>
      <c r="LT104" s="0" t="s">
        <v>187</v>
      </c>
      <c r="LU104" s="0" t="n">
        <v>53.5</v>
      </c>
      <c r="LV104" s="16" t="n">
        <v>73.5</v>
      </c>
      <c r="LW104" s="16" t="n">
        <v>80.4</v>
      </c>
      <c r="LX104" s="16" t="n">
        <v>26.1</v>
      </c>
      <c r="LY104" s="0" t="n">
        <v>78.89</v>
      </c>
      <c r="LZ104" s="17" t="n">
        <v>0</v>
      </c>
      <c r="MA104" s="0" t="n">
        <v>2.36</v>
      </c>
      <c r="MB104" s="0" t="n">
        <v>0</v>
      </c>
      <c r="MC104" s="0" t="n">
        <v>11.6</v>
      </c>
      <c r="MD104" s="0" t="n">
        <v>0</v>
      </c>
      <c r="ME104" s="0" t="n">
        <v>0</v>
      </c>
      <c r="MF104" s="0" t="n">
        <v>0</v>
      </c>
      <c r="MG104" s="0" t="n">
        <v>0</v>
      </c>
      <c r="MH104" s="0" t="n">
        <v>0</v>
      </c>
      <c r="MI104" s="0" t="n">
        <v>0</v>
      </c>
      <c r="MJ104" s="0" t="n">
        <v>7.86</v>
      </c>
      <c r="MK104" s="0" t="n">
        <v>12.08</v>
      </c>
      <c r="ML104" s="0" t="n">
        <v>18.1</v>
      </c>
      <c r="MM104" s="0" t="n">
        <v>28.51</v>
      </c>
      <c r="MN104" s="0" t="n">
        <v>7.14</v>
      </c>
      <c r="MO104" s="0" t="n">
        <v>0</v>
      </c>
      <c r="MP104" s="0" t="n">
        <v>0</v>
      </c>
      <c r="NC104" s="0" t="n">
        <v>11.6</v>
      </c>
      <c r="ND104" s="0" t="n">
        <v>1</v>
      </c>
      <c r="NE104" s="0" t="n">
        <v>47</v>
      </c>
      <c r="NF104" s="0" t="n">
        <v>4</v>
      </c>
      <c r="NG104" s="0" t="n">
        <f aca="false">1.15+0.34</f>
        <v>1.49</v>
      </c>
      <c r="NH104" s="0" t="n">
        <v>3</v>
      </c>
      <c r="NO104" s="18"/>
      <c r="OG104" s="0" t="n">
        <v>1</v>
      </c>
      <c r="OH104" s="0" t="n">
        <v>50</v>
      </c>
      <c r="OI104" s="0" t="n">
        <v>1</v>
      </c>
      <c r="OJ104" s="0" t="n">
        <v>0.19</v>
      </c>
      <c r="OK104" s="0" t="n">
        <v>3</v>
      </c>
      <c r="PR104" s="16" t="n">
        <v>7.27</v>
      </c>
      <c r="PS104" s="16" t="n">
        <v>1</v>
      </c>
      <c r="PT104" s="16" t="n">
        <v>1</v>
      </c>
      <c r="PU104" s="16"/>
      <c r="PV104" s="16" t="n">
        <f aca="false">2.11*2+0.37*2</f>
        <v>4.96</v>
      </c>
      <c r="PW104" s="16" t="n">
        <v>3</v>
      </c>
      <c r="PX104" s="16"/>
      <c r="PY104" s="16" t="n">
        <f aca="false">1.44+0.72</f>
        <v>2.16</v>
      </c>
      <c r="PZ104" s="16"/>
      <c r="QA104" s="16"/>
      <c r="QB104" s="16"/>
      <c r="QC104" s="16" t="n">
        <v>5.39</v>
      </c>
      <c r="QD104" s="16" t="n">
        <v>8.11</v>
      </c>
      <c r="QE104" s="16"/>
      <c r="QF104" s="16"/>
      <c r="QG104" s="16" t="n">
        <v>0</v>
      </c>
      <c r="QH104" s="16" t="n">
        <v>0</v>
      </c>
      <c r="QI104" s="16" t="n">
        <v>3</v>
      </c>
      <c r="QJ104" s="0" t="n">
        <v>0</v>
      </c>
      <c r="QK104" s="0" t="s">
        <v>188</v>
      </c>
      <c r="QL104" s="0" t="n">
        <v>40</v>
      </c>
      <c r="QM104" s="16" t="n">
        <v>84.1</v>
      </c>
      <c r="QN104" s="16" t="n">
        <v>80.4</v>
      </c>
      <c r="QO104" s="16" t="n">
        <v>35.1</v>
      </c>
      <c r="QP104" s="0" t="n">
        <v>66.11</v>
      </c>
      <c r="QQ104" s="17" t="n">
        <v>0</v>
      </c>
      <c r="QR104" s="0" t="n">
        <v>13.11</v>
      </c>
      <c r="QS104" s="0" t="n">
        <v>6.27</v>
      </c>
      <c r="QT104" s="0" t="n">
        <v>8.02</v>
      </c>
      <c r="QU104" s="0" t="n">
        <v>0</v>
      </c>
      <c r="QV104" s="0" t="n">
        <v>6.47</v>
      </c>
      <c r="QW104" s="0" t="n">
        <v>2.85</v>
      </c>
      <c r="QX104" s="0" t="n">
        <v>3.1</v>
      </c>
      <c r="QY104" s="0" t="n">
        <v>0</v>
      </c>
      <c r="QZ104" s="0" t="n">
        <v>0</v>
      </c>
      <c r="RA104" s="0" t="n">
        <v>10.49</v>
      </c>
      <c r="RB104" s="0" t="n">
        <v>26.72</v>
      </c>
      <c r="RC104" s="0" t="n">
        <v>13.38</v>
      </c>
      <c r="RD104" s="0" t="n">
        <v>10.67</v>
      </c>
      <c r="RE104" s="0" t="n">
        <v>0</v>
      </c>
      <c r="RF104" s="0" t="n">
        <v>0</v>
      </c>
      <c r="RG104" s="0" t="n">
        <v>0</v>
      </c>
      <c r="RT104" s="0" t="n">
        <v>3.9</v>
      </c>
      <c r="RU104" s="0" t="n">
        <v>1</v>
      </c>
      <c r="RV104" s="0" t="n">
        <v>68</v>
      </c>
      <c r="RW104" s="0" t="n">
        <v>4</v>
      </c>
      <c r="RX104" s="0" t="n">
        <f aca="false">1.9+0.34</f>
        <v>2.24</v>
      </c>
      <c r="RY104" s="0" t="n">
        <v>1</v>
      </c>
      <c r="RZ104" s="0" t="n">
        <v>34</v>
      </c>
      <c r="SA104" s="0" t="n">
        <v>8</v>
      </c>
      <c r="SB104" s="0" t="n">
        <v>0.27</v>
      </c>
      <c r="SC104" s="0" t="n">
        <v>1</v>
      </c>
      <c r="SF104" s="18"/>
      <c r="SX104" s="0" t="n">
        <v>1</v>
      </c>
      <c r="SY104" s="0" t="n">
        <v>50</v>
      </c>
      <c r="SZ104" s="0" t="n">
        <v>4</v>
      </c>
      <c r="TA104" s="0" t="n">
        <f aca="false">1.52*2</f>
        <v>3.04</v>
      </c>
      <c r="TB104" s="0" t="n">
        <v>3</v>
      </c>
      <c r="UI104" s="16" t="n">
        <v>0.04</v>
      </c>
      <c r="UJ104" s="16" t="n">
        <v>1</v>
      </c>
      <c r="UK104" s="16" t="n">
        <v>1</v>
      </c>
      <c r="UL104" s="16"/>
      <c r="UM104" s="16" t="n">
        <f aca="false">0.3</f>
        <v>0.3</v>
      </c>
      <c r="UN104" s="16"/>
      <c r="UO104" s="16"/>
      <c r="UP104" s="16"/>
      <c r="UQ104" s="16"/>
      <c r="UR104" s="16"/>
      <c r="US104" s="16"/>
      <c r="UT104" s="16" t="n">
        <v>0.03</v>
      </c>
      <c r="UU104" s="16" t="n">
        <v>0.03</v>
      </c>
      <c r="UV104" s="16"/>
      <c r="UW104" s="16"/>
      <c r="UX104" s="16" t="n">
        <v>0</v>
      </c>
      <c r="UY104" s="16" t="n">
        <v>0</v>
      </c>
      <c r="UZ104" s="16" t="n">
        <v>0</v>
      </c>
      <c r="VA104" s="0" t="n">
        <v>0</v>
      </c>
      <c r="VB104" s="0" t="s">
        <v>189</v>
      </c>
      <c r="VC104" s="0" t="n">
        <v>31</v>
      </c>
      <c r="VD104" s="16" t="n">
        <v>80.2</v>
      </c>
      <c r="VE104" s="16" t="n">
        <v>80.4</v>
      </c>
      <c r="VF104" s="16" t="n">
        <v>6.5</v>
      </c>
      <c r="VG104" s="0" t="n">
        <v>99.3</v>
      </c>
      <c r="VH104" s="17" t="n">
        <v>0</v>
      </c>
      <c r="VI104" s="0" t="n">
        <v>0.7</v>
      </c>
      <c r="VJ104" s="0" t="n">
        <v>0</v>
      </c>
      <c r="VK104" s="0" t="n">
        <v>0</v>
      </c>
      <c r="VL104" s="0" t="n">
        <v>0</v>
      </c>
      <c r="VM104" s="0" t="n">
        <v>0</v>
      </c>
      <c r="VN104" s="0" t="n">
        <v>0</v>
      </c>
      <c r="VO104" s="0" t="n">
        <v>0</v>
      </c>
      <c r="VP104" s="0" t="n">
        <v>0</v>
      </c>
      <c r="VQ104" s="0" t="n">
        <v>0</v>
      </c>
      <c r="VR104" s="0" t="n">
        <v>0</v>
      </c>
      <c r="VS104" s="0" t="n">
        <v>31.92</v>
      </c>
      <c r="VT104" s="0" t="n">
        <v>23.7</v>
      </c>
      <c r="VU104" s="0" t="n">
        <v>1.95</v>
      </c>
      <c r="VV104" s="0" t="n">
        <v>0</v>
      </c>
      <c r="VW104" s="0" t="n">
        <v>18.7</v>
      </c>
      <c r="VX104" s="0" t="n">
        <v>4</v>
      </c>
      <c r="VY104" s="0" t="n">
        <v>49</v>
      </c>
      <c r="WA104" s="0" t="n">
        <v>1</v>
      </c>
      <c r="WE104" s="0" t="n">
        <v>49</v>
      </c>
      <c r="WG104" s="0" t="n">
        <v>1</v>
      </c>
      <c r="WK104" s="0" t="n">
        <v>0</v>
      </c>
      <c r="WL104" s="0" t="n">
        <v>0</v>
      </c>
      <c r="WW104" s="18"/>
      <c r="XO104" s="0" t="n">
        <v>0</v>
      </c>
      <c r="YZ104" s="16" t="n">
        <v>0</v>
      </c>
      <c r="ZA104" s="16" t="n">
        <v>0</v>
      </c>
      <c r="ZB104" s="16"/>
      <c r="ZC104" s="16"/>
      <c r="ZD104" s="16"/>
      <c r="ZE104" s="16"/>
      <c r="ZF104" s="16"/>
      <c r="ZG104" s="16"/>
      <c r="ZH104" s="16"/>
      <c r="ZI104" s="16"/>
      <c r="ZJ104" s="16"/>
      <c r="ZK104" s="16" t="n">
        <v>5.42</v>
      </c>
      <c r="ZL104" s="16" t="n">
        <v>6.61</v>
      </c>
      <c r="ZM104" s="16"/>
      <c r="ZN104" s="16"/>
      <c r="ZO104" s="16" t="n">
        <v>0</v>
      </c>
      <c r="ZP104" s="16" t="n">
        <v>0</v>
      </c>
      <c r="ZQ104" s="16" t="n">
        <v>0</v>
      </c>
      <c r="ZR104" s="0" t="n">
        <v>0</v>
      </c>
      <c r="ZS104" s="0" t="s">
        <v>190</v>
      </c>
      <c r="ZT104" s="0" t="n">
        <v>38.5</v>
      </c>
      <c r="ZU104" s="16" t="n">
        <v>92</v>
      </c>
      <c r="ZV104" s="16" t="n">
        <v>80.4</v>
      </c>
      <c r="ZW104" s="16" t="n">
        <v>11</v>
      </c>
      <c r="ZX104" s="0" t="n">
        <v>95.37</v>
      </c>
      <c r="ZY104" s="17" t="n">
        <v>0</v>
      </c>
      <c r="ZZ104" s="0" t="n">
        <v>4.63</v>
      </c>
      <c r="AAA104" s="0" t="n">
        <v>0</v>
      </c>
      <c r="AAB104" s="0" t="n">
        <v>0</v>
      </c>
      <c r="AAC104" s="0" t="n">
        <v>0</v>
      </c>
      <c r="AAD104" s="0" t="n">
        <v>0</v>
      </c>
      <c r="AAE104" s="0" t="n">
        <v>0</v>
      </c>
      <c r="AAF104" s="0" t="n">
        <v>0</v>
      </c>
      <c r="AAG104" s="0" t="n">
        <v>0</v>
      </c>
      <c r="AAH104" s="0" t="n">
        <v>0</v>
      </c>
      <c r="AAI104" s="0" t="n">
        <v>2.85</v>
      </c>
      <c r="AAJ104" s="0" t="n">
        <v>16.15</v>
      </c>
      <c r="AAK104" s="0" t="n">
        <v>42.55</v>
      </c>
      <c r="AAL104" s="0" t="n">
        <v>4.63</v>
      </c>
      <c r="AAM104" s="0" t="n">
        <v>0</v>
      </c>
      <c r="AAN104" s="0" t="n">
        <v>5.7</v>
      </c>
      <c r="AAO104" s="0" t="n">
        <v>1</v>
      </c>
      <c r="AAP104" s="0" t="n">
        <v>3</v>
      </c>
      <c r="AAR104" s="0" t="n">
        <v>1</v>
      </c>
      <c r="AAV104" s="0" t="n">
        <v>3</v>
      </c>
      <c r="AAX104" s="0" t="n">
        <v>1</v>
      </c>
      <c r="ABB104" s="0" t="n">
        <v>4.8</v>
      </c>
      <c r="ABC104" s="0" t="n">
        <v>0</v>
      </c>
      <c r="ABN104" s="18"/>
      <c r="ACF104" s="0" t="n">
        <v>1</v>
      </c>
      <c r="ACG104" s="0" t="n">
        <v>70</v>
      </c>
      <c r="ACH104" s="0" t="n">
        <v>3</v>
      </c>
      <c r="ACI104" s="0" t="n">
        <f aca="false">14.97+0.86+0.7</f>
        <v>16.53</v>
      </c>
      <c r="ACJ104" s="0" t="n">
        <v>3</v>
      </c>
      <c r="ACK104" s="0" t="n">
        <v>60</v>
      </c>
      <c r="ACL104" s="0" t="n">
        <v>3</v>
      </c>
      <c r="ACM104" s="0" t="n">
        <f aca="false">3.02+0.97+0.6</f>
        <v>4.59</v>
      </c>
      <c r="ACN104" s="0" t="n">
        <v>3</v>
      </c>
      <c r="ADQ104" s="16" t="n">
        <v>2.82</v>
      </c>
      <c r="ADR104" s="16" t="n">
        <v>1</v>
      </c>
      <c r="ADS104" s="16" t="n">
        <v>1</v>
      </c>
      <c r="ADT104" s="16"/>
      <c r="ADU104" s="16" t="n">
        <f aca="false">0.93*2</f>
        <v>1.86</v>
      </c>
      <c r="ADV104" s="16" t="n">
        <v>2</v>
      </c>
      <c r="ADW104" s="16"/>
      <c r="ADX104" s="16" t="n">
        <f aca="false">9.6+1.93</f>
        <v>11.53</v>
      </c>
      <c r="ADY104" s="16"/>
      <c r="ADZ104" s="16"/>
      <c r="AEA104" s="16"/>
      <c r="AEB104" s="16" t="n">
        <v>13.91</v>
      </c>
      <c r="AEC104" s="16" t="n">
        <v>17.31</v>
      </c>
      <c r="AED104" s="16"/>
      <c r="AEE104" s="16"/>
      <c r="AEF104" s="16" t="n">
        <v>0</v>
      </c>
      <c r="AEG104" s="16" t="n">
        <v>0</v>
      </c>
      <c r="AEH104" s="16" t="n">
        <v>0</v>
      </c>
      <c r="AEI104" s="0" t="n">
        <v>0</v>
      </c>
      <c r="AEJ104" s="0" t="s">
        <v>191</v>
      </c>
      <c r="AEK104" s="0" t="n">
        <v>44</v>
      </c>
      <c r="AEL104" s="16" t="n">
        <v>75.8</v>
      </c>
      <c r="AEM104" s="16" t="n">
        <v>80.4</v>
      </c>
      <c r="AEN104" s="16" t="n">
        <v>12.2</v>
      </c>
      <c r="AEO104" s="0" t="n">
        <v>90.24</v>
      </c>
      <c r="AEP104" s="17" t="n">
        <v>0</v>
      </c>
      <c r="AEQ104" s="0" t="n">
        <v>6.27</v>
      </c>
      <c r="AER104" s="0" t="n">
        <v>0</v>
      </c>
      <c r="AES104" s="0" t="n">
        <v>3.49</v>
      </c>
      <c r="AET104" s="0" t="n">
        <v>0</v>
      </c>
      <c r="AEU104" s="0" t="n">
        <v>0</v>
      </c>
      <c r="AEV104" s="0" t="n">
        <v>0</v>
      </c>
      <c r="AEW104" s="0" t="n">
        <v>0</v>
      </c>
      <c r="AEX104" s="0" t="n">
        <v>0</v>
      </c>
      <c r="AEY104" s="0" t="n">
        <v>0</v>
      </c>
      <c r="AEZ104" s="0" t="n">
        <v>0</v>
      </c>
      <c r="AFA104" s="0" t="n">
        <v>24.37</v>
      </c>
      <c r="AFB104" s="0" t="n">
        <v>32.21</v>
      </c>
      <c r="AFC104" s="0" t="n">
        <v>3.56</v>
      </c>
      <c r="AFD104" s="0" t="n">
        <v>0</v>
      </c>
      <c r="AFE104" s="0" t="n">
        <v>0</v>
      </c>
      <c r="AFF104" s="0" t="n">
        <v>0</v>
      </c>
      <c r="AFS104" s="0" t="n">
        <v>20.3</v>
      </c>
      <c r="AFT104" s="0" t="n">
        <v>1</v>
      </c>
      <c r="AFU104" s="0" t="n">
        <v>30</v>
      </c>
      <c r="AFV104" s="0" t="n">
        <v>4</v>
      </c>
      <c r="AFW104" s="0" t="n">
        <v>3.01</v>
      </c>
      <c r="AFX104" s="0" t="n">
        <v>5</v>
      </c>
      <c r="AFY104" s="0" t="n">
        <v>68</v>
      </c>
      <c r="AFZ104" s="0" t="n">
        <v>2</v>
      </c>
      <c r="AGA104" s="0" t="n">
        <v>1.52</v>
      </c>
      <c r="AGB104" s="0" t="n">
        <v>1</v>
      </c>
      <c r="AGC104" s="0" t="n">
        <v>47</v>
      </c>
      <c r="AGD104" s="0" t="n">
        <v>1</v>
      </c>
      <c r="AGE104" s="18" t="n">
        <v>0.07</v>
      </c>
      <c r="AGF104" s="0" t="n">
        <v>3</v>
      </c>
      <c r="AGW104" s="0" t="n">
        <v>0</v>
      </c>
      <c r="AIH104" s="16" t="n">
        <v>1.88</v>
      </c>
      <c r="AII104" s="16" t="n">
        <v>1</v>
      </c>
      <c r="AIJ104" s="16" t="n">
        <v>2</v>
      </c>
      <c r="AIK104" s="16"/>
      <c r="AIL104" s="16" t="n">
        <v>4.18</v>
      </c>
      <c r="AIM104" s="16"/>
      <c r="AIN104" s="16"/>
      <c r="AIO104" s="16"/>
      <c r="AIP104" s="16"/>
      <c r="AIQ104" s="16"/>
      <c r="AIR104" s="16"/>
      <c r="AIS104" s="16" t="n">
        <v>7.15</v>
      </c>
      <c r="AIT104" s="16" t="n">
        <v>6.06</v>
      </c>
      <c r="AIU104" s="16"/>
      <c r="AIV104" s="16"/>
      <c r="AIW104" s="16" t="n">
        <v>0</v>
      </c>
      <c r="AIX104" s="16" t="n">
        <v>0</v>
      </c>
      <c r="AIY104" s="16" t="n">
        <v>0</v>
      </c>
      <c r="AIZ104" s="0" t="n">
        <v>0</v>
      </c>
      <c r="AJA104" s="0" t="s">
        <v>192</v>
      </c>
      <c r="AJB104" s="0" t="n">
        <v>47.5</v>
      </c>
      <c r="AJC104" s="16" t="n">
        <v>79.3</v>
      </c>
      <c r="AJD104" s="16" t="n">
        <v>80.4</v>
      </c>
      <c r="AJE104" s="16" t="n">
        <v>36.3</v>
      </c>
      <c r="AJF104" s="0" t="n">
        <v>66.23</v>
      </c>
      <c r="AJG104" s="17" t="n">
        <v>0</v>
      </c>
      <c r="AJH104" s="0" t="n">
        <v>33.77</v>
      </c>
      <c r="AJI104" s="0" t="n">
        <v>0</v>
      </c>
      <c r="AJJ104" s="0" t="n">
        <v>0</v>
      </c>
      <c r="AJK104" s="0" t="n">
        <v>0</v>
      </c>
      <c r="AJL104" s="0" t="n">
        <v>0</v>
      </c>
      <c r="AJM104" s="0" t="n">
        <v>0</v>
      </c>
      <c r="AJN104" s="0" t="n">
        <v>0</v>
      </c>
      <c r="AJO104" s="0" t="n">
        <v>0</v>
      </c>
      <c r="AJP104" s="0" t="n">
        <v>0</v>
      </c>
      <c r="AJQ104" s="0" t="n">
        <v>0</v>
      </c>
      <c r="AJR104" s="0" t="n">
        <v>38.37</v>
      </c>
      <c r="AJS104" s="0" t="n">
        <v>20.04</v>
      </c>
      <c r="AJT104" s="0" t="n">
        <v>11.21</v>
      </c>
      <c r="AJU104" s="0" t="n">
        <v>0</v>
      </c>
      <c r="AJV104" s="0" t="n">
        <v>0</v>
      </c>
      <c r="AJW104" s="0" t="n">
        <v>0</v>
      </c>
      <c r="AKJ104" s="0" t="n">
        <v>6.9</v>
      </c>
      <c r="AKK104" s="0" t="n">
        <v>1</v>
      </c>
      <c r="AKL104" s="0" t="n">
        <v>47</v>
      </c>
      <c r="AKM104" s="0" t="n">
        <v>3</v>
      </c>
      <c r="AKN104" s="0" t="n">
        <f aca="false">0.11+0.74+0.08</f>
        <v>0.93</v>
      </c>
      <c r="AKO104" s="0" t="n">
        <v>3</v>
      </c>
      <c r="AKP104" s="0" t="n">
        <v>68</v>
      </c>
      <c r="AKQ104" s="0" t="n">
        <v>1</v>
      </c>
      <c r="AKR104" s="0" t="n">
        <v>0.76</v>
      </c>
      <c r="AKS104" s="0" t="n">
        <v>1</v>
      </c>
      <c r="AKV104" s="18"/>
      <c r="ALN104" s="0" t="n">
        <v>0</v>
      </c>
    </row>
    <row r="105" customFormat="false" ht="13.8" hidden="false" customHeight="false" outlineLevel="0" collapsed="false">
      <c r="A105" s="1" t="s">
        <v>493</v>
      </c>
      <c r="B105" s="12" t="n">
        <v>42894</v>
      </c>
      <c r="C105" s="0" t="n">
        <v>1</v>
      </c>
      <c r="D105" s="13" t="n">
        <v>42804</v>
      </c>
      <c r="E105" s="12" t="n">
        <v>31947</v>
      </c>
      <c r="F105" s="14" t="n">
        <f aca="false">(B105-E105)/365.25</f>
        <v>29.9712525667351</v>
      </c>
      <c r="G105" s="14" t="n">
        <f aca="false">(B105-D105)/365.25</f>
        <v>0.246406570841889</v>
      </c>
      <c r="H105" s="15" t="s">
        <v>181</v>
      </c>
      <c r="I105" s="15" t="s">
        <v>182</v>
      </c>
      <c r="J105" s="15" t="s">
        <v>183</v>
      </c>
      <c r="K105" s="21" t="n">
        <v>8</v>
      </c>
      <c r="L105" s="19" t="n">
        <v>55</v>
      </c>
      <c r="M105" s="0" t="n">
        <v>1.52</v>
      </c>
      <c r="N105" s="16" t="n">
        <f aca="false">L105/(M105*M105)</f>
        <v>23.8054016620499</v>
      </c>
      <c r="O105" s="19" t="n">
        <v>0</v>
      </c>
      <c r="P105" s="19" t="n">
        <v>0</v>
      </c>
      <c r="Q105" s="19" t="n">
        <v>0</v>
      </c>
      <c r="R105" s="19" t="n">
        <v>0</v>
      </c>
      <c r="S105" s="19" t="n">
        <v>0</v>
      </c>
      <c r="T105" s="19" t="n">
        <v>0</v>
      </c>
      <c r="U105" s="19" t="n">
        <v>0</v>
      </c>
      <c r="V105" s="19" t="n">
        <v>0</v>
      </c>
      <c r="W105" s="19" t="n">
        <v>0</v>
      </c>
      <c r="X105" s="19" t="n">
        <v>0</v>
      </c>
      <c r="Y105" s="19" t="n">
        <v>0</v>
      </c>
      <c r="Z105" s="19" t="n">
        <v>0</v>
      </c>
      <c r="AA105" s="19" t="n">
        <v>0</v>
      </c>
      <c r="AB105" s="19" t="n">
        <v>0</v>
      </c>
      <c r="AC105" s="19" t="n">
        <v>1</v>
      </c>
      <c r="AD105" s="19" t="n">
        <v>5</v>
      </c>
      <c r="AE105" s="19" t="n">
        <v>0</v>
      </c>
      <c r="AF105" s="19" t="n">
        <v>0</v>
      </c>
      <c r="AG105" s="19" t="n">
        <v>0</v>
      </c>
      <c r="AH105" s="19" t="n">
        <v>0</v>
      </c>
      <c r="AI105" s="19" t="n">
        <v>0</v>
      </c>
      <c r="AJ105" s="19" t="n">
        <v>0</v>
      </c>
      <c r="AK105" s="19" t="n">
        <v>0</v>
      </c>
      <c r="AL105" s="19" t="n">
        <v>0</v>
      </c>
      <c r="AM105" s="19" t="n">
        <v>0</v>
      </c>
      <c r="AN105" s="19" t="n">
        <v>0</v>
      </c>
      <c r="AO105" s="19" t="n">
        <v>0</v>
      </c>
      <c r="AP105" s="19" t="n">
        <v>0</v>
      </c>
      <c r="AQ105" s="19" t="n">
        <v>0</v>
      </c>
      <c r="AR105" s="19" t="n">
        <v>0</v>
      </c>
      <c r="AS105" s="19" t="n">
        <v>0</v>
      </c>
      <c r="AT105" s="19" t="n">
        <v>0</v>
      </c>
      <c r="AU105" s="19" t="n">
        <v>0</v>
      </c>
      <c r="AV105" s="19" t="n">
        <v>0</v>
      </c>
      <c r="AW105" s="19" t="n">
        <v>0</v>
      </c>
      <c r="AX105" s="19" t="n">
        <v>0</v>
      </c>
      <c r="AY105" s="19" t="n">
        <v>0</v>
      </c>
      <c r="AZ105" s="19" t="n">
        <v>0</v>
      </c>
      <c r="BA105" s="19" t="n">
        <v>0</v>
      </c>
      <c r="BB105" s="19" t="n">
        <v>0</v>
      </c>
      <c r="BC105" s="19" t="n">
        <v>0</v>
      </c>
      <c r="BD105" s="19" t="n">
        <v>0</v>
      </c>
      <c r="BE105" s="19" t="n">
        <v>0</v>
      </c>
      <c r="BF105" s="19" t="n">
        <v>0</v>
      </c>
      <c r="BG105" s="19" t="n">
        <v>0</v>
      </c>
      <c r="BH105" s="19" t="n">
        <v>0</v>
      </c>
      <c r="BI105" s="19" t="n">
        <v>0</v>
      </c>
      <c r="BJ105" s="19" t="n">
        <v>0</v>
      </c>
      <c r="BK105" s="19" t="n">
        <v>0</v>
      </c>
      <c r="BL105" s="19" t="n">
        <v>0</v>
      </c>
      <c r="BM105" s="19" t="n">
        <v>0</v>
      </c>
      <c r="BN105" s="19" t="n">
        <v>0</v>
      </c>
      <c r="BO105" s="19" t="n">
        <v>0</v>
      </c>
      <c r="BP105" s="19" t="n">
        <v>0</v>
      </c>
      <c r="BQ105" s="19" t="n">
        <v>0</v>
      </c>
      <c r="BR105" s="19" t="n">
        <v>1</v>
      </c>
      <c r="BS105" s="19" t="n">
        <v>2</v>
      </c>
      <c r="BT105" s="19" t="n">
        <v>3</v>
      </c>
      <c r="BU105" s="19" t="n">
        <v>5</v>
      </c>
      <c r="BV105" s="19" t="n">
        <v>2</v>
      </c>
      <c r="BW105" s="19" t="n">
        <v>1</v>
      </c>
      <c r="BX105" s="19" t="n">
        <v>3</v>
      </c>
      <c r="BY105" s="19" t="n">
        <v>5</v>
      </c>
      <c r="BZ105" s="19" t="n">
        <v>5</v>
      </c>
      <c r="CA105" s="19" t="n">
        <v>5</v>
      </c>
      <c r="CB105" s="19" t="n">
        <v>5</v>
      </c>
      <c r="CC105" s="19" t="n">
        <v>5</v>
      </c>
      <c r="CD105" s="19" t="n">
        <v>5</v>
      </c>
      <c r="CE105" s="19" t="n">
        <v>5</v>
      </c>
      <c r="CF105" s="19" t="n">
        <v>5</v>
      </c>
      <c r="CG105" s="19" t="n">
        <v>5</v>
      </c>
      <c r="CH105" s="19" t="n">
        <v>5</v>
      </c>
      <c r="CI105" s="19" t="n">
        <v>5</v>
      </c>
      <c r="CJ105" s="19" t="n">
        <v>5</v>
      </c>
      <c r="CK105" s="19" t="n">
        <v>7</v>
      </c>
      <c r="CL105" s="0" t="s">
        <v>185</v>
      </c>
      <c r="CM105" s="0" t="n">
        <v>21.5</v>
      </c>
      <c r="CN105" s="16" t="n">
        <v>54.9</v>
      </c>
      <c r="CO105" s="16" t="n">
        <v>80.4</v>
      </c>
      <c r="CP105" s="16" t="n">
        <v>17.9</v>
      </c>
      <c r="CQ105" s="0" t="n">
        <v>90.61</v>
      </c>
      <c r="CR105" s="17" t="n">
        <v>0</v>
      </c>
      <c r="CS105" s="0" t="n">
        <v>0</v>
      </c>
      <c r="CT105" s="0" t="n">
        <v>2.45</v>
      </c>
      <c r="CU105" s="0" t="n">
        <v>6.94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12.16</v>
      </c>
      <c r="DC105" s="0" t="n">
        <v>24.45</v>
      </c>
      <c r="DD105" s="0" t="n">
        <v>4.8</v>
      </c>
      <c r="DE105" s="0" t="n">
        <v>5.11</v>
      </c>
      <c r="DF105" s="0" t="n">
        <v>0</v>
      </c>
      <c r="DG105" s="0" t="n">
        <v>0</v>
      </c>
      <c r="DH105" s="0" t="n">
        <v>0</v>
      </c>
      <c r="DU105" s="0" t="n">
        <v>2.9</v>
      </c>
      <c r="DV105" s="0" t="n">
        <v>1</v>
      </c>
      <c r="DW105" s="0" t="n">
        <v>68</v>
      </c>
      <c r="DX105" s="0" t="n">
        <v>2</v>
      </c>
      <c r="DY105" s="0" t="n">
        <f aca="false">0.38+0.07</f>
        <v>0.45</v>
      </c>
      <c r="DZ105" s="0" t="n">
        <v>1</v>
      </c>
      <c r="EG105" s="18"/>
      <c r="EY105" s="0" t="n">
        <v>1</v>
      </c>
      <c r="EZ105" s="0" t="n">
        <v>40</v>
      </c>
      <c r="FA105" s="0" t="n">
        <v>1</v>
      </c>
      <c r="FB105" s="0" t="n">
        <v>0.06</v>
      </c>
      <c r="FC105" s="0" t="n">
        <v>1</v>
      </c>
      <c r="FD105" s="0" t="n">
        <v>60</v>
      </c>
      <c r="FE105" s="0" t="n">
        <v>1</v>
      </c>
      <c r="FF105" s="0" t="n">
        <v>0.11</v>
      </c>
      <c r="FG105" s="0" t="n">
        <v>1</v>
      </c>
      <c r="FH105" s="0" t="n">
        <v>40</v>
      </c>
      <c r="FI105" s="0" t="n">
        <v>1</v>
      </c>
      <c r="FJ105" s="0" t="n">
        <v>0.58</v>
      </c>
      <c r="FK105" s="0" t="n">
        <v>6</v>
      </c>
      <c r="GJ105" s="16" t="n">
        <v>0</v>
      </c>
      <c r="GK105" s="16" t="n">
        <v>0</v>
      </c>
      <c r="GL105" s="16"/>
      <c r="GM105" s="16"/>
      <c r="GN105" s="16"/>
      <c r="GO105" s="16"/>
      <c r="GP105" s="16"/>
      <c r="GQ105" s="16"/>
      <c r="GR105" s="16"/>
      <c r="GS105" s="16"/>
      <c r="GT105" s="16"/>
      <c r="GU105" s="16" t="n">
        <v>0.67</v>
      </c>
      <c r="GV105" s="16" t="n">
        <v>0.65</v>
      </c>
      <c r="GW105" s="16"/>
      <c r="GX105" s="16"/>
      <c r="GY105" s="16" t="n">
        <v>0</v>
      </c>
      <c r="GZ105" s="16" t="n">
        <v>0</v>
      </c>
      <c r="HA105" s="16" t="n">
        <v>0</v>
      </c>
      <c r="HB105" s="0" t="n">
        <v>0</v>
      </c>
      <c r="HC105" s="0" t="s">
        <v>186</v>
      </c>
      <c r="HD105" s="0" t="n">
        <v>52.5</v>
      </c>
      <c r="HE105" s="16" t="n">
        <v>78.3</v>
      </c>
      <c r="HF105" s="16" t="n">
        <v>80.4</v>
      </c>
      <c r="HG105" s="16" t="n">
        <v>33.2</v>
      </c>
      <c r="HH105" s="0" t="n">
        <v>67.5</v>
      </c>
      <c r="HI105" s="17" t="n">
        <v>0</v>
      </c>
      <c r="HJ105" s="0" t="n">
        <v>21.37</v>
      </c>
      <c r="HK105" s="0" t="n">
        <v>0</v>
      </c>
      <c r="HL105" s="0" t="n">
        <v>3.99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5.93</v>
      </c>
      <c r="HU105" s="0" t="n">
        <v>42.2</v>
      </c>
      <c r="HV105" s="0" t="n">
        <v>15.97</v>
      </c>
      <c r="HW105" s="0" t="n">
        <v>7.14</v>
      </c>
      <c r="HX105" s="0" t="n">
        <v>0</v>
      </c>
      <c r="HY105" s="0" t="n">
        <v>0</v>
      </c>
      <c r="IL105" s="0" t="n">
        <v>1.7</v>
      </c>
      <c r="IM105" s="0" t="n">
        <v>1</v>
      </c>
      <c r="IN105" s="0" t="n">
        <v>34</v>
      </c>
      <c r="IO105" s="0" t="n">
        <v>5</v>
      </c>
      <c r="IP105" s="0" t="n">
        <v>0.21</v>
      </c>
      <c r="IQ105" s="0" t="n">
        <v>1</v>
      </c>
      <c r="IR105" s="0" t="n">
        <v>68</v>
      </c>
      <c r="IS105" s="0" t="n">
        <v>3</v>
      </c>
      <c r="IT105" s="0" t="n">
        <v>0.3</v>
      </c>
      <c r="IU105" s="0" t="n">
        <v>1</v>
      </c>
      <c r="IV105" s="0" t="n">
        <v>47</v>
      </c>
      <c r="IW105" s="0" t="n">
        <v>4</v>
      </c>
      <c r="IX105" s="18" t="n">
        <v>0.11</v>
      </c>
      <c r="IY105" s="0" t="n">
        <v>1</v>
      </c>
      <c r="IZ105" s="0" t="n">
        <v>35</v>
      </c>
      <c r="JA105" s="0" t="n">
        <v>2</v>
      </c>
      <c r="JB105" s="0" t="n">
        <v>0.1</v>
      </c>
      <c r="JC105" s="0" t="n">
        <v>1</v>
      </c>
      <c r="JP105" s="0" t="n">
        <v>0</v>
      </c>
      <c r="LA105" s="16" t="n">
        <v>1.04</v>
      </c>
      <c r="LB105" s="16" t="n">
        <v>1</v>
      </c>
      <c r="LC105" s="16" t="n">
        <v>1</v>
      </c>
      <c r="LD105" s="16"/>
      <c r="LE105" s="16" t="n">
        <f aca="false">3.74+3.17+0.1</f>
        <v>7.01</v>
      </c>
      <c r="LF105" s="16"/>
      <c r="LG105" s="16"/>
      <c r="LH105" s="16"/>
      <c r="LI105" s="16"/>
      <c r="LJ105" s="16"/>
      <c r="LK105" s="16"/>
      <c r="LL105" s="16" t="n">
        <v>8.9</v>
      </c>
      <c r="LM105" s="16" t="n">
        <v>9.79</v>
      </c>
      <c r="LN105" s="16"/>
      <c r="LO105" s="16"/>
      <c r="LP105" s="16" t="n">
        <v>2.99</v>
      </c>
      <c r="LQ105" s="16" t="n">
        <v>4</v>
      </c>
      <c r="LR105" s="16" t="n">
        <v>3</v>
      </c>
      <c r="LS105" s="0" t="n">
        <v>0</v>
      </c>
      <c r="LT105" s="0" t="s">
        <v>187</v>
      </c>
      <c r="LU105" s="0" t="n">
        <v>53.5</v>
      </c>
      <c r="LV105" s="16" t="n">
        <v>73.5</v>
      </c>
      <c r="LW105" s="16" t="n">
        <v>80.4</v>
      </c>
      <c r="LX105" s="16" t="n">
        <v>26.1</v>
      </c>
      <c r="LY105" s="0" t="n">
        <v>78.89</v>
      </c>
      <c r="LZ105" s="17" t="n">
        <v>0</v>
      </c>
      <c r="MA105" s="0" t="n">
        <v>2.36</v>
      </c>
      <c r="MB105" s="0" t="n">
        <v>0</v>
      </c>
      <c r="MC105" s="0" t="n">
        <v>11.6</v>
      </c>
      <c r="MD105" s="0" t="n">
        <v>0</v>
      </c>
      <c r="ME105" s="0" t="n">
        <v>0</v>
      </c>
      <c r="MF105" s="0" t="n">
        <v>0</v>
      </c>
      <c r="MG105" s="0" t="n">
        <v>0</v>
      </c>
      <c r="MH105" s="0" t="n">
        <v>0</v>
      </c>
      <c r="MI105" s="0" t="n">
        <v>0</v>
      </c>
      <c r="MJ105" s="0" t="n">
        <v>7.86</v>
      </c>
      <c r="MK105" s="0" t="n">
        <v>12.08</v>
      </c>
      <c r="ML105" s="0" t="n">
        <v>18.1</v>
      </c>
      <c r="MM105" s="0" t="n">
        <v>28.51</v>
      </c>
      <c r="MN105" s="0" t="n">
        <v>7.14</v>
      </c>
      <c r="MO105" s="0" t="n">
        <v>0</v>
      </c>
      <c r="MP105" s="0" t="n">
        <v>0</v>
      </c>
      <c r="NC105" s="0" t="n">
        <v>11.6</v>
      </c>
      <c r="ND105" s="0" t="n">
        <v>1</v>
      </c>
      <c r="NE105" s="0" t="n">
        <v>47</v>
      </c>
      <c r="NF105" s="0" t="n">
        <v>4</v>
      </c>
      <c r="NG105" s="0" t="n">
        <f aca="false">1.15+0.34</f>
        <v>1.49</v>
      </c>
      <c r="NH105" s="0" t="n">
        <v>3</v>
      </c>
      <c r="NO105" s="18"/>
      <c r="OG105" s="0" t="n">
        <v>1</v>
      </c>
      <c r="OH105" s="0" t="n">
        <v>50</v>
      </c>
      <c r="OI105" s="0" t="n">
        <v>1</v>
      </c>
      <c r="OJ105" s="0" t="n">
        <v>0.19</v>
      </c>
      <c r="OK105" s="0" t="n">
        <v>3</v>
      </c>
      <c r="PR105" s="16" t="n">
        <v>7.27</v>
      </c>
      <c r="PS105" s="16" t="n">
        <v>1</v>
      </c>
      <c r="PT105" s="16" t="n">
        <v>1</v>
      </c>
      <c r="PU105" s="16"/>
      <c r="PV105" s="16" t="n">
        <f aca="false">2.11*2+0.37*2</f>
        <v>4.96</v>
      </c>
      <c r="PW105" s="16" t="n">
        <v>3</v>
      </c>
      <c r="PX105" s="16"/>
      <c r="PY105" s="16" t="n">
        <f aca="false">1.44+0.72</f>
        <v>2.16</v>
      </c>
      <c r="PZ105" s="16"/>
      <c r="QA105" s="16"/>
      <c r="QB105" s="16"/>
      <c r="QC105" s="16" t="n">
        <v>5.39</v>
      </c>
      <c r="QD105" s="16" t="n">
        <v>8.11</v>
      </c>
      <c r="QE105" s="16"/>
      <c r="QF105" s="16"/>
      <c r="QG105" s="16" t="n">
        <v>0</v>
      </c>
      <c r="QH105" s="16" t="n">
        <v>0</v>
      </c>
      <c r="QI105" s="16" t="n">
        <v>3</v>
      </c>
      <c r="QJ105" s="0" t="n">
        <v>0</v>
      </c>
      <c r="QK105" s="0" t="s">
        <v>188</v>
      </c>
      <c r="QL105" s="0" t="n">
        <v>40</v>
      </c>
      <c r="QM105" s="16" t="n">
        <v>84.1</v>
      </c>
      <c r="QN105" s="16" t="n">
        <v>80.4</v>
      </c>
      <c r="QO105" s="16" t="n">
        <v>35.1</v>
      </c>
      <c r="QP105" s="0" t="n">
        <v>66.11</v>
      </c>
      <c r="QQ105" s="17" t="n">
        <v>0</v>
      </c>
      <c r="QR105" s="0" t="n">
        <v>13.11</v>
      </c>
      <c r="QS105" s="0" t="n">
        <v>6.27</v>
      </c>
      <c r="QT105" s="0" t="n">
        <v>8.02</v>
      </c>
      <c r="QU105" s="0" t="n">
        <v>0</v>
      </c>
      <c r="QV105" s="0" t="n">
        <v>6.47</v>
      </c>
      <c r="QW105" s="0" t="n">
        <v>2.85</v>
      </c>
      <c r="QX105" s="0" t="n">
        <v>3.1</v>
      </c>
      <c r="QY105" s="0" t="n">
        <v>0</v>
      </c>
      <c r="QZ105" s="0" t="n">
        <v>0</v>
      </c>
      <c r="RA105" s="0" t="n">
        <v>10.49</v>
      </c>
      <c r="RB105" s="0" t="n">
        <v>26.72</v>
      </c>
      <c r="RC105" s="0" t="n">
        <v>13.38</v>
      </c>
      <c r="RD105" s="0" t="n">
        <v>10.67</v>
      </c>
      <c r="RE105" s="0" t="n">
        <v>0</v>
      </c>
      <c r="RF105" s="0" t="n">
        <v>0</v>
      </c>
      <c r="RG105" s="0" t="n">
        <v>0</v>
      </c>
      <c r="RT105" s="0" t="n">
        <v>3.9</v>
      </c>
      <c r="RU105" s="0" t="n">
        <v>1</v>
      </c>
      <c r="RV105" s="0" t="n">
        <v>68</v>
      </c>
      <c r="RW105" s="0" t="n">
        <v>4</v>
      </c>
      <c r="RX105" s="0" t="n">
        <f aca="false">1.9+0.34</f>
        <v>2.24</v>
      </c>
      <c r="RY105" s="0" t="n">
        <v>1</v>
      </c>
      <c r="RZ105" s="0" t="n">
        <v>34</v>
      </c>
      <c r="SA105" s="0" t="n">
        <v>8</v>
      </c>
      <c r="SB105" s="0" t="n">
        <v>0.27</v>
      </c>
      <c r="SC105" s="0" t="n">
        <v>1</v>
      </c>
      <c r="SF105" s="18"/>
      <c r="SX105" s="0" t="n">
        <v>1</v>
      </c>
      <c r="SY105" s="0" t="n">
        <v>50</v>
      </c>
      <c r="SZ105" s="0" t="n">
        <v>4</v>
      </c>
      <c r="TA105" s="0" t="n">
        <f aca="false">1.52*2</f>
        <v>3.04</v>
      </c>
      <c r="TB105" s="0" t="n">
        <v>3</v>
      </c>
      <c r="UI105" s="16" t="n">
        <v>0.04</v>
      </c>
      <c r="UJ105" s="16" t="n">
        <v>1</v>
      </c>
      <c r="UK105" s="16" t="n">
        <v>1</v>
      </c>
      <c r="UL105" s="16"/>
      <c r="UM105" s="16" t="n">
        <f aca="false">0.3</f>
        <v>0.3</v>
      </c>
      <c r="UN105" s="16"/>
      <c r="UO105" s="16"/>
      <c r="UP105" s="16"/>
      <c r="UQ105" s="16"/>
      <c r="UR105" s="16"/>
      <c r="US105" s="16"/>
      <c r="UT105" s="16" t="n">
        <v>0.03</v>
      </c>
      <c r="UU105" s="16" t="n">
        <v>0.03</v>
      </c>
      <c r="UV105" s="16"/>
      <c r="UW105" s="16"/>
      <c r="UX105" s="16" t="n">
        <v>0</v>
      </c>
      <c r="UY105" s="16" t="n">
        <v>0</v>
      </c>
      <c r="UZ105" s="16" t="n">
        <v>0</v>
      </c>
      <c r="VA105" s="0" t="n">
        <v>0</v>
      </c>
      <c r="VB105" s="0" t="s">
        <v>189</v>
      </c>
      <c r="VC105" s="0" t="n">
        <v>31</v>
      </c>
      <c r="VD105" s="16" t="n">
        <v>80.2</v>
      </c>
      <c r="VE105" s="16" t="n">
        <v>80.4</v>
      </c>
      <c r="VF105" s="16" t="n">
        <v>6.5</v>
      </c>
      <c r="VG105" s="0" t="n">
        <v>99.3</v>
      </c>
      <c r="VH105" s="17" t="n">
        <v>0</v>
      </c>
      <c r="VI105" s="0" t="n">
        <v>0.7</v>
      </c>
      <c r="VJ105" s="0" t="n">
        <v>0</v>
      </c>
      <c r="VK105" s="0" t="n">
        <v>0</v>
      </c>
      <c r="VL105" s="0" t="n">
        <v>0</v>
      </c>
      <c r="VM105" s="0" t="n">
        <v>0</v>
      </c>
      <c r="VN105" s="0" t="n">
        <v>0</v>
      </c>
      <c r="VO105" s="0" t="n">
        <v>0</v>
      </c>
      <c r="VP105" s="0" t="n">
        <v>0</v>
      </c>
      <c r="VQ105" s="0" t="n">
        <v>0</v>
      </c>
      <c r="VR105" s="0" t="n">
        <v>0</v>
      </c>
      <c r="VS105" s="0" t="n">
        <v>31.92</v>
      </c>
      <c r="VT105" s="0" t="n">
        <v>23.7</v>
      </c>
      <c r="VU105" s="0" t="n">
        <v>1.95</v>
      </c>
      <c r="VV105" s="0" t="n">
        <v>0</v>
      </c>
      <c r="VW105" s="0" t="n">
        <v>18.7</v>
      </c>
      <c r="VX105" s="0" t="n">
        <v>4</v>
      </c>
      <c r="VY105" s="0" t="n">
        <v>49</v>
      </c>
      <c r="WA105" s="0" t="n">
        <v>1</v>
      </c>
      <c r="WE105" s="0" t="n">
        <v>49</v>
      </c>
      <c r="WG105" s="0" t="n">
        <v>1</v>
      </c>
      <c r="WK105" s="0" t="n">
        <v>0</v>
      </c>
      <c r="WL105" s="0" t="n">
        <v>0</v>
      </c>
      <c r="WW105" s="18"/>
      <c r="XO105" s="0" t="n">
        <v>0</v>
      </c>
      <c r="YZ105" s="16" t="n">
        <v>0</v>
      </c>
      <c r="ZA105" s="16" t="n">
        <v>0</v>
      </c>
      <c r="ZB105" s="16"/>
      <c r="ZC105" s="16"/>
      <c r="ZD105" s="16"/>
      <c r="ZE105" s="16"/>
      <c r="ZF105" s="16"/>
      <c r="ZG105" s="16"/>
      <c r="ZH105" s="16"/>
      <c r="ZI105" s="16"/>
      <c r="ZJ105" s="16"/>
      <c r="ZK105" s="16" t="n">
        <v>5.42</v>
      </c>
      <c r="ZL105" s="16" t="n">
        <v>6.61</v>
      </c>
      <c r="ZM105" s="16"/>
      <c r="ZN105" s="16"/>
      <c r="ZO105" s="16" t="n">
        <v>0</v>
      </c>
      <c r="ZP105" s="16" t="n">
        <v>0</v>
      </c>
      <c r="ZQ105" s="16" t="n">
        <v>0</v>
      </c>
      <c r="ZR105" s="0" t="n">
        <v>0</v>
      </c>
      <c r="ZS105" s="0" t="s">
        <v>190</v>
      </c>
      <c r="ZT105" s="0" t="n">
        <v>38.5</v>
      </c>
      <c r="ZU105" s="16" t="n">
        <v>92</v>
      </c>
      <c r="ZV105" s="16" t="n">
        <v>80.4</v>
      </c>
      <c r="ZW105" s="16" t="n">
        <v>11</v>
      </c>
      <c r="ZX105" s="0" t="n">
        <v>95.37</v>
      </c>
      <c r="ZY105" s="17" t="n">
        <v>0</v>
      </c>
      <c r="ZZ105" s="0" t="n">
        <v>4.63</v>
      </c>
      <c r="AAA105" s="0" t="n">
        <v>0</v>
      </c>
      <c r="AAB105" s="0" t="n">
        <v>0</v>
      </c>
      <c r="AAC105" s="0" t="n">
        <v>0</v>
      </c>
      <c r="AAD105" s="0" t="n">
        <v>0</v>
      </c>
      <c r="AAE105" s="0" t="n">
        <v>0</v>
      </c>
      <c r="AAF105" s="0" t="n">
        <v>0</v>
      </c>
      <c r="AAG105" s="0" t="n">
        <v>0</v>
      </c>
      <c r="AAH105" s="0" t="n">
        <v>0</v>
      </c>
      <c r="AAI105" s="0" t="n">
        <v>2.85</v>
      </c>
      <c r="AAJ105" s="0" t="n">
        <v>16.15</v>
      </c>
      <c r="AAK105" s="0" t="n">
        <v>42.55</v>
      </c>
      <c r="AAL105" s="0" t="n">
        <v>4.63</v>
      </c>
      <c r="AAM105" s="0" t="n">
        <v>0</v>
      </c>
      <c r="AAN105" s="0" t="n">
        <v>5.7</v>
      </c>
      <c r="AAO105" s="0" t="n">
        <v>1</v>
      </c>
      <c r="AAP105" s="0" t="n">
        <v>3</v>
      </c>
      <c r="AAR105" s="0" t="n">
        <v>1</v>
      </c>
      <c r="AAV105" s="0" t="n">
        <v>3</v>
      </c>
      <c r="AAX105" s="0" t="n">
        <v>1</v>
      </c>
      <c r="ABB105" s="0" t="n">
        <v>4.8</v>
      </c>
      <c r="ABC105" s="0" t="n">
        <v>0</v>
      </c>
      <c r="ABN105" s="18"/>
      <c r="ACF105" s="0" t="n">
        <v>1</v>
      </c>
      <c r="ACG105" s="0" t="n">
        <v>70</v>
      </c>
      <c r="ACH105" s="0" t="n">
        <v>3</v>
      </c>
      <c r="ACI105" s="0" t="n">
        <f aca="false">14.97+0.86+0.7</f>
        <v>16.53</v>
      </c>
      <c r="ACJ105" s="0" t="n">
        <v>3</v>
      </c>
      <c r="ACK105" s="0" t="n">
        <v>60</v>
      </c>
      <c r="ACL105" s="0" t="n">
        <v>3</v>
      </c>
      <c r="ACM105" s="0" t="n">
        <f aca="false">3.02+0.97+0.6</f>
        <v>4.59</v>
      </c>
      <c r="ACN105" s="0" t="n">
        <v>3</v>
      </c>
      <c r="ADQ105" s="16" t="n">
        <v>2.82</v>
      </c>
      <c r="ADR105" s="16" t="n">
        <v>1</v>
      </c>
      <c r="ADS105" s="16" t="n">
        <v>1</v>
      </c>
      <c r="ADT105" s="16"/>
      <c r="ADU105" s="16" t="n">
        <f aca="false">0.93*2</f>
        <v>1.86</v>
      </c>
      <c r="ADV105" s="16" t="n">
        <v>2</v>
      </c>
      <c r="ADW105" s="16"/>
      <c r="ADX105" s="16" t="n">
        <f aca="false">9.6+1.93</f>
        <v>11.53</v>
      </c>
      <c r="ADY105" s="16"/>
      <c r="ADZ105" s="16"/>
      <c r="AEA105" s="16"/>
      <c r="AEB105" s="16" t="n">
        <v>13.91</v>
      </c>
      <c r="AEC105" s="16" t="n">
        <v>17.31</v>
      </c>
      <c r="AED105" s="16"/>
      <c r="AEE105" s="16"/>
      <c r="AEF105" s="16" t="n">
        <v>0</v>
      </c>
      <c r="AEG105" s="16" t="n">
        <v>0</v>
      </c>
      <c r="AEH105" s="16" t="n">
        <v>0</v>
      </c>
      <c r="AEI105" s="0" t="n">
        <v>0</v>
      </c>
      <c r="AEJ105" s="0" t="s">
        <v>191</v>
      </c>
      <c r="AEK105" s="0" t="n">
        <v>44</v>
      </c>
      <c r="AEL105" s="16" t="n">
        <v>75.8</v>
      </c>
      <c r="AEM105" s="16" t="n">
        <v>80.4</v>
      </c>
      <c r="AEN105" s="16" t="n">
        <v>12.2</v>
      </c>
      <c r="AEO105" s="0" t="n">
        <v>90.24</v>
      </c>
      <c r="AEP105" s="17" t="n">
        <v>0</v>
      </c>
      <c r="AEQ105" s="0" t="n">
        <v>6.27</v>
      </c>
      <c r="AER105" s="0" t="n">
        <v>0</v>
      </c>
      <c r="AES105" s="0" t="n">
        <v>3.49</v>
      </c>
      <c r="AET105" s="0" t="n">
        <v>0</v>
      </c>
      <c r="AEU105" s="0" t="n">
        <v>0</v>
      </c>
      <c r="AEV105" s="0" t="n">
        <v>0</v>
      </c>
      <c r="AEW105" s="0" t="n">
        <v>0</v>
      </c>
      <c r="AEX105" s="0" t="n">
        <v>0</v>
      </c>
      <c r="AEY105" s="0" t="n">
        <v>0</v>
      </c>
      <c r="AEZ105" s="0" t="n">
        <v>0</v>
      </c>
      <c r="AFA105" s="0" t="n">
        <v>24.37</v>
      </c>
      <c r="AFB105" s="0" t="n">
        <v>32.21</v>
      </c>
      <c r="AFC105" s="0" t="n">
        <v>3.56</v>
      </c>
      <c r="AFD105" s="0" t="n">
        <v>0</v>
      </c>
      <c r="AFE105" s="0" t="n">
        <v>0</v>
      </c>
      <c r="AFF105" s="0" t="n">
        <v>0</v>
      </c>
      <c r="AFS105" s="0" t="n">
        <v>20.3</v>
      </c>
      <c r="AFT105" s="0" t="n">
        <v>1</v>
      </c>
      <c r="AFU105" s="0" t="n">
        <v>30</v>
      </c>
      <c r="AFV105" s="0" t="n">
        <v>4</v>
      </c>
      <c r="AFW105" s="0" t="n">
        <v>3.01</v>
      </c>
      <c r="AFX105" s="0" t="n">
        <v>5</v>
      </c>
      <c r="AFY105" s="0" t="n">
        <v>68</v>
      </c>
      <c r="AFZ105" s="0" t="n">
        <v>2</v>
      </c>
      <c r="AGA105" s="0" t="n">
        <v>1.52</v>
      </c>
      <c r="AGB105" s="0" t="n">
        <v>1</v>
      </c>
      <c r="AGC105" s="0" t="n">
        <v>47</v>
      </c>
      <c r="AGD105" s="0" t="n">
        <v>1</v>
      </c>
      <c r="AGE105" s="18" t="n">
        <v>0.07</v>
      </c>
      <c r="AGF105" s="0" t="n">
        <v>3</v>
      </c>
      <c r="AGW105" s="0" t="n">
        <v>0</v>
      </c>
      <c r="AIH105" s="16" t="n">
        <v>1.88</v>
      </c>
      <c r="AII105" s="16" t="n">
        <v>1</v>
      </c>
      <c r="AIJ105" s="16" t="n">
        <v>2</v>
      </c>
      <c r="AIK105" s="16"/>
      <c r="AIL105" s="16" t="n">
        <v>4.18</v>
      </c>
      <c r="AIM105" s="16"/>
      <c r="AIN105" s="16"/>
      <c r="AIO105" s="16"/>
      <c r="AIP105" s="16"/>
      <c r="AIQ105" s="16"/>
      <c r="AIR105" s="16"/>
      <c r="AIS105" s="16" t="n">
        <v>7.15</v>
      </c>
      <c r="AIT105" s="16" t="n">
        <v>6.06</v>
      </c>
      <c r="AIU105" s="16"/>
      <c r="AIV105" s="16"/>
      <c r="AIW105" s="16" t="n">
        <v>0</v>
      </c>
      <c r="AIX105" s="16" t="n">
        <v>0</v>
      </c>
      <c r="AIY105" s="16" t="n">
        <v>0</v>
      </c>
      <c r="AIZ105" s="0" t="n">
        <v>0</v>
      </c>
      <c r="AJA105" s="0" t="s">
        <v>192</v>
      </c>
      <c r="AJB105" s="0" t="n">
        <v>47.5</v>
      </c>
      <c r="AJC105" s="16" t="n">
        <v>79.3</v>
      </c>
      <c r="AJD105" s="16" t="n">
        <v>80.4</v>
      </c>
      <c r="AJE105" s="16" t="n">
        <v>36.3</v>
      </c>
      <c r="AJF105" s="0" t="n">
        <v>66.23</v>
      </c>
      <c r="AJG105" s="17" t="n">
        <v>0</v>
      </c>
      <c r="AJH105" s="0" t="n">
        <v>33.77</v>
      </c>
      <c r="AJI105" s="0" t="n">
        <v>0</v>
      </c>
      <c r="AJJ105" s="0" t="n">
        <v>0</v>
      </c>
      <c r="AJK105" s="0" t="n">
        <v>0</v>
      </c>
      <c r="AJL105" s="0" t="n">
        <v>0</v>
      </c>
      <c r="AJM105" s="0" t="n">
        <v>0</v>
      </c>
      <c r="AJN105" s="0" t="n">
        <v>0</v>
      </c>
      <c r="AJO105" s="0" t="n">
        <v>0</v>
      </c>
      <c r="AJP105" s="0" t="n">
        <v>0</v>
      </c>
      <c r="AJQ105" s="0" t="n">
        <v>0</v>
      </c>
      <c r="AJR105" s="0" t="n">
        <v>38.37</v>
      </c>
      <c r="AJS105" s="0" t="n">
        <v>20.04</v>
      </c>
      <c r="AJT105" s="0" t="n">
        <v>11.21</v>
      </c>
      <c r="AJU105" s="0" t="n">
        <v>0</v>
      </c>
      <c r="AJV105" s="0" t="n">
        <v>0</v>
      </c>
      <c r="AJW105" s="0" t="n">
        <v>0</v>
      </c>
      <c r="AKJ105" s="0" t="n">
        <v>6.9</v>
      </c>
      <c r="AKK105" s="0" t="n">
        <v>1</v>
      </c>
      <c r="AKL105" s="0" t="n">
        <v>47</v>
      </c>
      <c r="AKM105" s="0" t="n">
        <v>3</v>
      </c>
      <c r="AKN105" s="0" t="n">
        <f aca="false">0.11+0.74+0.08</f>
        <v>0.93</v>
      </c>
      <c r="AKO105" s="0" t="n">
        <v>3</v>
      </c>
      <c r="AKP105" s="0" t="n">
        <v>68</v>
      </c>
      <c r="AKQ105" s="0" t="n">
        <v>1</v>
      </c>
      <c r="AKR105" s="0" t="n">
        <v>0.76</v>
      </c>
      <c r="AKS105" s="0" t="n">
        <v>1</v>
      </c>
      <c r="AKV105" s="18"/>
      <c r="ALN105" s="0" t="n">
        <v>0</v>
      </c>
    </row>
    <row r="106" customFormat="false" ht="13.8" hidden="false" customHeight="false" outlineLevel="0" collapsed="false">
      <c r="A106" s="1" t="s">
        <v>494</v>
      </c>
      <c r="B106" s="12" t="n">
        <v>42893</v>
      </c>
      <c r="C106" s="0" t="n">
        <v>1</v>
      </c>
      <c r="D106" s="13" t="n">
        <v>42797</v>
      </c>
      <c r="E106" s="12" t="n">
        <v>33891</v>
      </c>
      <c r="F106" s="14" t="n">
        <f aca="false">(B106-E106)/365.25</f>
        <v>24.6461327857632</v>
      </c>
      <c r="G106" s="14" t="n">
        <f aca="false">(B106-D106)/365.25</f>
        <v>0.262833675564682</v>
      </c>
      <c r="H106" s="15" t="s">
        <v>181</v>
      </c>
      <c r="I106" s="15" t="s">
        <v>182</v>
      </c>
      <c r="J106" s="15" t="s">
        <v>183</v>
      </c>
      <c r="K106" s="21" t="n">
        <v>8</v>
      </c>
      <c r="L106" s="19" t="n">
        <v>69</v>
      </c>
      <c r="M106" s="0" t="n">
        <v>1.6</v>
      </c>
      <c r="N106" s="16" t="n">
        <f aca="false">L106/(M106*M106)</f>
        <v>26.953125</v>
      </c>
      <c r="O106" s="19" t="n">
        <v>0</v>
      </c>
      <c r="P106" s="19" t="n">
        <v>0</v>
      </c>
      <c r="Q106" s="19" t="n">
        <v>0</v>
      </c>
      <c r="R106" s="19" t="n">
        <v>0</v>
      </c>
      <c r="S106" s="19" t="n">
        <v>0</v>
      </c>
      <c r="T106" s="19" t="n">
        <v>0</v>
      </c>
      <c r="U106" s="19" t="n">
        <v>0</v>
      </c>
      <c r="V106" s="19" t="n">
        <v>0</v>
      </c>
      <c r="W106" s="19" t="n">
        <v>0</v>
      </c>
      <c r="X106" s="19" t="n">
        <v>0</v>
      </c>
      <c r="Y106" s="19" t="n">
        <v>0</v>
      </c>
      <c r="Z106" s="19" t="n">
        <v>0</v>
      </c>
      <c r="AA106" s="19" t="n">
        <v>0</v>
      </c>
      <c r="AB106" s="19" t="n">
        <v>0</v>
      </c>
      <c r="AC106" s="19" t="n">
        <v>0</v>
      </c>
      <c r="AD106" s="19" t="n">
        <v>0</v>
      </c>
      <c r="AE106" s="19" t="n">
        <v>1</v>
      </c>
      <c r="AF106" s="19" t="n">
        <v>1</v>
      </c>
      <c r="AG106" s="19" t="n">
        <v>0</v>
      </c>
      <c r="AH106" s="19" t="n">
        <v>0</v>
      </c>
      <c r="AI106" s="19" t="n">
        <v>0</v>
      </c>
      <c r="AJ106" s="19" t="n">
        <v>0</v>
      </c>
      <c r="AK106" s="19" t="n">
        <v>0</v>
      </c>
      <c r="AL106" s="19" t="n">
        <v>0</v>
      </c>
      <c r="AM106" s="19" t="n">
        <v>0</v>
      </c>
      <c r="AN106" s="19" t="n">
        <v>0</v>
      </c>
      <c r="AO106" s="19" t="n">
        <v>0</v>
      </c>
      <c r="AP106" s="19" t="n">
        <v>0</v>
      </c>
      <c r="AQ106" s="19" t="n">
        <v>0</v>
      </c>
      <c r="AR106" s="19" t="n">
        <v>0</v>
      </c>
      <c r="AS106" s="19" t="n">
        <v>1</v>
      </c>
      <c r="AT106" s="19" t="n">
        <v>0</v>
      </c>
      <c r="AU106" s="19" t="n">
        <v>0</v>
      </c>
      <c r="AV106" s="19" t="n">
        <v>0</v>
      </c>
      <c r="AW106" s="19" t="n">
        <v>0</v>
      </c>
      <c r="AX106" s="19" t="n">
        <v>0</v>
      </c>
      <c r="AY106" s="19" t="n">
        <v>0</v>
      </c>
      <c r="AZ106" s="19" t="n">
        <v>0</v>
      </c>
      <c r="BA106" s="19" t="n">
        <v>0</v>
      </c>
      <c r="BB106" s="19" t="n">
        <v>1</v>
      </c>
      <c r="BC106" s="19" t="n">
        <v>0</v>
      </c>
      <c r="BD106" s="19" t="n">
        <v>0</v>
      </c>
      <c r="BE106" s="19" t="n">
        <v>0</v>
      </c>
      <c r="BF106" s="19" t="n">
        <v>0</v>
      </c>
      <c r="BG106" s="19" t="n">
        <v>0</v>
      </c>
      <c r="BH106" s="19" t="n">
        <v>0</v>
      </c>
      <c r="BI106" s="19" t="n">
        <v>0</v>
      </c>
      <c r="BJ106" s="19" t="n">
        <v>0</v>
      </c>
      <c r="BK106" s="19" t="n">
        <v>0</v>
      </c>
      <c r="BL106" s="19" t="n">
        <v>0</v>
      </c>
      <c r="BM106" s="19" t="n">
        <v>0</v>
      </c>
      <c r="BN106" s="19" t="n">
        <v>0</v>
      </c>
      <c r="BO106" s="19" t="n">
        <v>0</v>
      </c>
      <c r="BP106" s="19" t="n">
        <v>0</v>
      </c>
      <c r="BQ106" s="19" t="n">
        <v>0</v>
      </c>
      <c r="BR106" s="19" t="n">
        <v>1</v>
      </c>
      <c r="BS106" s="19" t="n">
        <v>1</v>
      </c>
      <c r="BT106" s="19" t="n">
        <v>2</v>
      </c>
      <c r="BU106" s="19" t="n">
        <v>5</v>
      </c>
      <c r="BV106" s="19" t="n">
        <v>2</v>
      </c>
      <c r="BW106" s="19" t="n">
        <v>2</v>
      </c>
      <c r="BX106" s="19" t="n">
        <v>3</v>
      </c>
      <c r="BY106" s="19" t="n">
        <v>4</v>
      </c>
      <c r="BZ106" s="19" t="n">
        <v>5</v>
      </c>
      <c r="CA106" s="19" t="n">
        <v>5</v>
      </c>
      <c r="CB106" s="19" t="n">
        <v>5</v>
      </c>
      <c r="CC106" s="19" t="n">
        <v>5</v>
      </c>
      <c r="CD106" s="19" t="n">
        <v>4</v>
      </c>
      <c r="CE106" s="19" t="n">
        <v>4</v>
      </c>
      <c r="CF106" s="19" t="n">
        <v>4</v>
      </c>
      <c r="CG106" s="19" t="n">
        <v>4</v>
      </c>
      <c r="CH106" s="19" t="n">
        <v>5</v>
      </c>
      <c r="CI106" s="19" t="n">
        <v>5</v>
      </c>
      <c r="CJ106" s="19" t="n">
        <v>5</v>
      </c>
      <c r="CK106" s="19" t="n">
        <v>8</v>
      </c>
      <c r="CL106" s="0" t="s">
        <v>185</v>
      </c>
      <c r="CM106" s="0" t="n">
        <v>21.5</v>
      </c>
      <c r="CN106" s="16" t="n">
        <v>54.9</v>
      </c>
      <c r="CO106" s="16" t="n">
        <v>80.4</v>
      </c>
      <c r="CP106" s="16" t="n">
        <v>17.9</v>
      </c>
      <c r="CQ106" s="0" t="n">
        <v>90.61</v>
      </c>
      <c r="CR106" s="17" t="n">
        <v>0</v>
      </c>
      <c r="CS106" s="0" t="n">
        <v>0</v>
      </c>
      <c r="CT106" s="0" t="n">
        <v>2.45</v>
      </c>
      <c r="CU106" s="0" t="n">
        <v>6.94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12.16</v>
      </c>
      <c r="DC106" s="0" t="n">
        <v>24.45</v>
      </c>
      <c r="DD106" s="0" t="n">
        <v>4.8</v>
      </c>
      <c r="DE106" s="0" t="n">
        <v>5.11</v>
      </c>
      <c r="DF106" s="0" t="n">
        <v>0</v>
      </c>
      <c r="DG106" s="0" t="n">
        <v>0</v>
      </c>
      <c r="DH106" s="0" t="n">
        <v>0</v>
      </c>
      <c r="DU106" s="0" t="n">
        <v>2.9</v>
      </c>
      <c r="DV106" s="0" t="n">
        <v>1</v>
      </c>
      <c r="DW106" s="0" t="n">
        <v>68</v>
      </c>
      <c r="DX106" s="0" t="n">
        <v>2</v>
      </c>
      <c r="DY106" s="0" t="n">
        <f aca="false">0.38+0.07</f>
        <v>0.45</v>
      </c>
      <c r="DZ106" s="0" t="n">
        <v>1</v>
      </c>
      <c r="EG106" s="18"/>
      <c r="EY106" s="0" t="n">
        <v>1</v>
      </c>
      <c r="EZ106" s="0" t="n">
        <v>40</v>
      </c>
      <c r="FA106" s="0" t="n">
        <v>1</v>
      </c>
      <c r="FB106" s="0" t="n">
        <v>0.06</v>
      </c>
      <c r="FC106" s="0" t="n">
        <v>1</v>
      </c>
      <c r="FD106" s="0" t="n">
        <v>60</v>
      </c>
      <c r="FE106" s="0" t="n">
        <v>1</v>
      </c>
      <c r="FF106" s="0" t="n">
        <v>0.11</v>
      </c>
      <c r="FG106" s="0" t="n">
        <v>1</v>
      </c>
      <c r="FH106" s="0" t="n">
        <v>40</v>
      </c>
      <c r="FI106" s="0" t="n">
        <v>1</v>
      </c>
      <c r="FJ106" s="0" t="n">
        <v>0.58</v>
      </c>
      <c r="FK106" s="0" t="n">
        <v>6</v>
      </c>
      <c r="GJ106" s="16" t="n">
        <v>0</v>
      </c>
      <c r="GK106" s="16" t="n">
        <v>0</v>
      </c>
      <c r="GL106" s="16"/>
      <c r="GM106" s="16"/>
      <c r="GN106" s="16"/>
      <c r="GO106" s="16"/>
      <c r="GP106" s="16"/>
      <c r="GQ106" s="16"/>
      <c r="GR106" s="16"/>
      <c r="GS106" s="16"/>
      <c r="GT106" s="16"/>
      <c r="GU106" s="16" t="n">
        <v>0.67</v>
      </c>
      <c r="GV106" s="16" t="n">
        <v>0.65</v>
      </c>
      <c r="GW106" s="16"/>
      <c r="GX106" s="16"/>
      <c r="GY106" s="16" t="n">
        <v>0</v>
      </c>
      <c r="GZ106" s="16" t="n">
        <v>0</v>
      </c>
      <c r="HA106" s="16" t="n">
        <v>0</v>
      </c>
      <c r="HB106" s="0" t="n">
        <v>0</v>
      </c>
      <c r="HC106" s="0" t="s">
        <v>186</v>
      </c>
      <c r="HD106" s="0" t="n">
        <v>52.5</v>
      </c>
      <c r="HE106" s="16" t="n">
        <v>78.3</v>
      </c>
      <c r="HF106" s="16" t="n">
        <v>80.4</v>
      </c>
      <c r="HG106" s="16" t="n">
        <v>33.2</v>
      </c>
      <c r="HH106" s="0" t="n">
        <v>67.5</v>
      </c>
      <c r="HI106" s="17" t="n">
        <v>0</v>
      </c>
      <c r="HJ106" s="0" t="n">
        <v>21.37</v>
      </c>
      <c r="HK106" s="0" t="n">
        <v>0</v>
      </c>
      <c r="HL106" s="0" t="n">
        <v>3.99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5.93</v>
      </c>
      <c r="HU106" s="0" t="n">
        <v>42.2</v>
      </c>
      <c r="HV106" s="0" t="n">
        <v>15.97</v>
      </c>
      <c r="HW106" s="0" t="n">
        <v>7.14</v>
      </c>
      <c r="HX106" s="0" t="n">
        <v>0</v>
      </c>
      <c r="HY106" s="0" t="n">
        <v>0</v>
      </c>
      <c r="IL106" s="0" t="n">
        <v>1.7</v>
      </c>
      <c r="IM106" s="0" t="n">
        <v>1</v>
      </c>
      <c r="IN106" s="0" t="n">
        <v>34</v>
      </c>
      <c r="IO106" s="0" t="n">
        <v>5</v>
      </c>
      <c r="IP106" s="0" t="n">
        <v>0.21</v>
      </c>
      <c r="IQ106" s="0" t="n">
        <v>1</v>
      </c>
      <c r="IR106" s="0" t="n">
        <v>68</v>
      </c>
      <c r="IS106" s="0" t="n">
        <v>3</v>
      </c>
      <c r="IT106" s="0" t="n">
        <v>0.3</v>
      </c>
      <c r="IU106" s="0" t="n">
        <v>1</v>
      </c>
      <c r="IV106" s="0" t="n">
        <v>47</v>
      </c>
      <c r="IW106" s="0" t="n">
        <v>4</v>
      </c>
      <c r="IX106" s="18" t="n">
        <v>0.11</v>
      </c>
      <c r="IY106" s="0" t="n">
        <v>1</v>
      </c>
      <c r="IZ106" s="0" t="n">
        <v>35</v>
      </c>
      <c r="JA106" s="0" t="n">
        <v>2</v>
      </c>
      <c r="JB106" s="0" t="n">
        <v>0.1</v>
      </c>
      <c r="JC106" s="0" t="n">
        <v>1</v>
      </c>
      <c r="JP106" s="0" t="n">
        <v>0</v>
      </c>
      <c r="LA106" s="16" t="n">
        <v>1.04</v>
      </c>
      <c r="LB106" s="16" t="n">
        <v>1</v>
      </c>
      <c r="LC106" s="16" t="n">
        <v>1</v>
      </c>
      <c r="LD106" s="16"/>
      <c r="LE106" s="16" t="n">
        <f aca="false">3.74+3.17+0.1</f>
        <v>7.01</v>
      </c>
      <c r="LF106" s="16"/>
      <c r="LG106" s="16"/>
      <c r="LH106" s="16"/>
      <c r="LI106" s="16"/>
      <c r="LJ106" s="16"/>
      <c r="LK106" s="16"/>
      <c r="LL106" s="16" t="n">
        <v>8.9</v>
      </c>
      <c r="LM106" s="16" t="n">
        <v>9.79</v>
      </c>
      <c r="LN106" s="16"/>
      <c r="LO106" s="16"/>
      <c r="LP106" s="16" t="n">
        <v>2.99</v>
      </c>
      <c r="LQ106" s="16" t="n">
        <v>4</v>
      </c>
      <c r="LR106" s="16" t="n">
        <v>3</v>
      </c>
      <c r="LS106" s="0" t="n">
        <v>0</v>
      </c>
      <c r="LT106" s="0" t="s">
        <v>187</v>
      </c>
      <c r="LU106" s="0" t="n">
        <v>53.5</v>
      </c>
      <c r="LV106" s="16" t="n">
        <v>73.5</v>
      </c>
      <c r="LW106" s="16" t="n">
        <v>80.4</v>
      </c>
      <c r="LX106" s="16" t="n">
        <v>26.1</v>
      </c>
      <c r="LY106" s="0" t="n">
        <v>78.89</v>
      </c>
      <c r="LZ106" s="17" t="n">
        <v>0</v>
      </c>
      <c r="MA106" s="0" t="n">
        <v>2.36</v>
      </c>
      <c r="MB106" s="0" t="n">
        <v>0</v>
      </c>
      <c r="MC106" s="0" t="n">
        <v>11.6</v>
      </c>
      <c r="MD106" s="0" t="n">
        <v>0</v>
      </c>
      <c r="ME106" s="0" t="n">
        <v>0</v>
      </c>
      <c r="MF106" s="0" t="n">
        <v>0</v>
      </c>
      <c r="MG106" s="0" t="n">
        <v>0</v>
      </c>
      <c r="MH106" s="0" t="n">
        <v>0</v>
      </c>
      <c r="MI106" s="0" t="n">
        <v>0</v>
      </c>
      <c r="MJ106" s="0" t="n">
        <v>7.86</v>
      </c>
      <c r="MK106" s="0" t="n">
        <v>12.08</v>
      </c>
      <c r="ML106" s="0" t="n">
        <v>18.1</v>
      </c>
      <c r="MM106" s="0" t="n">
        <v>28.51</v>
      </c>
      <c r="MN106" s="0" t="n">
        <v>7.14</v>
      </c>
      <c r="MO106" s="0" t="n">
        <v>0</v>
      </c>
      <c r="MP106" s="0" t="n">
        <v>0</v>
      </c>
      <c r="NC106" s="0" t="n">
        <v>11.6</v>
      </c>
      <c r="ND106" s="0" t="n">
        <v>1</v>
      </c>
      <c r="NE106" s="0" t="n">
        <v>47</v>
      </c>
      <c r="NF106" s="0" t="n">
        <v>4</v>
      </c>
      <c r="NG106" s="0" t="n">
        <f aca="false">1.15+0.34</f>
        <v>1.49</v>
      </c>
      <c r="NH106" s="0" t="n">
        <v>3</v>
      </c>
      <c r="NO106" s="18"/>
      <c r="OG106" s="0" t="n">
        <v>1</v>
      </c>
      <c r="OH106" s="0" t="n">
        <v>50</v>
      </c>
      <c r="OI106" s="0" t="n">
        <v>1</v>
      </c>
      <c r="OJ106" s="0" t="n">
        <v>0.19</v>
      </c>
      <c r="OK106" s="0" t="n">
        <v>3</v>
      </c>
      <c r="PR106" s="16" t="n">
        <v>7.27</v>
      </c>
      <c r="PS106" s="16" t="n">
        <v>1</v>
      </c>
      <c r="PT106" s="16" t="n">
        <v>1</v>
      </c>
      <c r="PU106" s="16"/>
      <c r="PV106" s="16" t="n">
        <f aca="false">2.11*2+0.37*2</f>
        <v>4.96</v>
      </c>
      <c r="PW106" s="16" t="n">
        <v>3</v>
      </c>
      <c r="PX106" s="16"/>
      <c r="PY106" s="16" t="n">
        <f aca="false">1.44+0.72</f>
        <v>2.16</v>
      </c>
      <c r="PZ106" s="16"/>
      <c r="QA106" s="16"/>
      <c r="QB106" s="16"/>
      <c r="QC106" s="16" t="n">
        <v>5.39</v>
      </c>
      <c r="QD106" s="16" t="n">
        <v>8.11</v>
      </c>
      <c r="QE106" s="16"/>
      <c r="QF106" s="16"/>
      <c r="QG106" s="16" t="n">
        <v>0</v>
      </c>
      <c r="QH106" s="16" t="n">
        <v>0</v>
      </c>
      <c r="QI106" s="16" t="n">
        <v>3</v>
      </c>
      <c r="QJ106" s="0" t="n">
        <v>0</v>
      </c>
      <c r="QK106" s="0" t="s">
        <v>188</v>
      </c>
      <c r="QL106" s="0" t="n">
        <v>40</v>
      </c>
      <c r="QM106" s="16" t="n">
        <v>84.1</v>
      </c>
      <c r="QN106" s="16" t="n">
        <v>80.4</v>
      </c>
      <c r="QO106" s="16" t="n">
        <v>35.1</v>
      </c>
      <c r="QP106" s="0" t="n">
        <v>66.11</v>
      </c>
      <c r="QQ106" s="17" t="n">
        <v>0</v>
      </c>
      <c r="QR106" s="0" t="n">
        <v>13.11</v>
      </c>
      <c r="QS106" s="0" t="n">
        <v>6.27</v>
      </c>
      <c r="QT106" s="0" t="n">
        <v>8.02</v>
      </c>
      <c r="QU106" s="0" t="n">
        <v>0</v>
      </c>
      <c r="QV106" s="0" t="n">
        <v>6.47</v>
      </c>
      <c r="QW106" s="0" t="n">
        <v>2.85</v>
      </c>
      <c r="QX106" s="0" t="n">
        <v>3.1</v>
      </c>
      <c r="QY106" s="0" t="n">
        <v>0</v>
      </c>
      <c r="QZ106" s="0" t="n">
        <v>0</v>
      </c>
      <c r="RA106" s="0" t="n">
        <v>10.49</v>
      </c>
      <c r="RB106" s="0" t="n">
        <v>26.72</v>
      </c>
      <c r="RC106" s="0" t="n">
        <v>13.38</v>
      </c>
      <c r="RD106" s="0" t="n">
        <v>10.67</v>
      </c>
      <c r="RE106" s="0" t="n">
        <v>0</v>
      </c>
      <c r="RF106" s="0" t="n">
        <v>0</v>
      </c>
      <c r="RG106" s="0" t="n">
        <v>0</v>
      </c>
      <c r="RT106" s="0" t="n">
        <v>3.9</v>
      </c>
      <c r="RU106" s="0" t="n">
        <v>1</v>
      </c>
      <c r="RV106" s="0" t="n">
        <v>68</v>
      </c>
      <c r="RW106" s="0" t="n">
        <v>4</v>
      </c>
      <c r="RX106" s="0" t="n">
        <f aca="false">1.9+0.34</f>
        <v>2.24</v>
      </c>
      <c r="RY106" s="0" t="n">
        <v>1</v>
      </c>
      <c r="RZ106" s="0" t="n">
        <v>34</v>
      </c>
      <c r="SA106" s="0" t="n">
        <v>8</v>
      </c>
      <c r="SB106" s="0" t="n">
        <v>0.27</v>
      </c>
      <c r="SC106" s="0" t="n">
        <v>1</v>
      </c>
      <c r="SF106" s="18"/>
      <c r="SX106" s="0" t="n">
        <v>1</v>
      </c>
      <c r="SY106" s="0" t="n">
        <v>50</v>
      </c>
      <c r="SZ106" s="0" t="n">
        <v>4</v>
      </c>
      <c r="TA106" s="0" t="n">
        <f aca="false">1.52*2</f>
        <v>3.04</v>
      </c>
      <c r="TB106" s="0" t="n">
        <v>3</v>
      </c>
      <c r="UI106" s="16" t="n">
        <v>0.04</v>
      </c>
      <c r="UJ106" s="16" t="n">
        <v>1</v>
      </c>
      <c r="UK106" s="16" t="n">
        <v>1</v>
      </c>
      <c r="UL106" s="16"/>
      <c r="UM106" s="16" t="n">
        <f aca="false">0.3</f>
        <v>0.3</v>
      </c>
      <c r="UN106" s="16"/>
      <c r="UO106" s="16"/>
      <c r="UP106" s="16"/>
      <c r="UQ106" s="16"/>
      <c r="UR106" s="16"/>
      <c r="US106" s="16"/>
      <c r="UT106" s="16" t="n">
        <v>0.03</v>
      </c>
      <c r="UU106" s="16" t="n">
        <v>0.03</v>
      </c>
      <c r="UV106" s="16"/>
      <c r="UW106" s="16"/>
      <c r="UX106" s="16" t="n">
        <v>0</v>
      </c>
      <c r="UY106" s="16" t="n">
        <v>0</v>
      </c>
      <c r="UZ106" s="16" t="n">
        <v>0</v>
      </c>
      <c r="VA106" s="0" t="n">
        <v>0</v>
      </c>
      <c r="VB106" s="0" t="s">
        <v>189</v>
      </c>
      <c r="VC106" s="0" t="n">
        <v>31</v>
      </c>
      <c r="VD106" s="16" t="n">
        <v>80.2</v>
      </c>
      <c r="VE106" s="16" t="n">
        <v>80.4</v>
      </c>
      <c r="VF106" s="16" t="n">
        <v>6.5</v>
      </c>
      <c r="VG106" s="0" t="n">
        <v>99.3</v>
      </c>
      <c r="VH106" s="17" t="n">
        <v>0</v>
      </c>
      <c r="VI106" s="0" t="n">
        <v>0.7</v>
      </c>
      <c r="VJ106" s="0" t="n">
        <v>0</v>
      </c>
      <c r="VK106" s="0" t="n">
        <v>0</v>
      </c>
      <c r="VL106" s="0" t="n">
        <v>0</v>
      </c>
      <c r="VM106" s="0" t="n">
        <v>0</v>
      </c>
      <c r="VN106" s="0" t="n">
        <v>0</v>
      </c>
      <c r="VO106" s="0" t="n">
        <v>0</v>
      </c>
      <c r="VP106" s="0" t="n">
        <v>0</v>
      </c>
      <c r="VQ106" s="0" t="n">
        <v>0</v>
      </c>
      <c r="VR106" s="0" t="n">
        <v>0</v>
      </c>
      <c r="VS106" s="0" t="n">
        <v>31.92</v>
      </c>
      <c r="VT106" s="0" t="n">
        <v>23.7</v>
      </c>
      <c r="VU106" s="0" t="n">
        <v>1.95</v>
      </c>
      <c r="VV106" s="0" t="n">
        <v>0</v>
      </c>
      <c r="VW106" s="0" t="n">
        <v>18.7</v>
      </c>
      <c r="VX106" s="0" t="n">
        <v>4</v>
      </c>
      <c r="VY106" s="0" t="n">
        <v>49</v>
      </c>
      <c r="WA106" s="0" t="n">
        <v>1</v>
      </c>
      <c r="WE106" s="0" t="n">
        <v>49</v>
      </c>
      <c r="WG106" s="0" t="n">
        <v>1</v>
      </c>
      <c r="WK106" s="0" t="n">
        <v>0</v>
      </c>
      <c r="WL106" s="0" t="n">
        <v>0</v>
      </c>
      <c r="WW106" s="18"/>
      <c r="XO106" s="0" t="n">
        <v>0</v>
      </c>
      <c r="YZ106" s="16" t="n">
        <v>0</v>
      </c>
      <c r="ZA106" s="16" t="n">
        <v>0</v>
      </c>
      <c r="ZB106" s="16"/>
      <c r="ZC106" s="16"/>
      <c r="ZD106" s="16"/>
      <c r="ZE106" s="16"/>
      <c r="ZF106" s="16"/>
      <c r="ZG106" s="16"/>
      <c r="ZH106" s="16"/>
      <c r="ZI106" s="16"/>
      <c r="ZJ106" s="16"/>
      <c r="ZK106" s="16" t="n">
        <v>5.42</v>
      </c>
      <c r="ZL106" s="16" t="n">
        <v>6.61</v>
      </c>
      <c r="ZM106" s="16"/>
      <c r="ZN106" s="16"/>
      <c r="ZO106" s="16" t="n">
        <v>0</v>
      </c>
      <c r="ZP106" s="16" t="n">
        <v>0</v>
      </c>
      <c r="ZQ106" s="16" t="n">
        <v>0</v>
      </c>
      <c r="ZR106" s="0" t="n">
        <v>0</v>
      </c>
      <c r="ZS106" s="0" t="s">
        <v>190</v>
      </c>
      <c r="ZT106" s="0" t="n">
        <v>38.5</v>
      </c>
      <c r="ZU106" s="16" t="n">
        <v>92</v>
      </c>
      <c r="ZV106" s="16" t="n">
        <v>80.4</v>
      </c>
      <c r="ZW106" s="16" t="n">
        <v>11</v>
      </c>
      <c r="ZX106" s="0" t="n">
        <v>95.37</v>
      </c>
      <c r="ZY106" s="17" t="n">
        <v>0</v>
      </c>
      <c r="ZZ106" s="0" t="n">
        <v>4.63</v>
      </c>
      <c r="AAA106" s="0" t="n">
        <v>0</v>
      </c>
      <c r="AAB106" s="0" t="n">
        <v>0</v>
      </c>
      <c r="AAC106" s="0" t="n">
        <v>0</v>
      </c>
      <c r="AAD106" s="0" t="n">
        <v>0</v>
      </c>
      <c r="AAE106" s="0" t="n">
        <v>0</v>
      </c>
      <c r="AAF106" s="0" t="n">
        <v>0</v>
      </c>
      <c r="AAG106" s="0" t="n">
        <v>0</v>
      </c>
      <c r="AAH106" s="0" t="n">
        <v>0</v>
      </c>
      <c r="AAI106" s="0" t="n">
        <v>2.85</v>
      </c>
      <c r="AAJ106" s="0" t="n">
        <v>16.15</v>
      </c>
      <c r="AAK106" s="0" t="n">
        <v>42.55</v>
      </c>
      <c r="AAL106" s="0" t="n">
        <v>4.63</v>
      </c>
      <c r="AAM106" s="0" t="n">
        <v>0</v>
      </c>
      <c r="AAN106" s="0" t="n">
        <v>5.7</v>
      </c>
      <c r="AAO106" s="0" t="n">
        <v>1</v>
      </c>
      <c r="AAP106" s="0" t="n">
        <v>3</v>
      </c>
      <c r="AAR106" s="0" t="n">
        <v>1</v>
      </c>
      <c r="AAV106" s="0" t="n">
        <v>3</v>
      </c>
      <c r="AAX106" s="0" t="n">
        <v>1</v>
      </c>
      <c r="ABB106" s="0" t="n">
        <v>4.8</v>
      </c>
      <c r="ABC106" s="0" t="n">
        <v>0</v>
      </c>
      <c r="ABN106" s="18"/>
      <c r="ACF106" s="0" t="n">
        <v>1</v>
      </c>
      <c r="ACG106" s="0" t="n">
        <v>70</v>
      </c>
      <c r="ACH106" s="0" t="n">
        <v>3</v>
      </c>
      <c r="ACI106" s="0" t="n">
        <f aca="false">14.97+0.86+0.7</f>
        <v>16.53</v>
      </c>
      <c r="ACJ106" s="0" t="n">
        <v>3</v>
      </c>
      <c r="ACK106" s="0" t="n">
        <v>60</v>
      </c>
      <c r="ACL106" s="0" t="n">
        <v>3</v>
      </c>
      <c r="ACM106" s="0" t="n">
        <f aca="false">3.02+0.97+0.6</f>
        <v>4.59</v>
      </c>
      <c r="ACN106" s="0" t="n">
        <v>3</v>
      </c>
      <c r="ADQ106" s="16" t="n">
        <v>2.82</v>
      </c>
      <c r="ADR106" s="16" t="n">
        <v>1</v>
      </c>
      <c r="ADS106" s="16" t="n">
        <v>1</v>
      </c>
      <c r="ADT106" s="16"/>
      <c r="ADU106" s="16" t="n">
        <f aca="false">0.93*2</f>
        <v>1.86</v>
      </c>
      <c r="ADV106" s="16" t="n">
        <v>2</v>
      </c>
      <c r="ADW106" s="16"/>
      <c r="ADX106" s="16" t="n">
        <f aca="false">9.6+1.93</f>
        <v>11.53</v>
      </c>
      <c r="ADY106" s="16"/>
      <c r="ADZ106" s="16"/>
      <c r="AEA106" s="16"/>
      <c r="AEB106" s="16" t="n">
        <v>13.91</v>
      </c>
      <c r="AEC106" s="16" t="n">
        <v>17.31</v>
      </c>
      <c r="AED106" s="16"/>
      <c r="AEE106" s="16"/>
      <c r="AEF106" s="16" t="n">
        <v>0</v>
      </c>
      <c r="AEG106" s="16" t="n">
        <v>0</v>
      </c>
      <c r="AEH106" s="16" t="n">
        <v>0</v>
      </c>
      <c r="AEI106" s="0" t="n">
        <v>0</v>
      </c>
      <c r="AEJ106" s="0" t="s">
        <v>191</v>
      </c>
      <c r="AEK106" s="0" t="n">
        <v>44</v>
      </c>
      <c r="AEL106" s="16" t="n">
        <v>75.8</v>
      </c>
      <c r="AEM106" s="16" t="n">
        <v>80.4</v>
      </c>
      <c r="AEN106" s="16" t="n">
        <v>12.2</v>
      </c>
      <c r="AEO106" s="0" t="n">
        <v>90.24</v>
      </c>
      <c r="AEP106" s="17" t="n">
        <v>0</v>
      </c>
      <c r="AEQ106" s="0" t="n">
        <v>6.27</v>
      </c>
      <c r="AER106" s="0" t="n">
        <v>0</v>
      </c>
      <c r="AES106" s="0" t="n">
        <v>3.49</v>
      </c>
      <c r="AET106" s="0" t="n">
        <v>0</v>
      </c>
      <c r="AEU106" s="0" t="n">
        <v>0</v>
      </c>
      <c r="AEV106" s="0" t="n">
        <v>0</v>
      </c>
      <c r="AEW106" s="0" t="n">
        <v>0</v>
      </c>
      <c r="AEX106" s="0" t="n">
        <v>0</v>
      </c>
      <c r="AEY106" s="0" t="n">
        <v>0</v>
      </c>
      <c r="AEZ106" s="0" t="n">
        <v>0</v>
      </c>
      <c r="AFA106" s="0" t="n">
        <v>24.37</v>
      </c>
      <c r="AFB106" s="0" t="n">
        <v>32.21</v>
      </c>
      <c r="AFC106" s="0" t="n">
        <v>3.56</v>
      </c>
      <c r="AFD106" s="0" t="n">
        <v>0</v>
      </c>
      <c r="AFE106" s="0" t="n">
        <v>0</v>
      </c>
      <c r="AFF106" s="0" t="n">
        <v>0</v>
      </c>
      <c r="AFS106" s="0" t="n">
        <v>20.3</v>
      </c>
      <c r="AFT106" s="0" t="n">
        <v>1</v>
      </c>
      <c r="AFU106" s="0" t="n">
        <v>30</v>
      </c>
      <c r="AFV106" s="0" t="n">
        <v>4</v>
      </c>
      <c r="AFW106" s="0" t="n">
        <v>3.01</v>
      </c>
      <c r="AFX106" s="0" t="n">
        <v>5</v>
      </c>
      <c r="AFY106" s="0" t="n">
        <v>68</v>
      </c>
      <c r="AFZ106" s="0" t="n">
        <v>2</v>
      </c>
      <c r="AGA106" s="0" t="n">
        <v>1.52</v>
      </c>
      <c r="AGB106" s="0" t="n">
        <v>1</v>
      </c>
      <c r="AGC106" s="0" t="n">
        <v>47</v>
      </c>
      <c r="AGD106" s="0" t="n">
        <v>1</v>
      </c>
      <c r="AGE106" s="18" t="n">
        <v>0.07</v>
      </c>
      <c r="AGF106" s="0" t="n">
        <v>3</v>
      </c>
      <c r="AGW106" s="0" t="n">
        <v>0</v>
      </c>
      <c r="AIH106" s="16" t="n">
        <v>1.88</v>
      </c>
      <c r="AII106" s="16" t="n">
        <v>1</v>
      </c>
      <c r="AIJ106" s="16" t="n">
        <v>2</v>
      </c>
      <c r="AIK106" s="16"/>
      <c r="AIL106" s="16" t="n">
        <v>4.18</v>
      </c>
      <c r="AIM106" s="16"/>
      <c r="AIN106" s="16"/>
      <c r="AIO106" s="16"/>
      <c r="AIP106" s="16"/>
      <c r="AIQ106" s="16"/>
      <c r="AIR106" s="16"/>
      <c r="AIS106" s="16" t="n">
        <v>7.15</v>
      </c>
      <c r="AIT106" s="16" t="n">
        <v>6.06</v>
      </c>
      <c r="AIU106" s="16"/>
      <c r="AIV106" s="16"/>
      <c r="AIW106" s="16" t="n">
        <v>0</v>
      </c>
      <c r="AIX106" s="16" t="n">
        <v>0</v>
      </c>
      <c r="AIY106" s="16" t="n">
        <v>0</v>
      </c>
      <c r="AIZ106" s="0" t="n">
        <v>0</v>
      </c>
      <c r="AJA106" s="0" t="s">
        <v>192</v>
      </c>
      <c r="AJB106" s="0" t="n">
        <v>47.5</v>
      </c>
      <c r="AJC106" s="16" t="n">
        <v>79.3</v>
      </c>
      <c r="AJD106" s="16" t="n">
        <v>80.4</v>
      </c>
      <c r="AJE106" s="16" t="n">
        <v>36.3</v>
      </c>
      <c r="AJF106" s="0" t="n">
        <v>66.23</v>
      </c>
      <c r="AJG106" s="17" t="n">
        <v>0</v>
      </c>
      <c r="AJH106" s="0" t="n">
        <v>33.77</v>
      </c>
      <c r="AJI106" s="0" t="n">
        <v>0</v>
      </c>
      <c r="AJJ106" s="0" t="n">
        <v>0</v>
      </c>
      <c r="AJK106" s="0" t="n">
        <v>0</v>
      </c>
      <c r="AJL106" s="0" t="n">
        <v>0</v>
      </c>
      <c r="AJM106" s="0" t="n">
        <v>0</v>
      </c>
      <c r="AJN106" s="0" t="n">
        <v>0</v>
      </c>
      <c r="AJO106" s="0" t="n">
        <v>0</v>
      </c>
      <c r="AJP106" s="0" t="n">
        <v>0</v>
      </c>
      <c r="AJQ106" s="0" t="n">
        <v>0</v>
      </c>
      <c r="AJR106" s="0" t="n">
        <v>38.37</v>
      </c>
      <c r="AJS106" s="0" t="n">
        <v>20.04</v>
      </c>
      <c r="AJT106" s="0" t="n">
        <v>11.21</v>
      </c>
      <c r="AJU106" s="0" t="n">
        <v>0</v>
      </c>
      <c r="AJV106" s="0" t="n">
        <v>0</v>
      </c>
      <c r="AJW106" s="0" t="n">
        <v>0</v>
      </c>
      <c r="AKJ106" s="0" t="n">
        <v>6.9</v>
      </c>
      <c r="AKK106" s="0" t="n">
        <v>1</v>
      </c>
      <c r="AKL106" s="0" t="n">
        <v>47</v>
      </c>
      <c r="AKM106" s="0" t="n">
        <v>3</v>
      </c>
      <c r="AKN106" s="0" t="n">
        <f aca="false">0.11+0.74+0.08</f>
        <v>0.93</v>
      </c>
      <c r="AKO106" s="0" t="n">
        <v>3</v>
      </c>
      <c r="AKP106" s="0" t="n">
        <v>68</v>
      </c>
      <c r="AKQ106" s="0" t="n">
        <v>1</v>
      </c>
      <c r="AKR106" s="0" t="n">
        <v>0.76</v>
      </c>
      <c r="AKS106" s="0" t="n">
        <v>1</v>
      </c>
      <c r="AKV106" s="18"/>
      <c r="ALN106" s="0" t="n">
        <v>0</v>
      </c>
    </row>
    <row r="107" customFormat="false" ht="13.8" hidden="false" customHeight="false" outlineLevel="0" collapsed="false">
      <c r="A107" s="1" t="s">
        <v>495</v>
      </c>
      <c r="B107" s="12" t="n">
        <v>42905</v>
      </c>
      <c r="C107" s="0" t="n">
        <v>2</v>
      </c>
      <c r="D107" s="13" t="n">
        <v>42814</v>
      </c>
      <c r="E107" s="12" t="n">
        <v>34439</v>
      </c>
      <c r="F107" s="14" t="n">
        <f aca="false">(B107-E107)/365.25</f>
        <v>23.1786447638604</v>
      </c>
      <c r="G107" s="14" t="n">
        <f aca="false">(B107-D107)/365.25</f>
        <v>0.249144421629021</v>
      </c>
      <c r="H107" s="15" t="s">
        <v>181</v>
      </c>
      <c r="I107" s="15" t="s">
        <v>496</v>
      </c>
      <c r="J107" s="15" t="s">
        <v>183</v>
      </c>
      <c r="K107" s="21" t="n">
        <v>4</v>
      </c>
      <c r="L107" s="19" t="n">
        <v>70</v>
      </c>
      <c r="M107" s="0" t="n">
        <v>1.84</v>
      </c>
      <c r="N107" s="16" t="n">
        <f aca="false">L107/(M107*M107)</f>
        <v>20.6758034026465</v>
      </c>
      <c r="O107" s="19" t="n">
        <v>0</v>
      </c>
      <c r="P107" s="19" t="n">
        <v>0</v>
      </c>
      <c r="Q107" s="19" t="n">
        <v>0</v>
      </c>
      <c r="R107" s="19" t="n">
        <v>0</v>
      </c>
      <c r="S107" s="19" t="n">
        <v>0</v>
      </c>
      <c r="T107" s="19" t="n">
        <v>0</v>
      </c>
      <c r="U107" s="19" t="n">
        <v>0</v>
      </c>
      <c r="V107" s="19" t="n">
        <v>0</v>
      </c>
      <c r="W107" s="19" t="n">
        <v>0</v>
      </c>
      <c r="X107" s="19" t="n">
        <v>0</v>
      </c>
      <c r="Y107" s="19" t="n">
        <v>1</v>
      </c>
      <c r="Z107" s="19" t="n">
        <v>1</v>
      </c>
      <c r="AA107" s="19" t="n">
        <v>300</v>
      </c>
      <c r="AB107" s="19" t="s">
        <v>497</v>
      </c>
      <c r="AC107" s="19" t="n">
        <v>0</v>
      </c>
      <c r="AD107" s="19" t="n">
        <v>0</v>
      </c>
      <c r="AE107" s="19" t="n">
        <v>0</v>
      </c>
      <c r="AF107" s="19" t="n">
        <v>0</v>
      </c>
      <c r="AG107" s="19" t="n">
        <v>0</v>
      </c>
      <c r="AH107" s="19" t="n">
        <v>0</v>
      </c>
      <c r="AI107" s="19" t="n">
        <v>1</v>
      </c>
      <c r="AJ107" s="19" t="n">
        <v>0</v>
      </c>
      <c r="AK107" s="19" t="n">
        <v>0</v>
      </c>
      <c r="AL107" s="19" t="n">
        <v>0</v>
      </c>
      <c r="AM107" s="19" t="n">
        <v>0</v>
      </c>
      <c r="AN107" s="19" t="n">
        <v>0</v>
      </c>
      <c r="AO107" s="19" t="n">
        <v>0</v>
      </c>
      <c r="AP107" s="19" t="n">
        <v>0</v>
      </c>
      <c r="AQ107" s="19" t="n">
        <v>0</v>
      </c>
      <c r="AR107" s="19" t="n">
        <v>0</v>
      </c>
      <c r="AS107" s="19" t="n">
        <v>0</v>
      </c>
      <c r="AT107" s="19" t="n">
        <v>0</v>
      </c>
      <c r="AU107" s="19" t="n">
        <v>0</v>
      </c>
      <c r="AV107" s="19" t="n">
        <v>0</v>
      </c>
      <c r="AW107" s="19" t="n">
        <v>0</v>
      </c>
      <c r="AX107" s="19" t="n">
        <v>0</v>
      </c>
      <c r="AY107" s="19" t="n">
        <v>0</v>
      </c>
      <c r="AZ107" s="19" t="n">
        <v>0</v>
      </c>
      <c r="BA107" s="19" t="n">
        <v>0</v>
      </c>
      <c r="BB107" s="19" t="n">
        <v>0</v>
      </c>
      <c r="BC107" s="19" t="n">
        <v>0</v>
      </c>
      <c r="BD107" s="19" t="n">
        <v>0</v>
      </c>
      <c r="BE107" s="19" t="n">
        <v>0</v>
      </c>
      <c r="BF107" s="19" t="n">
        <v>0</v>
      </c>
      <c r="BG107" s="19" t="n">
        <v>0</v>
      </c>
      <c r="BH107" s="19" t="n">
        <v>0</v>
      </c>
      <c r="BI107" s="19" t="n">
        <v>0</v>
      </c>
      <c r="BJ107" s="19" t="n">
        <v>0</v>
      </c>
      <c r="BK107" s="19" t="n">
        <v>0</v>
      </c>
      <c r="BL107" s="19" t="n">
        <v>0</v>
      </c>
      <c r="BM107" s="19" t="n">
        <v>0</v>
      </c>
      <c r="BN107" s="19" t="n">
        <v>0</v>
      </c>
      <c r="BO107" s="19" t="n">
        <v>0</v>
      </c>
      <c r="BP107" s="19" t="n">
        <v>0</v>
      </c>
      <c r="BQ107" s="19" t="n">
        <v>0</v>
      </c>
      <c r="BR107" s="19" t="n">
        <v>1</v>
      </c>
      <c r="BS107" s="19" t="n">
        <v>2</v>
      </c>
      <c r="BT107" s="19" t="n">
        <v>4</v>
      </c>
      <c r="BU107" s="19" t="n">
        <v>5</v>
      </c>
      <c r="BV107" s="19" t="n">
        <v>2</v>
      </c>
      <c r="BW107" s="19" t="n">
        <v>3</v>
      </c>
      <c r="BX107" s="19" t="n">
        <v>2</v>
      </c>
      <c r="BY107" s="19" t="n">
        <v>3</v>
      </c>
      <c r="BZ107" s="19" t="n">
        <v>4</v>
      </c>
      <c r="CA107" s="19" t="n">
        <v>3</v>
      </c>
      <c r="CB107" s="19" t="n">
        <v>4</v>
      </c>
      <c r="CC107" s="19" t="n">
        <v>4</v>
      </c>
      <c r="CD107" s="19" t="n">
        <v>1</v>
      </c>
      <c r="CE107" s="19" t="n">
        <v>4</v>
      </c>
      <c r="CF107" s="19" t="n">
        <v>5</v>
      </c>
      <c r="CG107" s="19" t="n">
        <v>4</v>
      </c>
      <c r="CH107" s="19" t="n">
        <v>4</v>
      </c>
      <c r="CI107" s="19" t="n">
        <v>4</v>
      </c>
      <c r="CJ107" s="19" t="n">
        <v>4</v>
      </c>
      <c r="CK107" s="19" t="n">
        <v>9</v>
      </c>
      <c r="CL107" s="0" t="s">
        <v>498</v>
      </c>
      <c r="CM107" s="0" t="n">
        <v>33</v>
      </c>
      <c r="CN107" s="16" t="n">
        <v>71.2</v>
      </c>
      <c r="CO107" s="16" t="n">
        <v>80.4</v>
      </c>
      <c r="CP107" s="16" t="n">
        <v>16.3</v>
      </c>
      <c r="CQ107" s="0" t="n">
        <v>83.24</v>
      </c>
      <c r="CR107" s="17" t="n">
        <v>0</v>
      </c>
      <c r="CS107" s="0" t="n">
        <v>0</v>
      </c>
      <c r="CT107" s="0" t="n">
        <v>0</v>
      </c>
      <c r="CU107" s="0" t="n">
        <v>14.14</v>
      </c>
      <c r="CV107" s="0" t="n">
        <v>0</v>
      </c>
      <c r="CW107" s="0" t="n">
        <v>2.63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2.63</v>
      </c>
      <c r="DC107" s="0" t="n">
        <v>10.16</v>
      </c>
      <c r="DD107" s="0" t="n">
        <v>20.83</v>
      </c>
      <c r="DE107" s="0" t="n">
        <v>24.81</v>
      </c>
      <c r="DF107" s="0" t="n">
        <v>0</v>
      </c>
      <c r="DG107" s="0" t="n">
        <v>11.2</v>
      </c>
      <c r="DH107" s="0" t="n">
        <v>1</v>
      </c>
      <c r="DI107" s="0" t="n">
        <v>5</v>
      </c>
      <c r="DK107" s="0" t="n">
        <v>1</v>
      </c>
      <c r="DO107" s="0" t="n">
        <v>5</v>
      </c>
      <c r="DQ107" s="0" t="n">
        <v>1</v>
      </c>
      <c r="DU107" s="0" t="n">
        <v>0</v>
      </c>
      <c r="DV107" s="0" t="n">
        <v>0</v>
      </c>
      <c r="EG107" s="18"/>
      <c r="EY107" s="0" t="n">
        <v>0</v>
      </c>
      <c r="GJ107" s="16" t="n">
        <v>2.71</v>
      </c>
      <c r="GK107" s="16" t="n">
        <v>1</v>
      </c>
      <c r="GL107" s="16" t="n">
        <v>1</v>
      </c>
      <c r="GM107" s="16"/>
      <c r="GN107" s="16" t="n">
        <f aca="false">2.11*4+0.52*2</f>
        <v>9.48</v>
      </c>
      <c r="GO107" s="16"/>
      <c r="GP107" s="16"/>
      <c r="GQ107" s="16"/>
      <c r="GR107" s="16"/>
      <c r="GS107" s="16"/>
      <c r="GT107" s="16"/>
      <c r="GU107" s="16" t="n">
        <v>2.63</v>
      </c>
      <c r="GV107" s="16" t="n">
        <v>2.6</v>
      </c>
      <c r="GW107" s="16" t="n">
        <v>0</v>
      </c>
      <c r="GX107" s="16" t="n">
        <v>0</v>
      </c>
      <c r="GY107" s="16" t="n">
        <v>0</v>
      </c>
      <c r="GZ107" s="16" t="n">
        <v>0</v>
      </c>
      <c r="HA107" s="16" t="n">
        <v>0</v>
      </c>
      <c r="HB107" s="0" t="n">
        <v>0</v>
      </c>
      <c r="HC107" s="0" t="s">
        <v>499</v>
      </c>
      <c r="HD107" s="0" t="n">
        <v>40</v>
      </c>
      <c r="HE107" s="16" t="n">
        <v>79.7</v>
      </c>
      <c r="HF107" s="16" t="n">
        <v>80.4</v>
      </c>
      <c r="HG107" s="16" t="n">
        <v>11.2</v>
      </c>
      <c r="HH107" s="0" t="n">
        <v>91.23</v>
      </c>
      <c r="HI107" s="17" t="n">
        <v>0</v>
      </c>
      <c r="HJ107" s="0" t="n">
        <v>0</v>
      </c>
      <c r="HK107" s="0" t="n">
        <v>0</v>
      </c>
      <c r="HL107" s="0" t="n">
        <v>8.77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18.64</v>
      </c>
      <c r="HU107" s="0" t="n">
        <v>42.82</v>
      </c>
      <c r="HV107" s="0" t="n">
        <v>4.61</v>
      </c>
      <c r="HW107" s="0" t="n">
        <v>0</v>
      </c>
      <c r="HX107" s="0" t="n">
        <v>0</v>
      </c>
      <c r="HY107" s="0" t="n">
        <v>0</v>
      </c>
      <c r="IL107" s="0" t="n">
        <v>23.2</v>
      </c>
      <c r="IM107" s="0" t="n">
        <v>1</v>
      </c>
      <c r="IN107" s="0" t="n">
        <v>35</v>
      </c>
      <c r="IO107" s="0" t="n">
        <f aca="false">2+4+2+2+2+4+2+2+1</f>
        <v>21</v>
      </c>
      <c r="IP107" s="0" t="n">
        <f aca="false">1.52+1.49+0.78*2+0.27+0.43+0.12+0.13</f>
        <v>5.52</v>
      </c>
      <c r="IQ107" s="0" t="n">
        <v>3</v>
      </c>
      <c r="IR107" s="0" t="n">
        <v>10</v>
      </c>
      <c r="IS107" s="0" t="n">
        <v>1</v>
      </c>
      <c r="IT107" s="0" t="n">
        <v>0.1</v>
      </c>
      <c r="IU107" s="0" t="n">
        <v>5</v>
      </c>
      <c r="IV107" s="0" t="n">
        <v>25</v>
      </c>
      <c r="IW107" s="0" t="n">
        <v>8</v>
      </c>
      <c r="IX107" s="18" t="n">
        <f aca="false">0.19*2+0.1</f>
        <v>0.48</v>
      </c>
      <c r="IY107" s="0" t="n">
        <v>1</v>
      </c>
      <c r="JP107" s="0" t="n">
        <v>0</v>
      </c>
      <c r="LA107" s="16" t="n">
        <v>1.52</v>
      </c>
      <c r="LB107" s="16" t="n">
        <v>1</v>
      </c>
      <c r="LC107" s="16" t="n">
        <v>1</v>
      </c>
      <c r="LD107" s="16"/>
      <c r="LE107" s="16" t="n">
        <f aca="false">2.11*2+0.19*3+0.1</f>
        <v>4.89</v>
      </c>
      <c r="LF107" s="16"/>
      <c r="LG107" s="16"/>
      <c r="LH107" s="16"/>
      <c r="LI107" s="16"/>
      <c r="LJ107" s="16"/>
      <c r="LK107" s="16"/>
      <c r="LL107" s="16" t="n">
        <v>0</v>
      </c>
      <c r="LM107" s="16" t="n">
        <v>0</v>
      </c>
      <c r="LN107" s="16" t="n">
        <v>0</v>
      </c>
      <c r="LO107" s="16" t="n">
        <v>0</v>
      </c>
      <c r="LP107" s="16" t="n">
        <v>0</v>
      </c>
      <c r="LQ107" s="16" t="n">
        <v>0</v>
      </c>
      <c r="LR107" s="16" t="n">
        <v>0.06</v>
      </c>
      <c r="LS107" s="0" t="n">
        <v>0</v>
      </c>
      <c r="LT107" s="0" t="s">
        <v>500</v>
      </c>
      <c r="LU107" s="0" t="n">
        <v>48</v>
      </c>
      <c r="LV107" s="16" t="n">
        <v>69.7</v>
      </c>
      <c r="LW107" s="16" t="n">
        <v>80.4</v>
      </c>
      <c r="LX107" s="16" t="n">
        <v>44.5</v>
      </c>
      <c r="LY107" s="0" t="n">
        <v>13.55</v>
      </c>
      <c r="LZ107" s="17" t="n">
        <v>0</v>
      </c>
      <c r="MA107" s="0" t="n">
        <v>0</v>
      </c>
      <c r="MB107" s="0" t="n">
        <v>0</v>
      </c>
      <c r="MC107" s="0" t="n">
        <v>0.1</v>
      </c>
      <c r="MD107" s="0" t="n">
        <v>0</v>
      </c>
      <c r="ME107" s="0" t="n">
        <v>86.34</v>
      </c>
      <c r="MF107" s="0" t="n">
        <v>13.26</v>
      </c>
      <c r="MG107" s="0" t="n">
        <v>28.53</v>
      </c>
      <c r="MH107" s="0" t="n">
        <v>0</v>
      </c>
      <c r="MI107" s="0" t="n">
        <v>0</v>
      </c>
      <c r="MJ107" s="0" t="n">
        <v>0.78</v>
      </c>
      <c r="MK107" s="0" t="n">
        <v>3.48</v>
      </c>
      <c r="ML107" s="0" t="n">
        <v>11.45</v>
      </c>
      <c r="MM107" s="0" t="n">
        <v>6.85</v>
      </c>
      <c r="MN107" s="0" t="n">
        <v>0</v>
      </c>
      <c r="MO107" s="0" t="n">
        <v>0</v>
      </c>
      <c r="MP107" s="0" t="n">
        <v>0</v>
      </c>
      <c r="NC107" s="0" t="n">
        <v>0</v>
      </c>
      <c r="ND107" s="0" t="n">
        <v>0</v>
      </c>
      <c r="NO107" s="18"/>
      <c r="OG107" s="0" t="n">
        <v>0</v>
      </c>
      <c r="PR107" s="16" t="n">
        <v>0.75</v>
      </c>
      <c r="PS107" s="16" t="n">
        <v>1</v>
      </c>
      <c r="PT107" s="16" t="n">
        <v>1</v>
      </c>
      <c r="PU107" s="16"/>
      <c r="PV107" s="16" t="n">
        <f aca="false">2.11+0.37</f>
        <v>2.48</v>
      </c>
      <c r="PW107" s="16"/>
      <c r="PX107" s="16"/>
      <c r="PY107" s="16"/>
      <c r="PZ107" s="16"/>
      <c r="QA107" s="16"/>
      <c r="QB107" s="16"/>
      <c r="QC107" s="16" t="n">
        <v>2.66</v>
      </c>
      <c r="QD107" s="16" t="n">
        <v>2.64</v>
      </c>
      <c r="QE107" s="16" t="n">
        <v>0</v>
      </c>
      <c r="QF107" s="16" t="n">
        <v>0</v>
      </c>
      <c r="QG107" s="16" t="n">
        <v>0</v>
      </c>
      <c r="QH107" s="16" t="n">
        <v>0</v>
      </c>
      <c r="QI107" s="16" t="n">
        <v>0</v>
      </c>
      <c r="QJ107" s="0" t="n">
        <v>0</v>
      </c>
      <c r="QK107" s="0" t="s">
        <v>501</v>
      </c>
      <c r="QL107" s="0" t="n">
        <v>58</v>
      </c>
      <c r="QM107" s="16" t="n">
        <v>79.9</v>
      </c>
      <c r="QN107" s="16" t="n">
        <v>80.4</v>
      </c>
      <c r="QO107" s="16" t="n">
        <v>43.6</v>
      </c>
      <c r="QP107" s="0" t="n">
        <v>26.15</v>
      </c>
      <c r="QQ107" s="17" t="n">
        <v>0</v>
      </c>
      <c r="QR107" s="0" t="n">
        <v>0</v>
      </c>
      <c r="QS107" s="0" t="n">
        <v>0</v>
      </c>
      <c r="QT107" s="0" t="n">
        <v>0</v>
      </c>
      <c r="QU107" s="0" t="n">
        <v>0</v>
      </c>
      <c r="QV107" s="0" t="n">
        <v>73.85</v>
      </c>
      <c r="QW107" s="0" t="n">
        <v>18.43</v>
      </c>
      <c r="QX107" s="0" t="n">
        <v>20.42</v>
      </c>
      <c r="QY107" s="0" t="n">
        <v>0</v>
      </c>
      <c r="QZ107" s="0" t="n">
        <v>0</v>
      </c>
      <c r="RA107" s="0" t="n">
        <v>2.44</v>
      </c>
      <c r="RB107" s="0" t="n">
        <v>0.13</v>
      </c>
      <c r="RC107" s="0" t="n">
        <v>9.71</v>
      </c>
      <c r="RD107" s="0" t="n">
        <v>18.31</v>
      </c>
      <c r="RE107" s="0" t="n">
        <v>0</v>
      </c>
      <c r="RF107" s="0" t="n">
        <v>0</v>
      </c>
      <c r="RG107" s="0" t="n">
        <v>0</v>
      </c>
      <c r="RT107" s="0" t="n">
        <v>9.1</v>
      </c>
      <c r="RU107" s="0" t="n">
        <v>1</v>
      </c>
      <c r="RV107" s="0" t="n">
        <v>68</v>
      </c>
      <c r="RW107" s="0" t="n">
        <v>1</v>
      </c>
      <c r="RX107" s="0" t="n">
        <v>0.05</v>
      </c>
      <c r="RY107" s="0" t="n">
        <v>1</v>
      </c>
      <c r="RZ107" s="0" t="n">
        <v>35</v>
      </c>
      <c r="SA107" s="0" t="n">
        <v>3</v>
      </c>
      <c r="SB107" s="0" t="n">
        <f aca="false">0.76+0.64</f>
        <v>1.4</v>
      </c>
      <c r="SC107" s="0" t="n">
        <v>3</v>
      </c>
      <c r="SD107" s="0" t="n">
        <v>47</v>
      </c>
      <c r="SE107" s="0" t="n">
        <v>2</v>
      </c>
      <c r="SF107" s="18" t="n">
        <v>0.23</v>
      </c>
      <c r="SG107" s="0" t="n">
        <v>3</v>
      </c>
      <c r="SX107" s="0" t="n">
        <v>1</v>
      </c>
      <c r="SY107" s="0" t="n">
        <v>60</v>
      </c>
      <c r="SZ107" s="0" t="n">
        <v>2</v>
      </c>
      <c r="TA107" s="0" t="n">
        <v>0.26</v>
      </c>
      <c r="TB107" s="0" t="n">
        <v>3</v>
      </c>
      <c r="UI107" s="16" t="n">
        <v>0</v>
      </c>
      <c r="UJ107" s="16" t="n">
        <v>0</v>
      </c>
      <c r="UK107" s="16"/>
      <c r="UL107" s="16"/>
      <c r="UM107" s="16"/>
      <c r="UN107" s="16"/>
      <c r="UO107" s="16"/>
      <c r="UP107" s="16"/>
      <c r="UQ107" s="16"/>
      <c r="UR107" s="16"/>
      <c r="US107" s="16"/>
      <c r="UT107" s="16" t="n">
        <v>1.97</v>
      </c>
      <c r="UU107" s="16" t="n">
        <v>1.24</v>
      </c>
      <c r="UV107" s="16" t="n">
        <v>0</v>
      </c>
      <c r="UW107" s="16" t="n">
        <v>0</v>
      </c>
      <c r="UX107" s="16" t="n">
        <v>0</v>
      </c>
      <c r="UY107" s="16" t="n">
        <v>0</v>
      </c>
      <c r="UZ107" s="16" t="n">
        <v>3</v>
      </c>
      <c r="VA107" s="0" t="n">
        <v>0</v>
      </c>
      <c r="VB107" s="0" t="s">
        <v>502</v>
      </c>
      <c r="VC107" s="0" t="n">
        <v>34.5</v>
      </c>
      <c r="VD107" s="16" t="n">
        <v>53.2</v>
      </c>
      <c r="VE107" s="16" t="n">
        <v>80.4</v>
      </c>
      <c r="VF107" s="16" t="n">
        <v>8.3</v>
      </c>
      <c r="VG107" s="0" t="n">
        <v>99.94</v>
      </c>
      <c r="VH107" s="17" t="n">
        <v>0</v>
      </c>
      <c r="VI107" s="0" t="n">
        <v>0</v>
      </c>
      <c r="VJ107" s="0" t="n">
        <v>0</v>
      </c>
      <c r="VK107" s="0" t="n">
        <v>0</v>
      </c>
      <c r="VL107" s="0" t="n">
        <v>0</v>
      </c>
      <c r="VM107" s="0" t="n">
        <v>0</v>
      </c>
      <c r="VN107" s="0" t="n">
        <v>0</v>
      </c>
      <c r="VO107" s="0" t="n">
        <v>0</v>
      </c>
      <c r="VP107" s="0" t="n">
        <v>0</v>
      </c>
      <c r="VQ107" s="0" t="n">
        <v>0</v>
      </c>
      <c r="VR107" s="0" t="n">
        <v>0</v>
      </c>
      <c r="VS107" s="0" t="n">
        <v>9.15</v>
      </c>
      <c r="VT107" s="0" t="n">
        <v>18.41</v>
      </c>
      <c r="VU107" s="0" t="n">
        <v>11.73</v>
      </c>
      <c r="VV107" s="0" t="n">
        <v>0</v>
      </c>
      <c r="VW107" s="0" t="n">
        <v>0</v>
      </c>
      <c r="VX107" s="0" t="n">
        <v>0</v>
      </c>
      <c r="WK107" s="0" t="n">
        <v>11.9</v>
      </c>
      <c r="WL107" s="0" t="n">
        <v>1</v>
      </c>
      <c r="WM107" s="0" t="n">
        <v>47</v>
      </c>
      <c r="WN107" s="0" t="n">
        <v>3</v>
      </c>
      <c r="WO107" s="0" t="n">
        <v>1.52</v>
      </c>
      <c r="WP107" s="0" t="n">
        <v>2</v>
      </c>
      <c r="WW107" s="18"/>
      <c r="XO107" s="0" t="n">
        <v>0</v>
      </c>
      <c r="YZ107" s="16" t="n">
        <v>5.7</v>
      </c>
      <c r="ZA107" s="16" t="n">
        <v>1</v>
      </c>
      <c r="ZB107" s="16" t="n">
        <v>1</v>
      </c>
      <c r="ZC107" s="16"/>
      <c r="ZD107" s="16" t="n">
        <f aca="false">2.11+2.11+0.05+0.05+0.37</f>
        <v>4.69</v>
      </c>
      <c r="ZE107" s="16" t="n">
        <v>2</v>
      </c>
      <c r="ZF107" s="16"/>
      <c r="ZG107" s="16" t="n">
        <f aca="false">3.17+3.17+0.56+0.56+0.33</f>
        <v>7.79</v>
      </c>
      <c r="ZH107" s="16"/>
      <c r="ZI107" s="16"/>
      <c r="ZJ107" s="16"/>
      <c r="ZK107" s="16" t="n">
        <v>0</v>
      </c>
      <c r="ZL107" s="16" t="n">
        <v>0</v>
      </c>
      <c r="ZM107" s="16"/>
      <c r="ZN107" s="16"/>
      <c r="ZO107" s="16" t="n">
        <v>5.97</v>
      </c>
      <c r="ZP107" s="16" t="n">
        <v>0</v>
      </c>
      <c r="ZQ107" s="16" t="n">
        <v>0</v>
      </c>
      <c r="ZR107" s="0" t="n">
        <v>1</v>
      </c>
      <c r="ZS107" s="0" t="s">
        <v>503</v>
      </c>
      <c r="ZT107" s="0" t="n">
        <v>47</v>
      </c>
      <c r="ZU107" s="16" t="n">
        <v>54.1</v>
      </c>
      <c r="ZV107" s="16" t="n">
        <v>80.4</v>
      </c>
      <c r="ZW107" s="16" t="n">
        <v>34.5</v>
      </c>
      <c r="ZX107" s="0" t="n">
        <v>71.45</v>
      </c>
      <c r="ZY107" s="17" t="n">
        <v>0</v>
      </c>
      <c r="ZZ107" s="0" t="n">
        <v>21.93</v>
      </c>
      <c r="AAA107" s="0" t="n">
        <v>6.49</v>
      </c>
      <c r="AAB107" s="0" t="n">
        <v>0.12</v>
      </c>
      <c r="AAC107" s="0" t="n">
        <v>0</v>
      </c>
      <c r="AAD107" s="0" t="n">
        <v>0</v>
      </c>
      <c r="AAE107" s="0" t="n">
        <v>0</v>
      </c>
      <c r="AAF107" s="0" t="n">
        <v>0</v>
      </c>
      <c r="AAG107" s="0" t="n">
        <v>0</v>
      </c>
      <c r="AAH107" s="0" t="n">
        <v>0</v>
      </c>
      <c r="AAI107" s="0" t="n">
        <v>1.01</v>
      </c>
      <c r="AAJ107" s="0" t="n">
        <v>0.45</v>
      </c>
      <c r="AAK107" s="0" t="n">
        <v>18.4</v>
      </c>
      <c r="AAL107" s="0" t="n">
        <v>11.28</v>
      </c>
      <c r="AAM107" s="0" t="n">
        <v>0</v>
      </c>
      <c r="AAN107" s="0" t="n">
        <v>0</v>
      </c>
      <c r="AAO107" s="0" t="n">
        <v>0</v>
      </c>
      <c r="ABB107" s="0" t="n">
        <v>6</v>
      </c>
      <c r="ABC107" s="0" t="n">
        <v>1</v>
      </c>
      <c r="ABD107" s="0" t="n">
        <v>35</v>
      </c>
      <c r="ABE107" s="0" t="n">
        <v>8</v>
      </c>
      <c r="ABF107" s="0" t="n">
        <f aca="false">0.25+0.25+0.25+0.13+0.13+0.13+0.13</f>
        <v>1.27</v>
      </c>
      <c r="ABG107" s="0" t="n">
        <v>3</v>
      </c>
      <c r="ABN107" s="18"/>
      <c r="ACF107" s="0" t="n">
        <v>1</v>
      </c>
      <c r="ACG107" s="0" t="n">
        <v>50</v>
      </c>
      <c r="ACH107" s="0" t="n">
        <v>2</v>
      </c>
      <c r="ACI107" s="0" t="n">
        <f aca="false">0.76*2</f>
        <v>1.52</v>
      </c>
      <c r="ACJ107" s="0" t="n">
        <v>1</v>
      </c>
      <c r="ADQ107" s="16" t="n">
        <v>0.42</v>
      </c>
      <c r="ADR107" s="16" t="n">
        <v>1</v>
      </c>
      <c r="ADS107" s="16" t="n">
        <v>1</v>
      </c>
      <c r="ADT107" s="16"/>
      <c r="ADU107" s="16" t="n">
        <f aca="false">0.68+0.68+0.03</f>
        <v>1.39</v>
      </c>
      <c r="ADV107" s="16"/>
      <c r="ADW107" s="16"/>
      <c r="ADX107" s="16"/>
      <c r="ADY107" s="16"/>
      <c r="ADZ107" s="16"/>
      <c r="AEA107" s="16"/>
      <c r="AEB107" s="16" t="n">
        <v>5.21</v>
      </c>
      <c r="AEC107" s="16" t="n">
        <v>7.05</v>
      </c>
      <c r="AED107" s="16"/>
      <c r="AEE107" s="16"/>
      <c r="AEF107" s="16" t="n">
        <v>0</v>
      </c>
      <c r="AEG107" s="16" t="n">
        <v>0</v>
      </c>
      <c r="AEH107" s="16" t="n">
        <v>0</v>
      </c>
      <c r="AEI107" s="0" t="n">
        <v>0</v>
      </c>
      <c r="AEJ107" s="0" t="s">
        <v>504</v>
      </c>
      <c r="AEK107" s="0" t="n">
        <v>65.5</v>
      </c>
      <c r="AEL107" s="16" t="n">
        <v>92.2</v>
      </c>
      <c r="AEM107" s="16" t="n">
        <v>80.4</v>
      </c>
      <c r="AEN107" s="16" t="n">
        <v>61.7</v>
      </c>
      <c r="AEO107" s="0" t="n">
        <v>22.46</v>
      </c>
      <c r="AEP107" s="17" t="n">
        <v>0</v>
      </c>
      <c r="AEQ107" s="0" t="n">
        <v>0</v>
      </c>
      <c r="AER107" s="0" t="n">
        <v>0</v>
      </c>
      <c r="AES107" s="0" t="n">
        <v>0</v>
      </c>
      <c r="AET107" s="0" t="n">
        <v>0</v>
      </c>
      <c r="AEU107" s="0" t="n">
        <v>70.92</v>
      </c>
      <c r="AEV107" s="0" t="n">
        <v>9.4</v>
      </c>
      <c r="AEW107" s="0" t="n">
        <v>33.69</v>
      </c>
      <c r="AEX107" s="0" t="n">
        <v>0</v>
      </c>
      <c r="AEY107" s="0" t="n">
        <v>0</v>
      </c>
      <c r="AEZ107" s="0" t="n">
        <v>14.46</v>
      </c>
      <c r="AFA107" s="0" t="n">
        <v>11.32</v>
      </c>
      <c r="AFB107" s="0" t="n">
        <v>6.58</v>
      </c>
      <c r="AFC107" s="0" t="n">
        <v>8.88</v>
      </c>
      <c r="AFD107" s="0" t="n">
        <v>6.62</v>
      </c>
      <c r="AFE107" s="0" t="n">
        <v>0</v>
      </c>
      <c r="AFF107" s="0" t="n">
        <v>0</v>
      </c>
      <c r="AFS107" s="0" t="n">
        <v>3.2</v>
      </c>
      <c r="AFT107" s="0" t="n">
        <v>0</v>
      </c>
      <c r="AGE107" s="18"/>
      <c r="AGW107" s="0" t="n">
        <v>1</v>
      </c>
      <c r="AGX107" s="0" t="n">
        <v>60</v>
      </c>
      <c r="AGY107" s="0" t="n">
        <v>2</v>
      </c>
      <c r="AGZ107" s="0" t="n">
        <f aca="false">0.76*2</f>
        <v>1.52</v>
      </c>
      <c r="AHA107" s="0" t="n">
        <v>3</v>
      </c>
      <c r="AIH107" s="16" t="n">
        <v>0.63</v>
      </c>
      <c r="AII107" s="16" t="n">
        <v>1</v>
      </c>
      <c r="AIJ107" s="16" t="n">
        <v>1</v>
      </c>
      <c r="AIK107" s="16"/>
      <c r="AIL107" s="16" t="n">
        <v>3.17</v>
      </c>
      <c r="AIM107" s="16"/>
      <c r="AIN107" s="16"/>
      <c r="AIO107" s="16"/>
      <c r="AIP107" s="16"/>
      <c r="AIQ107" s="16"/>
      <c r="AIR107" s="16"/>
      <c r="AIS107" s="16" t="n">
        <v>0</v>
      </c>
      <c r="AIT107" s="16" t="n">
        <v>0</v>
      </c>
      <c r="AIU107" s="16"/>
      <c r="AIV107" s="16"/>
      <c r="AIW107" s="16" t="n">
        <v>0</v>
      </c>
      <c r="AIX107" s="16" t="n">
        <v>0</v>
      </c>
      <c r="AIY107" s="16" t="n">
        <v>0</v>
      </c>
      <c r="AIZ107" s="0" t="n">
        <v>0</v>
      </c>
      <c r="AJA107" s="0" t="s">
        <v>505</v>
      </c>
      <c r="AJB107" s="0" t="n">
        <v>59</v>
      </c>
      <c r="AJC107" s="16" t="n">
        <v>90.4</v>
      </c>
      <c r="AJD107" s="16" t="n">
        <v>80.4</v>
      </c>
      <c r="AJE107" s="16" t="n">
        <v>54.7</v>
      </c>
      <c r="AJF107" s="0" t="n">
        <v>26.42</v>
      </c>
      <c r="AJG107" s="17" t="n">
        <v>0</v>
      </c>
      <c r="AJH107" s="0" t="n">
        <v>0</v>
      </c>
      <c r="AJI107" s="0" t="n">
        <v>0</v>
      </c>
      <c r="AJJ107" s="0" t="n">
        <v>0</v>
      </c>
      <c r="AJK107" s="0" t="n">
        <v>0</v>
      </c>
      <c r="AJL107" s="0" t="n">
        <v>66.96</v>
      </c>
      <c r="AJM107" s="0" t="n">
        <v>6.55</v>
      </c>
      <c r="AJN107" s="0" t="n">
        <v>30.83</v>
      </c>
      <c r="AJO107" s="0" t="n">
        <v>0</v>
      </c>
      <c r="AJP107" s="0" t="n">
        <v>0</v>
      </c>
      <c r="AJQ107" s="0" t="n">
        <v>14.46</v>
      </c>
      <c r="AJR107" s="0" t="n">
        <v>11.57</v>
      </c>
      <c r="AJS107" s="0" t="n">
        <v>6.5</v>
      </c>
      <c r="AJT107" s="0" t="n">
        <v>6.03</v>
      </c>
      <c r="AJU107" s="0" t="n">
        <v>6.62</v>
      </c>
      <c r="AJV107" s="0" t="n">
        <v>0</v>
      </c>
      <c r="AJW107" s="0" t="n">
        <v>0</v>
      </c>
      <c r="AKJ107" s="0" t="n">
        <v>3.2</v>
      </c>
      <c r="AKK107" s="0" t="n">
        <v>0</v>
      </c>
      <c r="AKV107" s="18"/>
      <c r="ALN107" s="0" t="n">
        <v>1</v>
      </c>
      <c r="ALO107" s="0" t="n">
        <v>60</v>
      </c>
      <c r="ALP107" s="0" t="n">
        <v>2</v>
      </c>
      <c r="ALQ107" s="0" t="n">
        <v>1.52</v>
      </c>
      <c r="ALR107" s="0" t="n">
        <v>3</v>
      </c>
    </row>
    <row r="108" customFormat="false" ht="13.8" hidden="false" customHeight="false" outlineLevel="0" collapsed="false">
      <c r="A108" s="1" t="s">
        <v>506</v>
      </c>
      <c r="B108" s="12" t="n">
        <v>42905</v>
      </c>
      <c r="C108" s="0" t="n">
        <v>2</v>
      </c>
      <c r="D108" s="13" t="n">
        <v>42870</v>
      </c>
      <c r="E108" s="12" t="n">
        <v>30557</v>
      </c>
      <c r="F108" s="14" t="n">
        <f aca="false">(B108-E108)/365.25</f>
        <v>33.8069815195072</v>
      </c>
      <c r="G108" s="14" t="n">
        <f aca="false">(B108-D108)/365.25</f>
        <v>0.0958247775496236</v>
      </c>
      <c r="H108" s="15" t="s">
        <v>183</v>
      </c>
      <c r="I108" s="15" t="s">
        <v>347</v>
      </c>
      <c r="J108" s="15" t="s">
        <v>181</v>
      </c>
      <c r="K108" s="21" t="n">
        <v>8</v>
      </c>
      <c r="L108" s="19" t="n">
        <v>70</v>
      </c>
      <c r="M108" s="0" t="n">
        <v>1.67</v>
      </c>
      <c r="N108" s="16" t="n">
        <f aca="false">L108/(M108*M108)</f>
        <v>25.0995015956112</v>
      </c>
      <c r="O108" s="19" t="n">
        <v>0</v>
      </c>
      <c r="P108" s="19" t="n">
        <v>0</v>
      </c>
      <c r="Q108" s="19" t="n">
        <v>0</v>
      </c>
      <c r="R108" s="19" t="n">
        <v>0</v>
      </c>
      <c r="S108" s="19" t="n">
        <v>0</v>
      </c>
      <c r="T108" s="19" t="n">
        <v>0</v>
      </c>
      <c r="U108" s="19" t="n">
        <v>0</v>
      </c>
      <c r="V108" s="19" t="n">
        <v>0</v>
      </c>
      <c r="W108" s="19" t="n">
        <v>1</v>
      </c>
      <c r="X108" s="19" t="n">
        <v>0</v>
      </c>
      <c r="Y108" s="19" t="n">
        <v>1</v>
      </c>
      <c r="Z108" s="19" t="n">
        <v>2</v>
      </c>
      <c r="AA108" s="19" t="n">
        <v>120</v>
      </c>
      <c r="AB108" s="19" t="s">
        <v>184</v>
      </c>
      <c r="AC108" s="19" t="n">
        <v>0</v>
      </c>
      <c r="AD108" s="19" t="n">
        <v>0</v>
      </c>
      <c r="AE108" s="19" t="n">
        <v>0</v>
      </c>
      <c r="AF108" s="19" t="n">
        <v>0</v>
      </c>
      <c r="AG108" s="19" t="n">
        <v>0</v>
      </c>
      <c r="AH108" s="19" t="n">
        <v>0</v>
      </c>
      <c r="AI108" s="19" t="n">
        <v>0</v>
      </c>
      <c r="AJ108" s="19" t="n">
        <v>0</v>
      </c>
      <c r="AK108" s="19" t="n">
        <v>0</v>
      </c>
      <c r="AL108" s="19" t="n">
        <v>0</v>
      </c>
      <c r="AM108" s="19" t="n">
        <v>0</v>
      </c>
      <c r="AN108" s="19" t="n">
        <v>0</v>
      </c>
      <c r="AO108" s="19" t="n">
        <v>0</v>
      </c>
      <c r="AP108" s="19" t="n">
        <v>0</v>
      </c>
      <c r="AQ108" s="19" t="n">
        <v>0</v>
      </c>
      <c r="AR108" s="19" t="n">
        <v>0</v>
      </c>
      <c r="AS108" s="19" t="n">
        <v>1</v>
      </c>
      <c r="AT108" s="19" t="n">
        <v>1</v>
      </c>
      <c r="AU108" s="19" t="n">
        <v>0</v>
      </c>
      <c r="AV108" s="19" t="n">
        <v>0</v>
      </c>
      <c r="AW108" s="19" t="n">
        <v>0</v>
      </c>
      <c r="AX108" s="19" t="n">
        <v>0</v>
      </c>
      <c r="AY108" s="19" t="n">
        <v>0</v>
      </c>
      <c r="AZ108" s="19" t="n">
        <v>0</v>
      </c>
      <c r="BA108" s="19" t="n">
        <v>0</v>
      </c>
      <c r="BB108" s="19" t="n">
        <v>1</v>
      </c>
      <c r="BC108" s="19" t="n">
        <v>0</v>
      </c>
      <c r="BD108" s="19" t="n">
        <v>0</v>
      </c>
      <c r="BE108" s="19" t="n">
        <v>0</v>
      </c>
      <c r="BF108" s="19" t="n">
        <v>0</v>
      </c>
      <c r="BG108" s="19" t="n">
        <v>0</v>
      </c>
      <c r="BH108" s="19" t="n">
        <v>0</v>
      </c>
      <c r="BI108" s="19" t="n">
        <v>0</v>
      </c>
      <c r="BJ108" s="19" t="n">
        <v>1</v>
      </c>
      <c r="BK108" s="19" t="n">
        <v>1</v>
      </c>
      <c r="BL108" s="19" t="n">
        <v>0</v>
      </c>
      <c r="BM108" s="19" t="n">
        <v>0</v>
      </c>
      <c r="BN108" s="19" t="n">
        <v>1</v>
      </c>
      <c r="BO108" s="19" t="n">
        <v>0</v>
      </c>
      <c r="BP108" s="19" t="n">
        <v>1</v>
      </c>
      <c r="BQ108" s="19" t="n">
        <v>6</v>
      </c>
      <c r="BR108" s="19" t="n">
        <v>3</v>
      </c>
      <c r="BS108" s="19" t="n">
        <v>2</v>
      </c>
      <c r="BT108" s="19" t="n">
        <v>4</v>
      </c>
      <c r="BU108" s="19" t="n">
        <v>5</v>
      </c>
      <c r="BV108" s="19" t="n">
        <v>2</v>
      </c>
      <c r="BW108" s="19" t="n">
        <v>2</v>
      </c>
      <c r="BX108" s="19" t="n">
        <v>3</v>
      </c>
      <c r="BY108" s="19" t="n">
        <v>3</v>
      </c>
      <c r="BZ108" s="19" t="n">
        <v>2</v>
      </c>
      <c r="CA108" s="19" t="n">
        <v>4</v>
      </c>
      <c r="CB108" s="19" t="n">
        <v>4</v>
      </c>
      <c r="CC108" s="19" t="n">
        <v>4</v>
      </c>
      <c r="CD108" s="19" t="n">
        <v>2</v>
      </c>
      <c r="CE108" s="19" t="n">
        <v>3</v>
      </c>
      <c r="CF108" s="19" t="n">
        <v>3</v>
      </c>
      <c r="CG108" s="19" t="n">
        <v>5</v>
      </c>
      <c r="CH108" s="19" t="n">
        <v>3</v>
      </c>
      <c r="CI108" s="19" t="n">
        <v>3</v>
      </c>
      <c r="CJ108" s="19" t="n">
        <v>3</v>
      </c>
      <c r="CK108" s="19" t="n">
        <v>9</v>
      </c>
      <c r="CL108" s="0" t="s">
        <v>507</v>
      </c>
      <c r="CM108" s="0" t="n">
        <v>30</v>
      </c>
      <c r="CN108" s="16" t="n">
        <v>86.6</v>
      </c>
      <c r="CO108" s="16" t="n">
        <v>80.4</v>
      </c>
      <c r="CP108" s="16" t="n">
        <v>20.4</v>
      </c>
      <c r="CQ108" s="0" t="n">
        <v>82.62</v>
      </c>
      <c r="CR108" s="17" t="n">
        <v>0</v>
      </c>
      <c r="CS108" s="0" t="n">
        <v>15.49</v>
      </c>
      <c r="CT108" s="0" t="n">
        <v>1.49</v>
      </c>
      <c r="CU108" s="0" t="n">
        <v>0.4</v>
      </c>
      <c r="CV108" s="0" t="n">
        <v>0</v>
      </c>
      <c r="CW108" s="0" t="n">
        <v>0</v>
      </c>
      <c r="CY108" s="0" t="n">
        <v>0</v>
      </c>
      <c r="CZ108" s="0" t="n">
        <v>0</v>
      </c>
      <c r="DA108" s="0" t="n">
        <v>0</v>
      </c>
      <c r="DB108" s="0" t="n">
        <v>6.38</v>
      </c>
      <c r="DC108" s="0" t="n">
        <v>56.11</v>
      </c>
      <c r="DD108" s="0" t="n">
        <v>8.46</v>
      </c>
      <c r="DE108" s="0" t="n">
        <v>1.21</v>
      </c>
      <c r="DF108" s="0" t="n">
        <v>0</v>
      </c>
      <c r="DG108" s="0" t="n">
        <v>0</v>
      </c>
      <c r="DH108" s="0" t="n">
        <v>0</v>
      </c>
      <c r="DU108" s="0" t="n">
        <v>0.5</v>
      </c>
      <c r="DV108" s="0" t="n">
        <v>0</v>
      </c>
      <c r="EG108" s="20"/>
      <c r="EY108" s="0" t="n">
        <v>1</v>
      </c>
      <c r="EZ108" s="0" t="n">
        <v>40</v>
      </c>
      <c r="FA108" s="0" t="n">
        <v>1</v>
      </c>
      <c r="FB108" s="0" t="n">
        <v>1.71</v>
      </c>
      <c r="FC108" s="0" t="n">
        <v>2</v>
      </c>
      <c r="FD108" s="0" t="n">
        <v>50</v>
      </c>
      <c r="FE108" s="0" t="n">
        <v>1</v>
      </c>
      <c r="FF108" s="0" t="n">
        <v>0.13</v>
      </c>
      <c r="FG108" s="0" t="n">
        <v>2</v>
      </c>
      <c r="GJ108" s="16" t="n">
        <v>0.62</v>
      </c>
      <c r="GK108" s="16" t="n">
        <v>1</v>
      </c>
      <c r="GL108" s="16" t="n">
        <v>1</v>
      </c>
      <c r="GM108" s="16"/>
      <c r="GN108" s="16" t="n">
        <v>4.14</v>
      </c>
      <c r="GO108" s="16"/>
      <c r="GP108" s="16"/>
      <c r="GQ108" s="16"/>
      <c r="GR108" s="16"/>
      <c r="GS108" s="16"/>
      <c r="GT108" s="16"/>
      <c r="GU108" s="16" t="n">
        <v>0</v>
      </c>
      <c r="GV108" s="16" t="n">
        <v>0</v>
      </c>
      <c r="GW108" s="16" t="n">
        <v>0</v>
      </c>
      <c r="GX108" s="16" t="n">
        <v>0</v>
      </c>
      <c r="GY108" s="16" t="n">
        <v>5.97</v>
      </c>
      <c r="GZ108" s="16" t="n">
        <v>0</v>
      </c>
      <c r="HA108" s="16" t="n">
        <v>0</v>
      </c>
      <c r="HB108" s="0" t="n">
        <v>2</v>
      </c>
      <c r="HC108" s="0" t="s">
        <v>508</v>
      </c>
      <c r="HD108" s="0" t="n">
        <v>42.5</v>
      </c>
      <c r="HE108" s="16" t="n">
        <v>81.7</v>
      </c>
      <c r="HF108" s="16" t="n">
        <v>80.4</v>
      </c>
      <c r="HG108" s="16" t="n">
        <v>18.4</v>
      </c>
      <c r="HH108" s="0" t="n">
        <v>80.68</v>
      </c>
      <c r="HI108" s="17" t="n">
        <v>0</v>
      </c>
      <c r="HJ108" s="0" t="n">
        <v>8.41</v>
      </c>
      <c r="HK108" s="0" t="n">
        <v>1.93</v>
      </c>
      <c r="HL108" s="0" t="n">
        <v>8.98</v>
      </c>
      <c r="HM108" s="0" t="n">
        <v>0</v>
      </c>
      <c r="HN108" s="0" t="n">
        <v>0</v>
      </c>
      <c r="HP108" s="0" t="n">
        <v>0</v>
      </c>
      <c r="HQ108" s="0" t="n">
        <v>0</v>
      </c>
      <c r="HR108" s="0" t="n">
        <v>0</v>
      </c>
      <c r="HS108" s="0" t="n">
        <v>0.07</v>
      </c>
      <c r="HT108" s="0" t="n">
        <v>26.86</v>
      </c>
      <c r="HU108" s="0" t="n">
        <v>25.47</v>
      </c>
      <c r="HV108" s="0" t="n">
        <v>0</v>
      </c>
      <c r="HW108" s="0" t="n">
        <v>0</v>
      </c>
      <c r="HX108" s="0" t="n">
        <v>0</v>
      </c>
      <c r="HY108" s="0" t="n">
        <v>0</v>
      </c>
      <c r="IL108" s="0" t="n">
        <v>17.9</v>
      </c>
      <c r="IM108" s="0" t="n">
        <v>1</v>
      </c>
      <c r="IN108" s="0" t="n">
        <v>33</v>
      </c>
      <c r="IO108" s="0" t="n">
        <v>2</v>
      </c>
      <c r="IP108" s="0" t="n">
        <v>1.52</v>
      </c>
      <c r="IQ108" s="0" t="n">
        <v>4</v>
      </c>
      <c r="IR108" s="0" t="n">
        <v>35</v>
      </c>
      <c r="IS108" s="0" t="n">
        <v>3</v>
      </c>
      <c r="IT108" s="0" t="n">
        <v>1.3</v>
      </c>
      <c r="IU108" s="0" t="n">
        <v>3</v>
      </c>
      <c r="IX108" s="20"/>
      <c r="JP108" s="0" t="n">
        <v>0</v>
      </c>
      <c r="LA108" s="16" t="n">
        <v>0</v>
      </c>
      <c r="LB108" s="16" t="n">
        <v>0</v>
      </c>
      <c r="LC108" s="16"/>
      <c r="LD108" s="16"/>
      <c r="LE108" s="16"/>
      <c r="LF108" s="16"/>
      <c r="LG108" s="16"/>
      <c r="LH108" s="16"/>
      <c r="LI108" s="16"/>
      <c r="LJ108" s="16"/>
      <c r="LK108" s="16"/>
      <c r="LL108" s="16" t="n">
        <v>4.29</v>
      </c>
      <c r="LM108" s="16" t="n">
        <v>2.66</v>
      </c>
      <c r="LN108" s="16" t="n">
        <v>0</v>
      </c>
      <c r="LO108" s="16" t="n">
        <v>0</v>
      </c>
      <c r="LP108" s="16" t="n">
        <v>0</v>
      </c>
      <c r="LQ108" s="16" t="n">
        <v>0</v>
      </c>
      <c r="LR108" s="16" t="n">
        <v>0</v>
      </c>
      <c r="LS108" s="0" t="n">
        <v>0</v>
      </c>
      <c r="LT108" s="0" t="s">
        <v>509</v>
      </c>
      <c r="LU108" s="0" t="n">
        <v>29</v>
      </c>
      <c r="LV108" s="16" t="n">
        <v>76.1</v>
      </c>
      <c r="LW108" s="16" t="n">
        <v>80.4</v>
      </c>
      <c r="LX108" s="16" t="n">
        <v>20.5</v>
      </c>
      <c r="LY108" s="0" t="n">
        <v>77.86</v>
      </c>
      <c r="LZ108" s="17" t="n">
        <v>0</v>
      </c>
      <c r="MA108" s="0" t="n">
        <v>13.05</v>
      </c>
      <c r="MB108" s="0" t="n">
        <v>0</v>
      </c>
      <c r="MC108" s="0" t="n">
        <v>9.1</v>
      </c>
      <c r="MD108" s="0" t="n">
        <v>0</v>
      </c>
      <c r="ME108" s="0" t="n">
        <v>0</v>
      </c>
      <c r="MG108" s="0" t="n">
        <v>0</v>
      </c>
      <c r="MH108" s="0" t="n">
        <v>0</v>
      </c>
      <c r="MI108" s="0" t="n">
        <v>0</v>
      </c>
      <c r="MJ108" s="0" t="n">
        <v>0.57</v>
      </c>
      <c r="MK108" s="0" t="n">
        <v>29.77</v>
      </c>
      <c r="ML108" s="0" t="n">
        <v>20.82</v>
      </c>
      <c r="MM108" s="0" t="n">
        <v>0</v>
      </c>
      <c r="MN108" s="0" t="n">
        <v>0</v>
      </c>
      <c r="MO108" s="0" t="n">
        <v>0</v>
      </c>
      <c r="MP108" s="0" t="n">
        <v>1</v>
      </c>
      <c r="MQ108" s="0" t="n">
        <v>2</v>
      </c>
      <c r="MS108" s="0" t="n">
        <v>1</v>
      </c>
      <c r="MW108" s="0" t="n">
        <v>2</v>
      </c>
      <c r="MY108" s="0" t="n">
        <v>1</v>
      </c>
      <c r="NC108" s="0" t="n">
        <v>0</v>
      </c>
      <c r="ND108" s="0" t="n">
        <v>0</v>
      </c>
      <c r="NO108" s="20"/>
      <c r="OG108" s="0" t="n">
        <v>0</v>
      </c>
      <c r="PR108" s="16" t="n">
        <v>0.32</v>
      </c>
      <c r="PS108" s="16" t="n">
        <v>1</v>
      </c>
      <c r="PT108" s="16" t="n">
        <v>1</v>
      </c>
      <c r="PU108" s="16"/>
      <c r="PV108" s="16" t="n">
        <v>1.32</v>
      </c>
      <c r="PW108" s="16"/>
      <c r="PX108" s="16"/>
      <c r="PY108" s="16"/>
      <c r="PZ108" s="16"/>
      <c r="QA108" s="16"/>
      <c r="QB108" s="16"/>
      <c r="QC108" s="16" t="n">
        <v>5.5</v>
      </c>
      <c r="QD108" s="16" t="n">
        <v>9.81</v>
      </c>
      <c r="QE108" s="16" t="n">
        <v>0</v>
      </c>
      <c r="QF108" s="16" t="n">
        <v>0</v>
      </c>
      <c r="QG108" s="16" t="n">
        <v>0</v>
      </c>
      <c r="QH108" s="16" t="n">
        <v>0</v>
      </c>
      <c r="QI108" s="16" t="n">
        <v>0</v>
      </c>
      <c r="QJ108" s="0" t="n">
        <v>0</v>
      </c>
      <c r="QK108" s="0" t="s">
        <v>510</v>
      </c>
      <c r="QL108" s="0" t="n">
        <v>33.5</v>
      </c>
      <c r="QM108" s="16" t="n">
        <v>74.7</v>
      </c>
      <c r="QN108" s="16" t="n">
        <v>80.4</v>
      </c>
      <c r="QO108" s="16" t="n">
        <v>23.3</v>
      </c>
      <c r="QP108" s="0" t="n">
        <v>67.74</v>
      </c>
      <c r="QQ108" s="17" t="n">
        <v>0</v>
      </c>
      <c r="QR108" s="0" t="n">
        <v>10.14</v>
      </c>
      <c r="QS108" s="0" t="n">
        <v>0</v>
      </c>
      <c r="QT108" s="0" t="n">
        <v>22.12</v>
      </c>
      <c r="QU108" s="0" t="n">
        <v>0</v>
      </c>
      <c r="QV108" s="0" t="n">
        <v>0</v>
      </c>
      <c r="QX108" s="0" t="n">
        <v>0</v>
      </c>
      <c r="QY108" s="0" t="n">
        <v>0</v>
      </c>
      <c r="QZ108" s="0" t="n">
        <v>0</v>
      </c>
      <c r="RA108" s="0" t="n">
        <v>0</v>
      </c>
      <c r="RB108" s="0" t="n">
        <v>51.2</v>
      </c>
      <c r="RC108" s="0" t="n">
        <v>15.83</v>
      </c>
      <c r="RD108" s="0" t="n">
        <v>0</v>
      </c>
      <c r="RE108" s="0" t="n">
        <v>0</v>
      </c>
      <c r="RF108" s="0" t="n">
        <v>0</v>
      </c>
      <c r="RG108" s="0" t="n">
        <v>0</v>
      </c>
      <c r="RT108" s="0" t="n">
        <v>2.3</v>
      </c>
      <c r="RU108" s="0" t="n">
        <v>0</v>
      </c>
      <c r="SF108" s="20"/>
      <c r="SX108" s="0" t="n">
        <v>1</v>
      </c>
      <c r="SY108" s="0" t="n">
        <v>50</v>
      </c>
      <c r="SZ108" s="0" t="n">
        <v>20</v>
      </c>
      <c r="TA108" s="0" t="n">
        <v>30.66</v>
      </c>
      <c r="TB108" s="0" t="n">
        <v>3</v>
      </c>
      <c r="TC108" s="0" t="n">
        <v>60</v>
      </c>
      <c r="TD108" s="0" t="n">
        <v>33</v>
      </c>
      <c r="TE108" s="0" t="n">
        <v>0.56</v>
      </c>
      <c r="TF108" s="0" t="n">
        <v>3</v>
      </c>
      <c r="UI108" s="16" t="n">
        <v>0</v>
      </c>
      <c r="UJ108" s="16" t="n">
        <v>0</v>
      </c>
      <c r="UK108" s="16"/>
      <c r="UL108" s="16"/>
      <c r="UM108" s="16"/>
      <c r="UN108" s="16"/>
      <c r="UO108" s="16"/>
      <c r="UP108" s="16"/>
      <c r="UQ108" s="16"/>
      <c r="UR108" s="16"/>
      <c r="US108" s="16"/>
      <c r="UT108" s="16" t="n">
        <v>5.22</v>
      </c>
      <c r="UU108" s="16" t="n">
        <v>7.07</v>
      </c>
      <c r="UV108" s="16" t="n">
        <v>0</v>
      </c>
      <c r="UW108" s="16" t="n">
        <v>0</v>
      </c>
      <c r="UX108" s="16" t="n">
        <v>0</v>
      </c>
      <c r="UY108" s="16" t="n">
        <v>0</v>
      </c>
      <c r="UZ108" s="16" t="n">
        <v>0</v>
      </c>
      <c r="VA108" s="0" t="n">
        <v>0</v>
      </c>
      <c r="VB108" s="0" t="s">
        <v>511</v>
      </c>
      <c r="VC108" s="0" t="n">
        <v>36.5</v>
      </c>
      <c r="VD108" s="16" t="n">
        <v>85.2</v>
      </c>
      <c r="VE108" s="16" t="n">
        <v>80.4</v>
      </c>
      <c r="VF108" s="16" t="n">
        <v>24.1</v>
      </c>
      <c r="VG108" s="0" t="n">
        <v>65.36</v>
      </c>
      <c r="VH108" s="17" t="n">
        <v>0</v>
      </c>
      <c r="VI108" s="0" t="n">
        <v>10.14</v>
      </c>
      <c r="VJ108" s="0" t="n">
        <v>0</v>
      </c>
      <c r="VK108" s="0" t="n">
        <v>24.5</v>
      </c>
      <c r="VL108" s="0" t="n">
        <v>0</v>
      </c>
      <c r="VM108" s="0" t="n">
        <v>0</v>
      </c>
      <c r="VO108" s="0" t="n">
        <v>0</v>
      </c>
      <c r="VP108" s="0" t="n">
        <v>0</v>
      </c>
      <c r="VQ108" s="0" t="n">
        <v>0</v>
      </c>
      <c r="VR108" s="0" t="n">
        <v>0</v>
      </c>
      <c r="VS108" s="0" t="n">
        <v>56.76</v>
      </c>
      <c r="VT108" s="0" t="n">
        <v>17.5</v>
      </c>
      <c r="VU108" s="0" t="n">
        <v>0</v>
      </c>
      <c r="VV108" s="0" t="n">
        <v>0</v>
      </c>
      <c r="VW108" s="0" t="n">
        <v>0</v>
      </c>
      <c r="VX108" s="0" t="n">
        <v>0</v>
      </c>
      <c r="WK108" s="0" t="n">
        <v>4.3</v>
      </c>
      <c r="WL108" s="0" t="n">
        <v>0</v>
      </c>
      <c r="WW108" s="20"/>
      <c r="XO108" s="0" t="n">
        <v>1</v>
      </c>
      <c r="XP108" s="0" t="n">
        <v>60</v>
      </c>
      <c r="XQ108" s="0" t="n">
        <v>53</v>
      </c>
      <c r="XR108" s="0" t="n">
        <v>35.98</v>
      </c>
      <c r="XS108" s="0" t="n">
        <v>3</v>
      </c>
      <c r="YZ108" s="16" t="n">
        <v>0</v>
      </c>
      <c r="ZA108" s="16" t="n">
        <v>0</v>
      </c>
      <c r="ZB108" s="16"/>
      <c r="ZC108" s="16"/>
      <c r="ZD108" s="16"/>
      <c r="ZE108" s="16"/>
      <c r="ZF108" s="16"/>
      <c r="ZG108" s="16"/>
      <c r="ZH108" s="16"/>
      <c r="ZI108" s="16"/>
      <c r="ZJ108" s="16"/>
      <c r="ZK108" s="16" t="n">
        <v>5.1</v>
      </c>
      <c r="ZL108" s="16" t="n">
        <v>5.93</v>
      </c>
      <c r="ZM108" s="16" t="n">
        <v>0</v>
      </c>
      <c r="ZN108" s="16" t="n">
        <v>0</v>
      </c>
      <c r="ZO108" s="16" t="n">
        <v>0</v>
      </c>
      <c r="ZP108" s="16" t="n">
        <v>0</v>
      </c>
      <c r="ZQ108" s="16" t="n">
        <v>0</v>
      </c>
      <c r="ZR108" s="0" t="n">
        <v>0</v>
      </c>
      <c r="ZS108" s="0" t="s">
        <v>512</v>
      </c>
      <c r="ZT108" s="0" t="n">
        <v>33</v>
      </c>
      <c r="ZU108" s="16" t="n">
        <v>70.6</v>
      </c>
      <c r="ZV108" s="16" t="n">
        <v>80.4</v>
      </c>
      <c r="ZW108" s="16" t="n">
        <v>29.2</v>
      </c>
      <c r="ZX108" s="0" t="n">
        <v>16.94</v>
      </c>
      <c r="ZY108" s="17" t="n">
        <v>0</v>
      </c>
      <c r="ZZ108" s="0" t="n">
        <v>0</v>
      </c>
      <c r="AAA108" s="0" t="n">
        <v>0</v>
      </c>
      <c r="AAB108" s="0" t="n">
        <v>0</v>
      </c>
      <c r="AAC108" s="0" t="n">
        <v>0</v>
      </c>
      <c r="AAD108" s="0" t="n">
        <v>83.06</v>
      </c>
      <c r="AAE108" s="0" t="n">
        <v>25.18</v>
      </c>
      <c r="AAF108" s="0" t="n">
        <v>8.7</v>
      </c>
      <c r="AAG108" s="0" t="n">
        <v>0</v>
      </c>
      <c r="AAH108" s="0" t="n">
        <v>0</v>
      </c>
      <c r="AAI108" s="0" t="n">
        <v>0</v>
      </c>
      <c r="AAJ108" s="0" t="n">
        <v>13.49</v>
      </c>
      <c r="AAK108" s="0" t="n">
        <v>16.48</v>
      </c>
      <c r="AAL108" s="0" t="n">
        <v>0</v>
      </c>
      <c r="AAM108" s="0" t="n">
        <v>0</v>
      </c>
      <c r="AAN108" s="0" t="n">
        <v>0</v>
      </c>
      <c r="AAO108" s="0" t="n">
        <v>0</v>
      </c>
      <c r="ABB108" s="0" t="n">
        <v>0</v>
      </c>
      <c r="ABC108" s="0" t="n">
        <v>0</v>
      </c>
      <c r="ABN108" s="20"/>
      <c r="ACF108" s="0" t="n">
        <v>0</v>
      </c>
      <c r="ADQ108" s="16" t="n">
        <v>3.62</v>
      </c>
      <c r="ADR108" s="16" t="n">
        <v>1</v>
      </c>
      <c r="ADS108" s="16" t="n">
        <v>1</v>
      </c>
      <c r="ADT108" s="16"/>
      <c r="ADU108" s="16" t="n">
        <v>16.74</v>
      </c>
      <c r="ADV108" s="16"/>
      <c r="ADW108" s="16"/>
      <c r="ADX108" s="16"/>
      <c r="ADY108" s="16"/>
      <c r="ADZ108" s="16"/>
      <c r="AEA108" s="16"/>
      <c r="AEB108" s="16" t="n">
        <v>0</v>
      </c>
      <c r="AEC108" s="16" t="n">
        <v>0</v>
      </c>
      <c r="AED108" s="16" t="n">
        <v>0</v>
      </c>
      <c r="AEE108" s="16" t="n">
        <v>0</v>
      </c>
      <c r="AEF108" s="16" t="n">
        <v>0</v>
      </c>
      <c r="AEG108" s="16" t="n">
        <v>0</v>
      </c>
      <c r="AEH108" s="16" t="n">
        <v>0</v>
      </c>
      <c r="AEI108" s="0" t="n">
        <v>0</v>
      </c>
      <c r="AEJ108" s="0" t="s">
        <v>513</v>
      </c>
      <c r="AEK108" s="0" t="n">
        <v>26</v>
      </c>
      <c r="AEL108" s="16" t="n">
        <v>68.5</v>
      </c>
      <c r="AEM108" s="16" t="n">
        <v>80.4</v>
      </c>
      <c r="AEN108" s="16" t="n">
        <v>15.6</v>
      </c>
      <c r="AEO108" s="0" t="n">
        <v>18.9</v>
      </c>
      <c r="AEP108" s="17" t="n">
        <v>0</v>
      </c>
      <c r="AEQ108" s="0" t="n">
        <v>0</v>
      </c>
      <c r="AER108" s="0" t="n">
        <v>0</v>
      </c>
      <c r="AES108" s="0" t="n">
        <v>3.51</v>
      </c>
      <c r="AET108" s="0" t="n">
        <v>0</v>
      </c>
      <c r="AEU108" s="0" t="n">
        <v>77.39</v>
      </c>
      <c r="AEV108" s="0" t="n">
        <v>0</v>
      </c>
      <c r="AEW108" s="0" t="n">
        <v>2.06</v>
      </c>
      <c r="AEX108" s="0" t="n">
        <v>0</v>
      </c>
      <c r="AEY108" s="0" t="n">
        <v>0</v>
      </c>
      <c r="AEZ108" s="0" t="n">
        <v>45.86</v>
      </c>
      <c r="AFA108" s="0" t="n">
        <v>16.26</v>
      </c>
      <c r="AFB108" s="0" t="n">
        <v>26.58</v>
      </c>
      <c r="AFC108" s="0" t="n">
        <v>0</v>
      </c>
      <c r="AFD108" s="0" t="n">
        <v>0</v>
      </c>
      <c r="AFE108" s="0" t="n">
        <v>0</v>
      </c>
      <c r="AFF108" s="0" t="n">
        <v>0</v>
      </c>
      <c r="AFS108" s="0" t="n">
        <v>3</v>
      </c>
      <c r="AFT108" s="0" t="n">
        <v>0</v>
      </c>
      <c r="AGE108" s="20"/>
      <c r="AGW108" s="0" t="n">
        <v>1</v>
      </c>
      <c r="AGX108" s="0" t="n">
        <v>50</v>
      </c>
      <c r="AGY108" s="0" t="n">
        <v>10</v>
      </c>
      <c r="AGZ108" s="0" t="n">
        <v>5.31</v>
      </c>
      <c r="AHA108" s="0" t="n">
        <v>3</v>
      </c>
      <c r="AIH108" s="16" t="n">
        <v>0.67</v>
      </c>
      <c r="AII108" s="16" t="n">
        <v>1</v>
      </c>
      <c r="AIJ108" s="16" t="n">
        <v>1</v>
      </c>
      <c r="AIK108" s="16"/>
      <c r="AIL108" s="16" t="n">
        <f aca="false">0.14+0.43+0.28</f>
        <v>0.85</v>
      </c>
      <c r="AIM108" s="16" t="n">
        <v>2</v>
      </c>
      <c r="AIN108" s="16"/>
      <c r="AIO108" s="16" t="n">
        <v>0.46</v>
      </c>
      <c r="AIP108" s="16"/>
      <c r="AIQ108" s="16"/>
      <c r="AIR108" s="16"/>
      <c r="AIS108" s="16" t="n">
        <v>6.17</v>
      </c>
      <c r="AIT108" s="16" t="n">
        <v>5.86</v>
      </c>
      <c r="AIU108" s="16" t="n">
        <v>0</v>
      </c>
      <c r="AIV108" s="16" t="n">
        <v>0</v>
      </c>
      <c r="AIW108" s="16" t="n">
        <v>0</v>
      </c>
      <c r="AIX108" s="16" t="n">
        <v>0</v>
      </c>
      <c r="AIY108" s="16" t="n">
        <v>0</v>
      </c>
      <c r="AIZ108" s="0" t="n">
        <v>0</v>
      </c>
      <c r="AJA108" s="0" t="s">
        <v>514</v>
      </c>
      <c r="AJB108" s="0" t="n">
        <v>54.5</v>
      </c>
      <c r="AJC108" s="16" t="n">
        <v>77.7</v>
      </c>
      <c r="AJD108" s="16" t="n">
        <v>80.4</v>
      </c>
      <c r="AJE108" s="16" t="n">
        <v>22</v>
      </c>
      <c r="AJF108" s="0" t="n">
        <v>51.86</v>
      </c>
      <c r="AJG108" s="17" t="n">
        <v>0</v>
      </c>
      <c r="AJH108" s="0" t="n">
        <v>0</v>
      </c>
      <c r="AJI108" s="0" t="n">
        <v>0</v>
      </c>
      <c r="AJJ108" s="0" t="n">
        <v>11.71</v>
      </c>
      <c r="AJK108" s="0" t="n">
        <v>0</v>
      </c>
      <c r="AJL108" s="0" t="n">
        <v>36.43</v>
      </c>
      <c r="AJM108" s="0" t="n">
        <v>2.82</v>
      </c>
      <c r="AJN108" s="0" t="n">
        <v>3.85</v>
      </c>
      <c r="AJO108" s="0" t="n">
        <v>0</v>
      </c>
      <c r="AJP108" s="0" t="n">
        <v>0</v>
      </c>
      <c r="AJQ108" s="0" t="n">
        <v>33.64</v>
      </c>
      <c r="AJR108" s="0" t="n">
        <v>34.54</v>
      </c>
      <c r="AJS108" s="0" t="n">
        <v>11.9</v>
      </c>
      <c r="AJT108" s="0" t="n">
        <v>1.94</v>
      </c>
      <c r="AJU108" s="0" t="n">
        <v>0</v>
      </c>
      <c r="AJV108" s="0" t="n">
        <v>23</v>
      </c>
      <c r="AJW108" s="0" t="n">
        <v>1</v>
      </c>
      <c r="AJX108" s="0" t="n">
        <v>5</v>
      </c>
      <c r="AJZ108" s="0" t="n">
        <v>6</v>
      </c>
      <c r="AKD108" s="0" t="n">
        <v>5</v>
      </c>
      <c r="AKF108" s="0" t="n">
        <v>6</v>
      </c>
      <c r="AKJ108" s="0" t="n">
        <v>2.4</v>
      </c>
      <c r="AKK108" s="0" t="n">
        <v>1</v>
      </c>
      <c r="AKL108" s="0" t="n">
        <v>35</v>
      </c>
      <c r="AKM108" s="0" t="n">
        <v>3</v>
      </c>
      <c r="AKN108" s="0" t="n">
        <v>0.19</v>
      </c>
      <c r="AKO108" s="0" t="n">
        <v>3</v>
      </c>
      <c r="AKV108" s="20"/>
      <c r="ALN108" s="0" t="n">
        <v>1</v>
      </c>
      <c r="ALO108" s="0" t="n">
        <v>50</v>
      </c>
      <c r="ALP108" s="0" t="n">
        <v>4</v>
      </c>
      <c r="ALQ108" s="0" t="n">
        <v>1.52</v>
      </c>
      <c r="ALR108" s="0" t="n">
        <v>3</v>
      </c>
    </row>
    <row r="109" customFormat="false" ht="13.8" hidden="false" customHeight="false" outlineLevel="0" collapsed="false">
      <c r="A109" s="1" t="s">
        <v>515</v>
      </c>
      <c r="B109" s="12" t="n">
        <v>42901</v>
      </c>
      <c r="C109" s="0" t="n">
        <v>2</v>
      </c>
      <c r="D109" s="13" t="n">
        <v>34624</v>
      </c>
      <c r="E109" s="12" t="n">
        <v>26380</v>
      </c>
      <c r="F109" s="14" t="n">
        <f aca="false">(B109-E109)/365.25</f>
        <v>45.2320328542094</v>
      </c>
      <c r="G109" s="14" t="n">
        <f aca="false">(B109-D109)/365.25</f>
        <v>22.6611909650924</v>
      </c>
      <c r="H109" s="15" t="s">
        <v>183</v>
      </c>
      <c r="I109" s="15" t="s">
        <v>298</v>
      </c>
      <c r="J109" s="15" t="s">
        <v>181</v>
      </c>
      <c r="K109" s="21" t="n">
        <v>8</v>
      </c>
      <c r="L109" s="19" t="n">
        <v>78</v>
      </c>
      <c r="M109" s="0" t="n">
        <v>1.72</v>
      </c>
      <c r="N109" s="16" t="n">
        <f aca="false">L109/(M109*M109)</f>
        <v>26.3656030286641</v>
      </c>
      <c r="O109" s="19" t="n">
        <v>0</v>
      </c>
      <c r="P109" s="19" t="n">
        <v>0</v>
      </c>
      <c r="Q109" s="19" t="n">
        <v>0</v>
      </c>
      <c r="R109" s="19" t="n">
        <v>0</v>
      </c>
      <c r="S109" s="19" t="n">
        <v>0</v>
      </c>
      <c r="T109" s="19" t="n">
        <v>0</v>
      </c>
      <c r="U109" s="19" t="n">
        <v>0</v>
      </c>
      <c r="V109" s="19" t="n">
        <v>0</v>
      </c>
      <c r="W109" s="19" t="n">
        <v>1</v>
      </c>
      <c r="X109" s="19" t="n">
        <v>0</v>
      </c>
      <c r="Y109" s="19" t="n">
        <v>1</v>
      </c>
      <c r="Z109" s="19" t="n">
        <v>2</v>
      </c>
      <c r="AA109" s="19" t="n">
        <v>60</v>
      </c>
      <c r="AB109" s="19" t="s">
        <v>516</v>
      </c>
      <c r="AC109" s="19" t="n">
        <v>0</v>
      </c>
      <c r="AD109" s="19" t="n">
        <v>0</v>
      </c>
      <c r="AE109" s="19" t="n">
        <v>1</v>
      </c>
      <c r="AF109" s="19" t="n">
        <v>0</v>
      </c>
      <c r="AG109" s="19" t="n">
        <v>0</v>
      </c>
      <c r="AH109" s="19" t="n">
        <v>0</v>
      </c>
      <c r="AI109" s="19" t="n">
        <v>2</v>
      </c>
      <c r="AJ109" s="19" t="n">
        <v>2</v>
      </c>
      <c r="AK109" s="19" t="n">
        <v>2</v>
      </c>
      <c r="AL109" s="19" t="n">
        <v>0</v>
      </c>
      <c r="AM109" s="19" t="n">
        <v>3</v>
      </c>
      <c r="AN109" s="19" t="n">
        <v>3</v>
      </c>
      <c r="AO109" s="19" t="n">
        <v>3</v>
      </c>
      <c r="AP109" s="19" t="n">
        <v>2</v>
      </c>
      <c r="AQ109" s="19" t="n">
        <v>0</v>
      </c>
      <c r="AR109" s="19" t="n">
        <v>2</v>
      </c>
      <c r="AS109" s="19" t="n">
        <v>3</v>
      </c>
      <c r="AT109" s="19" t="n">
        <v>3</v>
      </c>
      <c r="AU109" s="19" t="n">
        <v>3</v>
      </c>
      <c r="AV109" s="19" t="n">
        <v>2</v>
      </c>
      <c r="AW109" s="19" t="n">
        <v>2</v>
      </c>
      <c r="AX109" s="19" t="n">
        <v>0</v>
      </c>
      <c r="AY109" s="19" t="n">
        <v>0</v>
      </c>
      <c r="AZ109" s="19" t="n">
        <v>0</v>
      </c>
      <c r="BA109" s="19" t="n">
        <v>0</v>
      </c>
      <c r="BB109" s="19" t="n">
        <v>1</v>
      </c>
      <c r="BC109" s="19" t="n">
        <v>1</v>
      </c>
      <c r="BD109" s="19" t="n">
        <v>0</v>
      </c>
      <c r="BE109" s="19" t="n">
        <v>0</v>
      </c>
      <c r="BF109" s="19" t="n">
        <v>1</v>
      </c>
      <c r="BG109" s="19" t="n">
        <v>0</v>
      </c>
      <c r="BH109" s="19" t="n">
        <v>0</v>
      </c>
      <c r="BI109" s="19" t="n">
        <v>0</v>
      </c>
      <c r="BJ109" s="19" t="n">
        <v>1</v>
      </c>
      <c r="BK109" s="19" t="n">
        <v>1</v>
      </c>
      <c r="BL109" s="19" t="n">
        <v>0</v>
      </c>
      <c r="BM109" s="19" t="n">
        <v>0</v>
      </c>
      <c r="BN109" s="19" t="n">
        <v>1</v>
      </c>
      <c r="BO109" s="19" t="n">
        <v>1</v>
      </c>
      <c r="BP109" s="19" t="n">
        <v>1</v>
      </c>
      <c r="BQ109" s="19" t="n">
        <v>5</v>
      </c>
      <c r="BR109" s="19" t="n">
        <v>3</v>
      </c>
      <c r="BS109" s="19" t="n">
        <v>2</v>
      </c>
      <c r="BT109" s="19" t="n">
        <v>3</v>
      </c>
      <c r="BU109" s="19" t="n">
        <v>4</v>
      </c>
      <c r="BV109" s="19" t="n">
        <v>1</v>
      </c>
      <c r="BW109" s="19" t="n">
        <v>1</v>
      </c>
      <c r="BX109" s="19" t="n">
        <v>4</v>
      </c>
      <c r="BY109" s="19" t="n">
        <v>1</v>
      </c>
      <c r="BZ109" s="19" t="n">
        <v>1</v>
      </c>
      <c r="CA109" s="19" t="n">
        <v>2</v>
      </c>
      <c r="CB109" s="19" t="n">
        <v>3</v>
      </c>
      <c r="CC109" s="19" t="n">
        <v>5</v>
      </c>
      <c r="CD109" s="19" t="n">
        <v>2</v>
      </c>
      <c r="CE109" s="19" t="n">
        <v>4</v>
      </c>
      <c r="CF109" s="19" t="n">
        <v>5</v>
      </c>
      <c r="CG109" s="19" t="n">
        <v>4</v>
      </c>
      <c r="CH109" s="19" t="n">
        <v>4</v>
      </c>
      <c r="CI109" s="19" t="n">
        <v>4</v>
      </c>
      <c r="CJ109" s="19" t="n">
        <v>4</v>
      </c>
      <c r="CK109" s="19" t="n">
        <v>9</v>
      </c>
      <c r="CL109" s="0" t="s">
        <v>299</v>
      </c>
      <c r="CM109" s="0" t="n">
        <v>17.5</v>
      </c>
      <c r="CN109" s="16" t="n">
        <v>81.9</v>
      </c>
      <c r="CO109" s="16" t="n">
        <v>80.4</v>
      </c>
      <c r="CP109" s="16" t="n">
        <v>12.5</v>
      </c>
      <c r="CQ109" s="0" t="n">
        <v>85.79</v>
      </c>
      <c r="CS109" s="0" t="n">
        <v>10.02</v>
      </c>
      <c r="CT109" s="0" t="n">
        <v>0</v>
      </c>
      <c r="CU109" s="0" t="n">
        <v>0</v>
      </c>
      <c r="CV109" s="0" t="n">
        <v>0</v>
      </c>
      <c r="CW109" s="0" t="n">
        <v>4.19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53.51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U109" s="0" t="n">
        <v>0</v>
      </c>
      <c r="DV109" s="0" t="n">
        <v>0</v>
      </c>
      <c r="EG109" s="20"/>
      <c r="EY109" s="0" t="n">
        <v>0</v>
      </c>
      <c r="GJ109" s="16" t="n">
        <v>3.38</v>
      </c>
      <c r="GK109" s="16" t="n">
        <v>1</v>
      </c>
      <c r="GL109" s="16" t="n">
        <v>1</v>
      </c>
      <c r="GM109" s="16"/>
      <c r="GN109" s="16" t="n">
        <v>12.64</v>
      </c>
      <c r="GO109" s="16"/>
      <c r="GP109" s="16"/>
      <c r="GQ109" s="16"/>
      <c r="GR109" s="16"/>
      <c r="GS109" s="16"/>
      <c r="GT109" s="16"/>
      <c r="GU109" s="16" t="n">
        <v>0</v>
      </c>
      <c r="GV109" s="16" t="n">
        <v>0</v>
      </c>
      <c r="GW109" s="16" t="n">
        <v>0</v>
      </c>
      <c r="GX109" s="16" t="n">
        <v>0</v>
      </c>
      <c r="GY109" s="16" t="n">
        <v>0</v>
      </c>
      <c r="GZ109" s="16" t="n">
        <v>0</v>
      </c>
      <c r="HA109" s="16" t="n">
        <v>0</v>
      </c>
      <c r="HB109" s="0" t="n">
        <v>0</v>
      </c>
      <c r="HC109" s="0" t="s">
        <v>300</v>
      </c>
      <c r="HD109" s="0" t="n">
        <v>31</v>
      </c>
      <c r="HE109" s="16" t="n">
        <v>86.2</v>
      </c>
      <c r="HF109" s="16" t="n">
        <v>80.4</v>
      </c>
      <c r="HG109" s="16" t="n">
        <v>19.4</v>
      </c>
      <c r="HH109" s="0" t="n">
        <v>23.44</v>
      </c>
      <c r="HJ109" s="0" t="n">
        <v>0</v>
      </c>
      <c r="HK109" s="0" t="n">
        <v>0</v>
      </c>
      <c r="HL109" s="0" t="n">
        <v>0.94</v>
      </c>
      <c r="HM109" s="0" t="n">
        <v>0</v>
      </c>
      <c r="HN109" s="0" t="n">
        <v>75.62</v>
      </c>
      <c r="HO109" s="0" t="n">
        <v>16.83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6.9</v>
      </c>
      <c r="HU109" s="0" t="n">
        <v>42.32</v>
      </c>
      <c r="HV109" s="0" t="n">
        <v>0</v>
      </c>
      <c r="HW109" s="0" t="n">
        <v>0</v>
      </c>
      <c r="HX109" s="0" t="n">
        <v>0</v>
      </c>
      <c r="HY109" s="0" t="n">
        <v>0</v>
      </c>
      <c r="IL109" s="0" t="n">
        <v>0</v>
      </c>
      <c r="IM109" s="0" t="n">
        <v>0</v>
      </c>
      <c r="IX109" s="20"/>
      <c r="JP109" s="0" t="n">
        <v>0</v>
      </c>
      <c r="LA109" s="16" t="n">
        <v>5.06</v>
      </c>
      <c r="LB109" s="16" t="n">
        <v>1</v>
      </c>
      <c r="LC109" s="16" t="n">
        <v>1</v>
      </c>
      <c r="LD109" s="16"/>
      <c r="LE109" s="16" t="n">
        <v>6.74</v>
      </c>
      <c r="LF109" s="16" t="n">
        <v>2</v>
      </c>
      <c r="LG109" s="16"/>
      <c r="LH109" s="16" t="n">
        <v>10.7</v>
      </c>
      <c r="LI109" s="16"/>
      <c r="LJ109" s="16"/>
      <c r="LK109" s="16"/>
      <c r="LL109" s="16" t="n">
        <v>0</v>
      </c>
      <c r="LM109" s="16" t="n">
        <v>0</v>
      </c>
      <c r="LN109" s="16" t="n">
        <v>0</v>
      </c>
      <c r="LO109" s="16" t="n">
        <v>0</v>
      </c>
      <c r="LP109" s="16" t="n">
        <v>5.97</v>
      </c>
      <c r="LQ109" s="16" t="n">
        <v>0</v>
      </c>
      <c r="LR109" s="16" t="n">
        <v>0</v>
      </c>
      <c r="LS109" s="0" t="n">
        <v>1</v>
      </c>
      <c r="LT109" s="0" t="s">
        <v>301</v>
      </c>
      <c r="LU109" s="0" t="n">
        <v>44</v>
      </c>
      <c r="LV109" s="16" t="n">
        <v>88.4</v>
      </c>
      <c r="LW109" s="16" t="n">
        <v>80.4</v>
      </c>
      <c r="LX109" s="16" t="n">
        <v>40</v>
      </c>
      <c r="LY109" s="0" t="n">
        <v>11.38</v>
      </c>
      <c r="MA109" s="0" t="n">
        <v>0</v>
      </c>
      <c r="MB109" s="0" t="n">
        <v>0</v>
      </c>
      <c r="MC109" s="0" t="n">
        <v>0</v>
      </c>
      <c r="MD109" s="0" t="n">
        <v>0</v>
      </c>
      <c r="ME109" s="0" t="n">
        <v>88.62</v>
      </c>
      <c r="MF109" s="0" t="n">
        <v>22.58</v>
      </c>
      <c r="MG109" s="0" t="n">
        <v>24.22</v>
      </c>
      <c r="MH109" s="0" t="n">
        <v>0</v>
      </c>
      <c r="MI109" s="0" t="n">
        <v>0</v>
      </c>
      <c r="MJ109" s="0" t="n">
        <v>0</v>
      </c>
      <c r="MK109" s="0" t="n">
        <v>26.59</v>
      </c>
      <c r="ML109" s="0" t="n">
        <v>0.54</v>
      </c>
      <c r="MM109" s="0" t="n">
        <v>0</v>
      </c>
      <c r="MN109" s="0" t="n">
        <v>0</v>
      </c>
      <c r="MO109" s="0" t="n">
        <v>0</v>
      </c>
      <c r="MP109" s="0" t="n">
        <v>0</v>
      </c>
      <c r="NC109" s="0" t="n">
        <v>0</v>
      </c>
      <c r="ND109" s="0" t="n">
        <v>0</v>
      </c>
      <c r="NO109" s="20"/>
      <c r="OG109" s="0" t="n">
        <v>1</v>
      </c>
      <c r="OH109" s="0" t="n">
        <v>40</v>
      </c>
      <c r="OI109" s="0" t="n">
        <v>2</v>
      </c>
      <c r="OJ109" s="0" t="n">
        <v>0.26</v>
      </c>
      <c r="OK109" s="0" t="n">
        <v>3</v>
      </c>
      <c r="PR109" s="16" t="n">
        <v>3.77</v>
      </c>
      <c r="PS109" s="16" t="n">
        <v>1</v>
      </c>
      <c r="PT109" s="16" t="n">
        <v>1</v>
      </c>
      <c r="PU109" s="16"/>
      <c r="PV109" s="16" t="n">
        <v>25.78</v>
      </c>
      <c r="PW109" s="16"/>
      <c r="PX109" s="16"/>
      <c r="PY109" s="16"/>
      <c r="PZ109" s="16"/>
      <c r="QA109" s="16"/>
      <c r="QB109" s="16"/>
      <c r="QC109" s="16" t="n">
        <v>0</v>
      </c>
      <c r="QD109" s="16" t="n">
        <v>0</v>
      </c>
      <c r="QE109" s="16" t="n">
        <v>0</v>
      </c>
      <c r="QF109" s="16" t="n">
        <v>0</v>
      </c>
      <c r="QG109" s="16" t="n">
        <v>0</v>
      </c>
      <c r="QH109" s="16" t="n">
        <v>0</v>
      </c>
      <c r="QI109" s="16" t="n">
        <v>0</v>
      </c>
      <c r="QJ109" s="0" t="n">
        <v>0</v>
      </c>
      <c r="QK109" s="0" t="s">
        <v>207</v>
      </c>
      <c r="QL109" s="0" t="n">
        <v>20.5</v>
      </c>
      <c r="QM109" s="16" t="n">
        <v>85.6</v>
      </c>
      <c r="QN109" s="16" t="n">
        <v>80.4</v>
      </c>
      <c r="QO109" s="16" t="n">
        <v>17.7</v>
      </c>
      <c r="QP109" s="0" t="n">
        <v>63.65</v>
      </c>
      <c r="QR109" s="0" t="n">
        <v>0</v>
      </c>
      <c r="QS109" s="0" t="n">
        <v>0</v>
      </c>
      <c r="QT109" s="0" t="n">
        <v>47.03</v>
      </c>
      <c r="QU109" s="0" t="n">
        <v>0</v>
      </c>
      <c r="QV109" s="0" t="n">
        <v>11.64</v>
      </c>
      <c r="QW109" s="0" t="n">
        <v>0</v>
      </c>
      <c r="QX109" s="0" t="n">
        <v>0</v>
      </c>
      <c r="QY109" s="0" t="n">
        <v>5.03</v>
      </c>
      <c r="QZ109" s="0" t="n">
        <v>0</v>
      </c>
      <c r="RA109" s="0" t="n">
        <v>2.93</v>
      </c>
      <c r="RB109" s="0" t="n">
        <v>24.27</v>
      </c>
      <c r="RC109" s="0" t="n">
        <v>17.25</v>
      </c>
      <c r="RD109" s="0" t="n">
        <v>0</v>
      </c>
      <c r="RE109" s="0" t="n">
        <v>0</v>
      </c>
      <c r="RF109" s="0" t="n">
        <v>0</v>
      </c>
      <c r="RG109" s="0" t="n">
        <v>0</v>
      </c>
      <c r="RT109" s="0" t="n">
        <v>0</v>
      </c>
      <c r="RU109" s="0" t="n">
        <v>0</v>
      </c>
      <c r="SF109" s="20"/>
      <c r="SX109" s="0" t="n">
        <v>0</v>
      </c>
      <c r="UI109" s="16" t="n">
        <v>1.47</v>
      </c>
      <c r="UJ109" s="16" t="n">
        <v>1</v>
      </c>
      <c r="UK109" s="16" t="n">
        <v>1</v>
      </c>
      <c r="UL109" s="16"/>
      <c r="UM109" s="16" t="n">
        <v>2.94</v>
      </c>
      <c r="UN109" s="16"/>
      <c r="UO109" s="16"/>
      <c r="UP109" s="16"/>
      <c r="UQ109" s="16"/>
      <c r="UR109" s="16"/>
      <c r="US109" s="16"/>
      <c r="UT109" s="16" t="n">
        <v>0</v>
      </c>
      <c r="UU109" s="16" t="n">
        <v>0</v>
      </c>
      <c r="UV109" s="16" t="n">
        <v>0</v>
      </c>
      <c r="UW109" s="16" t="n">
        <v>0</v>
      </c>
      <c r="UX109" s="16" t="n">
        <v>0</v>
      </c>
      <c r="UY109" s="16" t="n">
        <v>0</v>
      </c>
      <c r="UZ109" s="16" t="n">
        <v>0</v>
      </c>
      <c r="VA109" s="0" t="n">
        <v>0</v>
      </c>
      <c r="VB109" s="0" t="s">
        <v>208</v>
      </c>
      <c r="VC109" s="0" t="n">
        <v>35</v>
      </c>
      <c r="VD109" s="16" t="n">
        <v>69.2</v>
      </c>
      <c r="VE109" s="16" t="n">
        <v>80.4</v>
      </c>
      <c r="VF109" s="16" t="n">
        <v>24</v>
      </c>
      <c r="VG109" s="0" t="n">
        <v>71.73</v>
      </c>
      <c r="VI109" s="0" t="n">
        <v>0</v>
      </c>
      <c r="VJ109" s="0" t="n">
        <v>6.09</v>
      </c>
      <c r="VK109" s="0" t="n">
        <v>19.28</v>
      </c>
      <c r="VL109" s="0" t="n">
        <v>0</v>
      </c>
      <c r="VM109" s="0" t="n">
        <v>2.83</v>
      </c>
      <c r="VN109" s="0" t="n">
        <v>0</v>
      </c>
      <c r="VO109" s="0" t="n">
        <v>0</v>
      </c>
      <c r="VP109" s="0" t="n">
        <v>0</v>
      </c>
      <c r="VQ109" s="0" t="n">
        <v>0</v>
      </c>
      <c r="VR109" s="0" t="n">
        <v>14.46</v>
      </c>
      <c r="VS109" s="0" t="n">
        <v>19.89</v>
      </c>
      <c r="VT109" s="0" t="n">
        <v>24.43</v>
      </c>
      <c r="VU109" s="0" t="n">
        <v>0</v>
      </c>
      <c r="VV109" s="0" t="n">
        <v>0.07</v>
      </c>
      <c r="VW109" s="0" t="n">
        <v>0</v>
      </c>
      <c r="VX109" s="0" t="n">
        <v>0</v>
      </c>
      <c r="WK109" s="0" t="n">
        <v>2</v>
      </c>
      <c r="WL109" s="0" t="n">
        <v>0</v>
      </c>
      <c r="WW109" s="20"/>
      <c r="XO109" s="0" t="n">
        <v>1</v>
      </c>
      <c r="XP109" s="0" t="n">
        <v>40</v>
      </c>
      <c r="XQ109" s="0" t="n">
        <v>2</v>
      </c>
      <c r="XR109" s="0" t="n">
        <v>1.52</v>
      </c>
      <c r="XS109" s="0" t="n">
        <v>3</v>
      </c>
      <c r="XT109" s="0" t="n">
        <v>50</v>
      </c>
      <c r="XU109" s="0" t="n">
        <v>4</v>
      </c>
      <c r="XV109" s="0" t="n">
        <v>0.54</v>
      </c>
      <c r="XW109" s="0" t="n">
        <v>1</v>
      </c>
      <c r="YZ109" s="16" t="n">
        <v>1.6</v>
      </c>
      <c r="ZA109" s="16" t="n">
        <v>1</v>
      </c>
      <c r="ZB109" s="16" t="n">
        <v>1</v>
      </c>
      <c r="ZC109" s="16"/>
      <c r="ZD109" s="16" t="n">
        <v>7.09</v>
      </c>
      <c r="ZE109" s="16"/>
      <c r="ZF109" s="16"/>
      <c r="ZG109" s="16"/>
      <c r="ZH109" s="16"/>
      <c r="ZI109" s="16"/>
      <c r="ZJ109" s="16"/>
      <c r="ZK109" s="16" t="n">
        <v>1.12</v>
      </c>
      <c r="ZL109" s="16" t="n">
        <v>0.27</v>
      </c>
      <c r="ZM109" s="16" t="n">
        <v>0</v>
      </c>
      <c r="ZN109" s="16" t="n">
        <v>0</v>
      </c>
      <c r="ZO109" s="16" t="n">
        <v>0</v>
      </c>
      <c r="ZP109" s="16" t="n">
        <v>0</v>
      </c>
      <c r="ZQ109" s="16" t="n">
        <v>3</v>
      </c>
      <c r="ZR109" s="0" t="n">
        <v>0</v>
      </c>
      <c r="ZS109" s="0" t="s">
        <v>302</v>
      </c>
      <c r="ZT109" s="0" t="n">
        <v>22</v>
      </c>
      <c r="ZU109" s="16" t="n">
        <v>87.6</v>
      </c>
      <c r="ZV109" s="16" t="n">
        <v>80.4</v>
      </c>
      <c r="ZW109" s="16" t="n">
        <v>4.5</v>
      </c>
      <c r="ZX109" s="0" t="n">
        <v>100</v>
      </c>
      <c r="ZZ109" s="0" t="n">
        <v>0</v>
      </c>
      <c r="AAA109" s="0" t="n">
        <v>0</v>
      </c>
      <c r="AAB109" s="0" t="n">
        <v>0</v>
      </c>
      <c r="AAC109" s="0" t="n">
        <v>0</v>
      </c>
      <c r="AAD109" s="0" t="n">
        <v>0</v>
      </c>
      <c r="AAE109" s="0" t="n">
        <v>0</v>
      </c>
      <c r="AAF109" s="0" t="n">
        <v>0</v>
      </c>
      <c r="AAG109" s="0" t="n">
        <v>0</v>
      </c>
      <c r="AAH109" s="0" t="n">
        <v>0</v>
      </c>
      <c r="AAI109" s="0" t="n">
        <v>1.14</v>
      </c>
      <c r="AAJ109" s="0" t="n">
        <v>27.07</v>
      </c>
      <c r="AAK109" s="0" t="n">
        <v>1.9</v>
      </c>
      <c r="AAL109" s="0" t="n">
        <v>0</v>
      </c>
      <c r="AAM109" s="0" t="n">
        <v>0</v>
      </c>
      <c r="AAN109" s="0" t="n">
        <v>0</v>
      </c>
      <c r="AAO109" s="0" t="n">
        <v>0</v>
      </c>
      <c r="ABB109" s="0" t="n">
        <v>8</v>
      </c>
      <c r="ABC109" s="0" t="n">
        <v>1</v>
      </c>
      <c r="ABD109" s="0" t="n">
        <v>35</v>
      </c>
      <c r="ABE109" s="0" t="n">
        <v>2</v>
      </c>
      <c r="ABF109" s="0" t="n">
        <v>1.52</v>
      </c>
      <c r="ABG109" s="0" t="n">
        <v>3</v>
      </c>
      <c r="ABN109" s="20"/>
      <c r="ACF109" s="0" t="n">
        <v>1</v>
      </c>
      <c r="ACG109" s="0" t="n">
        <v>40</v>
      </c>
      <c r="ACH109" s="0" t="n">
        <v>3</v>
      </c>
      <c r="ACI109" s="0" t="n">
        <v>2.28</v>
      </c>
      <c r="ACJ109" s="0" t="n">
        <v>3</v>
      </c>
      <c r="ADQ109" s="16" t="n">
        <v>1.12</v>
      </c>
      <c r="ADR109" s="16" t="n">
        <v>1</v>
      </c>
      <c r="ADS109" s="16" t="n">
        <v>1</v>
      </c>
      <c r="ADT109" s="16"/>
      <c r="ADU109" s="16" t="n">
        <v>2.24</v>
      </c>
      <c r="ADV109" s="16"/>
      <c r="ADW109" s="16"/>
      <c r="ADX109" s="16"/>
      <c r="ADY109" s="16"/>
      <c r="ADZ109" s="16"/>
      <c r="AEA109" s="16"/>
      <c r="AEB109" s="16" t="n">
        <v>6.72</v>
      </c>
      <c r="AEC109" s="16" t="n">
        <v>0</v>
      </c>
      <c r="AED109" s="16" t="n">
        <v>0</v>
      </c>
      <c r="AEE109" s="16" t="n">
        <v>0</v>
      </c>
      <c r="AEF109" s="16" t="n">
        <v>0</v>
      </c>
      <c r="AEG109" s="16" t="n">
        <v>0</v>
      </c>
      <c r="AEH109" s="16" t="n">
        <v>0</v>
      </c>
      <c r="AEI109" s="0" t="n">
        <v>1</v>
      </c>
      <c r="AEJ109" s="0" t="s">
        <v>303</v>
      </c>
      <c r="AEK109" s="0" t="n">
        <v>18</v>
      </c>
      <c r="AEL109" s="16" t="n">
        <v>84.7</v>
      </c>
      <c r="AEM109" s="16" t="n">
        <v>80.4</v>
      </c>
      <c r="AEN109" s="16" t="n">
        <v>6.7</v>
      </c>
      <c r="AEO109" s="0" t="n">
        <v>100</v>
      </c>
      <c r="AEQ109" s="0" t="n">
        <v>0</v>
      </c>
      <c r="AER109" s="0" t="n">
        <v>0</v>
      </c>
      <c r="AES109" s="0" t="n">
        <v>0</v>
      </c>
      <c r="AET109" s="0" t="n">
        <v>0</v>
      </c>
      <c r="AEU109" s="0" t="n">
        <v>0</v>
      </c>
      <c r="AEV109" s="0" t="n">
        <v>0</v>
      </c>
      <c r="AEW109" s="0" t="n">
        <v>0</v>
      </c>
      <c r="AEX109" s="0" t="n">
        <v>0</v>
      </c>
      <c r="AEY109" s="0" t="n">
        <v>0</v>
      </c>
      <c r="AEZ109" s="0" t="n">
        <v>14.84</v>
      </c>
      <c r="AFA109" s="0" t="n">
        <v>28.79</v>
      </c>
      <c r="AFB109" s="0" t="n">
        <v>1.9</v>
      </c>
      <c r="AFC109" s="0" t="n">
        <v>0</v>
      </c>
      <c r="AFD109" s="0" t="n">
        <v>0</v>
      </c>
      <c r="AFE109" s="0" t="n">
        <v>0</v>
      </c>
      <c r="AFF109" s="0" t="n">
        <v>0</v>
      </c>
      <c r="AFS109" s="0" t="n">
        <v>1.9</v>
      </c>
      <c r="AFT109" s="0" t="n">
        <v>0</v>
      </c>
      <c r="AGE109" s="20"/>
      <c r="AGW109" s="0" t="n">
        <v>1</v>
      </c>
      <c r="AGX109" s="0" t="n">
        <v>50</v>
      </c>
      <c r="AGY109" s="0" t="n">
        <v>3</v>
      </c>
      <c r="AGZ109" s="0" t="n">
        <v>2.28</v>
      </c>
      <c r="AHA109" s="0" t="n">
        <v>3</v>
      </c>
      <c r="AIH109" s="16" t="n">
        <v>1.12</v>
      </c>
      <c r="AII109" s="16" t="n">
        <v>1</v>
      </c>
      <c r="AIJ109" s="16" t="n">
        <v>1</v>
      </c>
      <c r="AIK109" s="16"/>
      <c r="AIL109" s="16" t="n">
        <v>2.24</v>
      </c>
      <c r="AIM109" s="16"/>
      <c r="AIN109" s="16"/>
      <c r="AIO109" s="16"/>
      <c r="AIP109" s="16"/>
      <c r="AIQ109" s="16"/>
      <c r="AIR109" s="16"/>
      <c r="AIS109" s="16" t="n">
        <v>0</v>
      </c>
      <c r="AIT109" s="16" t="n">
        <v>0</v>
      </c>
      <c r="AIU109" s="16" t="n">
        <v>0</v>
      </c>
      <c r="AIV109" s="16" t="n">
        <v>0</v>
      </c>
      <c r="AIW109" s="16" t="n">
        <v>6.72</v>
      </c>
      <c r="AIX109" s="16" t="n">
        <v>0</v>
      </c>
      <c r="AIY109" s="16" t="n">
        <v>0</v>
      </c>
      <c r="AIZ109" s="0" t="n">
        <v>1</v>
      </c>
      <c r="AJA109" s="0" t="s">
        <v>304</v>
      </c>
      <c r="AJB109" s="0" t="n">
        <v>29</v>
      </c>
      <c r="AJC109" s="16" t="n">
        <v>84.9</v>
      </c>
      <c r="AJD109" s="16" t="n">
        <v>80.4</v>
      </c>
      <c r="AJE109" s="16" t="n">
        <v>22.7</v>
      </c>
      <c r="AJF109" s="0" t="n">
        <v>47.69</v>
      </c>
      <c r="AJH109" s="0" t="n">
        <v>0</v>
      </c>
      <c r="AJI109" s="0" t="n">
        <v>0</v>
      </c>
      <c r="AJJ109" s="0" t="n">
        <v>22.69</v>
      </c>
      <c r="AJK109" s="0" t="n">
        <v>0</v>
      </c>
      <c r="AJL109" s="0" t="n">
        <v>28.56</v>
      </c>
      <c r="AJM109" s="0" t="n">
        <v>0</v>
      </c>
      <c r="AJN109" s="0" t="n">
        <v>0</v>
      </c>
      <c r="AJO109" s="0" t="n">
        <v>0</v>
      </c>
      <c r="AJP109" s="0" t="n">
        <v>0</v>
      </c>
      <c r="AJQ109" s="0" t="n">
        <v>30.64</v>
      </c>
      <c r="AJR109" s="0" t="n">
        <v>8.38</v>
      </c>
      <c r="AJS109" s="0" t="n">
        <v>43.35</v>
      </c>
      <c r="AJT109" s="0" t="n">
        <v>6.09</v>
      </c>
      <c r="AJU109" s="0" t="n">
        <v>0</v>
      </c>
      <c r="AJV109" s="0" t="n">
        <v>0</v>
      </c>
      <c r="AJW109" s="0" t="n">
        <v>0</v>
      </c>
      <c r="AKJ109" s="0" t="n">
        <v>2.5</v>
      </c>
      <c r="AKK109" s="0" t="n">
        <v>1</v>
      </c>
      <c r="AKL109" s="0" t="n">
        <v>35</v>
      </c>
      <c r="AKM109" s="0" t="n">
        <v>4</v>
      </c>
      <c r="AKN109" s="0" t="n">
        <v>0.54</v>
      </c>
      <c r="AKO109" s="0" t="n">
        <v>3</v>
      </c>
      <c r="AKV109" s="20"/>
      <c r="ALN109" s="0" t="n">
        <v>1</v>
      </c>
      <c r="ALO109" s="0" t="n">
        <v>40</v>
      </c>
      <c r="ALP109" s="0" t="n">
        <v>2</v>
      </c>
      <c r="ALQ109" s="0" t="n">
        <v>0.26</v>
      </c>
      <c r="ALR109" s="0" t="n">
        <v>3</v>
      </c>
    </row>
    <row r="110" customFormat="false" ht="13.8" hidden="false" customHeight="false" outlineLevel="0" collapsed="false">
      <c r="A110" s="1" t="s">
        <v>517</v>
      </c>
      <c r="B110" s="12" t="n">
        <v>42899</v>
      </c>
      <c r="C110" s="0" t="n">
        <v>2</v>
      </c>
      <c r="D110" s="13" t="n">
        <v>42804</v>
      </c>
      <c r="E110" s="12" t="n">
        <v>34927</v>
      </c>
      <c r="F110" s="14" t="n">
        <f aca="false">(B110-E110)/365.25</f>
        <v>21.8261464750171</v>
      </c>
      <c r="G110" s="14" t="n">
        <f aca="false">(B110-D110)/365.25</f>
        <v>0.26009582477755</v>
      </c>
      <c r="H110" s="15" t="s">
        <v>217</v>
      </c>
      <c r="I110" s="15" t="s">
        <v>218</v>
      </c>
      <c r="J110" s="15" t="s">
        <v>181</v>
      </c>
      <c r="K110" s="21" t="n">
        <v>4</v>
      </c>
      <c r="L110" s="19"/>
      <c r="N110" s="16" t="e">
        <f aca="false">L110/(M110*M110)</f>
        <v>#DIV/0!</v>
      </c>
      <c r="O110" s="19" t="n">
        <v>0</v>
      </c>
      <c r="P110" s="19" t="n">
        <v>0</v>
      </c>
      <c r="Q110" s="19" t="n">
        <v>0</v>
      </c>
      <c r="R110" s="19" t="n">
        <v>0</v>
      </c>
      <c r="S110" s="19" t="n">
        <v>0</v>
      </c>
      <c r="T110" s="19" t="n">
        <v>0</v>
      </c>
      <c r="U110" s="19" t="n">
        <v>0</v>
      </c>
      <c r="V110" s="19" t="n">
        <v>0</v>
      </c>
      <c r="W110" s="19" t="n">
        <v>0</v>
      </c>
      <c r="X110" s="19" t="n">
        <v>0</v>
      </c>
      <c r="Y110" s="19" t="n">
        <v>0</v>
      </c>
      <c r="Z110" s="19" t="n">
        <v>0</v>
      </c>
      <c r="AA110" s="19" t="n">
        <v>0</v>
      </c>
      <c r="AB110" s="19" t="n">
        <v>0</v>
      </c>
      <c r="AC110" s="19" t="n">
        <v>1</v>
      </c>
      <c r="AD110" s="19" t="n">
        <v>10</v>
      </c>
      <c r="AE110" s="19" t="n">
        <v>0</v>
      </c>
      <c r="AF110" s="19" t="n">
        <v>0</v>
      </c>
      <c r="AG110" s="19" t="n">
        <v>0</v>
      </c>
      <c r="AH110" s="19" t="n">
        <v>0</v>
      </c>
      <c r="AI110" s="19" t="n">
        <v>0</v>
      </c>
      <c r="AJ110" s="19" t="n">
        <v>0</v>
      </c>
      <c r="AK110" s="19" t="n">
        <v>0</v>
      </c>
      <c r="AL110" s="19" t="n">
        <v>0</v>
      </c>
      <c r="AM110" s="19" t="n">
        <v>0</v>
      </c>
      <c r="AN110" s="19" t="n">
        <v>0</v>
      </c>
      <c r="AO110" s="19" t="n">
        <v>0</v>
      </c>
      <c r="AP110" s="19" t="n">
        <v>0</v>
      </c>
      <c r="AQ110" s="19" t="n">
        <v>0</v>
      </c>
      <c r="AR110" s="19" t="n">
        <v>0</v>
      </c>
      <c r="AS110" s="19" t="n">
        <v>0</v>
      </c>
      <c r="AT110" s="19" t="n">
        <v>0</v>
      </c>
      <c r="AU110" s="19" t="n">
        <v>0</v>
      </c>
      <c r="AV110" s="19" t="n">
        <v>0</v>
      </c>
      <c r="AW110" s="19" t="n">
        <v>0</v>
      </c>
      <c r="AX110" s="19" t="n">
        <v>0</v>
      </c>
      <c r="AY110" s="19" t="n">
        <v>0</v>
      </c>
      <c r="AZ110" s="19" t="n">
        <v>0</v>
      </c>
      <c r="BA110" s="19" t="n">
        <v>0</v>
      </c>
      <c r="BB110" s="19" t="n">
        <v>0</v>
      </c>
      <c r="BC110" s="19" t="n">
        <v>0</v>
      </c>
      <c r="BD110" s="19" t="n">
        <v>0</v>
      </c>
      <c r="BE110" s="19" t="n">
        <v>0</v>
      </c>
      <c r="BF110" s="19" t="n">
        <v>0</v>
      </c>
      <c r="BG110" s="19" t="n">
        <v>0</v>
      </c>
      <c r="BH110" s="19" t="n">
        <v>0</v>
      </c>
      <c r="BI110" s="19" t="n">
        <v>0</v>
      </c>
      <c r="BJ110" s="19" t="n">
        <v>0</v>
      </c>
      <c r="BK110" s="19" t="n">
        <v>0</v>
      </c>
      <c r="BL110" s="19" t="n">
        <v>0</v>
      </c>
      <c r="BM110" s="19" t="n">
        <v>0</v>
      </c>
      <c r="BN110" s="19" t="n">
        <v>0</v>
      </c>
      <c r="BO110" s="19" t="n">
        <v>0</v>
      </c>
      <c r="BP110" s="19" t="n">
        <v>0</v>
      </c>
      <c r="BQ110" s="19" t="n">
        <v>0</v>
      </c>
      <c r="BR110" s="19" t="n">
        <v>2</v>
      </c>
      <c r="BS110" s="19" t="n">
        <v>2</v>
      </c>
      <c r="BT110" s="19" t="n">
        <v>3</v>
      </c>
      <c r="BU110" s="19" t="n">
        <v>5</v>
      </c>
      <c r="BV110" s="19" t="n">
        <v>3</v>
      </c>
      <c r="BW110" s="19"/>
      <c r="BX110" s="19" t="n">
        <v>5</v>
      </c>
      <c r="BY110" s="19" t="n">
        <v>5</v>
      </c>
      <c r="BZ110" s="19" t="n">
        <v>5</v>
      </c>
      <c r="CA110" s="19" t="n">
        <v>5</v>
      </c>
      <c r="CB110" s="19" t="n">
        <v>5</v>
      </c>
      <c r="CC110" s="19" t="n">
        <v>5</v>
      </c>
      <c r="CD110" s="19"/>
      <c r="CE110" s="19" t="n">
        <v>5</v>
      </c>
      <c r="CF110" s="19" t="n">
        <v>5</v>
      </c>
      <c r="CG110" s="19" t="n">
        <v>5</v>
      </c>
      <c r="CH110" s="19" t="n">
        <v>5</v>
      </c>
      <c r="CI110" s="19" t="n">
        <v>5</v>
      </c>
      <c r="CJ110" s="19" t="n">
        <v>5</v>
      </c>
      <c r="CK110" s="19" t="n">
        <v>10</v>
      </c>
      <c r="CL110" s="0" t="s">
        <v>219</v>
      </c>
      <c r="CM110" s="0" t="n">
        <v>33.5</v>
      </c>
      <c r="CN110" s="16" t="n">
        <v>91.5</v>
      </c>
      <c r="CO110" s="16" t="n">
        <v>80.4</v>
      </c>
      <c r="CP110" s="16" t="n">
        <v>20</v>
      </c>
      <c r="CQ110" s="0" t="n">
        <v>84.58</v>
      </c>
      <c r="CR110" s="17" t="n">
        <v>0</v>
      </c>
      <c r="CS110" s="0" t="n">
        <v>15.42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13.79</v>
      </c>
      <c r="DD110" s="0" t="n">
        <v>2.67</v>
      </c>
      <c r="DE110" s="0" t="n">
        <v>11.54</v>
      </c>
      <c r="DF110" s="0" t="n">
        <v>0</v>
      </c>
      <c r="DG110" s="0" t="n">
        <v>12.3</v>
      </c>
      <c r="DH110" s="0" t="n">
        <v>2</v>
      </c>
      <c r="DI110" s="0" t="n">
        <v>5</v>
      </c>
      <c r="DJ110" s="0" t="n">
        <v>2</v>
      </c>
      <c r="DO110" s="0" t="n">
        <v>5</v>
      </c>
      <c r="DP110" s="0" t="n">
        <v>2</v>
      </c>
      <c r="DU110" s="0" t="n">
        <v>0</v>
      </c>
      <c r="DV110" s="0" t="n">
        <v>1</v>
      </c>
      <c r="DW110" s="0" t="n">
        <v>34</v>
      </c>
      <c r="DX110" s="0" t="n">
        <v>2</v>
      </c>
      <c r="DY110" s="0" t="n">
        <v>0.1</v>
      </c>
      <c r="DZ110" s="0" t="n">
        <v>1</v>
      </c>
      <c r="EA110" s="0" t="n">
        <v>10</v>
      </c>
      <c r="EB110" s="0" t="n">
        <f aca="false">8*4</f>
        <v>32</v>
      </c>
      <c r="EC110" s="0" t="n">
        <f aca="false">0.06+0.01+0.4+1.7+0.24+0.14+0.96</f>
        <v>3.51</v>
      </c>
      <c r="ED110" s="0" t="n">
        <v>3</v>
      </c>
      <c r="EG110" s="18"/>
      <c r="EY110" s="0" t="n">
        <v>0</v>
      </c>
      <c r="GJ110" s="16" t="n">
        <v>0.25</v>
      </c>
      <c r="GK110" s="16" t="n">
        <v>1</v>
      </c>
      <c r="GL110" s="16" t="n">
        <v>2</v>
      </c>
      <c r="GM110" s="16"/>
      <c r="GN110" s="16" t="n">
        <v>0.55</v>
      </c>
      <c r="GO110" s="16"/>
      <c r="GP110" s="16"/>
      <c r="GQ110" s="16"/>
      <c r="GR110" s="16"/>
      <c r="GS110" s="16"/>
      <c r="GT110" s="16"/>
      <c r="GU110" s="16" t="n">
        <v>0.55</v>
      </c>
      <c r="GV110" s="16" t="n">
        <v>0.55</v>
      </c>
      <c r="GW110" s="16"/>
      <c r="GX110" s="16"/>
      <c r="GY110" s="16" t="n">
        <v>0</v>
      </c>
      <c r="GZ110" s="16" t="n">
        <v>0</v>
      </c>
      <c r="HA110" s="16" t="n">
        <v>0</v>
      </c>
      <c r="HB110" s="0" t="n">
        <v>0</v>
      </c>
      <c r="HC110" s="0" t="s">
        <v>220</v>
      </c>
      <c r="HD110" s="0" t="n">
        <v>27</v>
      </c>
      <c r="HE110" s="16" t="n">
        <v>54.4</v>
      </c>
      <c r="HF110" s="16" t="n">
        <v>80.4</v>
      </c>
      <c r="HG110" s="16" t="n">
        <v>18.1</v>
      </c>
      <c r="HH110" s="0" t="n">
        <v>81.88</v>
      </c>
      <c r="HI110" s="17" t="n">
        <v>0</v>
      </c>
      <c r="HJ110" s="0" t="n">
        <v>9.83</v>
      </c>
      <c r="HK110" s="0" t="n">
        <v>0</v>
      </c>
      <c r="HL110" s="0" t="n">
        <v>2.14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2.32</v>
      </c>
      <c r="HU110" s="0" t="n">
        <v>19.66</v>
      </c>
      <c r="HV110" s="0" t="n">
        <v>3.64</v>
      </c>
      <c r="HW110" s="0" t="n">
        <v>0</v>
      </c>
      <c r="HX110" s="0" t="n">
        <v>0</v>
      </c>
      <c r="HY110" s="0" t="n">
        <v>0</v>
      </c>
      <c r="IL110" s="0" t="n">
        <v>0</v>
      </c>
      <c r="IM110" s="0" t="n">
        <v>1</v>
      </c>
      <c r="IN110" s="0" t="n">
        <v>26</v>
      </c>
      <c r="IO110" s="0" t="n">
        <v>2</v>
      </c>
      <c r="IP110" s="0" t="n">
        <v>0.05</v>
      </c>
      <c r="IQ110" s="0" t="n">
        <v>2</v>
      </c>
      <c r="IX110" s="18"/>
      <c r="JP110" s="0" t="n">
        <v>0</v>
      </c>
      <c r="LA110" s="16" t="n">
        <v>2.1</v>
      </c>
      <c r="LB110" s="16" t="n">
        <v>1</v>
      </c>
      <c r="LC110" s="16" t="n">
        <v>1</v>
      </c>
      <c r="LD110" s="16"/>
      <c r="LE110" s="16" t="n">
        <f aca="false">0.1+0.76*2+2.02+1.35*2+0.67</f>
        <v>7.01</v>
      </c>
      <c r="LF110" s="16"/>
      <c r="LG110" s="16"/>
      <c r="LH110" s="16"/>
      <c r="LI110" s="16"/>
      <c r="LJ110" s="16"/>
      <c r="LK110" s="16"/>
      <c r="LL110" s="16" t="n">
        <v>6.35</v>
      </c>
      <c r="LM110" s="16" t="n">
        <v>14.8</v>
      </c>
      <c r="LN110" s="16"/>
      <c r="LO110" s="16"/>
      <c r="LP110" s="16" t="n">
        <v>0</v>
      </c>
      <c r="LQ110" s="16" t="n">
        <v>0</v>
      </c>
      <c r="LR110" s="16" t="n">
        <v>0</v>
      </c>
      <c r="LS110" s="0" t="n">
        <v>0</v>
      </c>
      <c r="LT110" s="0" t="s">
        <v>221</v>
      </c>
      <c r="LU110" s="0" t="n">
        <v>20.5</v>
      </c>
      <c r="LV110" s="16" t="n">
        <v>76.9</v>
      </c>
      <c r="LW110" s="16" t="n">
        <v>80.4</v>
      </c>
      <c r="LX110" s="16" t="n">
        <v>9.1</v>
      </c>
      <c r="LY110" s="0" t="n">
        <v>88.58</v>
      </c>
      <c r="LZ110" s="0" t="n">
        <v>10.3</v>
      </c>
      <c r="MA110" s="0" t="n">
        <v>1.12</v>
      </c>
      <c r="MB110" s="0" t="n">
        <v>0</v>
      </c>
      <c r="MC110" s="0" t="n">
        <v>0</v>
      </c>
      <c r="MD110" s="0" t="n">
        <v>0</v>
      </c>
      <c r="ME110" s="0" t="n">
        <v>0</v>
      </c>
      <c r="MF110" s="0" t="n">
        <v>0</v>
      </c>
      <c r="MG110" s="0" t="n">
        <v>0</v>
      </c>
      <c r="MH110" s="0" t="n">
        <v>0</v>
      </c>
      <c r="MI110" s="0" t="n">
        <v>0</v>
      </c>
      <c r="MJ110" s="0" t="n">
        <v>0</v>
      </c>
      <c r="MK110" s="0" t="n">
        <v>6.33</v>
      </c>
      <c r="ML110" s="0" t="n">
        <v>16.97</v>
      </c>
      <c r="MM110" s="0" t="n">
        <v>0</v>
      </c>
      <c r="MN110" s="0" t="n">
        <v>0</v>
      </c>
      <c r="MO110" s="0" t="n">
        <v>4.1</v>
      </c>
      <c r="MP110" s="0" t="n">
        <v>2</v>
      </c>
      <c r="MQ110" s="0" t="n">
        <v>5</v>
      </c>
      <c r="MR110" s="0" t="n">
        <v>1</v>
      </c>
      <c r="MW110" s="0" t="n">
        <v>5</v>
      </c>
      <c r="MX110" s="0" t="n">
        <v>1</v>
      </c>
      <c r="NC110" s="0" t="n">
        <v>0</v>
      </c>
      <c r="ND110" s="0" t="n">
        <v>0</v>
      </c>
      <c r="NO110" s="18"/>
      <c r="OG110" s="0" t="n">
        <v>0</v>
      </c>
      <c r="PR110" s="16" t="n">
        <v>2.24</v>
      </c>
      <c r="PS110" s="16" t="n">
        <v>1</v>
      </c>
      <c r="PT110" s="16" t="n">
        <v>2</v>
      </c>
      <c r="PU110" s="16"/>
      <c r="PV110" s="16" t="n">
        <v>4.97</v>
      </c>
      <c r="PW110" s="16"/>
      <c r="PX110" s="16"/>
      <c r="PY110" s="16"/>
      <c r="PZ110" s="16"/>
      <c r="QA110" s="16"/>
      <c r="QB110" s="16"/>
      <c r="QC110" s="16" t="n">
        <v>5.1</v>
      </c>
      <c r="QD110" s="16" t="n">
        <v>5.97</v>
      </c>
      <c r="QE110" s="16"/>
      <c r="QF110" s="16"/>
      <c r="QG110" s="16" t="n">
        <v>0</v>
      </c>
      <c r="QH110" s="16" t="n">
        <v>0</v>
      </c>
      <c r="QI110" s="16" t="n">
        <v>0</v>
      </c>
      <c r="QJ110" s="0" t="n">
        <v>0</v>
      </c>
      <c r="QK110" s="0" t="s">
        <v>222</v>
      </c>
      <c r="QL110" s="0" t="n">
        <v>32.5</v>
      </c>
      <c r="QM110" s="16" t="n">
        <v>96.7</v>
      </c>
      <c r="QN110" s="16" t="n">
        <v>80.4</v>
      </c>
      <c r="QO110" s="16" t="n">
        <v>15.1</v>
      </c>
      <c r="QP110" s="0" t="n">
        <v>52.24</v>
      </c>
      <c r="QQ110" s="0" t="n">
        <v>45.43</v>
      </c>
      <c r="QR110" s="0" t="n">
        <v>1.12</v>
      </c>
      <c r="QS110" s="0" t="n">
        <v>0</v>
      </c>
      <c r="QT110" s="0" t="n">
        <v>1.2</v>
      </c>
      <c r="QU110" s="0" t="n">
        <v>0</v>
      </c>
      <c r="QV110" s="0" t="n">
        <v>0</v>
      </c>
      <c r="QW110" s="0" t="n">
        <v>0</v>
      </c>
      <c r="QX110" s="0" t="n">
        <v>0</v>
      </c>
      <c r="QY110" s="0" t="n">
        <v>0</v>
      </c>
      <c r="QZ110" s="0" t="n">
        <v>0</v>
      </c>
      <c r="RA110" s="0" t="n">
        <v>1.2</v>
      </c>
      <c r="RB110" s="0" t="n">
        <v>15.88</v>
      </c>
      <c r="RC110" s="0" t="n">
        <v>48.59</v>
      </c>
      <c r="RD110" s="0" t="n">
        <v>0</v>
      </c>
      <c r="RE110" s="0" t="n">
        <v>0</v>
      </c>
      <c r="RF110" s="0" t="n">
        <v>0</v>
      </c>
      <c r="RG110" s="0" t="n">
        <v>0</v>
      </c>
      <c r="RT110" s="0" t="n">
        <v>0</v>
      </c>
      <c r="RU110" s="0" t="n">
        <v>0</v>
      </c>
      <c r="SF110" s="18"/>
      <c r="SX110" s="0" t="n">
        <v>1</v>
      </c>
      <c r="SY110" s="0" t="n">
        <v>50</v>
      </c>
      <c r="SZ110" s="0" t="n">
        <v>2</v>
      </c>
      <c r="TA110" s="0" t="n">
        <f aca="false">3.18+12.73</f>
        <v>15.91</v>
      </c>
      <c r="TB110" s="0" t="n">
        <v>1</v>
      </c>
      <c r="UI110" s="16" t="n">
        <v>5.9</v>
      </c>
      <c r="UJ110" s="16" t="n">
        <v>1</v>
      </c>
      <c r="UK110" s="16" t="n">
        <v>2</v>
      </c>
      <c r="UL110" s="16"/>
      <c r="UM110" s="16" t="n">
        <f aca="false">0.09+0.18*3+0.13+0.53+1.07*2+1.34*2+0.17*2+3.18+12.73</f>
        <v>22.36</v>
      </c>
      <c r="UN110" s="16"/>
      <c r="UO110" s="16"/>
      <c r="UP110" s="16"/>
      <c r="UQ110" s="16"/>
      <c r="UR110" s="16"/>
      <c r="US110" s="16"/>
      <c r="UT110" s="16" t="n">
        <v>11.45</v>
      </c>
      <c r="UU110" s="16" t="n">
        <v>41.19</v>
      </c>
      <c r="UV110" s="16"/>
      <c r="UW110" s="16"/>
      <c r="UX110" s="16" t="n">
        <v>0</v>
      </c>
      <c r="UY110" s="16" t="n">
        <v>0</v>
      </c>
      <c r="UZ110" s="16" t="n">
        <v>0</v>
      </c>
      <c r="VA110" s="0" t="n">
        <v>0</v>
      </c>
      <c r="VB110" s="0" t="s">
        <v>223</v>
      </c>
      <c r="VC110" s="0" t="n">
        <v>30.5</v>
      </c>
      <c r="VD110" s="16" t="n">
        <v>68.8</v>
      </c>
      <c r="VE110" s="16" t="n">
        <v>80.4</v>
      </c>
      <c r="VF110" s="16" t="n">
        <v>16.3</v>
      </c>
      <c r="VG110" s="0" t="n">
        <v>66.28</v>
      </c>
      <c r="VH110" s="0" t="n">
        <v>20.09</v>
      </c>
      <c r="VI110" s="0" t="n">
        <v>1.81</v>
      </c>
      <c r="VJ110" s="0" t="n">
        <v>0</v>
      </c>
      <c r="VK110" s="0" t="n">
        <v>11.82</v>
      </c>
      <c r="VL110" s="0" t="n">
        <v>0</v>
      </c>
      <c r="VM110" s="0" t="n">
        <v>0</v>
      </c>
      <c r="VN110" s="0" t="n">
        <v>0</v>
      </c>
      <c r="VO110" s="0" t="n">
        <v>0</v>
      </c>
      <c r="VP110" s="0" t="n">
        <v>0</v>
      </c>
      <c r="VQ110" s="0" t="n">
        <v>0</v>
      </c>
      <c r="VR110" s="0" t="n">
        <v>0</v>
      </c>
      <c r="VS110" s="0" t="n">
        <v>13.17</v>
      </c>
      <c r="VT110" s="0" t="n">
        <v>35.75</v>
      </c>
      <c r="VU110" s="0" t="n">
        <v>0</v>
      </c>
      <c r="VV110" s="0" t="n">
        <v>0</v>
      </c>
      <c r="VW110" s="0" t="n">
        <v>0</v>
      </c>
      <c r="VX110" s="0" t="n">
        <v>0</v>
      </c>
      <c r="WK110" s="0" t="n">
        <v>0</v>
      </c>
      <c r="WL110" s="0" t="n">
        <v>1</v>
      </c>
      <c r="WM110" s="0" t="n">
        <v>52</v>
      </c>
      <c r="WN110" s="0" t="n">
        <v>1</v>
      </c>
      <c r="WO110" s="0" t="n">
        <v>0.01</v>
      </c>
      <c r="WP110" s="0" t="n">
        <v>2</v>
      </c>
      <c r="WW110" s="18"/>
      <c r="XO110" s="0" t="n">
        <v>0</v>
      </c>
      <c r="YZ110" s="16" t="n">
        <v>5.43</v>
      </c>
      <c r="ZA110" s="16" t="n">
        <v>1</v>
      </c>
      <c r="ZB110" s="16" t="n">
        <v>1</v>
      </c>
      <c r="ZC110" s="16"/>
      <c r="ZD110" s="16" t="n">
        <f aca="false">0.09*2+0.07+1.36</f>
        <v>1.61</v>
      </c>
      <c r="ZE110" s="16" t="n">
        <v>2</v>
      </c>
      <c r="ZF110" s="16"/>
      <c r="ZG110" s="16" t="n">
        <f aca="false">4.2+0.09+0.66+0.01+3.18+3.18</f>
        <v>11.32</v>
      </c>
      <c r="ZH110" s="16"/>
      <c r="ZI110" s="16"/>
      <c r="ZJ110" s="16"/>
      <c r="ZK110" s="16" t="n">
        <v>8.61</v>
      </c>
      <c r="ZL110" s="16" t="n">
        <v>26.91</v>
      </c>
      <c r="ZM110" s="16"/>
      <c r="ZN110" s="16"/>
      <c r="ZO110" s="16" t="n">
        <v>0</v>
      </c>
      <c r="ZP110" s="16" t="n">
        <v>0</v>
      </c>
      <c r="ZQ110" s="16" t="n">
        <v>0</v>
      </c>
      <c r="ZR110" s="0" t="n">
        <v>0</v>
      </c>
      <c r="ZS110" s="0" t="s">
        <v>224</v>
      </c>
      <c r="ZT110" s="0" t="n">
        <v>39.5</v>
      </c>
      <c r="ZU110" s="16" t="n">
        <v>60.8</v>
      </c>
      <c r="ZV110" s="16" t="n">
        <v>80.4</v>
      </c>
      <c r="ZW110" s="16" t="n">
        <v>22.9</v>
      </c>
      <c r="ZX110" s="0" t="n">
        <v>67.01</v>
      </c>
      <c r="ZY110" s="0" t="n">
        <v>11.71</v>
      </c>
      <c r="ZZ110" s="0" t="n">
        <v>16.61</v>
      </c>
      <c r="AAA110" s="0" t="n">
        <v>0</v>
      </c>
      <c r="AAB110" s="0" t="n">
        <v>4.67</v>
      </c>
      <c r="AAC110" s="0" t="n">
        <v>0</v>
      </c>
      <c r="AAD110" s="0" t="n">
        <v>0</v>
      </c>
      <c r="AAE110" s="0" t="n">
        <v>0</v>
      </c>
      <c r="AAF110" s="0" t="n">
        <v>0</v>
      </c>
      <c r="AAG110" s="0" t="n">
        <v>0</v>
      </c>
      <c r="AAH110" s="0" t="n">
        <v>0</v>
      </c>
      <c r="AAI110" s="0" t="n">
        <v>0</v>
      </c>
      <c r="AAJ110" s="0" t="n">
        <v>20.9</v>
      </c>
      <c r="AAK110" s="0" t="n">
        <v>25.23</v>
      </c>
      <c r="AAL110" s="0" t="n">
        <v>0.58</v>
      </c>
      <c r="AAM110" s="0" t="n">
        <v>0</v>
      </c>
      <c r="AAN110" s="0" t="n">
        <v>0</v>
      </c>
      <c r="AAO110" s="0" t="n">
        <v>0</v>
      </c>
      <c r="ABB110" s="0" t="n">
        <v>2</v>
      </c>
      <c r="ABC110" s="0" t="n">
        <v>1</v>
      </c>
      <c r="ABD110" s="0" t="n">
        <v>103</v>
      </c>
      <c r="ABE110" s="0" t="n">
        <v>2</v>
      </c>
      <c r="ABF110" s="0" t="n">
        <f aca="false">0.18+0.14</f>
        <v>0.32</v>
      </c>
      <c r="ABG110" s="0" t="n">
        <v>1</v>
      </c>
      <c r="ABH110" s="0" t="n">
        <v>68</v>
      </c>
      <c r="ABI110" s="0" t="n">
        <v>1</v>
      </c>
      <c r="ABJ110" s="0" t="n">
        <v>0.01</v>
      </c>
      <c r="ABK110" s="0" t="n">
        <v>1</v>
      </c>
      <c r="ABL110" s="0" t="n">
        <v>52</v>
      </c>
      <c r="ABM110" s="0" t="n">
        <v>3</v>
      </c>
      <c r="ABN110" s="18" t="n">
        <v>0.05</v>
      </c>
      <c r="ABO110" s="0" t="n">
        <v>2</v>
      </c>
      <c r="ACF110" s="0" t="n">
        <v>0</v>
      </c>
      <c r="ADQ110" s="16" t="n">
        <v>3.66</v>
      </c>
      <c r="ADR110" s="16" t="n">
        <v>1</v>
      </c>
      <c r="ADS110" s="16" t="n">
        <v>1</v>
      </c>
      <c r="ADT110" s="16"/>
      <c r="ADU110" s="16" t="n">
        <f aca="false">2.69*3+1.35*3+0.14*2+0.1</f>
        <v>12.5</v>
      </c>
      <c r="ADV110" s="16" t="n">
        <v>2</v>
      </c>
      <c r="ADW110" s="16"/>
      <c r="ADX110" s="16" t="n">
        <f aca="false">0.66+0.35+0.18+0.14+1.25+1.23</f>
        <v>3.81</v>
      </c>
      <c r="ADY110" s="16"/>
      <c r="ADZ110" s="16"/>
      <c r="AEA110" s="16"/>
      <c r="AEB110" s="16" t="n">
        <v>10.05</v>
      </c>
      <c r="AEC110" s="16" t="n">
        <v>27.11</v>
      </c>
      <c r="AED110" s="16"/>
      <c r="AEE110" s="16"/>
      <c r="AEF110" s="16" t="n">
        <v>0</v>
      </c>
      <c r="AEG110" s="16" t="n">
        <v>0</v>
      </c>
      <c r="AEH110" s="16" t="n">
        <v>0</v>
      </c>
      <c r="AEI110" s="0" t="n">
        <v>0</v>
      </c>
      <c r="AEJ110" s="0" t="s">
        <v>225</v>
      </c>
      <c r="AEK110" s="0" t="n">
        <v>47</v>
      </c>
      <c r="AEL110" s="16" t="n">
        <v>72.3</v>
      </c>
      <c r="AEM110" s="16" t="n">
        <v>80.4</v>
      </c>
      <c r="AEN110" s="16" t="n">
        <v>18</v>
      </c>
      <c r="AEO110" s="0" t="n">
        <v>70.55</v>
      </c>
      <c r="AEP110" s="0" t="n">
        <v>6.81</v>
      </c>
      <c r="AEQ110" s="0" t="n">
        <v>3.09</v>
      </c>
      <c r="AER110" s="0" t="n">
        <v>0</v>
      </c>
      <c r="AES110" s="0" t="n">
        <v>19.55</v>
      </c>
      <c r="AET110" s="0" t="n">
        <v>0</v>
      </c>
      <c r="AEU110" s="0" t="n">
        <v>0</v>
      </c>
      <c r="AEV110" s="0" t="n">
        <v>0</v>
      </c>
      <c r="AEW110" s="0" t="n">
        <v>0</v>
      </c>
      <c r="AEX110" s="0" t="n">
        <v>0</v>
      </c>
      <c r="AEY110" s="0" t="n">
        <v>0</v>
      </c>
      <c r="AEZ110" s="0" t="n">
        <v>0</v>
      </c>
      <c r="AFA110" s="0" t="n">
        <v>18.07</v>
      </c>
      <c r="AFB110" s="0" t="n">
        <v>30.57</v>
      </c>
      <c r="AFC110" s="0" t="n">
        <v>7.61</v>
      </c>
      <c r="AFD110" s="0" t="n">
        <v>0</v>
      </c>
      <c r="AFE110" s="0" t="n">
        <v>14</v>
      </c>
      <c r="AFF110" s="0" t="n">
        <v>2</v>
      </c>
      <c r="AFG110" s="0" t="n">
        <v>5</v>
      </c>
      <c r="AFH110" s="0" t="n">
        <v>4.47</v>
      </c>
      <c r="AFJ110" s="0" t="n">
        <v>7</v>
      </c>
      <c r="AFK110" s="0" t="n">
        <v>5.15</v>
      </c>
      <c r="AFM110" s="0" t="n">
        <v>5</v>
      </c>
      <c r="AFN110" s="0" t="n">
        <v>4.47</v>
      </c>
      <c r="AFP110" s="0" t="n">
        <v>7</v>
      </c>
      <c r="AFQ110" s="0" t="n">
        <v>5.15</v>
      </c>
      <c r="AFS110" s="0" t="n">
        <v>0</v>
      </c>
      <c r="AFT110" s="0" t="n">
        <v>0</v>
      </c>
      <c r="AGE110" s="18"/>
      <c r="AGW110" s="0" t="n">
        <v>0</v>
      </c>
      <c r="AIH110" s="16" t="n">
        <v>4.21</v>
      </c>
      <c r="AII110" s="16" t="n">
        <v>1</v>
      </c>
      <c r="AIJ110" s="16" t="n">
        <v>2</v>
      </c>
      <c r="AIK110" s="16"/>
      <c r="AIL110" s="16" t="n">
        <f aca="false">7.46+1.59+0.6</f>
        <v>9.65</v>
      </c>
      <c r="AIM110" s="16"/>
      <c r="AIN110" s="16"/>
      <c r="AIO110" s="16"/>
      <c r="AIP110" s="16"/>
      <c r="AIQ110" s="16"/>
      <c r="AIR110" s="16"/>
      <c r="AIS110" s="16" t="n">
        <v>10.63</v>
      </c>
      <c r="AIT110" s="16" t="n">
        <v>36.38</v>
      </c>
      <c r="AIU110" s="16"/>
      <c r="AIV110" s="16"/>
      <c r="AIW110" s="16" t="n">
        <v>0</v>
      </c>
      <c r="AIX110" s="16" t="n">
        <v>0</v>
      </c>
      <c r="AIY110" s="16" t="n">
        <v>0</v>
      </c>
      <c r="AIZ110" s="0" t="n">
        <v>0</v>
      </c>
      <c r="AJA110" s="0" t="s">
        <v>226</v>
      </c>
      <c r="AJB110" s="0" t="n">
        <v>19</v>
      </c>
      <c r="AJC110" s="16" t="n">
        <v>82.6</v>
      </c>
      <c r="AJD110" s="16" t="n">
        <v>80.4</v>
      </c>
      <c r="AJE110" s="16" t="n">
        <v>7.7</v>
      </c>
      <c r="AJF110" s="0" t="n">
        <v>86.83</v>
      </c>
      <c r="AJG110" s="0" t="n">
        <v>12.69</v>
      </c>
      <c r="AJH110" s="0" t="n">
        <v>0</v>
      </c>
      <c r="AJI110" s="0" t="n">
        <v>0</v>
      </c>
      <c r="AJJ110" s="0" t="n">
        <v>0.48</v>
      </c>
      <c r="AJK110" s="0" t="n">
        <v>0</v>
      </c>
      <c r="AJL110" s="0" t="n">
        <v>0</v>
      </c>
      <c r="AJM110" s="0" t="n">
        <v>0</v>
      </c>
      <c r="AJN110" s="0" t="n">
        <v>0</v>
      </c>
      <c r="AJO110" s="0" t="n">
        <v>0</v>
      </c>
      <c r="AJP110" s="0" t="n">
        <v>0</v>
      </c>
      <c r="AJQ110" s="0" t="n">
        <v>0</v>
      </c>
      <c r="AJR110" s="0" t="n">
        <v>7.16</v>
      </c>
      <c r="AJS110" s="0" t="n">
        <v>10.76</v>
      </c>
      <c r="AJT110" s="0" t="n">
        <v>0</v>
      </c>
      <c r="AJU110" s="0" t="n">
        <v>0</v>
      </c>
      <c r="AJV110" s="0" t="n">
        <v>3.4</v>
      </c>
      <c r="AJW110" s="0" t="n">
        <v>2</v>
      </c>
      <c r="AJX110" s="0" t="n">
        <v>11.9</v>
      </c>
      <c r="AJY110" s="0" t="n">
        <v>0.48</v>
      </c>
      <c r="AKD110" s="0" t="n">
        <v>11.9</v>
      </c>
      <c r="AKE110" s="0" t="n">
        <v>0.48</v>
      </c>
      <c r="AKJ110" s="0" t="n">
        <v>0</v>
      </c>
      <c r="AKK110" s="0" t="n">
        <v>1</v>
      </c>
      <c r="AKL110" s="0" t="n">
        <v>34</v>
      </c>
      <c r="AKM110" s="0" t="n">
        <v>2</v>
      </c>
      <c r="AKN110" s="0" t="n">
        <f aca="false">0.84*2</f>
        <v>1.68</v>
      </c>
      <c r="AKO110" s="0" t="n">
        <v>1</v>
      </c>
      <c r="AKV110" s="18"/>
      <c r="ALN110" s="0" t="n">
        <v>0</v>
      </c>
    </row>
    <row r="111" customFormat="false" ht="13.8" hidden="false" customHeight="false" outlineLevel="0" collapsed="false">
      <c r="A111" s="1" t="s">
        <v>518</v>
      </c>
      <c r="B111" s="12" t="n">
        <v>42902</v>
      </c>
      <c r="C111" s="0" t="n">
        <v>1</v>
      </c>
      <c r="D111" s="13" t="n">
        <v>42793</v>
      </c>
      <c r="E111" s="12" t="n">
        <v>32197</v>
      </c>
      <c r="F111" s="14" t="n">
        <f aca="false">(B111-E111)/365.25</f>
        <v>29.3086926762491</v>
      </c>
      <c r="G111" s="14" t="n">
        <f aca="false">(B111-D111)/365.25</f>
        <v>0.298425735797399</v>
      </c>
      <c r="H111" s="15" t="s">
        <v>217</v>
      </c>
      <c r="I111" s="15" t="s">
        <v>218</v>
      </c>
      <c r="J111" s="15" t="s">
        <v>181</v>
      </c>
      <c r="K111" s="21" t="n">
        <v>8</v>
      </c>
      <c r="L111" s="19" t="n">
        <v>70</v>
      </c>
      <c r="M111" s="0" t="n">
        <v>1.69</v>
      </c>
      <c r="N111" s="16" t="n">
        <f aca="false">L111/(M111*M111)</f>
        <v>24.5089457652043</v>
      </c>
      <c r="O111" s="19" t="n">
        <v>0</v>
      </c>
      <c r="P111" s="19" t="n">
        <v>0</v>
      </c>
      <c r="Q111" s="19" t="n">
        <v>0</v>
      </c>
      <c r="R111" s="19" t="n">
        <v>0</v>
      </c>
      <c r="S111" s="19" t="n">
        <v>0</v>
      </c>
      <c r="T111" s="19" t="n">
        <v>0</v>
      </c>
      <c r="U111" s="19" t="n">
        <v>0</v>
      </c>
      <c r="V111" s="19" t="n">
        <v>0</v>
      </c>
      <c r="W111" s="19" t="n">
        <v>0</v>
      </c>
      <c r="X111" s="19" t="n">
        <v>0</v>
      </c>
      <c r="Y111" s="19" t="n">
        <v>1</v>
      </c>
      <c r="Z111" s="19" t="n">
        <v>1</v>
      </c>
      <c r="AA111" s="19" t="n">
        <v>120</v>
      </c>
      <c r="AB111" s="19" t="s">
        <v>349</v>
      </c>
      <c r="AC111" s="19" t="n">
        <v>1</v>
      </c>
      <c r="AD111" s="19" t="n">
        <v>10</v>
      </c>
      <c r="AE111" s="19" t="n">
        <v>0</v>
      </c>
      <c r="AF111" s="19" t="n">
        <v>0</v>
      </c>
      <c r="AG111" s="19" t="n">
        <v>0</v>
      </c>
      <c r="AH111" s="19" t="n">
        <v>0</v>
      </c>
      <c r="AI111" s="19" t="n">
        <v>0</v>
      </c>
      <c r="AJ111" s="19" t="n">
        <v>0</v>
      </c>
      <c r="AK111" s="19" t="n">
        <v>0</v>
      </c>
      <c r="AL111" s="19" t="n">
        <v>0</v>
      </c>
      <c r="AM111" s="19" t="n">
        <v>0</v>
      </c>
      <c r="AN111" s="19" t="n">
        <v>0</v>
      </c>
      <c r="AO111" s="19" t="n">
        <v>0</v>
      </c>
      <c r="AP111" s="19" t="n">
        <v>0</v>
      </c>
      <c r="AQ111" s="19" t="n">
        <v>0</v>
      </c>
      <c r="AR111" s="19" t="n">
        <v>0</v>
      </c>
      <c r="AS111" s="19" t="n">
        <v>0</v>
      </c>
      <c r="AT111" s="19" t="n">
        <v>0</v>
      </c>
      <c r="AU111" s="19" t="n">
        <v>0</v>
      </c>
      <c r="AV111" s="19" t="n">
        <v>0</v>
      </c>
      <c r="AW111" s="19" t="n">
        <v>0</v>
      </c>
      <c r="AX111" s="19" t="n">
        <v>0</v>
      </c>
      <c r="AY111" s="19" t="n">
        <v>0</v>
      </c>
      <c r="AZ111" s="19" t="n">
        <v>0</v>
      </c>
      <c r="BA111" s="19" t="n">
        <v>0</v>
      </c>
      <c r="BB111" s="19" t="n">
        <v>0</v>
      </c>
      <c r="BC111" s="19" t="n">
        <v>0</v>
      </c>
      <c r="BD111" s="19" t="n">
        <v>0</v>
      </c>
      <c r="BE111" s="19" t="n">
        <v>0</v>
      </c>
      <c r="BF111" s="19" t="n">
        <v>0</v>
      </c>
      <c r="BG111" s="19" t="n">
        <v>0</v>
      </c>
      <c r="BH111" s="19" t="n">
        <v>0</v>
      </c>
      <c r="BI111" s="19" t="n">
        <v>0</v>
      </c>
      <c r="BJ111" s="19" t="n">
        <v>0</v>
      </c>
      <c r="BK111" s="19" t="n">
        <v>0</v>
      </c>
      <c r="BL111" s="19" t="n">
        <v>0</v>
      </c>
      <c r="BM111" s="19" t="n">
        <v>0</v>
      </c>
      <c r="BN111" s="19" t="n">
        <v>0</v>
      </c>
      <c r="BO111" s="19" t="n">
        <v>0</v>
      </c>
      <c r="BP111" s="19" t="n">
        <v>0</v>
      </c>
      <c r="BQ111" s="19" t="n">
        <v>0</v>
      </c>
      <c r="BR111" s="19" t="n">
        <v>2</v>
      </c>
      <c r="BS111" s="19" t="n">
        <v>2</v>
      </c>
      <c r="BT111" s="19" t="n">
        <v>3</v>
      </c>
      <c r="BU111" s="19" t="n">
        <v>5</v>
      </c>
      <c r="BV111" s="19" t="n">
        <v>2</v>
      </c>
      <c r="BW111" s="19" t="n">
        <v>2</v>
      </c>
      <c r="BX111" s="19" t="n">
        <v>3</v>
      </c>
      <c r="BY111" s="19" t="n">
        <v>3</v>
      </c>
      <c r="BZ111" s="19" t="n">
        <v>4</v>
      </c>
      <c r="CA111" s="19" t="n">
        <v>4</v>
      </c>
      <c r="CB111" s="19" t="n">
        <v>4</v>
      </c>
      <c r="CC111" s="19" t="n">
        <v>5</v>
      </c>
      <c r="CD111" s="19" t="n">
        <v>4</v>
      </c>
      <c r="CE111" s="19" t="n">
        <v>5</v>
      </c>
      <c r="CF111" s="19" t="n">
        <v>5</v>
      </c>
      <c r="CG111" s="19" t="n">
        <v>5</v>
      </c>
      <c r="CH111" s="19" t="n">
        <v>4</v>
      </c>
      <c r="CI111" s="19" t="n">
        <v>4</v>
      </c>
      <c r="CJ111" s="19" t="n">
        <v>5</v>
      </c>
      <c r="CK111" s="19" t="n">
        <v>10</v>
      </c>
      <c r="CL111" s="0" t="s">
        <v>220</v>
      </c>
      <c r="CM111" s="0" t="n">
        <v>27</v>
      </c>
      <c r="CN111" s="16" t="n">
        <v>54.4</v>
      </c>
      <c r="CO111" s="16" t="n">
        <v>80.4</v>
      </c>
      <c r="CP111" s="16" t="n">
        <v>18.1</v>
      </c>
      <c r="CQ111" s="0" t="n">
        <v>81.88</v>
      </c>
      <c r="CR111" s="17" t="n">
        <v>0</v>
      </c>
      <c r="CS111" s="0" t="n">
        <v>9.83</v>
      </c>
      <c r="CT111" s="0" t="n">
        <v>0</v>
      </c>
      <c r="CU111" s="0" t="n">
        <v>2.14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2.32</v>
      </c>
      <c r="DD111" s="0" t="n">
        <v>19.66</v>
      </c>
      <c r="DE111" s="0" t="n">
        <v>3.64</v>
      </c>
      <c r="DF111" s="0" t="n">
        <v>0</v>
      </c>
      <c r="DG111" s="0" t="n">
        <v>0</v>
      </c>
      <c r="DH111" s="0" t="n">
        <v>0</v>
      </c>
      <c r="DU111" s="0" t="n">
        <v>0</v>
      </c>
      <c r="DV111" s="0" t="n">
        <v>1</v>
      </c>
      <c r="DW111" s="0" t="n">
        <v>26</v>
      </c>
      <c r="DX111" s="0" t="n">
        <v>2</v>
      </c>
      <c r="DY111" s="0" t="n">
        <v>0.05</v>
      </c>
      <c r="DZ111" s="0" t="n">
        <v>2</v>
      </c>
      <c r="EG111" s="18"/>
      <c r="EY111" s="0" t="n">
        <v>0</v>
      </c>
      <c r="GJ111" s="16" t="n">
        <v>2.1</v>
      </c>
      <c r="GK111" s="16" t="n">
        <v>1</v>
      </c>
      <c r="GL111" s="16" t="n">
        <v>1</v>
      </c>
      <c r="GM111" s="16"/>
      <c r="GN111" s="16" t="n">
        <f aca="false">0.1+0.76*2+2.02+1.35*2+0.67</f>
        <v>7.01</v>
      </c>
      <c r="GO111" s="16"/>
      <c r="GP111" s="16"/>
      <c r="GQ111" s="16"/>
      <c r="GR111" s="16"/>
      <c r="GS111" s="16"/>
      <c r="GT111" s="16"/>
      <c r="GU111" s="16" t="n">
        <v>6.35</v>
      </c>
      <c r="GV111" s="16" t="n">
        <v>14.8</v>
      </c>
      <c r="GW111" s="16"/>
      <c r="GX111" s="16"/>
      <c r="GY111" s="16" t="n">
        <v>0</v>
      </c>
      <c r="GZ111" s="16" t="n">
        <v>0</v>
      </c>
      <c r="HA111" s="16" t="n">
        <v>0</v>
      </c>
      <c r="HB111" s="0" t="n">
        <v>0</v>
      </c>
      <c r="HC111" s="0" t="s">
        <v>223</v>
      </c>
      <c r="HD111" s="0" t="n">
        <v>30.5</v>
      </c>
      <c r="HE111" s="16" t="n">
        <v>68.8</v>
      </c>
      <c r="HF111" s="16" t="n">
        <v>80.4</v>
      </c>
      <c r="HG111" s="16" t="n">
        <v>16.3</v>
      </c>
      <c r="HH111" s="0" t="n">
        <v>66.28</v>
      </c>
      <c r="HI111" s="0" t="n">
        <v>20.09</v>
      </c>
      <c r="HJ111" s="0" t="n">
        <v>1.81</v>
      </c>
      <c r="HK111" s="0" t="n">
        <v>0</v>
      </c>
      <c r="HL111" s="0" t="n">
        <v>11.82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13.17</v>
      </c>
      <c r="HU111" s="0" t="n">
        <v>35.75</v>
      </c>
      <c r="HV111" s="0" t="n">
        <v>0</v>
      </c>
      <c r="HW111" s="0" t="n">
        <v>0</v>
      </c>
      <c r="HX111" s="0" t="n">
        <v>0</v>
      </c>
      <c r="HY111" s="0" t="n">
        <v>0</v>
      </c>
      <c r="IL111" s="0" t="n">
        <v>0</v>
      </c>
      <c r="IM111" s="0" t="n">
        <v>1</v>
      </c>
      <c r="IN111" s="0" t="n">
        <v>52</v>
      </c>
      <c r="IO111" s="0" t="n">
        <v>1</v>
      </c>
      <c r="IP111" s="0" t="n">
        <v>0.01</v>
      </c>
      <c r="IQ111" s="0" t="n">
        <v>2</v>
      </c>
      <c r="IX111" s="18"/>
      <c r="JP111" s="0" t="n">
        <v>0</v>
      </c>
      <c r="LA111" s="16" t="n">
        <v>5.43</v>
      </c>
      <c r="LB111" s="16" t="n">
        <v>1</v>
      </c>
      <c r="LC111" s="16" t="n">
        <v>1</v>
      </c>
      <c r="LD111" s="16"/>
      <c r="LE111" s="16" t="n">
        <f aca="false">0.09*2+0.07+1.36</f>
        <v>1.61</v>
      </c>
      <c r="LF111" s="16" t="n">
        <v>2</v>
      </c>
      <c r="LG111" s="16"/>
      <c r="LH111" s="16" t="n">
        <f aca="false">4.2+0.09+0.66+0.01+3.18+3.18</f>
        <v>11.32</v>
      </c>
      <c r="LI111" s="16"/>
      <c r="LJ111" s="16"/>
      <c r="LK111" s="16"/>
      <c r="LL111" s="16" t="n">
        <v>8.61</v>
      </c>
      <c r="LM111" s="16" t="n">
        <v>26.91</v>
      </c>
      <c r="LN111" s="16"/>
      <c r="LO111" s="16"/>
      <c r="LP111" s="16" t="n">
        <v>0</v>
      </c>
      <c r="LQ111" s="16" t="n">
        <v>0</v>
      </c>
      <c r="LR111" s="16" t="n">
        <v>0</v>
      </c>
      <c r="LS111" s="0" t="n">
        <v>0</v>
      </c>
      <c r="LT111" s="0" t="s">
        <v>224</v>
      </c>
      <c r="LU111" s="0" t="n">
        <v>39.5</v>
      </c>
      <c r="LV111" s="16" t="n">
        <v>60.8</v>
      </c>
      <c r="LW111" s="16" t="n">
        <v>80.4</v>
      </c>
      <c r="LX111" s="16" t="n">
        <v>22.9</v>
      </c>
      <c r="LY111" s="0" t="n">
        <v>67.01</v>
      </c>
      <c r="LZ111" s="0" t="n">
        <v>11.71</v>
      </c>
      <c r="MA111" s="0" t="n">
        <v>16.61</v>
      </c>
      <c r="MB111" s="0" t="n">
        <v>0</v>
      </c>
      <c r="MC111" s="0" t="n">
        <v>4.67</v>
      </c>
      <c r="MD111" s="0" t="n">
        <v>0</v>
      </c>
      <c r="ME111" s="0" t="n">
        <v>0</v>
      </c>
      <c r="MF111" s="0" t="n">
        <v>0</v>
      </c>
      <c r="MG111" s="0" t="n">
        <v>0</v>
      </c>
      <c r="MH111" s="0" t="n">
        <v>0</v>
      </c>
      <c r="MI111" s="0" t="n">
        <v>0</v>
      </c>
      <c r="MJ111" s="0" t="n">
        <v>0</v>
      </c>
      <c r="MK111" s="0" t="n">
        <v>20.9</v>
      </c>
      <c r="ML111" s="0" t="n">
        <v>25.23</v>
      </c>
      <c r="MM111" s="0" t="n">
        <v>0.58</v>
      </c>
      <c r="MN111" s="0" t="n">
        <v>0</v>
      </c>
      <c r="MO111" s="0" t="n">
        <v>0</v>
      </c>
      <c r="MP111" s="0" t="n">
        <v>0</v>
      </c>
      <c r="NC111" s="0" t="n">
        <v>2</v>
      </c>
      <c r="ND111" s="0" t="n">
        <v>1</v>
      </c>
      <c r="NE111" s="0" t="n">
        <v>103</v>
      </c>
      <c r="NF111" s="0" t="n">
        <v>2</v>
      </c>
      <c r="NG111" s="0" t="n">
        <f aca="false">0.18+0.14</f>
        <v>0.32</v>
      </c>
      <c r="NH111" s="0" t="n">
        <v>1</v>
      </c>
      <c r="NI111" s="0" t="n">
        <v>68</v>
      </c>
      <c r="NJ111" s="0" t="n">
        <v>1</v>
      </c>
      <c r="NK111" s="0" t="n">
        <v>0.01</v>
      </c>
      <c r="NL111" s="0" t="n">
        <v>1</v>
      </c>
      <c r="NM111" s="0" t="n">
        <v>52</v>
      </c>
      <c r="NN111" s="0" t="n">
        <v>3</v>
      </c>
      <c r="NO111" s="18" t="n">
        <v>0.05</v>
      </c>
      <c r="NP111" s="0" t="n">
        <v>2</v>
      </c>
      <c r="OG111" s="0" t="n">
        <v>0</v>
      </c>
      <c r="PR111" s="16" t="n">
        <v>3.66</v>
      </c>
      <c r="PS111" s="16" t="n">
        <v>1</v>
      </c>
      <c r="PT111" s="16" t="n">
        <v>1</v>
      </c>
      <c r="PU111" s="16"/>
      <c r="PV111" s="16" t="n">
        <f aca="false">2.69*3+1.35*3+0.14*2+0.1</f>
        <v>12.5</v>
      </c>
      <c r="PW111" s="16" t="n">
        <v>2</v>
      </c>
      <c r="PX111" s="16"/>
      <c r="PY111" s="16" t="n">
        <f aca="false">0.66+0.35+0.18+0.14+1.25+1.23</f>
        <v>3.81</v>
      </c>
      <c r="PZ111" s="16"/>
      <c r="QA111" s="16"/>
      <c r="QB111" s="16"/>
      <c r="QC111" s="16" t="n">
        <v>10.05</v>
      </c>
      <c r="QD111" s="16" t="n">
        <v>27.11</v>
      </c>
      <c r="QE111" s="16"/>
      <c r="QF111" s="16"/>
      <c r="QG111" s="16" t="n">
        <v>0</v>
      </c>
      <c r="QH111" s="16" t="n">
        <v>0</v>
      </c>
      <c r="QI111" s="16" t="n">
        <v>0</v>
      </c>
      <c r="QJ111" s="0" t="n">
        <v>0</v>
      </c>
      <c r="QK111" s="0" t="s">
        <v>225</v>
      </c>
      <c r="QL111" s="0" t="n">
        <v>47</v>
      </c>
      <c r="QM111" s="16" t="n">
        <v>72.3</v>
      </c>
      <c r="QN111" s="16" t="n">
        <v>80.4</v>
      </c>
      <c r="QO111" s="16" t="n">
        <v>18</v>
      </c>
      <c r="QP111" s="0" t="n">
        <v>70.55</v>
      </c>
      <c r="QQ111" s="0" t="n">
        <v>6.81</v>
      </c>
      <c r="QR111" s="0" t="n">
        <v>3.09</v>
      </c>
      <c r="QS111" s="0" t="n">
        <v>0</v>
      </c>
      <c r="QT111" s="0" t="n">
        <v>19.55</v>
      </c>
      <c r="QU111" s="0" t="n">
        <v>0</v>
      </c>
      <c r="QV111" s="0" t="n">
        <v>0</v>
      </c>
      <c r="QW111" s="0" t="n">
        <v>0</v>
      </c>
      <c r="QX111" s="0" t="n">
        <v>0</v>
      </c>
      <c r="QY111" s="0" t="n">
        <v>0</v>
      </c>
      <c r="QZ111" s="0" t="n">
        <v>0</v>
      </c>
      <c r="RA111" s="0" t="n">
        <v>0</v>
      </c>
      <c r="RB111" s="0" t="n">
        <v>18.07</v>
      </c>
      <c r="RC111" s="0" t="n">
        <v>30.57</v>
      </c>
      <c r="RD111" s="0" t="n">
        <v>7.61</v>
      </c>
      <c r="RE111" s="0" t="n">
        <v>0</v>
      </c>
      <c r="RF111" s="0" t="n">
        <v>14</v>
      </c>
      <c r="RG111" s="0" t="n">
        <v>2</v>
      </c>
      <c r="RH111" s="0" t="n">
        <v>5</v>
      </c>
      <c r="RI111" s="0" t="n">
        <v>4.47</v>
      </c>
      <c r="RK111" s="0" t="n">
        <v>7</v>
      </c>
      <c r="RL111" s="0" t="n">
        <v>5.15</v>
      </c>
      <c r="RN111" s="0" t="n">
        <v>5</v>
      </c>
      <c r="RO111" s="0" t="n">
        <v>4.47</v>
      </c>
      <c r="RQ111" s="0" t="n">
        <v>7</v>
      </c>
      <c r="RR111" s="0" t="n">
        <v>5.15</v>
      </c>
      <c r="RT111" s="0" t="n">
        <v>0</v>
      </c>
      <c r="RU111" s="0" t="n">
        <v>0</v>
      </c>
      <c r="SF111" s="18"/>
      <c r="SX111" s="0" t="n">
        <v>0</v>
      </c>
      <c r="UI111" s="16" t="n">
        <v>4.21</v>
      </c>
      <c r="UJ111" s="16" t="n">
        <v>1</v>
      </c>
      <c r="UK111" s="16" t="n">
        <v>2</v>
      </c>
      <c r="UL111" s="16"/>
      <c r="UM111" s="16" t="n">
        <f aca="false">7.46+1.59+0.6</f>
        <v>9.65</v>
      </c>
      <c r="UN111" s="16"/>
      <c r="UO111" s="16"/>
      <c r="UP111" s="16"/>
      <c r="UQ111" s="16"/>
      <c r="UR111" s="16"/>
      <c r="US111" s="16"/>
      <c r="UT111" s="16" t="n">
        <v>10.63</v>
      </c>
      <c r="UU111" s="16" t="n">
        <v>36.38</v>
      </c>
      <c r="UV111" s="16"/>
      <c r="UW111" s="16"/>
      <c r="UX111" s="16" t="n">
        <v>0</v>
      </c>
      <c r="UY111" s="16" t="n">
        <v>0</v>
      </c>
      <c r="UZ111" s="16" t="n">
        <v>0</v>
      </c>
      <c r="VA111" s="0" t="n">
        <v>0</v>
      </c>
      <c r="VB111" s="0" t="s">
        <v>226</v>
      </c>
      <c r="VC111" s="0" t="n">
        <v>19</v>
      </c>
      <c r="VD111" s="16" t="n">
        <v>82.6</v>
      </c>
      <c r="VE111" s="16" t="n">
        <v>80.4</v>
      </c>
      <c r="VF111" s="16" t="n">
        <v>7.7</v>
      </c>
      <c r="VG111" s="0" t="n">
        <v>86.83</v>
      </c>
      <c r="VH111" s="0" t="n">
        <v>12.69</v>
      </c>
      <c r="VI111" s="0" t="n">
        <v>0</v>
      </c>
      <c r="VJ111" s="0" t="n">
        <v>0</v>
      </c>
      <c r="VK111" s="0" t="n">
        <v>0.48</v>
      </c>
      <c r="VL111" s="0" t="n">
        <v>0</v>
      </c>
      <c r="VM111" s="0" t="n">
        <v>0</v>
      </c>
      <c r="VN111" s="0" t="n">
        <v>0</v>
      </c>
      <c r="VO111" s="0" t="n">
        <v>0</v>
      </c>
      <c r="VP111" s="0" t="n">
        <v>0</v>
      </c>
      <c r="VQ111" s="0" t="n">
        <v>0</v>
      </c>
      <c r="VR111" s="0" t="n">
        <v>0</v>
      </c>
      <c r="VS111" s="0" t="n">
        <v>7.16</v>
      </c>
      <c r="VT111" s="0" t="n">
        <v>10.76</v>
      </c>
      <c r="VU111" s="0" t="n">
        <v>0</v>
      </c>
      <c r="VV111" s="0" t="n">
        <v>0</v>
      </c>
      <c r="VW111" s="0" t="n">
        <v>3.4</v>
      </c>
      <c r="VX111" s="0" t="n">
        <v>2</v>
      </c>
      <c r="VY111" s="0" t="n">
        <v>11.9</v>
      </c>
      <c r="VZ111" s="0" t="n">
        <v>0.48</v>
      </c>
      <c r="WE111" s="0" t="n">
        <v>11.9</v>
      </c>
      <c r="WF111" s="0" t="n">
        <v>0.48</v>
      </c>
      <c r="WK111" s="0" t="n">
        <v>0</v>
      </c>
      <c r="WL111" s="0" t="n">
        <v>1</v>
      </c>
      <c r="WM111" s="0" t="n">
        <v>34</v>
      </c>
      <c r="WN111" s="0" t="n">
        <v>2</v>
      </c>
      <c r="WO111" s="0" t="n">
        <f aca="false">0.84*2</f>
        <v>1.68</v>
      </c>
      <c r="WP111" s="0" t="n">
        <v>1</v>
      </c>
      <c r="WW111" s="18"/>
      <c r="XO111" s="0" t="n">
        <v>0</v>
      </c>
      <c r="YZ111" s="16" t="n">
        <v>3.25</v>
      </c>
      <c r="ZA111" s="16" t="n">
        <v>1</v>
      </c>
      <c r="ZB111" s="16" t="n">
        <v>2</v>
      </c>
      <c r="ZC111" s="16"/>
      <c r="ZD111" s="16" t="n">
        <f aca="false">1.59*2+0.21*2</f>
        <v>3.6</v>
      </c>
      <c r="ZE111" s="16"/>
      <c r="ZF111" s="16"/>
      <c r="ZG111" s="16"/>
      <c r="ZH111" s="16"/>
      <c r="ZI111" s="16"/>
      <c r="ZJ111" s="16"/>
      <c r="ZK111" s="16" t="n">
        <v>4.26</v>
      </c>
      <c r="ZL111" s="16" t="n">
        <v>4.25</v>
      </c>
      <c r="ZM111" s="16"/>
      <c r="ZN111" s="16"/>
      <c r="ZO111" s="16" t="n">
        <v>0</v>
      </c>
      <c r="ZP111" s="16" t="n">
        <v>0</v>
      </c>
      <c r="ZQ111" s="16" t="n">
        <v>0</v>
      </c>
      <c r="ZR111" s="0" t="n">
        <v>0</v>
      </c>
      <c r="ZS111" s="0" t="s">
        <v>519</v>
      </c>
      <c r="ZT111" s="0" t="n">
        <v>17.5</v>
      </c>
      <c r="ZU111" s="16" t="n">
        <v>85.1</v>
      </c>
      <c r="ZV111" s="16" t="n">
        <v>80.4</v>
      </c>
      <c r="ZW111" s="16" t="n">
        <v>9.6</v>
      </c>
      <c r="ZX111" s="0" t="n">
        <v>86.79</v>
      </c>
      <c r="ZY111" s="0" t="n">
        <v>5.81</v>
      </c>
      <c r="ZZ111" s="0" t="n">
        <v>6.87</v>
      </c>
      <c r="AAA111" s="0" t="n">
        <v>0</v>
      </c>
      <c r="AAB111" s="0" t="n">
        <v>0.52</v>
      </c>
      <c r="AAC111" s="0" t="n">
        <v>0</v>
      </c>
      <c r="AAD111" s="0" t="n">
        <v>0</v>
      </c>
      <c r="AAE111" s="0" t="n">
        <v>0</v>
      </c>
      <c r="AAF111" s="0" t="n">
        <v>0</v>
      </c>
      <c r="AAG111" s="0" t="n">
        <v>0</v>
      </c>
      <c r="AAH111" s="0" t="n">
        <v>0</v>
      </c>
      <c r="AAI111" s="0" t="n">
        <v>0</v>
      </c>
      <c r="AAJ111" s="0" t="n">
        <v>13.81</v>
      </c>
      <c r="AAK111" s="0" t="n">
        <v>2.99</v>
      </c>
      <c r="AAL111" s="0" t="n">
        <v>0</v>
      </c>
      <c r="AAM111" s="0" t="n">
        <v>0</v>
      </c>
      <c r="AAN111" s="0" t="n">
        <v>3.4</v>
      </c>
      <c r="AAO111" s="0" t="n">
        <v>2</v>
      </c>
      <c r="AAP111" s="0" t="n">
        <v>11.9</v>
      </c>
      <c r="AAQ111" s="0" t="n">
        <v>0.48</v>
      </c>
      <c r="AAV111" s="0" t="n">
        <v>11.9</v>
      </c>
      <c r="AAW111" s="0" t="n">
        <v>0.48</v>
      </c>
      <c r="ABB111" s="0" t="n">
        <v>0</v>
      </c>
      <c r="ABC111" s="0" t="n">
        <v>1</v>
      </c>
      <c r="ABD111" s="0" t="n">
        <v>34</v>
      </c>
      <c r="ABE111" s="0" t="n">
        <v>2</v>
      </c>
      <c r="ABF111" s="0" t="n">
        <f aca="false">0.84*2</f>
        <v>1.68</v>
      </c>
      <c r="ABG111" s="0" t="n">
        <v>1</v>
      </c>
      <c r="ABN111" s="18"/>
      <c r="ACF111" s="0" t="n">
        <v>0</v>
      </c>
      <c r="ADQ111" s="16" t="n">
        <v>0.81</v>
      </c>
      <c r="ADR111" s="16" t="n">
        <v>1</v>
      </c>
      <c r="ADS111" s="16" t="n">
        <v>2</v>
      </c>
      <c r="ADT111" s="16"/>
      <c r="ADU111" s="16" t="n">
        <f aca="false">1.35*2</f>
        <v>2.7</v>
      </c>
      <c r="ADV111" s="16"/>
      <c r="ADW111" s="16"/>
      <c r="ADX111" s="16"/>
      <c r="ADY111" s="16"/>
      <c r="ADZ111" s="16"/>
      <c r="AEA111" s="16"/>
      <c r="AEB111" s="16" t="n">
        <v>3.67</v>
      </c>
      <c r="AEC111" s="16" t="n">
        <v>3.18</v>
      </c>
      <c r="AED111" s="16"/>
      <c r="AEE111" s="16"/>
      <c r="AEF111" s="16" t="n">
        <v>0</v>
      </c>
      <c r="AEG111" s="16" t="n">
        <v>0</v>
      </c>
      <c r="AEH111" s="16" t="n">
        <v>0</v>
      </c>
      <c r="AEI111" s="0" t="n">
        <v>0</v>
      </c>
      <c r="AEJ111" s="0" t="s">
        <v>520</v>
      </c>
      <c r="AEK111" s="0" t="n">
        <v>40</v>
      </c>
      <c r="AEL111" s="16" t="n">
        <v>79.7</v>
      </c>
      <c r="AEM111" s="16" t="n">
        <v>80.4</v>
      </c>
      <c r="AEN111" s="16" t="n">
        <v>13.2</v>
      </c>
      <c r="AEO111" s="0" t="n">
        <v>64.85</v>
      </c>
      <c r="AEP111" s="0" t="n">
        <v>35.15</v>
      </c>
      <c r="AEQ111" s="0" t="n">
        <v>0</v>
      </c>
      <c r="AER111" s="0" t="n">
        <v>0</v>
      </c>
      <c r="AES111" s="0" t="n">
        <v>0</v>
      </c>
      <c r="AET111" s="0" t="n">
        <v>0</v>
      </c>
      <c r="AEU111" s="0" t="n">
        <v>0</v>
      </c>
      <c r="AEV111" s="0" t="n">
        <v>0</v>
      </c>
      <c r="AEW111" s="0" t="n">
        <v>0</v>
      </c>
      <c r="AEX111" s="0" t="n">
        <v>0</v>
      </c>
      <c r="AEY111" s="0" t="n">
        <v>0</v>
      </c>
      <c r="AEZ111" s="0" t="n">
        <v>0</v>
      </c>
      <c r="AFA111" s="0" t="n">
        <v>4.98</v>
      </c>
      <c r="AFB111" s="0" t="n">
        <v>32.96</v>
      </c>
      <c r="AFC111" s="0" t="n">
        <v>0</v>
      </c>
      <c r="AFD111" s="0" t="n">
        <v>0</v>
      </c>
      <c r="AFE111" s="0" t="n">
        <v>0</v>
      </c>
      <c r="AFF111" s="0" t="n">
        <v>0</v>
      </c>
      <c r="AFS111" s="0" t="n">
        <v>0</v>
      </c>
      <c r="AFT111" s="0" t="n">
        <v>1</v>
      </c>
      <c r="AFU111" s="0" t="n">
        <v>34</v>
      </c>
      <c r="AFV111" s="0" t="n">
        <v>7</v>
      </c>
      <c r="AFW111" s="0" t="n">
        <f aca="false">1+1.59+1.2*2</f>
        <v>4.99</v>
      </c>
      <c r="AFX111" s="0" t="n">
        <v>1</v>
      </c>
      <c r="AGE111" s="18"/>
      <c r="AGW111" s="0" t="n">
        <v>0</v>
      </c>
      <c r="AIH111" s="16" t="n">
        <v>8.98</v>
      </c>
      <c r="AII111" s="16" t="n">
        <v>1</v>
      </c>
      <c r="AIJ111" s="16" t="n">
        <v>2</v>
      </c>
      <c r="AIK111" s="16"/>
      <c r="AIL111" s="16" t="n">
        <f aca="false">4.43*3+3.59+13.29</f>
        <v>30.17</v>
      </c>
      <c r="AIM111" s="16"/>
      <c r="AIN111" s="16"/>
      <c r="AIO111" s="16"/>
      <c r="AIP111" s="16"/>
      <c r="AIQ111" s="16"/>
      <c r="AIR111" s="16"/>
      <c r="AIS111" s="16" t="n">
        <v>17.43</v>
      </c>
      <c r="AIT111" s="16" t="n">
        <v>30.17</v>
      </c>
      <c r="AIU111" s="16"/>
      <c r="AIV111" s="16"/>
      <c r="AIW111" s="16" t="n">
        <v>0</v>
      </c>
      <c r="AIX111" s="16" t="n">
        <v>0</v>
      </c>
      <c r="AIY111" s="16" t="n">
        <v>0</v>
      </c>
      <c r="AIZ111" s="0" t="n">
        <v>0</v>
      </c>
      <c r="AJA111" s="0" t="s">
        <v>521</v>
      </c>
      <c r="AJB111" s="0" t="n">
        <v>39.5</v>
      </c>
      <c r="AJC111" s="16" t="n">
        <v>83.3</v>
      </c>
      <c r="AJD111" s="16" t="n">
        <v>80.4</v>
      </c>
      <c r="AJE111" s="16" t="n">
        <v>13.1</v>
      </c>
      <c r="AJF111" s="0" t="n">
        <v>63.39</v>
      </c>
      <c r="AJG111" s="0" t="n">
        <v>36.61</v>
      </c>
      <c r="AJH111" s="0" t="n">
        <v>0</v>
      </c>
      <c r="AJI111" s="0" t="n">
        <v>0</v>
      </c>
      <c r="AJJ111" s="0" t="n">
        <v>0</v>
      </c>
      <c r="AJK111" s="0" t="n">
        <v>0</v>
      </c>
      <c r="AJL111" s="0" t="n">
        <v>0</v>
      </c>
      <c r="AJM111" s="0" t="n">
        <v>0</v>
      </c>
      <c r="AJN111" s="0" t="n">
        <v>0</v>
      </c>
      <c r="AJO111" s="0" t="n">
        <v>0</v>
      </c>
      <c r="AJP111" s="0" t="n">
        <v>0</v>
      </c>
      <c r="AJQ111" s="0" t="n">
        <v>0</v>
      </c>
      <c r="AJR111" s="0" t="n">
        <v>7.53</v>
      </c>
      <c r="AJS111" s="0" t="n">
        <v>32.96</v>
      </c>
      <c r="AJT111" s="0" t="n">
        <v>0</v>
      </c>
      <c r="AJU111" s="0" t="n">
        <v>0</v>
      </c>
      <c r="AJV111" s="0" t="n">
        <v>0</v>
      </c>
      <c r="AJW111" s="0" t="n">
        <v>0</v>
      </c>
      <c r="AKJ111" s="0" t="n">
        <v>0</v>
      </c>
      <c r="AKK111" s="0" t="n">
        <v>1</v>
      </c>
      <c r="AKL111" s="0" t="n">
        <v>34</v>
      </c>
      <c r="AKM111" s="0" t="n">
        <v>7</v>
      </c>
      <c r="AKN111" s="0" t="n">
        <f aca="false">1+1.59+1.2*2</f>
        <v>4.99</v>
      </c>
      <c r="AKO111" s="0" t="n">
        <v>1</v>
      </c>
      <c r="AKV111" s="18"/>
      <c r="ALN111" s="0" t="n">
        <v>0</v>
      </c>
    </row>
    <row r="112" customFormat="false" ht="13.8" hidden="false" customHeight="false" outlineLevel="0" collapsed="false">
      <c r="A112" s="1" t="s">
        <v>522</v>
      </c>
      <c r="B112" s="12" t="n">
        <v>42904</v>
      </c>
      <c r="C112" s="0" t="n">
        <v>2</v>
      </c>
      <c r="D112" s="13" t="n">
        <v>42801</v>
      </c>
      <c r="E112" s="12" t="n">
        <v>27944</v>
      </c>
      <c r="F112" s="14" t="n">
        <f aca="false">(B112-E112)/365.25</f>
        <v>40.9582477754962</v>
      </c>
      <c r="G112" s="14" t="n">
        <f aca="false">(B112-D112)/365.25</f>
        <v>0.281998631074606</v>
      </c>
      <c r="H112" s="15" t="s">
        <v>183</v>
      </c>
      <c r="I112" s="15" t="s">
        <v>523</v>
      </c>
      <c r="J112" s="15" t="s">
        <v>181</v>
      </c>
      <c r="K112" s="21" t="n">
        <v>8</v>
      </c>
      <c r="L112" s="19" t="n">
        <v>67</v>
      </c>
      <c r="M112" s="0" t="n">
        <v>1.76</v>
      </c>
      <c r="N112" s="16" t="n">
        <f aca="false">L112/(M112*M112)</f>
        <v>21.6296487603306</v>
      </c>
      <c r="O112" s="19" t="n">
        <v>0</v>
      </c>
      <c r="P112" s="19" t="n">
        <v>0</v>
      </c>
      <c r="Q112" s="19" t="n">
        <v>0</v>
      </c>
      <c r="R112" s="19" t="n">
        <v>0</v>
      </c>
      <c r="S112" s="19" t="n">
        <v>0</v>
      </c>
      <c r="T112" s="19" t="n">
        <v>0</v>
      </c>
      <c r="U112" s="19" t="n">
        <v>0</v>
      </c>
      <c r="V112" s="19" t="n">
        <v>0</v>
      </c>
      <c r="W112" s="19" t="n">
        <v>0</v>
      </c>
      <c r="X112" s="19" t="n">
        <v>0</v>
      </c>
      <c r="Y112" s="19" t="n">
        <v>1</v>
      </c>
      <c r="Z112" s="19" t="n">
        <v>2</v>
      </c>
      <c r="AA112" s="19" t="n">
        <v>60</v>
      </c>
      <c r="AB112" s="19" t="s">
        <v>524</v>
      </c>
      <c r="AC112" s="19" t="n">
        <v>0</v>
      </c>
      <c r="AD112" s="19" t="n">
        <v>0</v>
      </c>
      <c r="AE112" s="19" t="n">
        <v>0</v>
      </c>
      <c r="AF112" s="19" t="n">
        <v>0</v>
      </c>
      <c r="AG112" s="19" t="n">
        <v>0</v>
      </c>
      <c r="AH112" s="19" t="n">
        <v>0</v>
      </c>
      <c r="AI112" s="19" t="n">
        <v>0</v>
      </c>
      <c r="AJ112" s="19" t="n">
        <v>0</v>
      </c>
      <c r="AK112" s="19" t="n">
        <v>0</v>
      </c>
      <c r="AL112" s="19" t="n">
        <v>0</v>
      </c>
      <c r="AM112" s="19" t="n">
        <v>0</v>
      </c>
      <c r="AN112" s="19" t="n">
        <v>0</v>
      </c>
      <c r="AO112" s="19" t="n">
        <v>0</v>
      </c>
      <c r="AP112" s="19" t="n">
        <v>0</v>
      </c>
      <c r="AQ112" s="19" t="n">
        <v>0</v>
      </c>
      <c r="AR112" s="19" t="n">
        <v>0</v>
      </c>
      <c r="AS112" s="19" t="n">
        <v>0</v>
      </c>
      <c r="AT112" s="19" t="n">
        <v>0</v>
      </c>
      <c r="AU112" s="19" t="n">
        <v>0</v>
      </c>
      <c r="AV112" s="19" t="n">
        <v>0</v>
      </c>
      <c r="AW112" s="19" t="n">
        <v>0</v>
      </c>
      <c r="AX112" s="19" t="n">
        <v>0</v>
      </c>
      <c r="AY112" s="19" t="n">
        <v>0</v>
      </c>
      <c r="AZ112" s="19" t="n">
        <v>0</v>
      </c>
      <c r="BA112" s="19" t="n">
        <v>0</v>
      </c>
      <c r="BB112" s="19" t="n">
        <v>0</v>
      </c>
      <c r="BC112" s="19" t="n">
        <v>0</v>
      </c>
      <c r="BD112" s="19" t="n">
        <v>0</v>
      </c>
      <c r="BE112" s="19" t="n">
        <v>0</v>
      </c>
      <c r="BF112" s="19" t="n">
        <v>0</v>
      </c>
      <c r="BG112" s="19" t="n">
        <v>0</v>
      </c>
      <c r="BH112" s="19" t="n">
        <v>0</v>
      </c>
      <c r="BI112" s="19" t="n">
        <v>0</v>
      </c>
      <c r="BJ112" s="19" t="n">
        <v>0</v>
      </c>
      <c r="BK112" s="19" t="n">
        <v>0</v>
      </c>
      <c r="BL112" s="19" t="n">
        <v>0</v>
      </c>
      <c r="BM112" s="19" t="n">
        <v>0</v>
      </c>
      <c r="BN112" s="19" t="n">
        <v>0</v>
      </c>
      <c r="BO112" s="19" t="n">
        <v>0</v>
      </c>
      <c r="BP112" s="19" t="n">
        <v>0</v>
      </c>
      <c r="BQ112" s="19" t="n">
        <v>0</v>
      </c>
      <c r="BR112" s="19" t="n">
        <v>1</v>
      </c>
      <c r="BS112" s="19" t="n">
        <v>2</v>
      </c>
      <c r="BT112" s="19" t="n">
        <v>3</v>
      </c>
      <c r="BU112" s="19" t="n">
        <v>5</v>
      </c>
      <c r="BV112" s="19" t="n">
        <v>2</v>
      </c>
      <c r="BW112" s="19" t="n">
        <v>1</v>
      </c>
      <c r="BX112" s="19" t="n">
        <v>1</v>
      </c>
      <c r="BY112" s="19" t="n">
        <v>3</v>
      </c>
      <c r="BZ112" s="19" t="n">
        <v>4</v>
      </c>
      <c r="CA112" s="19" t="n">
        <v>2</v>
      </c>
      <c r="CB112" s="19" t="n">
        <v>5</v>
      </c>
      <c r="CC112" s="19" t="n">
        <v>5</v>
      </c>
      <c r="CD112" s="19" t="n">
        <v>5</v>
      </c>
      <c r="CE112" s="19" t="n">
        <v>5</v>
      </c>
      <c r="CF112" s="19" t="n">
        <v>5</v>
      </c>
      <c r="CG112" s="19" t="n">
        <v>5</v>
      </c>
      <c r="CH112" s="19" t="n">
        <v>5</v>
      </c>
      <c r="CI112" s="19" t="n">
        <v>5</v>
      </c>
      <c r="CJ112" s="19" t="n">
        <v>4</v>
      </c>
      <c r="CK112" s="19" t="n">
        <v>10</v>
      </c>
      <c r="CL112" s="0" t="s">
        <v>507</v>
      </c>
      <c r="CM112" s="0" t="n">
        <v>30</v>
      </c>
      <c r="CN112" s="16" t="n">
        <v>86.6</v>
      </c>
      <c r="CO112" s="16" t="n">
        <v>80.4</v>
      </c>
      <c r="CP112" s="16" t="n">
        <v>20.4</v>
      </c>
      <c r="CQ112" s="0" t="n">
        <v>82.62</v>
      </c>
      <c r="CR112" s="17" t="n">
        <v>0</v>
      </c>
      <c r="CS112" s="0" t="n">
        <v>15.49</v>
      </c>
      <c r="CT112" s="0" t="n">
        <v>1.49</v>
      </c>
      <c r="CU112" s="0" t="n">
        <v>0.4</v>
      </c>
      <c r="CV112" s="0" t="n">
        <v>0</v>
      </c>
      <c r="CW112" s="0" t="n">
        <v>0</v>
      </c>
      <c r="CY112" s="0" t="n">
        <v>0</v>
      </c>
      <c r="CZ112" s="0" t="n">
        <v>0</v>
      </c>
      <c r="DA112" s="0" t="n">
        <v>0</v>
      </c>
      <c r="DB112" s="0" t="n">
        <v>6.38</v>
      </c>
      <c r="DC112" s="0" t="n">
        <v>56.11</v>
      </c>
      <c r="DD112" s="0" t="n">
        <v>8.46</v>
      </c>
      <c r="DE112" s="0" t="n">
        <v>1.21</v>
      </c>
      <c r="DF112" s="0" t="n">
        <v>0</v>
      </c>
      <c r="DG112" s="0" t="n">
        <v>0</v>
      </c>
      <c r="DH112" s="0" t="n">
        <v>0</v>
      </c>
      <c r="DU112" s="0" t="n">
        <v>0.5</v>
      </c>
      <c r="DV112" s="0" t="n">
        <v>0</v>
      </c>
      <c r="EG112" s="20"/>
      <c r="EY112" s="0" t="n">
        <v>1</v>
      </c>
      <c r="EZ112" s="0" t="n">
        <v>40</v>
      </c>
      <c r="FA112" s="0" t="n">
        <v>1</v>
      </c>
      <c r="FB112" s="0" t="n">
        <v>1.71</v>
      </c>
      <c r="FC112" s="0" t="n">
        <v>2</v>
      </c>
      <c r="FD112" s="0" t="n">
        <v>50</v>
      </c>
      <c r="FE112" s="0" t="n">
        <v>1</v>
      </c>
      <c r="FF112" s="0" t="n">
        <v>0.13</v>
      </c>
      <c r="FG112" s="0" t="n">
        <v>2</v>
      </c>
      <c r="GJ112" s="16" t="n">
        <v>0.62</v>
      </c>
      <c r="GK112" s="16" t="n">
        <v>1</v>
      </c>
      <c r="GL112" s="16" t="n">
        <v>1</v>
      </c>
      <c r="GM112" s="16"/>
      <c r="GN112" s="16" t="n">
        <v>4.14</v>
      </c>
      <c r="GO112" s="16"/>
      <c r="GP112" s="16"/>
      <c r="GQ112" s="16"/>
      <c r="GR112" s="16"/>
      <c r="GS112" s="16"/>
      <c r="GT112" s="16"/>
      <c r="GU112" s="16" t="n">
        <v>0</v>
      </c>
      <c r="GV112" s="16" t="n">
        <v>0</v>
      </c>
      <c r="GW112" s="16" t="n">
        <v>0</v>
      </c>
      <c r="GX112" s="16" t="n">
        <v>0</v>
      </c>
      <c r="GY112" s="16" t="n">
        <v>5.97</v>
      </c>
      <c r="GZ112" s="16" t="n">
        <v>0</v>
      </c>
      <c r="HA112" s="16" t="n">
        <v>0</v>
      </c>
      <c r="HB112" s="0" t="n">
        <v>2</v>
      </c>
      <c r="HC112" s="0" t="s">
        <v>509</v>
      </c>
      <c r="HD112" s="0" t="n">
        <v>29</v>
      </c>
      <c r="HE112" s="16" t="n">
        <v>76.1</v>
      </c>
      <c r="HF112" s="16" t="n">
        <v>80.4</v>
      </c>
      <c r="HG112" s="16" t="n">
        <v>20.5</v>
      </c>
      <c r="HH112" s="0" t="n">
        <v>77.86</v>
      </c>
      <c r="HI112" s="17" t="n">
        <v>0</v>
      </c>
      <c r="HJ112" s="0" t="n">
        <v>13.05</v>
      </c>
      <c r="HK112" s="0" t="n">
        <v>0</v>
      </c>
      <c r="HL112" s="0" t="n">
        <v>9.1</v>
      </c>
      <c r="HM112" s="0" t="n">
        <v>0</v>
      </c>
      <c r="HN112" s="0" t="n">
        <v>0</v>
      </c>
      <c r="HP112" s="0" t="n">
        <v>0</v>
      </c>
      <c r="HQ112" s="0" t="n">
        <v>0</v>
      </c>
      <c r="HR112" s="0" t="n">
        <v>0</v>
      </c>
      <c r="HS112" s="0" t="n">
        <v>0.57</v>
      </c>
      <c r="HT112" s="0" t="n">
        <v>29.77</v>
      </c>
      <c r="HU112" s="0" t="n">
        <v>20.82</v>
      </c>
      <c r="HV112" s="0" t="n">
        <v>0</v>
      </c>
      <c r="HW112" s="0" t="n">
        <v>0</v>
      </c>
      <c r="HX112" s="0" t="n">
        <v>0</v>
      </c>
      <c r="HY112" s="0" t="n">
        <v>1</v>
      </c>
      <c r="HZ112" s="0" t="n">
        <v>2</v>
      </c>
      <c r="IB112" s="0" t="n">
        <v>1</v>
      </c>
      <c r="IF112" s="0" t="n">
        <v>2</v>
      </c>
      <c r="IH112" s="0" t="n">
        <v>1</v>
      </c>
      <c r="IL112" s="0" t="n">
        <v>0</v>
      </c>
      <c r="IM112" s="0" t="n">
        <v>0</v>
      </c>
      <c r="IX112" s="20"/>
      <c r="JP112" s="0" t="n">
        <v>0</v>
      </c>
      <c r="LA112" s="16" t="n">
        <v>0.32</v>
      </c>
      <c r="LB112" s="16" t="n">
        <v>1</v>
      </c>
      <c r="LC112" s="16" t="n">
        <v>1</v>
      </c>
      <c r="LD112" s="16"/>
      <c r="LE112" s="16" t="n">
        <v>1.32</v>
      </c>
      <c r="LF112" s="16"/>
      <c r="LG112" s="16"/>
      <c r="LH112" s="16"/>
      <c r="LI112" s="16"/>
      <c r="LJ112" s="16"/>
      <c r="LK112" s="16"/>
      <c r="LL112" s="16" t="n">
        <v>5.5</v>
      </c>
      <c r="LM112" s="16" t="n">
        <v>9.81</v>
      </c>
      <c r="LN112" s="16" t="n">
        <v>0</v>
      </c>
      <c r="LO112" s="16" t="n">
        <v>0</v>
      </c>
      <c r="LP112" s="16" t="n">
        <v>0</v>
      </c>
      <c r="LQ112" s="16" t="n">
        <v>0</v>
      </c>
      <c r="LR112" s="16" t="n">
        <v>0</v>
      </c>
      <c r="LS112" s="0" t="n">
        <v>0</v>
      </c>
      <c r="LT112" s="0" t="s">
        <v>511</v>
      </c>
      <c r="LU112" s="0" t="n">
        <v>36.5</v>
      </c>
      <c r="LV112" s="16" t="n">
        <v>85.2</v>
      </c>
      <c r="LW112" s="16" t="n">
        <v>80.4</v>
      </c>
      <c r="LX112" s="16" t="n">
        <v>24.1</v>
      </c>
      <c r="LY112" s="0" t="n">
        <v>65.36</v>
      </c>
      <c r="LZ112" s="17" t="n">
        <v>0</v>
      </c>
      <c r="MA112" s="0" t="n">
        <v>10.14</v>
      </c>
      <c r="MB112" s="0" t="n">
        <v>0</v>
      </c>
      <c r="MC112" s="0" t="n">
        <v>24.5</v>
      </c>
      <c r="MD112" s="0" t="n">
        <v>0</v>
      </c>
      <c r="ME112" s="0" t="n">
        <v>0</v>
      </c>
      <c r="MG112" s="0" t="n">
        <v>0</v>
      </c>
      <c r="MH112" s="0" t="n">
        <v>0</v>
      </c>
      <c r="MI112" s="0" t="n">
        <v>0</v>
      </c>
      <c r="MJ112" s="0" t="n">
        <v>0</v>
      </c>
      <c r="MK112" s="0" t="n">
        <v>56.76</v>
      </c>
      <c r="ML112" s="0" t="n">
        <v>17.5</v>
      </c>
      <c r="MM112" s="0" t="n">
        <v>0</v>
      </c>
      <c r="MN112" s="0" t="n">
        <v>0</v>
      </c>
      <c r="MO112" s="0" t="n">
        <v>0</v>
      </c>
      <c r="MP112" s="0" t="n">
        <v>0</v>
      </c>
      <c r="NC112" s="0" t="n">
        <v>4.3</v>
      </c>
      <c r="ND112" s="0" t="n">
        <v>0</v>
      </c>
      <c r="NO112" s="20"/>
      <c r="OG112" s="0" t="n">
        <v>1</v>
      </c>
      <c r="OH112" s="0" t="n">
        <v>60</v>
      </c>
      <c r="OI112" s="0" t="n">
        <v>53</v>
      </c>
      <c r="OJ112" s="0" t="n">
        <v>35.98</v>
      </c>
      <c r="OK112" s="0" t="n">
        <v>3</v>
      </c>
      <c r="PR112" s="16" t="n">
        <v>0</v>
      </c>
      <c r="PS112" s="16" t="n">
        <v>0</v>
      </c>
      <c r="PT112" s="16"/>
      <c r="PU112" s="16"/>
      <c r="PV112" s="16"/>
      <c r="PW112" s="16"/>
      <c r="PX112" s="16"/>
      <c r="PY112" s="16"/>
      <c r="PZ112" s="16"/>
      <c r="QA112" s="16"/>
      <c r="QB112" s="16"/>
      <c r="QC112" s="16" t="n">
        <v>5.1</v>
      </c>
      <c r="QD112" s="16" t="n">
        <v>5.93</v>
      </c>
      <c r="QE112" s="16" t="n">
        <v>0</v>
      </c>
      <c r="QF112" s="16" t="n">
        <v>0</v>
      </c>
      <c r="QG112" s="16" t="n">
        <v>0</v>
      </c>
      <c r="QH112" s="16" t="n">
        <v>0</v>
      </c>
      <c r="QI112" s="16" t="n">
        <v>0</v>
      </c>
      <c r="QJ112" s="0" t="n">
        <v>0</v>
      </c>
      <c r="QK112" s="0" t="s">
        <v>525</v>
      </c>
      <c r="QL112" s="0" t="n">
        <v>16.5</v>
      </c>
      <c r="QM112" s="16" t="n">
        <v>30.8</v>
      </c>
      <c r="QN112" s="16" t="n">
        <v>80.4</v>
      </c>
      <c r="QO112" s="16" t="n">
        <v>8.7</v>
      </c>
      <c r="QP112" s="0" t="n">
        <v>86.39</v>
      </c>
      <c r="QQ112" s="17" t="n">
        <v>0</v>
      </c>
      <c r="QR112" s="0" t="n">
        <v>0</v>
      </c>
      <c r="QS112" s="0" t="n">
        <v>0</v>
      </c>
      <c r="QT112" s="0" t="n">
        <v>2.28</v>
      </c>
      <c r="QU112" s="0" t="n">
        <v>0</v>
      </c>
      <c r="QV112" s="0" t="n">
        <v>9.09</v>
      </c>
      <c r="QW112" s="0" t="n">
        <v>3.57</v>
      </c>
      <c r="QX112" s="0" t="n">
        <v>0</v>
      </c>
      <c r="QY112" s="0" t="n">
        <v>1.8</v>
      </c>
      <c r="QZ112" s="0" t="n">
        <v>0</v>
      </c>
      <c r="RA112" s="0" t="n">
        <v>1.8</v>
      </c>
      <c r="RB112" s="0" t="n">
        <v>5.06</v>
      </c>
      <c r="RC112" s="0" t="n">
        <v>7.89</v>
      </c>
      <c r="RD112" s="0" t="n">
        <v>0</v>
      </c>
      <c r="RE112" s="0" t="n">
        <v>0</v>
      </c>
      <c r="RF112" s="0" t="n">
        <v>0</v>
      </c>
      <c r="RG112" s="0" t="n">
        <v>0</v>
      </c>
      <c r="RT112" s="0" t="n">
        <v>0</v>
      </c>
      <c r="RU112" s="0" t="n">
        <v>1</v>
      </c>
      <c r="RV112" s="0" t="n">
        <v>23</v>
      </c>
      <c r="RW112" s="0" t="n">
        <v>2</v>
      </c>
      <c r="RX112" s="0" t="n">
        <v>0.72</v>
      </c>
      <c r="RY112" s="0" t="n">
        <v>3</v>
      </c>
      <c r="SF112" s="20"/>
      <c r="SX112" s="0" t="n">
        <v>0</v>
      </c>
      <c r="UI112" s="16" t="n">
        <v>0.82</v>
      </c>
      <c r="UJ112" s="16" t="n">
        <v>1</v>
      </c>
      <c r="UK112" s="16" t="n">
        <v>1</v>
      </c>
      <c r="UL112" s="16"/>
      <c r="UM112" s="16" t="n">
        <v>1.84</v>
      </c>
      <c r="UN112" s="16"/>
      <c r="UO112" s="16"/>
      <c r="UP112" s="16"/>
      <c r="UQ112" s="16"/>
      <c r="UR112" s="16"/>
      <c r="US112" s="16"/>
      <c r="UT112" s="16" t="n">
        <v>0</v>
      </c>
      <c r="UU112" s="16" t="n">
        <v>0</v>
      </c>
      <c r="UV112" s="16" t="n">
        <v>0</v>
      </c>
      <c r="UW112" s="16" t="n">
        <v>0</v>
      </c>
      <c r="UX112" s="16" t="n">
        <v>6.72</v>
      </c>
      <c r="UY112" s="16" t="n">
        <v>0</v>
      </c>
      <c r="UZ112" s="16" t="n">
        <v>0</v>
      </c>
      <c r="VA112" s="0" t="n">
        <v>0</v>
      </c>
      <c r="VB112" s="0" t="s">
        <v>526</v>
      </c>
      <c r="VC112" s="0" t="n">
        <v>33</v>
      </c>
      <c r="VD112" s="16" t="n">
        <v>81.8</v>
      </c>
      <c r="VE112" s="16" t="n">
        <v>80.4</v>
      </c>
      <c r="VF112" s="16" t="n">
        <v>20.6</v>
      </c>
      <c r="VG112" s="0" t="n">
        <v>53.66</v>
      </c>
      <c r="VH112" s="17" t="n">
        <v>0</v>
      </c>
      <c r="VI112" s="0" t="n">
        <v>8.94</v>
      </c>
      <c r="VJ112" s="0" t="n">
        <v>0</v>
      </c>
      <c r="VK112" s="0" t="n">
        <v>5.8</v>
      </c>
      <c r="VL112" s="0" t="n">
        <v>0</v>
      </c>
      <c r="VM112" s="0" t="n">
        <v>31.6</v>
      </c>
      <c r="VN112" s="0" t="n">
        <v>0.76</v>
      </c>
      <c r="VO112" s="0" t="n">
        <v>0</v>
      </c>
      <c r="VP112" s="0" t="n">
        <v>0</v>
      </c>
      <c r="VQ112" s="0" t="n">
        <v>0</v>
      </c>
      <c r="VR112" s="0" t="n">
        <v>35.59</v>
      </c>
      <c r="VS112" s="0" t="n">
        <v>40.15</v>
      </c>
      <c r="VT112" s="0" t="n">
        <v>14.76</v>
      </c>
      <c r="VU112" s="0" t="n">
        <v>6.55</v>
      </c>
      <c r="VV112" s="0" t="n">
        <v>0</v>
      </c>
      <c r="VW112" s="0" t="n">
        <v>0</v>
      </c>
      <c r="VX112" s="0" t="n">
        <v>0</v>
      </c>
      <c r="WK112" s="0" t="n">
        <v>1.1</v>
      </c>
      <c r="WL112" s="0" t="n">
        <v>1</v>
      </c>
      <c r="WM112" s="0" t="n">
        <v>35</v>
      </c>
      <c r="WN112" s="0" t="n">
        <v>2</v>
      </c>
      <c r="WO112" s="0" t="n">
        <v>0.23</v>
      </c>
      <c r="WP112" s="0" t="n">
        <v>3</v>
      </c>
      <c r="WW112" s="20"/>
      <c r="XO112" s="0" t="n">
        <v>0</v>
      </c>
      <c r="YZ112" s="16" t="n">
        <v>3.2</v>
      </c>
      <c r="ZA112" s="16" t="n">
        <v>1</v>
      </c>
      <c r="ZB112" s="16" t="n">
        <v>1</v>
      </c>
      <c r="ZC112" s="16"/>
      <c r="ZD112" s="16" t="n">
        <v>0.37</v>
      </c>
      <c r="ZE112" s="16" t="n">
        <v>2</v>
      </c>
      <c r="ZF112" s="16"/>
      <c r="ZG112" s="16" t="n">
        <v>12.89</v>
      </c>
      <c r="ZH112" s="16"/>
      <c r="ZI112" s="16"/>
      <c r="ZJ112" s="16"/>
      <c r="ZK112" s="16" t="n">
        <v>5.89</v>
      </c>
      <c r="ZL112" s="16" t="n">
        <v>5.13</v>
      </c>
      <c r="ZM112" s="16" t="n">
        <v>0</v>
      </c>
      <c r="ZN112" s="16" t="n">
        <v>0</v>
      </c>
      <c r="ZO112" s="16" t="n">
        <v>0</v>
      </c>
      <c r="ZP112" s="16" t="n">
        <v>0</v>
      </c>
      <c r="ZQ112" s="16" t="n">
        <v>0</v>
      </c>
      <c r="ZR112" s="0" t="n">
        <v>0</v>
      </c>
      <c r="ZS112" s="0" t="s">
        <v>512</v>
      </c>
      <c r="ZT112" s="0" t="n">
        <v>33</v>
      </c>
      <c r="ZU112" s="16" t="n">
        <v>70.6</v>
      </c>
      <c r="ZV112" s="16" t="n">
        <v>80.4</v>
      </c>
      <c r="ZW112" s="16" t="n">
        <v>29.2</v>
      </c>
      <c r="ZX112" s="0" t="n">
        <v>16.94</v>
      </c>
      <c r="ZY112" s="17" t="n">
        <v>0</v>
      </c>
      <c r="ZZ112" s="0" t="n">
        <v>0</v>
      </c>
      <c r="AAA112" s="0" t="n">
        <v>0</v>
      </c>
      <c r="AAB112" s="0" t="n">
        <v>0</v>
      </c>
      <c r="AAC112" s="0" t="n">
        <v>0</v>
      </c>
      <c r="AAD112" s="0" t="n">
        <v>83.06</v>
      </c>
      <c r="AAE112" s="0" t="n">
        <v>25.18</v>
      </c>
      <c r="AAF112" s="0" t="n">
        <v>8.7</v>
      </c>
      <c r="AAG112" s="0" t="n">
        <v>0</v>
      </c>
      <c r="AAH112" s="0" t="n">
        <v>0</v>
      </c>
      <c r="AAI112" s="0" t="n">
        <v>0</v>
      </c>
      <c r="AAJ112" s="0" t="n">
        <v>13.49</v>
      </c>
      <c r="AAK112" s="0" t="n">
        <v>16.48</v>
      </c>
      <c r="AAL112" s="0" t="n">
        <v>0</v>
      </c>
      <c r="AAM112" s="0" t="n">
        <v>0</v>
      </c>
      <c r="AAN112" s="0" t="n">
        <v>0</v>
      </c>
      <c r="AAO112" s="0" t="n">
        <v>0</v>
      </c>
      <c r="ABB112" s="0" t="n">
        <v>0</v>
      </c>
      <c r="ABC112" s="0" t="n">
        <v>0</v>
      </c>
      <c r="ABN112" s="20"/>
      <c r="ACF112" s="0" t="n">
        <v>0</v>
      </c>
      <c r="ADQ112" s="16" t="n">
        <v>3.62</v>
      </c>
      <c r="ADR112" s="16" t="n">
        <v>1</v>
      </c>
      <c r="ADS112" s="16" t="n">
        <v>1</v>
      </c>
      <c r="ADT112" s="16"/>
      <c r="ADU112" s="16" t="n">
        <v>16.74</v>
      </c>
      <c r="ADV112" s="16"/>
      <c r="ADW112" s="16"/>
      <c r="ADX112" s="16"/>
      <c r="ADY112" s="16"/>
      <c r="ADZ112" s="16"/>
      <c r="AEA112" s="16"/>
      <c r="AEB112" s="16" t="n">
        <v>0</v>
      </c>
      <c r="AEC112" s="16" t="n">
        <v>0</v>
      </c>
      <c r="AED112" s="16" t="n">
        <v>0</v>
      </c>
      <c r="AEE112" s="16" t="n">
        <v>0</v>
      </c>
      <c r="AEF112" s="16" t="n">
        <v>0</v>
      </c>
      <c r="AEG112" s="16" t="n">
        <v>0</v>
      </c>
      <c r="AEH112" s="16" t="n">
        <v>0</v>
      </c>
      <c r="AEI112" s="0" t="n">
        <v>0</v>
      </c>
      <c r="AEJ112" s="0" t="s">
        <v>527</v>
      </c>
      <c r="AEK112" s="0" t="n">
        <v>87.5</v>
      </c>
      <c r="AEL112" s="16" t="n">
        <v>78.4</v>
      </c>
      <c r="AEM112" s="16" t="n">
        <v>80.4</v>
      </c>
      <c r="AEN112" s="16" t="n">
        <v>46.6</v>
      </c>
      <c r="AEO112" s="0" t="n">
        <v>52.33</v>
      </c>
      <c r="AEP112" s="17" t="n">
        <v>0</v>
      </c>
      <c r="AEQ112" s="0" t="n">
        <v>27.04</v>
      </c>
      <c r="AER112" s="0" t="n">
        <v>12.9</v>
      </c>
      <c r="AES112" s="0" t="n">
        <v>7.73</v>
      </c>
      <c r="AET112" s="0" t="n">
        <v>0</v>
      </c>
      <c r="AEU112" s="0" t="n">
        <v>0</v>
      </c>
      <c r="AEV112" s="0" t="n">
        <v>0</v>
      </c>
      <c r="AEW112" s="0" t="n">
        <v>0</v>
      </c>
      <c r="AEX112" s="0" t="n">
        <v>0</v>
      </c>
      <c r="AEY112" s="0" t="n">
        <v>0</v>
      </c>
      <c r="AEZ112" s="0" t="n">
        <v>2.28</v>
      </c>
      <c r="AFA112" s="0" t="n">
        <v>28.16</v>
      </c>
      <c r="AFB112" s="0" t="n">
        <v>18.63</v>
      </c>
      <c r="AFC112" s="0" t="n">
        <v>1.27</v>
      </c>
      <c r="AFD112" s="0" t="n">
        <v>0</v>
      </c>
      <c r="AFE112" s="0" t="n">
        <v>15.7</v>
      </c>
      <c r="AFF112" s="0" t="n">
        <v>1</v>
      </c>
      <c r="AFG112" s="0" t="n">
        <v>3</v>
      </c>
      <c r="AFI112" s="0" t="n">
        <v>1</v>
      </c>
      <c r="AFM112" s="0" t="n">
        <v>3</v>
      </c>
      <c r="AFO112" s="0" t="n">
        <v>1</v>
      </c>
      <c r="AFS112" s="0" t="n">
        <v>14</v>
      </c>
      <c r="AFT112" s="0" t="n">
        <v>1</v>
      </c>
      <c r="AFU112" s="0" t="n">
        <v>35</v>
      </c>
      <c r="AFV112" s="0" t="n">
        <v>4</v>
      </c>
      <c r="AFW112" s="0" t="n">
        <v>2.98</v>
      </c>
      <c r="AFX112" s="0" t="n">
        <v>3</v>
      </c>
      <c r="AGE112" s="20"/>
      <c r="AGW112" s="0" t="n">
        <v>1</v>
      </c>
      <c r="AGX112" s="0" t="n">
        <v>50</v>
      </c>
      <c r="AGY112" s="0" t="n">
        <v>2</v>
      </c>
      <c r="AGZ112" s="0" t="n">
        <v>1.07</v>
      </c>
      <c r="AIH112" s="16" t="n">
        <v>1.51</v>
      </c>
      <c r="AII112" s="16" t="n">
        <v>1</v>
      </c>
      <c r="AIJ112" s="16" t="n">
        <v>1</v>
      </c>
      <c r="AIK112" s="16"/>
      <c r="AIL112" s="16" t="n">
        <v>2.86</v>
      </c>
      <c r="AIM112" s="16" t="n">
        <v>2</v>
      </c>
      <c r="AIN112" s="16"/>
      <c r="AIO112" s="16" t="n">
        <v>0.85</v>
      </c>
      <c r="AIP112" s="16"/>
      <c r="AIQ112" s="16"/>
      <c r="AIR112" s="16"/>
      <c r="AIS112" s="16" t="n">
        <v>8.13</v>
      </c>
      <c r="AIT112" s="16" t="n">
        <v>5.84</v>
      </c>
      <c r="AIU112" s="16" t="n">
        <v>0</v>
      </c>
      <c r="AIV112" s="16" t="n">
        <v>0</v>
      </c>
      <c r="AIW112" s="16" t="n">
        <v>0</v>
      </c>
      <c r="AIX112" s="16" t="n">
        <v>0</v>
      </c>
      <c r="AIY112" s="16" t="n">
        <v>0</v>
      </c>
      <c r="AIZ112" s="0" t="n">
        <v>0</v>
      </c>
      <c r="AJA112" s="0" t="s">
        <v>528</v>
      </c>
      <c r="AJB112" s="0" t="n">
        <v>77</v>
      </c>
      <c r="AJC112" s="16" t="n">
        <v>57.3</v>
      </c>
      <c r="AJD112" s="16" t="n">
        <v>80.4</v>
      </c>
      <c r="AJE112" s="16" t="n">
        <v>31.1</v>
      </c>
      <c r="AJF112" s="0" t="n">
        <v>67.36</v>
      </c>
      <c r="AJG112" s="17" t="n">
        <v>0</v>
      </c>
      <c r="AJH112" s="0" t="n">
        <v>9.59</v>
      </c>
      <c r="AJI112" s="0" t="n">
        <v>13.3</v>
      </c>
      <c r="AJJ112" s="0" t="n">
        <v>0</v>
      </c>
      <c r="AJK112" s="0" t="n">
        <v>0</v>
      </c>
      <c r="AJL112" s="0" t="n">
        <v>9.75</v>
      </c>
      <c r="AJM112" s="0" t="n">
        <v>0.76</v>
      </c>
      <c r="AJN112" s="0" t="n">
        <v>0</v>
      </c>
      <c r="AJO112" s="0" t="n">
        <v>0</v>
      </c>
      <c r="AJP112" s="0" t="n">
        <v>0</v>
      </c>
      <c r="AJQ112" s="0" t="n">
        <v>3.43</v>
      </c>
      <c r="AJR112" s="0" t="n">
        <v>4.95</v>
      </c>
      <c r="AJS112" s="0" t="n">
        <v>6.47</v>
      </c>
      <c r="AJT112" s="0" t="n">
        <v>0</v>
      </c>
      <c r="AJU112" s="0" t="n">
        <v>0</v>
      </c>
      <c r="AJV112" s="0" t="n">
        <v>18.6</v>
      </c>
      <c r="AJW112" s="0" t="n">
        <v>1</v>
      </c>
      <c r="AJX112" s="0" t="n">
        <v>3</v>
      </c>
      <c r="AJZ112" s="0" t="n">
        <v>1</v>
      </c>
      <c r="AKD112" s="0" t="n">
        <v>3</v>
      </c>
      <c r="AKF112" s="0" t="n">
        <v>1</v>
      </c>
      <c r="AKJ112" s="0" t="n">
        <v>21</v>
      </c>
      <c r="AKK112" s="0" t="n">
        <v>1</v>
      </c>
      <c r="AKL112" s="0" t="n">
        <v>35</v>
      </c>
      <c r="AKM112" s="0" t="n">
        <v>4</v>
      </c>
      <c r="AKN112" s="0" t="n">
        <v>4.47</v>
      </c>
      <c r="AKO112" s="0" t="n">
        <v>3</v>
      </c>
      <c r="AKV112" s="20"/>
      <c r="ALN112" s="0" t="n">
        <v>0</v>
      </c>
    </row>
    <row r="113" customFormat="false" ht="13.8" hidden="false" customHeight="false" outlineLevel="0" collapsed="false">
      <c r="A113" s="1" t="s">
        <v>529</v>
      </c>
      <c r="B113" s="12" t="n">
        <v>42906</v>
      </c>
      <c r="C113" s="0" t="n">
        <v>2</v>
      </c>
      <c r="D113" s="13" t="n">
        <v>37096</v>
      </c>
      <c r="E113" s="12" t="n">
        <v>28185</v>
      </c>
      <c r="F113" s="14" t="n">
        <f aca="false">(B113-E113)/365.25</f>
        <v>40.3039014373717</v>
      </c>
      <c r="G113" s="14" t="n">
        <f aca="false">(B113-D113)/365.25</f>
        <v>15.9069130732375</v>
      </c>
      <c r="H113" s="15" t="s">
        <v>183</v>
      </c>
      <c r="I113" s="15" t="s">
        <v>523</v>
      </c>
      <c r="J113" s="15" t="s">
        <v>181</v>
      </c>
      <c r="K113" s="21" t="n">
        <v>8</v>
      </c>
      <c r="L113" s="19" t="n">
        <v>68</v>
      </c>
      <c r="M113" s="0" t="n">
        <v>1.67</v>
      </c>
      <c r="N113" s="16" t="n">
        <f aca="false">L113/(M113*M113)</f>
        <v>24.3823729785937</v>
      </c>
      <c r="O113" s="19" t="n">
        <v>0</v>
      </c>
      <c r="P113" s="19" t="n">
        <v>0</v>
      </c>
      <c r="Q113" s="19" t="n">
        <v>0</v>
      </c>
      <c r="R113" s="19" t="n">
        <v>0</v>
      </c>
      <c r="S113" s="19" t="n">
        <v>0</v>
      </c>
      <c r="T113" s="19" t="n">
        <v>0</v>
      </c>
      <c r="U113" s="19" t="n">
        <v>0</v>
      </c>
      <c r="V113" s="19" t="n">
        <v>0</v>
      </c>
      <c r="W113" s="19" t="n">
        <v>1</v>
      </c>
      <c r="X113" s="19" t="n">
        <v>0</v>
      </c>
      <c r="Y113" s="19" t="n">
        <v>0</v>
      </c>
      <c r="Z113" s="19" t="n">
        <v>0</v>
      </c>
      <c r="AA113" s="19" t="n">
        <v>0</v>
      </c>
      <c r="AB113" s="19" t="n">
        <v>0</v>
      </c>
      <c r="AC113" s="19" t="n">
        <v>0</v>
      </c>
      <c r="AD113" s="19" t="n">
        <v>0</v>
      </c>
      <c r="AE113" s="19" t="n">
        <v>1</v>
      </c>
      <c r="AF113" s="19" t="n">
        <v>0</v>
      </c>
      <c r="AG113" s="19" t="n">
        <v>0</v>
      </c>
      <c r="AH113" s="19" t="n">
        <v>0</v>
      </c>
      <c r="AI113" s="19" t="n">
        <v>3</v>
      </c>
      <c r="AJ113" s="19" t="n">
        <v>0</v>
      </c>
      <c r="AK113" s="19" t="n">
        <v>0</v>
      </c>
      <c r="AL113" s="19" t="n">
        <v>0</v>
      </c>
      <c r="AM113" s="19" t="n">
        <v>0</v>
      </c>
      <c r="AN113" s="19" t="n">
        <v>3</v>
      </c>
      <c r="AO113" s="19" t="n">
        <v>0</v>
      </c>
      <c r="AP113" s="19" t="n">
        <v>0</v>
      </c>
      <c r="AQ113" s="19" t="n">
        <v>0</v>
      </c>
      <c r="AR113" s="19" t="n">
        <v>0</v>
      </c>
      <c r="AS113" s="19" t="n">
        <v>3</v>
      </c>
      <c r="AT113" s="19" t="n">
        <v>0</v>
      </c>
      <c r="AU113" s="19" t="n">
        <v>0</v>
      </c>
      <c r="AV113" s="19" t="n">
        <v>0</v>
      </c>
      <c r="AW113" s="19" t="n">
        <v>0</v>
      </c>
      <c r="AX113" s="19" t="n">
        <v>0</v>
      </c>
      <c r="AY113" s="19" t="n">
        <v>0</v>
      </c>
      <c r="AZ113" s="19" t="n">
        <v>0</v>
      </c>
      <c r="BA113" s="19" t="n">
        <v>0</v>
      </c>
      <c r="BB113" s="19" t="n">
        <v>1</v>
      </c>
      <c r="BC113" s="19" t="n">
        <v>0</v>
      </c>
      <c r="BD113" s="19" t="n">
        <v>0</v>
      </c>
      <c r="BE113" s="19" t="n">
        <v>0</v>
      </c>
      <c r="BF113" s="19" t="n">
        <v>0</v>
      </c>
      <c r="BG113" s="19" t="n">
        <v>0</v>
      </c>
      <c r="BH113" s="19" t="n">
        <v>0</v>
      </c>
      <c r="BI113" s="19" t="n">
        <v>0</v>
      </c>
      <c r="BJ113" s="19" t="n">
        <v>1</v>
      </c>
      <c r="BK113" s="19" t="n">
        <v>0</v>
      </c>
      <c r="BL113" s="19" t="n">
        <v>1</v>
      </c>
      <c r="BM113" s="19" t="n">
        <v>3</v>
      </c>
      <c r="BN113" s="19" t="n">
        <v>1</v>
      </c>
      <c r="BO113" s="19" t="n">
        <v>0</v>
      </c>
      <c r="BP113" s="19" t="n">
        <v>0</v>
      </c>
      <c r="BQ113" s="19" t="n">
        <v>0</v>
      </c>
      <c r="BR113" s="19" t="n">
        <v>3</v>
      </c>
      <c r="BS113" s="19" t="n">
        <v>3</v>
      </c>
      <c r="BT113" s="19" t="n">
        <v>5</v>
      </c>
      <c r="BU113" s="19" t="n">
        <v>5</v>
      </c>
      <c r="BV113" s="19" t="n">
        <v>1</v>
      </c>
      <c r="BW113" s="19" t="n">
        <v>1</v>
      </c>
      <c r="BX113" s="19" t="n">
        <v>1</v>
      </c>
      <c r="BY113" s="19" t="n">
        <v>2</v>
      </c>
      <c r="BZ113" s="19" t="n">
        <v>1</v>
      </c>
      <c r="CA113" s="19" t="n">
        <v>3</v>
      </c>
      <c r="CB113" s="19" t="n">
        <v>4</v>
      </c>
      <c r="CC113" s="19" t="n">
        <v>4</v>
      </c>
      <c r="CD113" s="19" t="n">
        <v>4</v>
      </c>
      <c r="CE113" s="19" t="n">
        <v>5</v>
      </c>
      <c r="CF113" s="19" t="n">
        <v>2</v>
      </c>
      <c r="CG113" s="19" t="n">
        <v>5</v>
      </c>
      <c r="CH113" s="19" t="n">
        <v>5</v>
      </c>
      <c r="CI113" s="19" t="n">
        <v>5</v>
      </c>
      <c r="CJ113" s="19" t="n">
        <v>5</v>
      </c>
      <c r="CK113" s="19" t="n">
        <v>9</v>
      </c>
      <c r="CL113" s="0" t="s">
        <v>508</v>
      </c>
      <c r="CM113" s="0" t="n">
        <v>42.5</v>
      </c>
      <c r="CN113" s="16" t="n">
        <v>81.7</v>
      </c>
      <c r="CO113" s="16" t="n">
        <v>80.4</v>
      </c>
      <c r="CP113" s="16" t="n">
        <v>18.4</v>
      </c>
      <c r="CQ113" s="0" t="n">
        <v>80.68</v>
      </c>
      <c r="CR113" s="17" t="n">
        <v>0</v>
      </c>
      <c r="CS113" s="0" t="n">
        <v>8.41</v>
      </c>
      <c r="CT113" s="0" t="n">
        <v>1.93</v>
      </c>
      <c r="CU113" s="0" t="n">
        <v>8.98</v>
      </c>
      <c r="CV113" s="0" t="n">
        <v>0</v>
      </c>
      <c r="CW113" s="0" t="n">
        <v>0</v>
      </c>
      <c r="CY113" s="0" t="n">
        <v>0</v>
      </c>
      <c r="CZ113" s="0" t="n">
        <v>0</v>
      </c>
      <c r="DA113" s="0" t="n">
        <v>0</v>
      </c>
      <c r="DB113" s="0" t="n">
        <v>0.07</v>
      </c>
      <c r="DC113" s="0" t="n">
        <v>26.86</v>
      </c>
      <c r="DD113" s="0" t="n">
        <v>25.47</v>
      </c>
      <c r="DE113" s="0" t="n">
        <v>0</v>
      </c>
      <c r="DF113" s="0" t="n">
        <v>0</v>
      </c>
      <c r="DG113" s="0" t="n">
        <v>0</v>
      </c>
      <c r="DH113" s="0" t="n">
        <v>0</v>
      </c>
      <c r="DU113" s="0" t="n">
        <v>17.9</v>
      </c>
      <c r="DV113" s="0" t="n">
        <v>1</v>
      </c>
      <c r="DW113" s="0" t="n">
        <v>33</v>
      </c>
      <c r="DX113" s="0" t="n">
        <v>2</v>
      </c>
      <c r="DY113" s="0" t="n">
        <v>1.52</v>
      </c>
      <c r="DZ113" s="0" t="n">
        <v>4</v>
      </c>
      <c r="EA113" s="0" t="n">
        <v>35</v>
      </c>
      <c r="EB113" s="0" t="n">
        <v>3</v>
      </c>
      <c r="EC113" s="0" t="n">
        <v>1.3</v>
      </c>
      <c r="ED113" s="0" t="n">
        <v>3</v>
      </c>
      <c r="EG113" s="20"/>
      <c r="EY113" s="0" t="n">
        <v>0</v>
      </c>
      <c r="GJ113" s="16" t="n">
        <v>0</v>
      </c>
      <c r="GK113" s="16" t="n">
        <v>0</v>
      </c>
      <c r="GL113" s="16"/>
      <c r="GM113" s="16"/>
      <c r="GN113" s="16"/>
      <c r="GO113" s="16"/>
      <c r="GP113" s="16"/>
      <c r="GQ113" s="16"/>
      <c r="GR113" s="16"/>
      <c r="GS113" s="16"/>
      <c r="GT113" s="16"/>
      <c r="GU113" s="16" t="n">
        <v>4.29</v>
      </c>
      <c r="GV113" s="16" t="n">
        <v>2.66</v>
      </c>
      <c r="GW113" s="16" t="n">
        <v>0</v>
      </c>
      <c r="GX113" s="16" t="n">
        <v>0</v>
      </c>
      <c r="GY113" s="16" t="n">
        <v>0</v>
      </c>
      <c r="GZ113" s="16" t="n">
        <v>0</v>
      </c>
      <c r="HA113" s="16" t="n">
        <v>0</v>
      </c>
      <c r="HB113" s="0" t="n">
        <v>0</v>
      </c>
      <c r="HC113" s="0" t="s">
        <v>509</v>
      </c>
      <c r="HD113" s="0" t="n">
        <v>29</v>
      </c>
      <c r="HE113" s="16" t="n">
        <v>76.1</v>
      </c>
      <c r="HF113" s="16" t="n">
        <v>80.4</v>
      </c>
      <c r="HG113" s="16" t="n">
        <v>20.5</v>
      </c>
      <c r="HH113" s="0" t="n">
        <v>77.86</v>
      </c>
      <c r="HI113" s="17" t="n">
        <v>0</v>
      </c>
      <c r="HJ113" s="0" t="n">
        <v>13.05</v>
      </c>
      <c r="HK113" s="0" t="n">
        <v>0</v>
      </c>
      <c r="HL113" s="0" t="n">
        <v>9.1</v>
      </c>
      <c r="HM113" s="0" t="n">
        <v>0</v>
      </c>
      <c r="HN113" s="0" t="n">
        <v>0</v>
      </c>
      <c r="HP113" s="0" t="n">
        <v>0</v>
      </c>
      <c r="HQ113" s="0" t="n">
        <v>0</v>
      </c>
      <c r="HR113" s="0" t="n">
        <v>0</v>
      </c>
      <c r="HS113" s="0" t="n">
        <v>0.57</v>
      </c>
      <c r="HT113" s="0" t="n">
        <v>29.77</v>
      </c>
      <c r="HU113" s="0" t="n">
        <v>20.82</v>
      </c>
      <c r="HV113" s="0" t="n">
        <v>0</v>
      </c>
      <c r="HW113" s="0" t="n">
        <v>0</v>
      </c>
      <c r="HX113" s="0" t="n">
        <v>0</v>
      </c>
      <c r="HY113" s="0" t="n">
        <v>1</v>
      </c>
      <c r="HZ113" s="0" t="n">
        <v>2</v>
      </c>
      <c r="IB113" s="0" t="n">
        <v>1</v>
      </c>
      <c r="IF113" s="0" t="n">
        <v>2</v>
      </c>
      <c r="IH113" s="0" t="n">
        <v>1</v>
      </c>
      <c r="IL113" s="0" t="n">
        <v>0</v>
      </c>
      <c r="IM113" s="0" t="n">
        <v>0</v>
      </c>
      <c r="IX113" s="20"/>
      <c r="JP113" s="0" t="n">
        <v>0</v>
      </c>
      <c r="LA113" s="16" t="n">
        <v>0.32</v>
      </c>
      <c r="LB113" s="16" t="n">
        <v>1</v>
      </c>
      <c r="LC113" s="16" t="n">
        <v>1</v>
      </c>
      <c r="LD113" s="16"/>
      <c r="LE113" s="16" t="n">
        <v>1.32</v>
      </c>
      <c r="LF113" s="16"/>
      <c r="LG113" s="16"/>
      <c r="LH113" s="16"/>
      <c r="LI113" s="16"/>
      <c r="LJ113" s="16"/>
      <c r="LK113" s="16"/>
      <c r="LL113" s="16" t="n">
        <v>5.5</v>
      </c>
      <c r="LM113" s="16" t="n">
        <v>9.81</v>
      </c>
      <c r="LN113" s="16" t="n">
        <v>0</v>
      </c>
      <c r="LO113" s="16" t="n">
        <v>0</v>
      </c>
      <c r="LP113" s="16" t="n">
        <v>0</v>
      </c>
      <c r="LQ113" s="16" t="n">
        <v>0</v>
      </c>
      <c r="LR113" s="16" t="n">
        <v>0</v>
      </c>
      <c r="LS113" s="0" t="n">
        <v>0</v>
      </c>
      <c r="LT113" s="0" t="s">
        <v>510</v>
      </c>
      <c r="LU113" s="0" t="n">
        <v>33.5</v>
      </c>
      <c r="LV113" s="16" t="n">
        <v>74.7</v>
      </c>
      <c r="LW113" s="16" t="n">
        <v>80.4</v>
      </c>
      <c r="LX113" s="16" t="n">
        <v>23.3</v>
      </c>
      <c r="LY113" s="0" t="n">
        <v>67.74</v>
      </c>
      <c r="LZ113" s="17" t="n">
        <v>0</v>
      </c>
      <c r="MA113" s="0" t="n">
        <v>10.14</v>
      </c>
      <c r="MB113" s="0" t="n">
        <v>0</v>
      </c>
      <c r="MC113" s="0" t="n">
        <v>22.12</v>
      </c>
      <c r="MD113" s="0" t="n">
        <v>0</v>
      </c>
      <c r="ME113" s="0" t="n">
        <v>0</v>
      </c>
      <c r="MG113" s="0" t="n">
        <v>0</v>
      </c>
      <c r="MH113" s="0" t="n">
        <v>0</v>
      </c>
      <c r="MI113" s="0" t="n">
        <v>0</v>
      </c>
      <c r="MJ113" s="0" t="n">
        <v>0</v>
      </c>
      <c r="MK113" s="0" t="n">
        <v>51.2</v>
      </c>
      <c r="ML113" s="0" t="n">
        <v>15.83</v>
      </c>
      <c r="MM113" s="0" t="n">
        <v>0</v>
      </c>
      <c r="MN113" s="0" t="n">
        <v>0</v>
      </c>
      <c r="MO113" s="0" t="n">
        <v>0</v>
      </c>
      <c r="MP113" s="0" t="n">
        <v>0</v>
      </c>
      <c r="NC113" s="0" t="n">
        <v>2.3</v>
      </c>
      <c r="ND113" s="0" t="n">
        <v>0</v>
      </c>
      <c r="NO113" s="20"/>
      <c r="OG113" s="0" t="n">
        <v>1</v>
      </c>
      <c r="OH113" s="0" t="n">
        <v>50</v>
      </c>
      <c r="OI113" s="0" t="n">
        <v>20</v>
      </c>
      <c r="OJ113" s="0" t="n">
        <v>30.66</v>
      </c>
      <c r="OK113" s="0" t="n">
        <v>3</v>
      </c>
      <c r="OL113" s="0" t="n">
        <v>60</v>
      </c>
      <c r="OM113" s="0" t="n">
        <v>33</v>
      </c>
      <c r="ON113" s="0" t="n">
        <v>0.56</v>
      </c>
      <c r="OO113" s="0" t="n">
        <v>3</v>
      </c>
      <c r="PR113" s="16" t="n">
        <v>0</v>
      </c>
      <c r="PS113" s="16" t="n">
        <v>0</v>
      </c>
      <c r="PT113" s="16"/>
      <c r="PU113" s="16"/>
      <c r="PV113" s="16"/>
      <c r="PW113" s="16"/>
      <c r="PX113" s="16"/>
      <c r="PY113" s="16"/>
      <c r="PZ113" s="16"/>
      <c r="QA113" s="16"/>
      <c r="QB113" s="16"/>
      <c r="QC113" s="16" t="n">
        <v>5.22</v>
      </c>
      <c r="QD113" s="16" t="n">
        <v>7.07</v>
      </c>
      <c r="QE113" s="16" t="n">
        <v>0</v>
      </c>
      <c r="QF113" s="16" t="n">
        <v>0</v>
      </c>
      <c r="QG113" s="16" t="n">
        <v>0</v>
      </c>
      <c r="QH113" s="16" t="n">
        <v>0</v>
      </c>
      <c r="QI113" s="16" t="n">
        <v>0</v>
      </c>
      <c r="QJ113" s="0" t="n">
        <v>0</v>
      </c>
      <c r="QK113" s="0" t="s">
        <v>511</v>
      </c>
      <c r="QL113" s="0" t="n">
        <v>36.5</v>
      </c>
      <c r="QM113" s="16" t="n">
        <v>85.2</v>
      </c>
      <c r="QN113" s="16" t="n">
        <v>80.4</v>
      </c>
      <c r="QO113" s="16" t="n">
        <v>24.1</v>
      </c>
      <c r="QP113" s="0" t="n">
        <v>65.36</v>
      </c>
      <c r="QQ113" s="17" t="n">
        <v>0</v>
      </c>
      <c r="QR113" s="0" t="n">
        <v>10.14</v>
      </c>
      <c r="QS113" s="0" t="n">
        <v>0</v>
      </c>
      <c r="QT113" s="0" t="n">
        <v>24.5</v>
      </c>
      <c r="QU113" s="0" t="n">
        <v>0</v>
      </c>
      <c r="QV113" s="0" t="n">
        <v>0</v>
      </c>
      <c r="QX113" s="0" t="n">
        <v>0</v>
      </c>
      <c r="QY113" s="0" t="n">
        <v>0</v>
      </c>
      <c r="QZ113" s="0" t="n">
        <v>0</v>
      </c>
      <c r="RA113" s="0" t="n">
        <v>0</v>
      </c>
      <c r="RB113" s="0" t="n">
        <v>56.76</v>
      </c>
      <c r="RC113" s="0" t="n">
        <v>17.5</v>
      </c>
      <c r="RD113" s="0" t="n">
        <v>0</v>
      </c>
      <c r="RE113" s="0" t="n">
        <v>0</v>
      </c>
      <c r="RF113" s="0" t="n">
        <v>0</v>
      </c>
      <c r="RG113" s="0" t="n">
        <v>0</v>
      </c>
      <c r="RT113" s="0" t="n">
        <v>4.3</v>
      </c>
      <c r="RU113" s="0" t="n">
        <v>0</v>
      </c>
      <c r="SF113" s="20"/>
      <c r="SX113" s="0" t="n">
        <v>1</v>
      </c>
      <c r="SY113" s="0" t="n">
        <v>60</v>
      </c>
      <c r="SZ113" s="0" t="n">
        <v>53</v>
      </c>
      <c r="TA113" s="0" t="n">
        <v>35.98</v>
      </c>
      <c r="TB113" s="0" t="n">
        <v>3</v>
      </c>
      <c r="UI113" s="16" t="n">
        <v>0</v>
      </c>
      <c r="UJ113" s="16" t="n">
        <v>0</v>
      </c>
      <c r="UK113" s="16"/>
      <c r="UL113" s="16"/>
      <c r="UM113" s="16"/>
      <c r="UN113" s="16"/>
      <c r="UO113" s="16"/>
      <c r="UP113" s="16"/>
      <c r="UQ113" s="16"/>
      <c r="UR113" s="16"/>
      <c r="US113" s="16"/>
      <c r="UT113" s="16" t="n">
        <v>5.1</v>
      </c>
      <c r="UU113" s="16" t="n">
        <v>5.93</v>
      </c>
      <c r="UV113" s="16" t="n">
        <v>0</v>
      </c>
      <c r="UW113" s="16" t="n">
        <v>0</v>
      </c>
      <c r="UX113" s="16" t="n">
        <v>0</v>
      </c>
      <c r="UY113" s="16" t="n">
        <v>0</v>
      </c>
      <c r="UZ113" s="16" t="n">
        <v>0</v>
      </c>
      <c r="VA113" s="0" t="n">
        <v>0</v>
      </c>
      <c r="VB113" s="0" t="s">
        <v>525</v>
      </c>
      <c r="VC113" s="0" t="n">
        <v>16.5</v>
      </c>
      <c r="VD113" s="16" t="n">
        <v>30.8</v>
      </c>
      <c r="VE113" s="16" t="n">
        <v>80.4</v>
      </c>
      <c r="VF113" s="16" t="n">
        <v>8.7</v>
      </c>
      <c r="VG113" s="0" t="n">
        <v>86.39</v>
      </c>
      <c r="VH113" s="17" t="n">
        <v>0</v>
      </c>
      <c r="VI113" s="0" t="n">
        <v>0</v>
      </c>
      <c r="VJ113" s="0" t="n">
        <v>0</v>
      </c>
      <c r="VK113" s="0" t="n">
        <v>2.28</v>
      </c>
      <c r="VL113" s="0" t="n">
        <v>0</v>
      </c>
      <c r="VM113" s="0" t="n">
        <v>9.09</v>
      </c>
      <c r="VN113" s="0" t="n">
        <v>3.57</v>
      </c>
      <c r="VO113" s="0" t="n">
        <v>0</v>
      </c>
      <c r="VP113" s="0" t="n">
        <v>1.8</v>
      </c>
      <c r="VQ113" s="0" t="n">
        <v>0</v>
      </c>
      <c r="VR113" s="0" t="n">
        <v>1.8</v>
      </c>
      <c r="VS113" s="0" t="n">
        <v>5.06</v>
      </c>
      <c r="VT113" s="0" t="n">
        <v>7.89</v>
      </c>
      <c r="VU113" s="0" t="n">
        <v>0</v>
      </c>
      <c r="VV113" s="0" t="n">
        <v>0</v>
      </c>
      <c r="VW113" s="0" t="n">
        <v>0</v>
      </c>
      <c r="VX113" s="0" t="n">
        <v>0</v>
      </c>
      <c r="WK113" s="0" t="n">
        <v>0</v>
      </c>
      <c r="WL113" s="0" t="n">
        <v>1</v>
      </c>
      <c r="WM113" s="0" t="n">
        <v>23</v>
      </c>
      <c r="WN113" s="0" t="n">
        <v>2</v>
      </c>
      <c r="WO113" s="0" t="n">
        <v>0.72</v>
      </c>
      <c r="WP113" s="0" t="n">
        <v>3</v>
      </c>
      <c r="WW113" s="20"/>
      <c r="XO113" s="0" t="n">
        <v>0</v>
      </c>
      <c r="YZ113" s="16" t="n">
        <v>0.82</v>
      </c>
      <c r="ZA113" s="16" t="n">
        <v>1</v>
      </c>
      <c r="ZB113" s="16" t="n">
        <v>1</v>
      </c>
      <c r="ZC113" s="16"/>
      <c r="ZD113" s="16" t="n">
        <v>1.84</v>
      </c>
      <c r="ZE113" s="16"/>
      <c r="ZF113" s="16"/>
      <c r="ZG113" s="16"/>
      <c r="ZH113" s="16"/>
      <c r="ZI113" s="16"/>
      <c r="ZJ113" s="16"/>
      <c r="ZK113" s="16" t="n">
        <v>0</v>
      </c>
      <c r="ZL113" s="16" t="n">
        <v>0</v>
      </c>
      <c r="ZM113" s="16" t="n">
        <v>0</v>
      </c>
      <c r="ZN113" s="16" t="n">
        <v>0</v>
      </c>
      <c r="ZO113" s="16" t="n">
        <v>6.72</v>
      </c>
      <c r="ZP113" s="16" t="n">
        <v>0</v>
      </c>
      <c r="ZQ113" s="16" t="n">
        <v>0</v>
      </c>
      <c r="ZR113" s="0" t="n">
        <v>0</v>
      </c>
      <c r="ZS113" s="0" t="s">
        <v>530</v>
      </c>
      <c r="ZT113" s="0" t="n">
        <v>29.5</v>
      </c>
      <c r="ZU113" s="16" t="n">
        <v>87</v>
      </c>
      <c r="ZV113" s="16" t="n">
        <v>80.4</v>
      </c>
      <c r="ZW113" s="16" t="n">
        <v>20.9</v>
      </c>
      <c r="ZX113" s="0" t="n">
        <v>47.27</v>
      </c>
      <c r="ZY113" s="17" t="n">
        <v>0</v>
      </c>
      <c r="ZZ113" s="0" t="n">
        <v>8.94</v>
      </c>
      <c r="AAA113" s="0" t="n">
        <v>0</v>
      </c>
      <c r="AAB113" s="0" t="n">
        <v>5.89</v>
      </c>
      <c r="AAC113" s="0" t="n">
        <v>0</v>
      </c>
      <c r="AAD113" s="0" t="n">
        <v>37.82</v>
      </c>
      <c r="AAE113" s="0" t="n">
        <v>0.76</v>
      </c>
      <c r="AAF113" s="0" t="n">
        <v>0</v>
      </c>
      <c r="AAG113" s="0" t="n">
        <v>0</v>
      </c>
      <c r="AAH113" s="0" t="n">
        <v>0</v>
      </c>
      <c r="AAI113" s="0" t="n">
        <v>41.87</v>
      </c>
      <c r="AAJ113" s="0" t="n">
        <v>46.31</v>
      </c>
      <c r="AAK113" s="0" t="n">
        <v>18.03</v>
      </c>
      <c r="AAL113" s="0" t="n">
        <v>5.06</v>
      </c>
      <c r="AAM113" s="0" t="n">
        <v>0</v>
      </c>
      <c r="AAN113" s="0" t="n">
        <v>0</v>
      </c>
      <c r="AAO113" s="0" t="n">
        <v>0</v>
      </c>
      <c r="ABB113" s="0" t="n">
        <v>1.1</v>
      </c>
      <c r="ABC113" s="0" t="n">
        <v>1</v>
      </c>
      <c r="ABD113" s="0" t="n">
        <v>35</v>
      </c>
      <c r="ABE113" s="0" t="n">
        <v>2</v>
      </c>
      <c r="ABF113" s="0" t="n">
        <v>0.23</v>
      </c>
      <c r="ABG113" s="0" t="n">
        <v>3</v>
      </c>
      <c r="ABN113" s="20"/>
      <c r="ACF113" s="0" t="n">
        <v>0</v>
      </c>
      <c r="ADQ113" s="16" t="n">
        <v>3.92</v>
      </c>
      <c r="ADR113" s="16" t="n">
        <v>1</v>
      </c>
      <c r="ADS113" s="16" t="n">
        <v>1</v>
      </c>
      <c r="ADT113" s="16"/>
      <c r="ADU113" s="16" t="n">
        <v>0.37</v>
      </c>
      <c r="ADV113" s="16" t="n">
        <v>2</v>
      </c>
      <c r="ADW113" s="16"/>
      <c r="ADX113" s="16" t="n">
        <v>15.28</v>
      </c>
      <c r="ADY113" s="16"/>
      <c r="ADZ113" s="16"/>
      <c r="AEA113" s="16"/>
      <c r="AEB113" s="16" t="n">
        <v>2.34</v>
      </c>
      <c r="AEC113" s="16" t="n">
        <v>2.02</v>
      </c>
      <c r="AED113" s="16" t="n">
        <v>0</v>
      </c>
      <c r="AEE113" s="16" t="n">
        <v>0</v>
      </c>
      <c r="AEF113" s="16" t="n">
        <v>0</v>
      </c>
      <c r="AEG113" s="16" t="n">
        <v>0</v>
      </c>
      <c r="AEH113" s="16" t="n">
        <v>0</v>
      </c>
      <c r="AEI113" s="0" t="n">
        <v>0</v>
      </c>
      <c r="AEJ113" s="0" t="s">
        <v>526</v>
      </c>
      <c r="AEK113" s="0" t="n">
        <v>33</v>
      </c>
      <c r="AEL113" s="16" t="n">
        <v>81.8</v>
      </c>
      <c r="AEM113" s="16" t="n">
        <v>80.4</v>
      </c>
      <c r="AEN113" s="16" t="n">
        <v>20.6</v>
      </c>
      <c r="AEO113" s="0" t="n">
        <v>53.66</v>
      </c>
      <c r="AEP113" s="17" t="n">
        <v>0</v>
      </c>
      <c r="AEQ113" s="0" t="n">
        <v>8.94</v>
      </c>
      <c r="AER113" s="0" t="n">
        <v>0</v>
      </c>
      <c r="AES113" s="0" t="n">
        <v>5.8</v>
      </c>
      <c r="AET113" s="0" t="n">
        <v>0</v>
      </c>
      <c r="AEU113" s="0" t="n">
        <v>31.6</v>
      </c>
      <c r="AEV113" s="0" t="n">
        <v>0.76</v>
      </c>
      <c r="AEW113" s="0" t="n">
        <v>0</v>
      </c>
      <c r="AEX113" s="0" t="n">
        <v>0</v>
      </c>
      <c r="AEY113" s="0" t="n">
        <v>0</v>
      </c>
      <c r="AEZ113" s="0" t="n">
        <v>35.59</v>
      </c>
      <c r="AFA113" s="0" t="n">
        <v>40.15</v>
      </c>
      <c r="AFB113" s="0" t="n">
        <v>14.76</v>
      </c>
      <c r="AFC113" s="0" t="n">
        <v>6.55</v>
      </c>
      <c r="AFD113" s="0" t="n">
        <v>0</v>
      </c>
      <c r="AFE113" s="0" t="n">
        <v>0</v>
      </c>
      <c r="AFF113" s="0" t="n">
        <v>0</v>
      </c>
      <c r="AFS113" s="0" t="n">
        <v>1.1</v>
      </c>
      <c r="AFT113" s="0" t="n">
        <v>1</v>
      </c>
      <c r="AFU113" s="0" t="n">
        <v>35</v>
      </c>
      <c r="AFV113" s="0" t="n">
        <v>2</v>
      </c>
      <c r="AFW113" s="0" t="n">
        <v>0.23</v>
      </c>
      <c r="AFX113" s="0" t="n">
        <v>3</v>
      </c>
      <c r="AGE113" s="20"/>
      <c r="AGW113" s="0" t="n">
        <v>0</v>
      </c>
      <c r="AIH113" s="16" t="n">
        <v>3.2</v>
      </c>
      <c r="AII113" s="16" t="n">
        <v>1</v>
      </c>
      <c r="AIJ113" s="16" t="n">
        <v>1</v>
      </c>
      <c r="AIK113" s="16"/>
      <c r="AIL113" s="16" t="n">
        <v>0.37</v>
      </c>
      <c r="AIM113" s="16" t="n">
        <v>2</v>
      </c>
      <c r="AIN113" s="16"/>
      <c r="AIO113" s="16" t="n">
        <v>12.89</v>
      </c>
      <c r="AIP113" s="16"/>
      <c r="AIQ113" s="16"/>
      <c r="AIR113" s="16"/>
      <c r="AIS113" s="16" t="n">
        <v>5.89</v>
      </c>
      <c r="AIT113" s="16" t="n">
        <v>5.13</v>
      </c>
      <c r="AIU113" s="16" t="n">
        <v>0</v>
      </c>
      <c r="AIV113" s="16" t="n">
        <v>0</v>
      </c>
      <c r="AIW113" s="16" t="n">
        <v>0</v>
      </c>
      <c r="AIX113" s="16" t="n">
        <v>0</v>
      </c>
      <c r="AIY113" s="16" t="n">
        <v>0</v>
      </c>
      <c r="AIZ113" s="0" t="n">
        <v>0</v>
      </c>
      <c r="AJA113" s="0" t="s">
        <v>512</v>
      </c>
      <c r="AJB113" s="0" t="n">
        <v>33</v>
      </c>
      <c r="AJC113" s="16" t="n">
        <v>70.6</v>
      </c>
      <c r="AJD113" s="16" t="n">
        <v>80.4</v>
      </c>
      <c r="AJE113" s="16" t="n">
        <v>29.2</v>
      </c>
      <c r="AJF113" s="0" t="n">
        <v>16.94</v>
      </c>
      <c r="AJG113" s="17" t="n">
        <v>0</v>
      </c>
      <c r="AJH113" s="0" t="n">
        <v>0</v>
      </c>
      <c r="AJI113" s="0" t="n">
        <v>0</v>
      </c>
      <c r="AJJ113" s="0" t="n">
        <v>0</v>
      </c>
      <c r="AJK113" s="0" t="n">
        <v>0</v>
      </c>
      <c r="AJL113" s="0" t="n">
        <v>83.06</v>
      </c>
      <c r="AJM113" s="0" t="n">
        <v>25.18</v>
      </c>
      <c r="AJN113" s="0" t="n">
        <v>8.7</v>
      </c>
      <c r="AJO113" s="0" t="n">
        <v>0</v>
      </c>
      <c r="AJP113" s="0" t="n">
        <v>0</v>
      </c>
      <c r="AJQ113" s="0" t="n">
        <v>0</v>
      </c>
      <c r="AJR113" s="0" t="n">
        <v>13.49</v>
      </c>
      <c r="AJS113" s="0" t="n">
        <v>16.48</v>
      </c>
      <c r="AJT113" s="0" t="n">
        <v>0</v>
      </c>
      <c r="AJU113" s="0" t="n">
        <v>0</v>
      </c>
      <c r="AJV113" s="0" t="n">
        <v>0</v>
      </c>
      <c r="AJW113" s="0" t="n">
        <v>0</v>
      </c>
      <c r="AKJ113" s="0" t="n">
        <v>0</v>
      </c>
      <c r="AKK113" s="0" t="n">
        <v>0</v>
      </c>
      <c r="AKV113" s="20"/>
      <c r="ALN113" s="0" t="n">
        <v>0</v>
      </c>
    </row>
    <row r="114" customFormat="false" ht="13.8" hidden="false" customHeight="false" outlineLevel="0" collapsed="false">
      <c r="A114" s="1" t="s">
        <v>531</v>
      </c>
      <c r="B114" s="12" t="n">
        <v>42905</v>
      </c>
      <c r="C114" s="0" t="n">
        <v>2</v>
      </c>
      <c r="D114" s="13" t="n">
        <v>42814</v>
      </c>
      <c r="E114" s="12" t="n">
        <v>27339</v>
      </c>
      <c r="F114" s="14" t="n">
        <f aca="false">(B114-E114)/365.25</f>
        <v>42.6173853524983</v>
      </c>
      <c r="G114" s="14" t="n">
        <f aca="false">(B114-D114)/365.25</f>
        <v>0.249144421629021</v>
      </c>
      <c r="H114" s="15" t="s">
        <v>183</v>
      </c>
      <c r="I114" s="15" t="s">
        <v>523</v>
      </c>
      <c r="J114" s="15" t="s">
        <v>181</v>
      </c>
      <c r="K114" s="21" t="n">
        <v>8</v>
      </c>
      <c r="L114" s="19" t="n">
        <v>67</v>
      </c>
      <c r="M114" s="0" t="n">
        <v>1.7</v>
      </c>
      <c r="N114" s="16" t="n">
        <f aca="false">L114/(M114*M114)</f>
        <v>23.1833910034602</v>
      </c>
      <c r="O114" s="19" t="n">
        <v>0</v>
      </c>
      <c r="P114" s="19" t="n">
        <v>0</v>
      </c>
      <c r="Q114" s="19" t="n">
        <v>0</v>
      </c>
      <c r="R114" s="19" t="n">
        <v>0</v>
      </c>
      <c r="S114" s="19" t="n">
        <v>0</v>
      </c>
      <c r="T114" s="19" t="n">
        <v>0</v>
      </c>
      <c r="U114" s="19" t="n">
        <v>1</v>
      </c>
      <c r="V114" s="19" t="n">
        <v>2</v>
      </c>
      <c r="W114" s="19" t="n">
        <v>1</v>
      </c>
      <c r="X114" s="19" t="n">
        <v>0</v>
      </c>
      <c r="Y114" s="19" t="n">
        <v>1</v>
      </c>
      <c r="Z114" s="19" t="n">
        <v>2</v>
      </c>
      <c r="AA114" s="19" t="n">
        <v>90</v>
      </c>
      <c r="AB114" s="19" t="s">
        <v>532</v>
      </c>
      <c r="AC114" s="19" t="n">
        <v>1</v>
      </c>
      <c r="AD114" s="19" t="n">
        <v>25</v>
      </c>
      <c r="AE114" s="19" t="n">
        <v>0</v>
      </c>
      <c r="AF114" s="19" t="n">
        <v>0</v>
      </c>
      <c r="AG114" s="19" t="n">
        <v>0</v>
      </c>
      <c r="AH114" s="19" t="n">
        <v>0</v>
      </c>
      <c r="AI114" s="19" t="n">
        <v>0</v>
      </c>
      <c r="AJ114" s="19" t="n">
        <v>0</v>
      </c>
      <c r="AK114" s="19" t="n">
        <v>0</v>
      </c>
      <c r="AL114" s="19" t="n">
        <v>0</v>
      </c>
      <c r="AM114" s="19" t="n">
        <v>0</v>
      </c>
      <c r="AN114" s="19" t="n">
        <v>0</v>
      </c>
      <c r="AO114" s="19" t="n">
        <v>0</v>
      </c>
      <c r="AP114" s="19" t="n">
        <v>0</v>
      </c>
      <c r="AQ114" s="19" t="n">
        <v>0</v>
      </c>
      <c r="AR114" s="19" t="n">
        <v>0</v>
      </c>
      <c r="AS114" s="19" t="n">
        <v>1</v>
      </c>
      <c r="AT114" s="19" t="n">
        <v>0</v>
      </c>
      <c r="AU114" s="19" t="n">
        <v>0</v>
      </c>
      <c r="AV114" s="19" t="n">
        <v>0</v>
      </c>
      <c r="AW114" s="19" t="n">
        <v>0</v>
      </c>
      <c r="AX114" s="19" t="n">
        <v>0</v>
      </c>
      <c r="AY114" s="19" t="n">
        <v>0</v>
      </c>
      <c r="AZ114" s="19" t="n">
        <v>0</v>
      </c>
      <c r="BA114" s="19" t="n">
        <v>0</v>
      </c>
      <c r="BB114" s="19" t="n">
        <v>0</v>
      </c>
      <c r="BC114" s="19" t="n">
        <v>0</v>
      </c>
      <c r="BD114" s="19" t="n">
        <v>0</v>
      </c>
      <c r="BE114" s="19" t="n">
        <v>0</v>
      </c>
      <c r="BF114" s="19" t="n">
        <v>0</v>
      </c>
      <c r="BG114" s="19" t="n">
        <v>0</v>
      </c>
      <c r="BH114" s="19" t="n">
        <v>0</v>
      </c>
      <c r="BI114" s="19" t="n">
        <v>0</v>
      </c>
      <c r="BJ114" s="19" t="n">
        <v>0</v>
      </c>
      <c r="BK114" s="19" t="n">
        <v>0</v>
      </c>
      <c r="BL114" s="19" t="n">
        <v>0</v>
      </c>
      <c r="BM114" s="19" t="n">
        <v>0</v>
      </c>
      <c r="BN114" s="19" t="n">
        <v>0</v>
      </c>
      <c r="BO114" s="19" t="n">
        <v>0</v>
      </c>
      <c r="BP114" s="19" t="n">
        <v>0</v>
      </c>
      <c r="BQ114" s="19" t="n">
        <v>0</v>
      </c>
      <c r="BR114" s="19" t="n">
        <v>2</v>
      </c>
      <c r="BS114" s="19" t="n">
        <v>2</v>
      </c>
      <c r="BT114" s="19" t="n">
        <v>3</v>
      </c>
      <c r="BU114" s="19" t="n">
        <v>5</v>
      </c>
      <c r="BV114" s="19" t="n">
        <v>2</v>
      </c>
      <c r="BW114" s="19" t="n">
        <v>2</v>
      </c>
      <c r="BX114" s="19" t="n">
        <v>5</v>
      </c>
      <c r="BY114" s="19" t="n">
        <v>3</v>
      </c>
      <c r="BZ114" s="19" t="n">
        <v>2</v>
      </c>
      <c r="CA114" s="19" t="n">
        <v>4</v>
      </c>
      <c r="CB114" s="19" t="n">
        <v>4</v>
      </c>
      <c r="CC114" s="19" t="n">
        <v>5</v>
      </c>
      <c r="CD114" s="19" t="n">
        <v>1</v>
      </c>
      <c r="CE114" s="19" t="n">
        <v>5</v>
      </c>
      <c r="CF114" s="19" t="n">
        <v>5</v>
      </c>
      <c r="CG114" s="19" t="n">
        <v>5</v>
      </c>
      <c r="CH114" s="19" t="n">
        <v>4</v>
      </c>
      <c r="CI114" s="19" t="n">
        <v>5</v>
      </c>
      <c r="CJ114" s="19" t="n">
        <v>4</v>
      </c>
      <c r="CK114" s="19" t="n">
        <v>10</v>
      </c>
      <c r="CL114" s="0" t="s">
        <v>507</v>
      </c>
      <c r="CM114" s="0" t="n">
        <v>30</v>
      </c>
      <c r="CN114" s="16" t="n">
        <v>86.6</v>
      </c>
      <c r="CO114" s="16" t="n">
        <v>80.4</v>
      </c>
      <c r="CP114" s="16" t="n">
        <v>20.4</v>
      </c>
      <c r="CQ114" s="0" t="n">
        <v>82.62</v>
      </c>
      <c r="CR114" s="17" t="n">
        <v>0</v>
      </c>
      <c r="CS114" s="0" t="n">
        <v>15.49</v>
      </c>
      <c r="CT114" s="0" t="n">
        <v>1.49</v>
      </c>
      <c r="CU114" s="0" t="n">
        <v>0.4</v>
      </c>
      <c r="CV114" s="0" t="n">
        <v>0</v>
      </c>
      <c r="CW114" s="0" t="n">
        <v>0</v>
      </c>
      <c r="CY114" s="0" t="n">
        <v>0</v>
      </c>
      <c r="CZ114" s="0" t="n">
        <v>0</v>
      </c>
      <c r="DA114" s="0" t="n">
        <v>0</v>
      </c>
      <c r="DB114" s="0" t="n">
        <v>6.38</v>
      </c>
      <c r="DC114" s="0" t="n">
        <v>56.11</v>
      </c>
      <c r="DD114" s="0" t="n">
        <v>8.46</v>
      </c>
      <c r="DE114" s="0" t="n">
        <v>1.21</v>
      </c>
      <c r="DF114" s="0" t="n">
        <v>0</v>
      </c>
      <c r="DG114" s="0" t="n">
        <v>0</v>
      </c>
      <c r="DH114" s="0" t="n">
        <v>0</v>
      </c>
      <c r="DU114" s="0" t="n">
        <v>0.5</v>
      </c>
      <c r="DV114" s="0" t="n">
        <v>0</v>
      </c>
      <c r="EG114" s="20"/>
      <c r="EY114" s="0" t="n">
        <v>1</v>
      </c>
      <c r="EZ114" s="0" t="n">
        <v>40</v>
      </c>
      <c r="FA114" s="0" t="n">
        <v>1</v>
      </c>
      <c r="FB114" s="0" t="n">
        <v>1.71</v>
      </c>
      <c r="FC114" s="0" t="n">
        <v>2</v>
      </c>
      <c r="FD114" s="0" t="n">
        <v>50</v>
      </c>
      <c r="FE114" s="0" t="n">
        <v>1</v>
      </c>
      <c r="FF114" s="0" t="n">
        <v>0.13</v>
      </c>
      <c r="FG114" s="0" t="n">
        <v>2</v>
      </c>
      <c r="GJ114" s="16" t="n">
        <v>0.62</v>
      </c>
      <c r="GK114" s="16" t="n">
        <v>1</v>
      </c>
      <c r="GL114" s="16" t="n">
        <v>1</v>
      </c>
      <c r="GM114" s="16"/>
      <c r="GN114" s="16" t="n">
        <v>4.14</v>
      </c>
      <c r="GO114" s="16"/>
      <c r="GP114" s="16"/>
      <c r="GQ114" s="16"/>
      <c r="GR114" s="16"/>
      <c r="GS114" s="16"/>
      <c r="GT114" s="16"/>
      <c r="GU114" s="16" t="n">
        <v>0</v>
      </c>
      <c r="GV114" s="16" t="n">
        <v>0</v>
      </c>
      <c r="GW114" s="16" t="n">
        <v>0</v>
      </c>
      <c r="GX114" s="16" t="n">
        <v>0</v>
      </c>
      <c r="GY114" s="16" t="n">
        <v>5.97</v>
      </c>
      <c r="GZ114" s="16" t="n">
        <v>0</v>
      </c>
      <c r="HA114" s="16" t="n">
        <v>0</v>
      </c>
      <c r="HB114" s="0" t="n">
        <v>2</v>
      </c>
      <c r="HC114" s="0" t="s">
        <v>533</v>
      </c>
      <c r="HD114" s="0" t="n">
        <v>30.5</v>
      </c>
      <c r="HE114" s="16" t="n">
        <v>84.8</v>
      </c>
      <c r="HF114" s="16" t="n">
        <v>80.4</v>
      </c>
      <c r="HG114" s="16" t="n">
        <v>23.9</v>
      </c>
      <c r="HH114" s="0" t="n">
        <v>79.32</v>
      </c>
      <c r="HI114" s="17" t="n">
        <v>0</v>
      </c>
      <c r="HJ114" s="0" t="n">
        <v>18.78</v>
      </c>
      <c r="HK114" s="0" t="n">
        <v>1.49</v>
      </c>
      <c r="HL114" s="0" t="n">
        <v>0.4</v>
      </c>
      <c r="HM114" s="0" t="n">
        <v>0</v>
      </c>
      <c r="HN114" s="0" t="n">
        <v>0</v>
      </c>
      <c r="HP114" s="0" t="n">
        <v>0</v>
      </c>
      <c r="HQ114" s="0" t="n">
        <v>0</v>
      </c>
      <c r="HR114" s="0" t="n">
        <v>0</v>
      </c>
      <c r="HS114" s="0" t="n">
        <v>6.38</v>
      </c>
      <c r="HT114" s="0" t="n">
        <v>49.21</v>
      </c>
      <c r="HU114" s="0" t="n">
        <v>12.84</v>
      </c>
      <c r="HV114" s="0" t="n">
        <v>1.21</v>
      </c>
      <c r="HW114" s="0" t="n">
        <v>0</v>
      </c>
      <c r="HX114" s="0" t="n">
        <v>0</v>
      </c>
      <c r="HY114" s="0" t="n">
        <v>0</v>
      </c>
      <c r="IL114" s="0" t="n">
        <v>0</v>
      </c>
      <c r="IM114" s="0" t="n">
        <v>0</v>
      </c>
      <c r="IX114" s="20"/>
      <c r="JP114" s="0" t="n">
        <v>1</v>
      </c>
      <c r="JQ114" s="0" t="n">
        <v>40</v>
      </c>
      <c r="JR114" s="0" t="n">
        <v>1</v>
      </c>
      <c r="JS114" s="0" t="n">
        <v>2.09</v>
      </c>
      <c r="JT114" s="0" t="n">
        <v>1</v>
      </c>
      <c r="LA114" s="16" t="n">
        <v>0.62</v>
      </c>
      <c r="LB114" s="16" t="n">
        <v>1</v>
      </c>
      <c r="LC114" s="16" t="n">
        <v>1</v>
      </c>
      <c r="LD114" s="16"/>
      <c r="LE114" s="16" t="n">
        <v>4.14</v>
      </c>
      <c r="LF114" s="16"/>
      <c r="LG114" s="16"/>
      <c r="LH114" s="16"/>
      <c r="LI114" s="16"/>
      <c r="LJ114" s="16"/>
      <c r="LK114" s="16"/>
      <c r="LL114" s="16" t="n">
        <v>0</v>
      </c>
      <c r="LM114" s="16" t="n">
        <v>0</v>
      </c>
      <c r="LN114" s="16" t="n">
        <v>0</v>
      </c>
      <c r="LO114" s="16" t="n">
        <v>0</v>
      </c>
      <c r="LP114" s="16" t="n">
        <v>0</v>
      </c>
      <c r="LQ114" s="16" t="n">
        <v>0</v>
      </c>
      <c r="LR114" s="16" t="n">
        <v>3.21</v>
      </c>
      <c r="LS114" s="0" t="n">
        <v>0</v>
      </c>
      <c r="LT114" s="0" t="s">
        <v>508</v>
      </c>
      <c r="LU114" s="0" t="n">
        <v>42.5</v>
      </c>
      <c r="LV114" s="16" t="n">
        <v>81.7</v>
      </c>
      <c r="LW114" s="16" t="n">
        <v>80.4</v>
      </c>
      <c r="LX114" s="16" t="n">
        <v>18.4</v>
      </c>
      <c r="LY114" s="0" t="n">
        <v>80.68</v>
      </c>
      <c r="LZ114" s="17" t="n">
        <v>0</v>
      </c>
      <c r="MA114" s="0" t="n">
        <v>8.41</v>
      </c>
      <c r="MB114" s="0" t="n">
        <v>1.93</v>
      </c>
      <c r="MC114" s="0" t="n">
        <v>8.98</v>
      </c>
      <c r="MD114" s="0" t="n">
        <v>0</v>
      </c>
      <c r="ME114" s="0" t="n">
        <v>0</v>
      </c>
      <c r="MG114" s="0" t="n">
        <v>0</v>
      </c>
      <c r="MH114" s="0" t="n">
        <v>0</v>
      </c>
      <c r="MI114" s="0" t="n">
        <v>0</v>
      </c>
      <c r="MJ114" s="0" t="n">
        <v>0.07</v>
      </c>
      <c r="MK114" s="0" t="n">
        <v>26.86</v>
      </c>
      <c r="ML114" s="0" t="n">
        <v>25.47</v>
      </c>
      <c r="MM114" s="0" t="n">
        <v>0</v>
      </c>
      <c r="MN114" s="0" t="n">
        <v>0</v>
      </c>
      <c r="MO114" s="0" t="n">
        <v>0</v>
      </c>
      <c r="MP114" s="0" t="n">
        <v>0</v>
      </c>
      <c r="NC114" s="0" t="n">
        <v>17.9</v>
      </c>
      <c r="ND114" s="0" t="n">
        <v>1</v>
      </c>
      <c r="NE114" s="0" t="n">
        <v>33</v>
      </c>
      <c r="NF114" s="0" t="n">
        <v>2</v>
      </c>
      <c r="NG114" s="0" t="n">
        <v>1.52</v>
      </c>
      <c r="NH114" s="0" t="n">
        <v>4</v>
      </c>
      <c r="NI114" s="0" t="n">
        <v>35</v>
      </c>
      <c r="NJ114" s="0" t="n">
        <v>3</v>
      </c>
      <c r="NK114" s="0" t="n">
        <v>1.3</v>
      </c>
      <c r="NL114" s="0" t="n">
        <v>3</v>
      </c>
      <c r="NO114" s="20"/>
      <c r="OG114" s="0" t="n">
        <v>0</v>
      </c>
      <c r="PR114" s="16" t="n">
        <v>0</v>
      </c>
      <c r="PS114" s="16" t="n">
        <v>0</v>
      </c>
      <c r="PT114" s="16"/>
      <c r="PU114" s="16"/>
      <c r="PV114" s="16"/>
      <c r="PW114" s="16"/>
      <c r="PX114" s="16"/>
      <c r="PY114" s="16"/>
      <c r="PZ114" s="16"/>
      <c r="QA114" s="16"/>
      <c r="QB114" s="16"/>
      <c r="QC114" s="16" t="n">
        <v>4.29</v>
      </c>
      <c r="QD114" s="16" t="n">
        <v>2.66</v>
      </c>
      <c r="QE114" s="16" t="n">
        <v>0</v>
      </c>
      <c r="QF114" s="16" t="n">
        <v>0</v>
      </c>
      <c r="QG114" s="16" t="n">
        <v>0</v>
      </c>
      <c r="QH114" s="16" t="n">
        <v>0</v>
      </c>
      <c r="QI114" s="16" t="n">
        <v>0</v>
      </c>
      <c r="QJ114" s="0" t="n">
        <v>0</v>
      </c>
      <c r="QK114" s="0" t="s">
        <v>509</v>
      </c>
      <c r="QL114" s="0" t="n">
        <v>29</v>
      </c>
      <c r="QM114" s="16" t="n">
        <v>76.1</v>
      </c>
      <c r="QN114" s="16" t="n">
        <v>80.4</v>
      </c>
      <c r="QO114" s="16" t="n">
        <v>20.5</v>
      </c>
      <c r="QP114" s="0" t="n">
        <v>77.86</v>
      </c>
      <c r="QQ114" s="17" t="n">
        <v>0</v>
      </c>
      <c r="QR114" s="0" t="n">
        <v>13.05</v>
      </c>
      <c r="QS114" s="0" t="n">
        <v>0</v>
      </c>
      <c r="QT114" s="0" t="n">
        <v>9.1</v>
      </c>
      <c r="QU114" s="0" t="n">
        <v>0</v>
      </c>
      <c r="QV114" s="0" t="n">
        <v>0</v>
      </c>
      <c r="QX114" s="0" t="n">
        <v>0</v>
      </c>
      <c r="QY114" s="0" t="n">
        <v>0</v>
      </c>
      <c r="QZ114" s="0" t="n">
        <v>0</v>
      </c>
      <c r="RA114" s="0" t="n">
        <v>0.57</v>
      </c>
      <c r="RB114" s="0" t="n">
        <v>29.77</v>
      </c>
      <c r="RC114" s="0" t="n">
        <v>20.82</v>
      </c>
      <c r="RD114" s="0" t="n">
        <v>0</v>
      </c>
      <c r="RE114" s="0" t="n">
        <v>0</v>
      </c>
      <c r="RF114" s="0" t="n">
        <v>0</v>
      </c>
      <c r="RG114" s="0" t="n">
        <v>1</v>
      </c>
      <c r="RH114" s="0" t="n">
        <v>2</v>
      </c>
      <c r="RJ114" s="0" t="n">
        <v>1</v>
      </c>
      <c r="RN114" s="0" t="n">
        <v>2</v>
      </c>
      <c r="RP114" s="0" t="n">
        <v>1</v>
      </c>
      <c r="RT114" s="0" t="n">
        <v>0</v>
      </c>
      <c r="RU114" s="0" t="n">
        <v>0</v>
      </c>
      <c r="SF114" s="20"/>
      <c r="SX114" s="0" t="n">
        <v>0</v>
      </c>
      <c r="UI114" s="16" t="n">
        <v>0.32</v>
      </c>
      <c r="UJ114" s="16" t="n">
        <v>1</v>
      </c>
      <c r="UK114" s="16" t="n">
        <v>1</v>
      </c>
      <c r="UL114" s="16"/>
      <c r="UM114" s="16" t="n">
        <v>1.32</v>
      </c>
      <c r="UN114" s="16"/>
      <c r="UO114" s="16"/>
      <c r="UP114" s="16"/>
      <c r="UQ114" s="16"/>
      <c r="UR114" s="16"/>
      <c r="US114" s="16"/>
      <c r="UT114" s="16" t="n">
        <v>5.5</v>
      </c>
      <c r="UU114" s="16" t="n">
        <v>9.81</v>
      </c>
      <c r="UV114" s="16" t="n">
        <v>0</v>
      </c>
      <c r="UW114" s="16" t="n">
        <v>0</v>
      </c>
      <c r="UX114" s="16" t="n">
        <v>0</v>
      </c>
      <c r="UY114" s="16" t="n">
        <v>0</v>
      </c>
      <c r="UZ114" s="16" t="n">
        <v>0</v>
      </c>
      <c r="VA114" s="0" t="n">
        <v>0</v>
      </c>
      <c r="VB114" s="0" t="s">
        <v>510</v>
      </c>
      <c r="VC114" s="0" t="n">
        <v>33.5</v>
      </c>
      <c r="VD114" s="16" t="n">
        <v>74.7</v>
      </c>
      <c r="VE114" s="16" t="n">
        <v>80.4</v>
      </c>
      <c r="VF114" s="16" t="n">
        <v>23.3</v>
      </c>
      <c r="VG114" s="0" t="n">
        <v>67.74</v>
      </c>
      <c r="VH114" s="17" t="n">
        <v>0</v>
      </c>
      <c r="VI114" s="0" t="n">
        <v>10.14</v>
      </c>
      <c r="VJ114" s="0" t="n">
        <v>0</v>
      </c>
      <c r="VK114" s="0" t="n">
        <v>22.12</v>
      </c>
      <c r="VL114" s="0" t="n">
        <v>0</v>
      </c>
      <c r="VM114" s="0" t="n">
        <v>0</v>
      </c>
      <c r="VO114" s="0" t="n">
        <v>0</v>
      </c>
      <c r="VP114" s="0" t="n">
        <v>0</v>
      </c>
      <c r="VQ114" s="0" t="n">
        <v>0</v>
      </c>
      <c r="VR114" s="0" t="n">
        <v>0</v>
      </c>
      <c r="VS114" s="0" t="n">
        <v>51.2</v>
      </c>
      <c r="VT114" s="0" t="n">
        <v>15.83</v>
      </c>
      <c r="VU114" s="0" t="n">
        <v>0</v>
      </c>
      <c r="VV114" s="0" t="n">
        <v>0</v>
      </c>
      <c r="VW114" s="0" t="n">
        <v>0</v>
      </c>
      <c r="VX114" s="0" t="n">
        <v>0</v>
      </c>
      <c r="WK114" s="0" t="n">
        <v>2.3</v>
      </c>
      <c r="WL114" s="0" t="n">
        <v>0</v>
      </c>
      <c r="WW114" s="20"/>
      <c r="XO114" s="0" t="n">
        <v>1</v>
      </c>
      <c r="XP114" s="0" t="n">
        <v>50</v>
      </c>
      <c r="XQ114" s="0" t="n">
        <v>20</v>
      </c>
      <c r="XR114" s="0" t="n">
        <v>30.66</v>
      </c>
      <c r="XS114" s="0" t="n">
        <v>3</v>
      </c>
      <c r="XT114" s="0" t="n">
        <v>60</v>
      </c>
      <c r="XU114" s="0" t="n">
        <v>33</v>
      </c>
      <c r="XV114" s="0" t="n">
        <v>0.56</v>
      </c>
      <c r="XW114" s="0" t="n">
        <v>3</v>
      </c>
      <c r="YZ114" s="16" t="n">
        <v>0</v>
      </c>
      <c r="ZA114" s="16" t="n">
        <v>0</v>
      </c>
      <c r="ZB114" s="16"/>
      <c r="ZC114" s="16"/>
      <c r="ZD114" s="16"/>
      <c r="ZE114" s="16"/>
      <c r="ZF114" s="16"/>
      <c r="ZG114" s="16"/>
      <c r="ZH114" s="16"/>
      <c r="ZI114" s="16"/>
      <c r="ZJ114" s="16"/>
      <c r="ZK114" s="16" t="n">
        <v>5.22</v>
      </c>
      <c r="ZL114" s="16" t="n">
        <v>7.07</v>
      </c>
      <c r="ZM114" s="16" t="n">
        <v>0</v>
      </c>
      <c r="ZN114" s="16" t="n">
        <v>0</v>
      </c>
      <c r="ZO114" s="16" t="n">
        <v>0</v>
      </c>
      <c r="ZP114" s="16" t="n">
        <v>0</v>
      </c>
      <c r="ZQ114" s="16" t="n">
        <v>0</v>
      </c>
      <c r="ZR114" s="0" t="n">
        <v>0</v>
      </c>
      <c r="ZS114" s="0" t="s">
        <v>511</v>
      </c>
      <c r="ZT114" s="0" t="n">
        <v>36.5</v>
      </c>
      <c r="ZU114" s="16" t="n">
        <v>85.2</v>
      </c>
      <c r="ZV114" s="16" t="n">
        <v>80.4</v>
      </c>
      <c r="ZW114" s="16" t="n">
        <v>24.1</v>
      </c>
      <c r="ZX114" s="0" t="n">
        <v>65.36</v>
      </c>
      <c r="ZY114" s="17" t="n">
        <v>0</v>
      </c>
      <c r="ZZ114" s="0" t="n">
        <v>10.14</v>
      </c>
      <c r="AAA114" s="0" t="n">
        <v>0</v>
      </c>
      <c r="AAB114" s="0" t="n">
        <v>24.5</v>
      </c>
      <c r="AAC114" s="0" t="n">
        <v>0</v>
      </c>
      <c r="AAD114" s="0" t="n">
        <v>0</v>
      </c>
      <c r="AAF114" s="0" t="n">
        <v>0</v>
      </c>
      <c r="AAG114" s="0" t="n">
        <v>0</v>
      </c>
      <c r="AAH114" s="0" t="n">
        <v>0</v>
      </c>
      <c r="AAI114" s="0" t="n">
        <v>0</v>
      </c>
      <c r="AAJ114" s="0" t="n">
        <v>56.76</v>
      </c>
      <c r="AAK114" s="0" t="n">
        <v>17.5</v>
      </c>
      <c r="AAL114" s="0" t="n">
        <v>0</v>
      </c>
      <c r="AAM114" s="0" t="n">
        <v>0</v>
      </c>
      <c r="AAN114" s="0" t="n">
        <v>0</v>
      </c>
      <c r="AAO114" s="0" t="n">
        <v>0</v>
      </c>
      <c r="ABB114" s="0" t="n">
        <v>4.3</v>
      </c>
      <c r="ABC114" s="0" t="n">
        <v>0</v>
      </c>
      <c r="ABN114" s="20"/>
      <c r="ACF114" s="0" t="n">
        <v>1</v>
      </c>
      <c r="ACG114" s="0" t="n">
        <v>60</v>
      </c>
      <c r="ACH114" s="0" t="n">
        <v>53</v>
      </c>
      <c r="ACI114" s="0" t="n">
        <v>35.98</v>
      </c>
      <c r="ACJ114" s="0" t="n">
        <v>3</v>
      </c>
      <c r="ADQ114" s="16" t="n">
        <v>0</v>
      </c>
      <c r="ADR114" s="16" t="n">
        <v>0</v>
      </c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 t="n">
        <v>5.1</v>
      </c>
      <c r="AEC114" s="16" t="n">
        <v>5.93</v>
      </c>
      <c r="AED114" s="16" t="n">
        <v>0</v>
      </c>
      <c r="AEE114" s="16" t="n">
        <v>0</v>
      </c>
      <c r="AEF114" s="16" t="n">
        <v>0</v>
      </c>
      <c r="AEG114" s="16" t="n">
        <v>0</v>
      </c>
      <c r="AEH114" s="16" t="n">
        <v>0</v>
      </c>
      <c r="AEI114" s="0" t="n">
        <v>0</v>
      </c>
      <c r="AEJ114" s="0" t="s">
        <v>525</v>
      </c>
      <c r="AEK114" s="0" t="n">
        <v>16.5</v>
      </c>
      <c r="AEL114" s="16" t="n">
        <v>30.8</v>
      </c>
      <c r="AEM114" s="16" t="n">
        <v>80.4</v>
      </c>
      <c r="AEN114" s="16" t="n">
        <v>8.7</v>
      </c>
      <c r="AEO114" s="0" t="n">
        <v>86.39</v>
      </c>
      <c r="AEP114" s="17" t="n">
        <v>0</v>
      </c>
      <c r="AEQ114" s="0" t="n">
        <v>0</v>
      </c>
      <c r="AER114" s="0" t="n">
        <v>0</v>
      </c>
      <c r="AES114" s="0" t="n">
        <v>2.28</v>
      </c>
      <c r="AET114" s="0" t="n">
        <v>0</v>
      </c>
      <c r="AEU114" s="0" t="n">
        <v>9.09</v>
      </c>
      <c r="AEV114" s="0" t="n">
        <v>3.57</v>
      </c>
      <c r="AEW114" s="0" t="n">
        <v>0</v>
      </c>
      <c r="AEX114" s="0" t="n">
        <v>1.8</v>
      </c>
      <c r="AEY114" s="0" t="n">
        <v>0</v>
      </c>
      <c r="AEZ114" s="0" t="n">
        <v>1.8</v>
      </c>
      <c r="AFA114" s="0" t="n">
        <v>5.06</v>
      </c>
      <c r="AFB114" s="0" t="n">
        <v>7.89</v>
      </c>
      <c r="AFC114" s="0" t="n">
        <v>0</v>
      </c>
      <c r="AFD114" s="0" t="n">
        <v>0</v>
      </c>
      <c r="AFE114" s="0" t="n">
        <v>0</v>
      </c>
      <c r="AFF114" s="0" t="n">
        <v>0</v>
      </c>
      <c r="AFS114" s="0" t="n">
        <v>0</v>
      </c>
      <c r="AFT114" s="0" t="n">
        <v>1</v>
      </c>
      <c r="AFU114" s="0" t="n">
        <v>23</v>
      </c>
      <c r="AFV114" s="0" t="n">
        <v>2</v>
      </c>
      <c r="AFW114" s="0" t="n">
        <v>0.72</v>
      </c>
      <c r="AFX114" s="0" t="n">
        <v>3</v>
      </c>
      <c r="AGE114" s="20"/>
      <c r="AGW114" s="0" t="n">
        <v>0</v>
      </c>
      <c r="AIH114" s="16" t="n">
        <v>0.82</v>
      </c>
      <c r="AII114" s="16" t="n">
        <v>1</v>
      </c>
      <c r="AIJ114" s="16" t="n">
        <v>1</v>
      </c>
      <c r="AIK114" s="16"/>
      <c r="AIL114" s="16" t="n">
        <v>1.84</v>
      </c>
      <c r="AIM114" s="16"/>
      <c r="AIN114" s="16"/>
      <c r="AIO114" s="16"/>
      <c r="AIP114" s="16"/>
      <c r="AIQ114" s="16"/>
      <c r="AIR114" s="16"/>
      <c r="AIS114" s="16" t="n">
        <v>0</v>
      </c>
      <c r="AIT114" s="16" t="n">
        <v>0</v>
      </c>
      <c r="AIU114" s="16" t="n">
        <v>0</v>
      </c>
      <c r="AIV114" s="16" t="n">
        <v>0</v>
      </c>
      <c r="AIW114" s="16" t="n">
        <v>6.72</v>
      </c>
      <c r="AIX114" s="16" t="n">
        <v>0</v>
      </c>
      <c r="AIY114" s="16" t="n">
        <v>0</v>
      </c>
      <c r="AIZ114" s="0" t="n">
        <v>0</v>
      </c>
      <c r="AJA114" s="0" t="s">
        <v>530</v>
      </c>
      <c r="AJB114" s="0" t="n">
        <v>29.5</v>
      </c>
      <c r="AJC114" s="16" t="n">
        <v>87</v>
      </c>
      <c r="AJD114" s="16" t="n">
        <v>80.4</v>
      </c>
      <c r="AJE114" s="16" t="n">
        <v>20.9</v>
      </c>
      <c r="AJF114" s="0" t="n">
        <v>47.27</v>
      </c>
      <c r="AJG114" s="17" t="n">
        <v>0</v>
      </c>
      <c r="AJH114" s="0" t="n">
        <v>8.94</v>
      </c>
      <c r="AJI114" s="0" t="n">
        <v>0</v>
      </c>
      <c r="AJJ114" s="0" t="n">
        <v>5.89</v>
      </c>
      <c r="AJK114" s="0" t="n">
        <v>0</v>
      </c>
      <c r="AJL114" s="0" t="n">
        <v>37.82</v>
      </c>
      <c r="AJM114" s="0" t="n">
        <v>0.76</v>
      </c>
      <c r="AJN114" s="0" t="n">
        <v>0</v>
      </c>
      <c r="AJO114" s="0" t="n">
        <v>0</v>
      </c>
      <c r="AJP114" s="0" t="n">
        <v>0</v>
      </c>
      <c r="AJQ114" s="0" t="n">
        <v>41.87</v>
      </c>
      <c r="AJR114" s="0" t="n">
        <v>46.31</v>
      </c>
      <c r="AJS114" s="0" t="n">
        <v>18.03</v>
      </c>
      <c r="AJT114" s="0" t="n">
        <v>5.06</v>
      </c>
      <c r="AJU114" s="0" t="n">
        <v>0</v>
      </c>
      <c r="AJV114" s="0" t="n">
        <v>0</v>
      </c>
      <c r="AJW114" s="0" t="n">
        <v>0</v>
      </c>
      <c r="AKJ114" s="0" t="n">
        <v>1.1</v>
      </c>
      <c r="AKK114" s="0" t="n">
        <v>1</v>
      </c>
      <c r="AKL114" s="0" t="n">
        <v>35</v>
      </c>
      <c r="AKM114" s="0" t="n">
        <v>2</v>
      </c>
      <c r="AKN114" s="0" t="n">
        <v>0.23</v>
      </c>
      <c r="AKO114" s="0" t="n">
        <v>3</v>
      </c>
      <c r="AKV114" s="20"/>
      <c r="ALN114" s="0" t="n">
        <v>0</v>
      </c>
    </row>
    <row r="115" customFormat="false" ht="13.8" hidden="false" customHeight="false" outlineLevel="0" collapsed="false">
      <c r="A115" s="1" t="s">
        <v>534</v>
      </c>
      <c r="B115" s="12" t="n">
        <v>42901</v>
      </c>
      <c r="C115" s="0" t="n">
        <v>1</v>
      </c>
      <c r="D115" s="13" t="n">
        <v>42786</v>
      </c>
      <c r="E115" s="12" t="n">
        <v>32951</v>
      </c>
      <c r="F115" s="14" t="n">
        <f aca="false">(B115-E115)/365.25</f>
        <v>27.2416153319644</v>
      </c>
      <c r="G115" s="14" t="n">
        <f aca="false">(B115-D115)/365.25</f>
        <v>0.314852840520192</v>
      </c>
      <c r="H115" s="15" t="s">
        <v>183</v>
      </c>
      <c r="I115" s="15" t="s">
        <v>523</v>
      </c>
      <c r="J115" s="15" t="s">
        <v>181</v>
      </c>
      <c r="K115" s="21" t="n">
        <v>8</v>
      </c>
      <c r="L115" s="19" t="n">
        <v>55</v>
      </c>
      <c r="M115" s="0" t="n">
        <v>1.56</v>
      </c>
      <c r="N115" s="16" t="n">
        <f aca="false">L115/(M115*M115)</f>
        <v>22.6002629848784</v>
      </c>
      <c r="O115" s="19" t="n">
        <v>0</v>
      </c>
      <c r="P115" s="19" t="n">
        <v>0</v>
      </c>
      <c r="Q115" s="19" t="n">
        <v>0</v>
      </c>
      <c r="R115" s="19" t="n">
        <v>0</v>
      </c>
      <c r="S115" s="19" t="n">
        <v>0</v>
      </c>
      <c r="T115" s="19" t="n">
        <v>0</v>
      </c>
      <c r="U115" s="19" t="n">
        <v>0</v>
      </c>
      <c r="V115" s="19" t="n">
        <v>0</v>
      </c>
      <c r="W115" s="19" t="n">
        <v>0</v>
      </c>
      <c r="X115" s="19" t="n">
        <v>0</v>
      </c>
      <c r="Y115" s="19" t="n">
        <v>0</v>
      </c>
      <c r="Z115" s="19" t="n">
        <v>0</v>
      </c>
      <c r="AA115" s="19" t="n">
        <v>0</v>
      </c>
      <c r="AB115" s="19" t="n">
        <v>0</v>
      </c>
      <c r="AC115" s="19" t="n">
        <v>1</v>
      </c>
      <c r="AD115" s="19" t="n">
        <v>10</v>
      </c>
      <c r="AE115" s="19" t="n">
        <v>0</v>
      </c>
      <c r="AF115" s="19" t="n">
        <v>0</v>
      </c>
      <c r="AG115" s="19" t="n">
        <v>0</v>
      </c>
      <c r="AH115" s="19" t="n">
        <v>0</v>
      </c>
      <c r="AI115" s="19" t="n">
        <v>0</v>
      </c>
      <c r="AJ115" s="19" t="n">
        <v>0</v>
      </c>
      <c r="AK115" s="19" t="n">
        <v>0</v>
      </c>
      <c r="AL115" s="19" t="n">
        <v>0</v>
      </c>
      <c r="AM115" s="19" t="n">
        <v>0</v>
      </c>
      <c r="AN115" s="19" t="n">
        <v>0</v>
      </c>
      <c r="AO115" s="19" t="n">
        <v>0</v>
      </c>
      <c r="AP115" s="19" t="n">
        <v>0</v>
      </c>
      <c r="AQ115" s="19" t="n">
        <v>0</v>
      </c>
      <c r="AR115" s="19" t="n">
        <v>0</v>
      </c>
      <c r="AS115" s="19" t="n">
        <v>0</v>
      </c>
      <c r="AT115" s="19" t="n">
        <v>0</v>
      </c>
      <c r="AU115" s="19" t="n">
        <v>0</v>
      </c>
      <c r="AV115" s="19" t="n">
        <v>0</v>
      </c>
      <c r="AW115" s="19" t="n">
        <v>0</v>
      </c>
      <c r="AX115" s="19" t="n">
        <v>0</v>
      </c>
      <c r="AY115" s="19" t="n">
        <v>0</v>
      </c>
      <c r="AZ115" s="19" t="n">
        <v>0</v>
      </c>
      <c r="BA115" s="19" t="n">
        <v>0</v>
      </c>
      <c r="BB115" s="19" t="n">
        <v>0</v>
      </c>
      <c r="BC115" s="19" t="n">
        <v>0</v>
      </c>
      <c r="BD115" s="19" t="n">
        <v>0</v>
      </c>
      <c r="BE115" s="19" t="n">
        <v>0</v>
      </c>
      <c r="BF115" s="19" t="n">
        <v>0</v>
      </c>
      <c r="BG115" s="19" t="n">
        <v>0</v>
      </c>
      <c r="BH115" s="19" t="n">
        <v>0</v>
      </c>
      <c r="BI115" s="19" t="n">
        <v>0</v>
      </c>
      <c r="BJ115" s="19" t="n">
        <v>0</v>
      </c>
      <c r="BK115" s="19" t="n">
        <v>0</v>
      </c>
      <c r="BL115" s="19" t="n">
        <v>0</v>
      </c>
      <c r="BM115" s="19" t="n">
        <v>0</v>
      </c>
      <c r="BN115" s="19" t="n">
        <v>0</v>
      </c>
      <c r="BO115" s="19" t="n">
        <v>0</v>
      </c>
      <c r="BP115" s="19" t="n">
        <v>0</v>
      </c>
      <c r="BQ115" s="19" t="n">
        <v>0</v>
      </c>
      <c r="BR115" s="19" t="n">
        <v>2</v>
      </c>
      <c r="BS115" s="19" t="n">
        <v>1</v>
      </c>
      <c r="BT115" s="19" t="n">
        <v>3</v>
      </c>
      <c r="BU115" s="19" t="n">
        <v>5</v>
      </c>
      <c r="BV115" s="19" t="n">
        <v>2</v>
      </c>
      <c r="BW115" s="19" t="n">
        <v>2</v>
      </c>
      <c r="BX115" s="19" t="n">
        <v>3</v>
      </c>
      <c r="BY115" s="19" t="n">
        <v>5</v>
      </c>
      <c r="BZ115" s="19" t="n">
        <v>5</v>
      </c>
      <c r="CA115" s="19" t="n">
        <v>5</v>
      </c>
      <c r="CB115" s="19" t="n">
        <v>5</v>
      </c>
      <c r="CC115" s="19" t="n">
        <v>5</v>
      </c>
      <c r="CD115" s="19" t="n">
        <v>5</v>
      </c>
      <c r="CE115" s="19" t="n">
        <v>5</v>
      </c>
      <c r="CF115" s="19" t="n">
        <v>5</v>
      </c>
      <c r="CG115" s="19" t="n">
        <v>5</v>
      </c>
      <c r="CH115" s="19" t="n">
        <v>5</v>
      </c>
      <c r="CI115" s="19" t="n">
        <v>5</v>
      </c>
      <c r="CJ115" s="19" t="n">
        <v>5</v>
      </c>
      <c r="CK115" s="19" t="n">
        <v>10</v>
      </c>
      <c r="CL115" s="0" t="s">
        <v>507</v>
      </c>
      <c r="CM115" s="0" t="n">
        <v>30</v>
      </c>
      <c r="CN115" s="16" t="n">
        <v>86.6</v>
      </c>
      <c r="CO115" s="16" t="n">
        <v>80.4</v>
      </c>
      <c r="CP115" s="16" t="n">
        <v>20.4</v>
      </c>
      <c r="CQ115" s="0" t="n">
        <v>82.62</v>
      </c>
      <c r="CR115" s="17" t="n">
        <v>0</v>
      </c>
      <c r="CS115" s="0" t="n">
        <v>15.49</v>
      </c>
      <c r="CT115" s="0" t="n">
        <v>1.49</v>
      </c>
      <c r="CU115" s="0" t="n">
        <v>0.4</v>
      </c>
      <c r="CV115" s="0" t="n">
        <v>0</v>
      </c>
      <c r="CW115" s="0" t="n">
        <v>0</v>
      </c>
      <c r="CY115" s="0" t="n">
        <v>0</v>
      </c>
      <c r="CZ115" s="0" t="n">
        <v>0</v>
      </c>
      <c r="DA115" s="0" t="n">
        <v>0</v>
      </c>
      <c r="DB115" s="0" t="n">
        <v>6.38</v>
      </c>
      <c r="DC115" s="0" t="n">
        <v>56.11</v>
      </c>
      <c r="DD115" s="0" t="n">
        <v>8.46</v>
      </c>
      <c r="DE115" s="0" t="n">
        <v>1.21</v>
      </c>
      <c r="DF115" s="0" t="n">
        <v>0</v>
      </c>
      <c r="DG115" s="0" t="n">
        <v>0</v>
      </c>
      <c r="DH115" s="0" t="n">
        <v>0</v>
      </c>
      <c r="DU115" s="0" t="n">
        <v>0.5</v>
      </c>
      <c r="DV115" s="0" t="n">
        <v>0</v>
      </c>
      <c r="EG115" s="20"/>
      <c r="EY115" s="0" t="n">
        <v>1</v>
      </c>
      <c r="EZ115" s="0" t="n">
        <v>40</v>
      </c>
      <c r="FA115" s="0" t="n">
        <v>1</v>
      </c>
      <c r="FB115" s="0" t="n">
        <v>1.71</v>
      </c>
      <c r="FC115" s="0" t="n">
        <v>2</v>
      </c>
      <c r="FD115" s="0" t="n">
        <v>50</v>
      </c>
      <c r="FE115" s="0" t="n">
        <v>1</v>
      </c>
      <c r="FF115" s="0" t="n">
        <v>0.13</v>
      </c>
      <c r="FG115" s="0" t="n">
        <v>2</v>
      </c>
      <c r="GJ115" s="16" t="n">
        <v>0.62</v>
      </c>
      <c r="GK115" s="16" t="n">
        <v>1</v>
      </c>
      <c r="GL115" s="16" t="n">
        <v>1</v>
      </c>
      <c r="GM115" s="16"/>
      <c r="GN115" s="16" t="n">
        <v>4.14</v>
      </c>
      <c r="GO115" s="16"/>
      <c r="GP115" s="16"/>
      <c r="GQ115" s="16"/>
      <c r="GR115" s="16"/>
      <c r="GS115" s="16"/>
      <c r="GT115" s="16"/>
      <c r="GU115" s="16" t="n">
        <v>0</v>
      </c>
      <c r="GV115" s="16" t="n">
        <v>0</v>
      </c>
      <c r="GW115" s="16" t="n">
        <v>0</v>
      </c>
      <c r="GX115" s="16" t="n">
        <v>0</v>
      </c>
      <c r="GY115" s="16" t="n">
        <v>5.97</v>
      </c>
      <c r="GZ115" s="16" t="n">
        <v>0</v>
      </c>
      <c r="HA115" s="16" t="n">
        <v>0</v>
      </c>
      <c r="HB115" s="0" t="n">
        <v>2</v>
      </c>
      <c r="HC115" s="0" t="s">
        <v>533</v>
      </c>
      <c r="HD115" s="0" t="n">
        <v>30.5</v>
      </c>
      <c r="HE115" s="16" t="n">
        <v>84.8</v>
      </c>
      <c r="HF115" s="16" t="n">
        <v>80.4</v>
      </c>
      <c r="HG115" s="16" t="n">
        <v>23.9</v>
      </c>
      <c r="HH115" s="0" t="n">
        <v>79.32</v>
      </c>
      <c r="HI115" s="17" t="n">
        <v>0</v>
      </c>
      <c r="HJ115" s="0" t="n">
        <v>18.78</v>
      </c>
      <c r="HK115" s="0" t="n">
        <v>1.49</v>
      </c>
      <c r="HL115" s="0" t="n">
        <v>0.4</v>
      </c>
      <c r="HM115" s="0" t="n">
        <v>0</v>
      </c>
      <c r="HN115" s="0" t="n">
        <v>0</v>
      </c>
      <c r="HP115" s="0" t="n">
        <v>0</v>
      </c>
      <c r="HQ115" s="0" t="n">
        <v>0</v>
      </c>
      <c r="HR115" s="0" t="n">
        <v>0</v>
      </c>
      <c r="HS115" s="0" t="n">
        <v>6.38</v>
      </c>
      <c r="HT115" s="0" t="n">
        <v>49.21</v>
      </c>
      <c r="HU115" s="0" t="n">
        <v>12.84</v>
      </c>
      <c r="HV115" s="0" t="n">
        <v>1.21</v>
      </c>
      <c r="HW115" s="0" t="n">
        <v>0</v>
      </c>
      <c r="HX115" s="0" t="n">
        <v>0</v>
      </c>
      <c r="HY115" s="0" t="n">
        <v>0</v>
      </c>
      <c r="IL115" s="0" t="n">
        <v>0</v>
      </c>
      <c r="IM115" s="0" t="n">
        <v>0</v>
      </c>
      <c r="IX115" s="20"/>
      <c r="JP115" s="0" t="n">
        <v>1</v>
      </c>
      <c r="JQ115" s="0" t="n">
        <v>40</v>
      </c>
      <c r="JR115" s="0" t="n">
        <v>1</v>
      </c>
      <c r="JS115" s="0" t="n">
        <v>2.09</v>
      </c>
      <c r="JT115" s="0" t="n">
        <v>1</v>
      </c>
      <c r="LA115" s="16" t="n">
        <v>0.62</v>
      </c>
      <c r="LB115" s="16" t="n">
        <v>1</v>
      </c>
      <c r="LC115" s="16" t="n">
        <v>1</v>
      </c>
      <c r="LD115" s="16"/>
      <c r="LE115" s="16" t="n">
        <v>4.14</v>
      </c>
      <c r="LF115" s="16"/>
      <c r="LG115" s="16"/>
      <c r="LH115" s="16"/>
      <c r="LI115" s="16"/>
      <c r="LJ115" s="16"/>
      <c r="LK115" s="16"/>
      <c r="LL115" s="16" t="n">
        <v>0</v>
      </c>
      <c r="LM115" s="16" t="n">
        <v>0</v>
      </c>
      <c r="LN115" s="16" t="n">
        <v>0</v>
      </c>
      <c r="LO115" s="16" t="n">
        <v>0</v>
      </c>
      <c r="LP115" s="16" t="n">
        <v>0</v>
      </c>
      <c r="LQ115" s="16" t="n">
        <v>0</v>
      </c>
      <c r="LR115" s="16" t="n">
        <v>3.21</v>
      </c>
      <c r="LS115" s="0" t="n">
        <v>0</v>
      </c>
      <c r="LT115" s="0" t="s">
        <v>508</v>
      </c>
      <c r="LU115" s="0" t="n">
        <v>42.5</v>
      </c>
      <c r="LV115" s="16" t="n">
        <v>81.7</v>
      </c>
      <c r="LW115" s="16" t="n">
        <v>80.4</v>
      </c>
      <c r="LX115" s="16" t="n">
        <v>18.4</v>
      </c>
      <c r="LY115" s="0" t="n">
        <v>80.68</v>
      </c>
      <c r="LZ115" s="17" t="n">
        <v>0</v>
      </c>
      <c r="MA115" s="0" t="n">
        <v>8.41</v>
      </c>
      <c r="MB115" s="0" t="n">
        <v>1.93</v>
      </c>
      <c r="MC115" s="0" t="n">
        <v>8.98</v>
      </c>
      <c r="MD115" s="0" t="n">
        <v>0</v>
      </c>
      <c r="ME115" s="0" t="n">
        <v>0</v>
      </c>
      <c r="MG115" s="0" t="n">
        <v>0</v>
      </c>
      <c r="MH115" s="0" t="n">
        <v>0</v>
      </c>
      <c r="MI115" s="0" t="n">
        <v>0</v>
      </c>
      <c r="MJ115" s="0" t="n">
        <v>0.07</v>
      </c>
      <c r="MK115" s="0" t="n">
        <v>26.86</v>
      </c>
      <c r="ML115" s="0" t="n">
        <v>25.47</v>
      </c>
      <c r="MM115" s="0" t="n">
        <v>0</v>
      </c>
      <c r="MN115" s="0" t="n">
        <v>0</v>
      </c>
      <c r="MO115" s="0" t="n">
        <v>0</v>
      </c>
      <c r="MP115" s="0" t="n">
        <v>0</v>
      </c>
      <c r="NC115" s="0" t="n">
        <v>17.9</v>
      </c>
      <c r="ND115" s="0" t="n">
        <v>1</v>
      </c>
      <c r="NE115" s="0" t="n">
        <v>33</v>
      </c>
      <c r="NF115" s="0" t="n">
        <v>2</v>
      </c>
      <c r="NG115" s="0" t="n">
        <v>1.52</v>
      </c>
      <c r="NH115" s="0" t="n">
        <v>4</v>
      </c>
      <c r="NI115" s="0" t="n">
        <v>35</v>
      </c>
      <c r="NJ115" s="0" t="n">
        <v>3</v>
      </c>
      <c r="NK115" s="0" t="n">
        <v>1.3</v>
      </c>
      <c r="NL115" s="0" t="n">
        <v>3</v>
      </c>
      <c r="NO115" s="20"/>
      <c r="OG115" s="0" t="n">
        <v>0</v>
      </c>
      <c r="PR115" s="16" t="n">
        <v>0</v>
      </c>
      <c r="PS115" s="16" t="n">
        <v>0</v>
      </c>
      <c r="PT115" s="16"/>
      <c r="PU115" s="16"/>
      <c r="PV115" s="16"/>
      <c r="PW115" s="16"/>
      <c r="PX115" s="16"/>
      <c r="PY115" s="16"/>
      <c r="PZ115" s="16"/>
      <c r="QA115" s="16"/>
      <c r="QB115" s="16"/>
      <c r="QC115" s="16" t="n">
        <v>4.29</v>
      </c>
      <c r="QD115" s="16" t="n">
        <v>2.66</v>
      </c>
      <c r="QE115" s="16" t="n">
        <v>0</v>
      </c>
      <c r="QF115" s="16" t="n">
        <v>0</v>
      </c>
      <c r="QG115" s="16" t="n">
        <v>0</v>
      </c>
      <c r="QH115" s="16" t="n">
        <v>0</v>
      </c>
      <c r="QI115" s="16" t="n">
        <v>0</v>
      </c>
      <c r="QJ115" s="0" t="n">
        <v>0</v>
      </c>
      <c r="QK115" s="0" t="s">
        <v>509</v>
      </c>
      <c r="QL115" s="0" t="n">
        <v>29</v>
      </c>
      <c r="QM115" s="16" t="n">
        <v>76.1</v>
      </c>
      <c r="QN115" s="16" t="n">
        <v>80.4</v>
      </c>
      <c r="QO115" s="16" t="n">
        <v>20.5</v>
      </c>
      <c r="QP115" s="0" t="n">
        <v>77.86</v>
      </c>
      <c r="QQ115" s="17" t="n">
        <v>0</v>
      </c>
      <c r="QR115" s="0" t="n">
        <v>13.05</v>
      </c>
      <c r="QS115" s="0" t="n">
        <v>0</v>
      </c>
      <c r="QT115" s="0" t="n">
        <v>9.1</v>
      </c>
      <c r="QU115" s="0" t="n">
        <v>0</v>
      </c>
      <c r="QV115" s="0" t="n">
        <v>0</v>
      </c>
      <c r="QX115" s="0" t="n">
        <v>0</v>
      </c>
      <c r="QY115" s="0" t="n">
        <v>0</v>
      </c>
      <c r="QZ115" s="0" t="n">
        <v>0</v>
      </c>
      <c r="RA115" s="0" t="n">
        <v>0.57</v>
      </c>
      <c r="RB115" s="0" t="n">
        <v>29.77</v>
      </c>
      <c r="RC115" s="0" t="n">
        <v>20.82</v>
      </c>
      <c r="RD115" s="0" t="n">
        <v>0</v>
      </c>
      <c r="RE115" s="0" t="n">
        <v>0</v>
      </c>
      <c r="RF115" s="0" t="n">
        <v>0</v>
      </c>
      <c r="RG115" s="0" t="n">
        <v>1</v>
      </c>
      <c r="RH115" s="0" t="n">
        <v>2</v>
      </c>
      <c r="RJ115" s="0" t="n">
        <v>1</v>
      </c>
      <c r="RN115" s="0" t="n">
        <v>2</v>
      </c>
      <c r="RP115" s="0" t="n">
        <v>1</v>
      </c>
      <c r="RT115" s="0" t="n">
        <v>0</v>
      </c>
      <c r="RU115" s="0" t="n">
        <v>0</v>
      </c>
      <c r="SF115" s="20"/>
      <c r="SX115" s="0" t="n">
        <v>0</v>
      </c>
      <c r="UI115" s="16" t="n">
        <v>0.32</v>
      </c>
      <c r="UJ115" s="16" t="n">
        <v>1</v>
      </c>
      <c r="UK115" s="16" t="n">
        <v>1</v>
      </c>
      <c r="UL115" s="16"/>
      <c r="UM115" s="16" t="n">
        <v>1.32</v>
      </c>
      <c r="UN115" s="16"/>
      <c r="UO115" s="16"/>
      <c r="UP115" s="16"/>
      <c r="UQ115" s="16"/>
      <c r="UR115" s="16"/>
      <c r="US115" s="16"/>
      <c r="UT115" s="16" t="n">
        <v>5.5</v>
      </c>
      <c r="UU115" s="16" t="n">
        <v>9.81</v>
      </c>
      <c r="UV115" s="16" t="n">
        <v>0</v>
      </c>
      <c r="UW115" s="16" t="n">
        <v>0</v>
      </c>
      <c r="UX115" s="16" t="n">
        <v>0</v>
      </c>
      <c r="UY115" s="16" t="n">
        <v>0</v>
      </c>
      <c r="UZ115" s="16" t="n">
        <v>0</v>
      </c>
      <c r="VA115" s="0" t="n">
        <v>0</v>
      </c>
      <c r="VB115" s="0" t="s">
        <v>510</v>
      </c>
      <c r="VC115" s="0" t="n">
        <v>33.5</v>
      </c>
      <c r="VD115" s="16" t="n">
        <v>74.7</v>
      </c>
      <c r="VE115" s="16" t="n">
        <v>80.4</v>
      </c>
      <c r="VF115" s="16" t="n">
        <v>23.3</v>
      </c>
      <c r="VG115" s="0" t="n">
        <v>67.74</v>
      </c>
      <c r="VH115" s="17" t="n">
        <v>0</v>
      </c>
      <c r="VI115" s="0" t="n">
        <v>10.14</v>
      </c>
      <c r="VJ115" s="0" t="n">
        <v>0</v>
      </c>
      <c r="VK115" s="0" t="n">
        <v>22.12</v>
      </c>
      <c r="VL115" s="0" t="n">
        <v>0</v>
      </c>
      <c r="VM115" s="0" t="n">
        <v>0</v>
      </c>
      <c r="VO115" s="0" t="n">
        <v>0</v>
      </c>
      <c r="VP115" s="0" t="n">
        <v>0</v>
      </c>
      <c r="VQ115" s="0" t="n">
        <v>0</v>
      </c>
      <c r="VR115" s="0" t="n">
        <v>0</v>
      </c>
      <c r="VS115" s="0" t="n">
        <v>51.2</v>
      </c>
      <c r="VT115" s="0" t="n">
        <v>15.83</v>
      </c>
      <c r="VU115" s="0" t="n">
        <v>0</v>
      </c>
      <c r="VV115" s="0" t="n">
        <v>0</v>
      </c>
      <c r="VW115" s="0" t="n">
        <v>0</v>
      </c>
      <c r="VX115" s="0" t="n">
        <v>0</v>
      </c>
      <c r="WK115" s="0" t="n">
        <v>2.3</v>
      </c>
      <c r="WL115" s="0" t="n">
        <v>0</v>
      </c>
      <c r="WW115" s="20"/>
      <c r="XO115" s="0" t="n">
        <v>1</v>
      </c>
      <c r="XP115" s="0" t="n">
        <v>50</v>
      </c>
      <c r="XQ115" s="0" t="n">
        <v>20</v>
      </c>
      <c r="XR115" s="0" t="n">
        <v>30.66</v>
      </c>
      <c r="XS115" s="0" t="n">
        <v>3</v>
      </c>
      <c r="XT115" s="0" t="n">
        <v>60</v>
      </c>
      <c r="XU115" s="0" t="n">
        <v>33</v>
      </c>
      <c r="XV115" s="0" t="n">
        <v>0.56</v>
      </c>
      <c r="XW115" s="0" t="n">
        <v>3</v>
      </c>
      <c r="YZ115" s="16" t="n">
        <v>0</v>
      </c>
      <c r="ZA115" s="16" t="n">
        <v>0</v>
      </c>
      <c r="ZB115" s="16"/>
      <c r="ZC115" s="16"/>
      <c r="ZD115" s="16"/>
      <c r="ZE115" s="16"/>
      <c r="ZF115" s="16"/>
      <c r="ZG115" s="16"/>
      <c r="ZH115" s="16"/>
      <c r="ZI115" s="16"/>
      <c r="ZJ115" s="16"/>
      <c r="ZK115" s="16" t="n">
        <v>5.22</v>
      </c>
      <c r="ZL115" s="16" t="n">
        <v>7.07</v>
      </c>
      <c r="ZM115" s="16" t="n">
        <v>0</v>
      </c>
      <c r="ZN115" s="16" t="n">
        <v>0</v>
      </c>
      <c r="ZO115" s="16" t="n">
        <v>0</v>
      </c>
      <c r="ZP115" s="16" t="n">
        <v>0</v>
      </c>
      <c r="ZQ115" s="16" t="n">
        <v>0</v>
      </c>
      <c r="ZR115" s="0" t="n">
        <v>0</v>
      </c>
      <c r="ZS115" s="0" t="s">
        <v>511</v>
      </c>
      <c r="ZT115" s="0" t="n">
        <v>36.5</v>
      </c>
      <c r="ZU115" s="16" t="n">
        <v>85.2</v>
      </c>
      <c r="ZV115" s="16" t="n">
        <v>80.4</v>
      </c>
      <c r="ZW115" s="16" t="n">
        <v>24.1</v>
      </c>
      <c r="ZX115" s="0" t="n">
        <v>65.36</v>
      </c>
      <c r="ZY115" s="17" t="n">
        <v>0</v>
      </c>
      <c r="ZZ115" s="0" t="n">
        <v>10.14</v>
      </c>
      <c r="AAA115" s="0" t="n">
        <v>0</v>
      </c>
      <c r="AAB115" s="0" t="n">
        <v>24.5</v>
      </c>
      <c r="AAC115" s="0" t="n">
        <v>0</v>
      </c>
      <c r="AAD115" s="0" t="n">
        <v>0</v>
      </c>
      <c r="AAF115" s="0" t="n">
        <v>0</v>
      </c>
      <c r="AAG115" s="0" t="n">
        <v>0</v>
      </c>
      <c r="AAH115" s="0" t="n">
        <v>0</v>
      </c>
      <c r="AAI115" s="0" t="n">
        <v>0</v>
      </c>
      <c r="AAJ115" s="0" t="n">
        <v>56.76</v>
      </c>
      <c r="AAK115" s="0" t="n">
        <v>17.5</v>
      </c>
      <c r="AAL115" s="0" t="n">
        <v>0</v>
      </c>
      <c r="AAM115" s="0" t="n">
        <v>0</v>
      </c>
      <c r="AAN115" s="0" t="n">
        <v>0</v>
      </c>
      <c r="AAO115" s="0" t="n">
        <v>0</v>
      </c>
      <c r="ABB115" s="0" t="n">
        <v>4.3</v>
      </c>
      <c r="ABC115" s="0" t="n">
        <v>0</v>
      </c>
      <c r="ABN115" s="20"/>
      <c r="ACF115" s="0" t="n">
        <v>1</v>
      </c>
      <c r="ACG115" s="0" t="n">
        <v>60</v>
      </c>
      <c r="ACH115" s="0" t="n">
        <v>53</v>
      </c>
      <c r="ACI115" s="0" t="n">
        <v>35.98</v>
      </c>
      <c r="ACJ115" s="0" t="n">
        <v>3</v>
      </c>
      <c r="ADQ115" s="16" t="n">
        <v>0</v>
      </c>
      <c r="ADR115" s="16" t="n">
        <v>0</v>
      </c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 t="n">
        <v>5.1</v>
      </c>
      <c r="AEC115" s="16" t="n">
        <v>5.93</v>
      </c>
      <c r="AED115" s="16" t="n">
        <v>0</v>
      </c>
      <c r="AEE115" s="16" t="n">
        <v>0</v>
      </c>
      <c r="AEF115" s="16" t="n">
        <v>0</v>
      </c>
      <c r="AEG115" s="16" t="n">
        <v>0</v>
      </c>
      <c r="AEH115" s="16" t="n">
        <v>0</v>
      </c>
      <c r="AEI115" s="0" t="n">
        <v>0</v>
      </c>
      <c r="AEJ115" s="0" t="s">
        <v>530</v>
      </c>
      <c r="AEK115" s="0" t="n">
        <v>29.5</v>
      </c>
      <c r="AEL115" s="16" t="n">
        <v>87</v>
      </c>
      <c r="AEM115" s="16" t="n">
        <v>80.4</v>
      </c>
      <c r="AEN115" s="16" t="n">
        <v>20.9</v>
      </c>
      <c r="AEO115" s="0" t="n">
        <v>47.27</v>
      </c>
      <c r="AEP115" s="17" t="n">
        <v>0</v>
      </c>
      <c r="AEQ115" s="0" t="n">
        <v>8.94</v>
      </c>
      <c r="AER115" s="0" t="n">
        <v>0</v>
      </c>
      <c r="AES115" s="0" t="n">
        <v>5.89</v>
      </c>
      <c r="AET115" s="0" t="n">
        <v>0</v>
      </c>
      <c r="AEU115" s="0" t="n">
        <v>37.82</v>
      </c>
      <c r="AEV115" s="0" t="n">
        <v>0.76</v>
      </c>
      <c r="AEW115" s="0" t="n">
        <v>0</v>
      </c>
      <c r="AEX115" s="0" t="n">
        <v>0</v>
      </c>
      <c r="AEY115" s="0" t="n">
        <v>0</v>
      </c>
      <c r="AEZ115" s="0" t="n">
        <v>41.87</v>
      </c>
      <c r="AFA115" s="0" t="n">
        <v>46.31</v>
      </c>
      <c r="AFB115" s="0" t="n">
        <v>18.03</v>
      </c>
      <c r="AFC115" s="0" t="n">
        <v>5.06</v>
      </c>
      <c r="AFD115" s="0" t="n">
        <v>0</v>
      </c>
      <c r="AFE115" s="0" t="n">
        <v>0</v>
      </c>
      <c r="AFF115" s="0" t="n">
        <v>0</v>
      </c>
      <c r="AFS115" s="0" t="n">
        <v>1.1</v>
      </c>
      <c r="AFT115" s="0" t="n">
        <v>1</v>
      </c>
      <c r="AFU115" s="0" t="n">
        <v>35</v>
      </c>
      <c r="AFV115" s="0" t="n">
        <v>2</v>
      </c>
      <c r="AFW115" s="0" t="n">
        <v>0.23</v>
      </c>
      <c r="AFX115" s="0" t="n">
        <v>3</v>
      </c>
      <c r="AGE115" s="20"/>
      <c r="AGW115" s="0" t="n">
        <v>0</v>
      </c>
      <c r="AIH115" s="16" t="n">
        <v>3.92</v>
      </c>
      <c r="AII115" s="16" t="n">
        <v>1</v>
      </c>
      <c r="AIJ115" s="16" t="n">
        <v>1</v>
      </c>
      <c r="AIK115" s="16"/>
      <c r="AIL115" s="16" t="n">
        <v>0.37</v>
      </c>
      <c r="AIM115" s="16" t="n">
        <v>2</v>
      </c>
      <c r="AIN115" s="16"/>
      <c r="AIO115" s="16" t="n">
        <v>15.28</v>
      </c>
      <c r="AIP115" s="16"/>
      <c r="AIQ115" s="16"/>
      <c r="AIR115" s="16"/>
      <c r="AIS115" s="16" t="n">
        <v>2.34</v>
      </c>
      <c r="AIT115" s="16" t="n">
        <v>2.02</v>
      </c>
      <c r="AIU115" s="16" t="n">
        <v>0</v>
      </c>
      <c r="AIV115" s="16" t="n">
        <v>0</v>
      </c>
      <c r="AIW115" s="16" t="n">
        <v>0</v>
      </c>
      <c r="AIX115" s="16" t="n">
        <v>0</v>
      </c>
      <c r="AIY115" s="16" t="n">
        <v>0</v>
      </c>
      <c r="AIZ115" s="0" t="n">
        <v>0</v>
      </c>
      <c r="AJA115" s="0" t="s">
        <v>512</v>
      </c>
      <c r="AJB115" s="0" t="n">
        <v>33</v>
      </c>
      <c r="AJC115" s="16" t="n">
        <v>70.6</v>
      </c>
      <c r="AJD115" s="16" t="n">
        <v>80.4</v>
      </c>
      <c r="AJE115" s="16" t="n">
        <v>29.2</v>
      </c>
      <c r="AJF115" s="0" t="n">
        <v>16.94</v>
      </c>
      <c r="AJG115" s="17" t="n">
        <v>0</v>
      </c>
      <c r="AJH115" s="0" t="n">
        <v>0</v>
      </c>
      <c r="AJI115" s="0" t="n">
        <v>0</v>
      </c>
      <c r="AJJ115" s="0" t="n">
        <v>0</v>
      </c>
      <c r="AJK115" s="0" t="n">
        <v>0</v>
      </c>
      <c r="AJL115" s="0" t="n">
        <v>83.06</v>
      </c>
      <c r="AJM115" s="0" t="n">
        <v>25.18</v>
      </c>
      <c r="AJN115" s="0" t="n">
        <v>8.7</v>
      </c>
      <c r="AJO115" s="0" t="n">
        <v>0</v>
      </c>
      <c r="AJP115" s="0" t="n">
        <v>0</v>
      </c>
      <c r="AJQ115" s="0" t="n">
        <v>0</v>
      </c>
      <c r="AJR115" s="0" t="n">
        <v>13.49</v>
      </c>
      <c r="AJS115" s="0" t="n">
        <v>16.48</v>
      </c>
      <c r="AJT115" s="0" t="n">
        <v>0</v>
      </c>
      <c r="AJU115" s="0" t="n">
        <v>0</v>
      </c>
      <c r="AJV115" s="0" t="n">
        <v>0</v>
      </c>
      <c r="AJW115" s="0" t="n">
        <v>0</v>
      </c>
      <c r="AKJ115" s="0" t="n">
        <v>0</v>
      </c>
      <c r="AKK115" s="0" t="n">
        <v>0</v>
      </c>
      <c r="AKV115" s="20"/>
      <c r="ALN115" s="0" t="n">
        <v>0</v>
      </c>
    </row>
    <row r="116" customFormat="false" ht="13.8" hidden="false" customHeight="false" outlineLevel="0" collapsed="false">
      <c r="A116" s="1" t="s">
        <v>535</v>
      </c>
      <c r="B116" s="12" t="n">
        <v>42902</v>
      </c>
      <c r="C116" s="0" t="n">
        <v>2</v>
      </c>
      <c r="D116" s="13" t="n">
        <v>42807</v>
      </c>
      <c r="E116" s="12" t="n">
        <v>34107</v>
      </c>
      <c r="F116" s="14" t="n">
        <f aca="false">(B116-E116)/365.25</f>
        <v>24.0793976728268</v>
      </c>
      <c r="G116" s="14" t="n">
        <f aca="false">(B116-D116)/365.25</f>
        <v>0.26009582477755</v>
      </c>
      <c r="H116" s="15" t="s">
        <v>183</v>
      </c>
      <c r="I116" s="15" t="s">
        <v>523</v>
      </c>
      <c r="J116" s="15" t="s">
        <v>181</v>
      </c>
      <c r="K116" s="21" t="n">
        <v>8</v>
      </c>
      <c r="L116" s="19" t="n">
        <v>84</v>
      </c>
      <c r="M116" s="0" t="n">
        <v>1.8</v>
      </c>
      <c r="N116" s="16" t="n">
        <f aca="false">L116/(M116*M116)</f>
        <v>25.9259259259259</v>
      </c>
      <c r="O116" s="19" t="n">
        <v>0</v>
      </c>
      <c r="P116" s="19" t="n">
        <v>0</v>
      </c>
      <c r="Q116" s="19" t="n">
        <v>0</v>
      </c>
      <c r="R116" s="19" t="n">
        <v>0</v>
      </c>
      <c r="S116" s="19" t="n">
        <v>0</v>
      </c>
      <c r="T116" s="19" t="n">
        <v>0</v>
      </c>
      <c r="U116" s="19" t="n">
        <v>1</v>
      </c>
      <c r="V116" s="19" t="n">
        <v>6</v>
      </c>
      <c r="W116" s="19" t="n">
        <v>0</v>
      </c>
      <c r="X116" s="19" t="n">
        <v>0</v>
      </c>
      <c r="Y116" s="19" t="n">
        <v>1</v>
      </c>
      <c r="Z116" s="19" t="n">
        <v>2</v>
      </c>
      <c r="AA116" s="19" t="n">
        <v>120</v>
      </c>
      <c r="AB116" s="19" t="s">
        <v>308</v>
      </c>
      <c r="AC116" s="19" t="n">
        <v>0</v>
      </c>
      <c r="AD116" s="19" t="n">
        <v>0</v>
      </c>
      <c r="AE116" s="19" t="n">
        <v>0</v>
      </c>
      <c r="AF116" s="19" t="n">
        <v>0</v>
      </c>
      <c r="AG116" s="19" t="n">
        <v>0</v>
      </c>
      <c r="AH116" s="19" t="n">
        <v>0</v>
      </c>
      <c r="AI116" s="19" t="n">
        <v>0</v>
      </c>
      <c r="AJ116" s="19" t="n">
        <v>0</v>
      </c>
      <c r="AK116" s="19" t="n">
        <v>0</v>
      </c>
      <c r="AL116" s="19" t="n">
        <v>0</v>
      </c>
      <c r="AM116" s="19" t="n">
        <v>0</v>
      </c>
      <c r="AN116" s="19" t="n">
        <v>0</v>
      </c>
      <c r="AO116" s="19" t="n">
        <v>0</v>
      </c>
      <c r="AP116" s="19" t="n">
        <v>0</v>
      </c>
      <c r="AQ116" s="19" t="n">
        <v>0</v>
      </c>
      <c r="AR116" s="19" t="n">
        <v>0</v>
      </c>
      <c r="AS116" s="19" t="n">
        <v>0</v>
      </c>
      <c r="AT116" s="19" t="n">
        <v>0</v>
      </c>
      <c r="AU116" s="19" t="n">
        <v>0</v>
      </c>
      <c r="AV116" s="19" t="n">
        <v>0</v>
      </c>
      <c r="AW116" s="19" t="n">
        <v>0</v>
      </c>
      <c r="AX116" s="19" t="n">
        <v>0</v>
      </c>
      <c r="AY116" s="19" t="n">
        <v>0</v>
      </c>
      <c r="AZ116" s="19" t="n">
        <v>0</v>
      </c>
      <c r="BA116" s="19" t="n">
        <v>0</v>
      </c>
      <c r="BB116" s="19" t="n">
        <v>0</v>
      </c>
      <c r="BC116" s="19" t="n">
        <v>0</v>
      </c>
      <c r="BD116" s="19" t="n">
        <v>0</v>
      </c>
      <c r="BE116" s="19" t="n">
        <v>0</v>
      </c>
      <c r="BF116" s="19" t="n">
        <v>0</v>
      </c>
      <c r="BG116" s="19" t="n">
        <v>0</v>
      </c>
      <c r="BH116" s="19" t="n">
        <v>0</v>
      </c>
      <c r="BI116" s="19" t="n">
        <v>0</v>
      </c>
      <c r="BJ116" s="19" t="n">
        <v>0</v>
      </c>
      <c r="BK116" s="19" t="n">
        <v>0</v>
      </c>
      <c r="BL116" s="19" t="n">
        <v>0</v>
      </c>
      <c r="BM116" s="19" t="n">
        <v>0</v>
      </c>
      <c r="BN116" s="19" t="n">
        <v>0</v>
      </c>
      <c r="BO116" s="19" t="n">
        <v>0</v>
      </c>
      <c r="BP116" s="19" t="n">
        <v>0</v>
      </c>
      <c r="BQ116" s="19" t="n">
        <v>0</v>
      </c>
      <c r="BR116" s="19" t="n">
        <v>1</v>
      </c>
      <c r="BS116" s="19" t="n">
        <v>1</v>
      </c>
      <c r="BT116" s="19" t="n">
        <v>1</v>
      </c>
      <c r="BU116" s="19" t="n">
        <v>5</v>
      </c>
      <c r="BV116" s="19" t="n">
        <v>2</v>
      </c>
      <c r="BW116" s="19" t="n">
        <v>1</v>
      </c>
      <c r="BX116" s="19" t="n">
        <v>3</v>
      </c>
      <c r="BY116" s="19" t="n">
        <v>3</v>
      </c>
      <c r="BZ116" s="19" t="n">
        <v>5</v>
      </c>
      <c r="CA116" s="19" t="n">
        <v>5</v>
      </c>
      <c r="CB116" s="19" t="n">
        <v>5</v>
      </c>
      <c r="CC116" s="19" t="n">
        <v>5</v>
      </c>
      <c r="CD116" s="19" t="n">
        <v>5</v>
      </c>
      <c r="CE116" s="19" t="n">
        <v>5</v>
      </c>
      <c r="CF116" s="19" t="n">
        <v>5</v>
      </c>
      <c r="CG116" s="19" t="n">
        <v>5</v>
      </c>
      <c r="CH116" s="19" t="n">
        <v>5</v>
      </c>
      <c r="CI116" s="19" t="n">
        <v>5</v>
      </c>
      <c r="CJ116" s="19" t="n">
        <v>5</v>
      </c>
      <c r="CK116" s="19" t="n">
        <v>10</v>
      </c>
      <c r="CL116" s="0" t="s">
        <v>507</v>
      </c>
      <c r="CM116" s="0" t="n">
        <v>30</v>
      </c>
      <c r="CN116" s="16" t="n">
        <v>86.6</v>
      </c>
      <c r="CO116" s="16" t="n">
        <v>80.4</v>
      </c>
      <c r="CP116" s="16" t="n">
        <v>20.4</v>
      </c>
      <c r="CQ116" s="0" t="n">
        <v>82.62</v>
      </c>
      <c r="CR116" s="17" t="n">
        <v>0</v>
      </c>
      <c r="CS116" s="0" t="n">
        <v>15.49</v>
      </c>
      <c r="CT116" s="0" t="n">
        <v>1.49</v>
      </c>
      <c r="CU116" s="0" t="n">
        <v>0.4</v>
      </c>
      <c r="CV116" s="0" t="n">
        <v>0</v>
      </c>
      <c r="CW116" s="0" t="n">
        <v>0</v>
      </c>
      <c r="CY116" s="0" t="n">
        <v>0</v>
      </c>
      <c r="CZ116" s="0" t="n">
        <v>0</v>
      </c>
      <c r="DA116" s="0" t="n">
        <v>0</v>
      </c>
      <c r="DB116" s="0" t="n">
        <v>6.38</v>
      </c>
      <c r="DC116" s="0" t="n">
        <v>56.11</v>
      </c>
      <c r="DD116" s="0" t="n">
        <v>8.46</v>
      </c>
      <c r="DE116" s="0" t="n">
        <v>1.21</v>
      </c>
      <c r="DF116" s="0" t="n">
        <v>0</v>
      </c>
      <c r="DG116" s="0" t="n">
        <v>0</v>
      </c>
      <c r="DH116" s="0" t="n">
        <v>0</v>
      </c>
      <c r="DU116" s="0" t="n">
        <v>0.5</v>
      </c>
      <c r="DV116" s="0" t="n">
        <v>0</v>
      </c>
      <c r="EG116" s="20"/>
      <c r="EY116" s="0" t="n">
        <v>1</v>
      </c>
      <c r="EZ116" s="0" t="n">
        <v>40</v>
      </c>
      <c r="FA116" s="0" t="n">
        <v>1</v>
      </c>
      <c r="FB116" s="0" t="n">
        <v>1.71</v>
      </c>
      <c r="FC116" s="0" t="n">
        <v>2</v>
      </c>
      <c r="FD116" s="0" t="n">
        <v>50</v>
      </c>
      <c r="FE116" s="0" t="n">
        <v>1</v>
      </c>
      <c r="FF116" s="0" t="n">
        <v>0.13</v>
      </c>
      <c r="FG116" s="0" t="n">
        <v>2</v>
      </c>
      <c r="GJ116" s="16" t="n">
        <v>0.62</v>
      </c>
      <c r="GK116" s="16" t="n">
        <v>1</v>
      </c>
      <c r="GL116" s="16" t="n">
        <v>1</v>
      </c>
      <c r="GM116" s="16"/>
      <c r="GN116" s="16" t="n">
        <v>4.14</v>
      </c>
      <c r="GO116" s="16"/>
      <c r="GP116" s="16"/>
      <c r="GQ116" s="16"/>
      <c r="GR116" s="16"/>
      <c r="GS116" s="16"/>
      <c r="GT116" s="16"/>
      <c r="GU116" s="16" t="n">
        <v>0</v>
      </c>
      <c r="GV116" s="16" t="n">
        <v>0</v>
      </c>
      <c r="GW116" s="16" t="n">
        <v>0</v>
      </c>
      <c r="GX116" s="16" t="n">
        <v>0</v>
      </c>
      <c r="GY116" s="16" t="n">
        <v>5.97</v>
      </c>
      <c r="GZ116" s="16" t="n">
        <v>0</v>
      </c>
      <c r="HA116" s="16" t="n">
        <v>0</v>
      </c>
      <c r="HB116" s="0" t="n">
        <v>2</v>
      </c>
      <c r="HC116" s="0" t="s">
        <v>533</v>
      </c>
      <c r="HD116" s="0" t="n">
        <v>30.5</v>
      </c>
      <c r="HE116" s="16" t="n">
        <v>84.8</v>
      </c>
      <c r="HF116" s="16" t="n">
        <v>80.4</v>
      </c>
      <c r="HG116" s="16" t="n">
        <v>23.9</v>
      </c>
      <c r="HH116" s="0" t="n">
        <v>79.32</v>
      </c>
      <c r="HI116" s="17" t="n">
        <v>0</v>
      </c>
      <c r="HJ116" s="0" t="n">
        <v>18.78</v>
      </c>
      <c r="HK116" s="0" t="n">
        <v>1.49</v>
      </c>
      <c r="HL116" s="0" t="n">
        <v>0.4</v>
      </c>
      <c r="HM116" s="0" t="n">
        <v>0</v>
      </c>
      <c r="HN116" s="0" t="n">
        <v>0</v>
      </c>
      <c r="HP116" s="0" t="n">
        <v>0</v>
      </c>
      <c r="HQ116" s="0" t="n">
        <v>0</v>
      </c>
      <c r="HR116" s="0" t="n">
        <v>0</v>
      </c>
      <c r="HS116" s="0" t="n">
        <v>6.38</v>
      </c>
      <c r="HT116" s="0" t="n">
        <v>49.21</v>
      </c>
      <c r="HU116" s="0" t="n">
        <v>12.84</v>
      </c>
      <c r="HV116" s="0" t="n">
        <v>1.21</v>
      </c>
      <c r="HW116" s="0" t="n">
        <v>0</v>
      </c>
      <c r="HX116" s="0" t="n">
        <v>0</v>
      </c>
      <c r="HY116" s="0" t="n">
        <v>0</v>
      </c>
      <c r="IL116" s="0" t="n">
        <v>0</v>
      </c>
      <c r="IM116" s="0" t="n">
        <v>0</v>
      </c>
      <c r="IX116" s="20"/>
      <c r="JP116" s="0" t="n">
        <v>1</v>
      </c>
      <c r="JQ116" s="0" t="n">
        <v>40</v>
      </c>
      <c r="JR116" s="0" t="n">
        <v>1</v>
      </c>
      <c r="JS116" s="0" t="n">
        <v>2.09</v>
      </c>
      <c r="JT116" s="0" t="n">
        <v>1</v>
      </c>
      <c r="LA116" s="16" t="n">
        <v>0.62</v>
      </c>
      <c r="LB116" s="16" t="n">
        <v>1</v>
      </c>
      <c r="LC116" s="16" t="n">
        <v>1</v>
      </c>
      <c r="LD116" s="16"/>
      <c r="LE116" s="16" t="n">
        <v>4.14</v>
      </c>
      <c r="LF116" s="16"/>
      <c r="LG116" s="16"/>
      <c r="LH116" s="16"/>
      <c r="LI116" s="16"/>
      <c r="LJ116" s="16"/>
      <c r="LK116" s="16"/>
      <c r="LL116" s="16" t="n">
        <v>0</v>
      </c>
      <c r="LM116" s="16" t="n">
        <v>0</v>
      </c>
      <c r="LN116" s="16" t="n">
        <v>0</v>
      </c>
      <c r="LO116" s="16" t="n">
        <v>0</v>
      </c>
      <c r="LP116" s="16" t="n">
        <v>0</v>
      </c>
      <c r="LQ116" s="16" t="n">
        <v>0</v>
      </c>
      <c r="LR116" s="16" t="n">
        <v>3.21</v>
      </c>
      <c r="LS116" s="0" t="n">
        <v>0</v>
      </c>
      <c r="LT116" s="0" t="s">
        <v>508</v>
      </c>
      <c r="LU116" s="0" t="n">
        <v>42.5</v>
      </c>
      <c r="LV116" s="16" t="n">
        <v>81.7</v>
      </c>
      <c r="LW116" s="16" t="n">
        <v>80.4</v>
      </c>
      <c r="LX116" s="16" t="n">
        <v>18.4</v>
      </c>
      <c r="LY116" s="0" t="n">
        <v>80.68</v>
      </c>
      <c r="LZ116" s="17" t="n">
        <v>0</v>
      </c>
      <c r="MA116" s="0" t="n">
        <v>8.41</v>
      </c>
      <c r="MB116" s="0" t="n">
        <v>1.93</v>
      </c>
      <c r="MC116" s="0" t="n">
        <v>8.98</v>
      </c>
      <c r="MD116" s="0" t="n">
        <v>0</v>
      </c>
      <c r="ME116" s="0" t="n">
        <v>0</v>
      </c>
      <c r="MG116" s="0" t="n">
        <v>0</v>
      </c>
      <c r="MH116" s="0" t="n">
        <v>0</v>
      </c>
      <c r="MI116" s="0" t="n">
        <v>0</v>
      </c>
      <c r="MJ116" s="0" t="n">
        <v>0.07</v>
      </c>
      <c r="MK116" s="0" t="n">
        <v>26.86</v>
      </c>
      <c r="ML116" s="0" t="n">
        <v>25.47</v>
      </c>
      <c r="MM116" s="0" t="n">
        <v>0</v>
      </c>
      <c r="MN116" s="0" t="n">
        <v>0</v>
      </c>
      <c r="MO116" s="0" t="n">
        <v>0</v>
      </c>
      <c r="MP116" s="0" t="n">
        <v>0</v>
      </c>
      <c r="NC116" s="0" t="n">
        <v>17.9</v>
      </c>
      <c r="ND116" s="0" t="n">
        <v>1</v>
      </c>
      <c r="NE116" s="0" t="n">
        <v>33</v>
      </c>
      <c r="NF116" s="0" t="n">
        <v>2</v>
      </c>
      <c r="NG116" s="0" t="n">
        <v>1.52</v>
      </c>
      <c r="NH116" s="0" t="n">
        <v>4</v>
      </c>
      <c r="NI116" s="0" t="n">
        <v>35</v>
      </c>
      <c r="NJ116" s="0" t="n">
        <v>3</v>
      </c>
      <c r="NK116" s="0" t="n">
        <v>1.3</v>
      </c>
      <c r="NL116" s="0" t="n">
        <v>3</v>
      </c>
      <c r="NO116" s="20"/>
      <c r="OG116" s="0" t="n">
        <v>0</v>
      </c>
      <c r="PR116" s="16" t="n">
        <v>0</v>
      </c>
      <c r="PS116" s="16" t="n">
        <v>0</v>
      </c>
      <c r="PT116" s="16"/>
      <c r="PU116" s="16"/>
      <c r="PV116" s="16"/>
      <c r="PW116" s="16"/>
      <c r="PX116" s="16"/>
      <c r="PY116" s="16"/>
      <c r="PZ116" s="16"/>
      <c r="QA116" s="16"/>
      <c r="QB116" s="16"/>
      <c r="QC116" s="16" t="n">
        <v>4.29</v>
      </c>
      <c r="QD116" s="16" t="n">
        <v>2.66</v>
      </c>
      <c r="QE116" s="16" t="n">
        <v>0</v>
      </c>
      <c r="QF116" s="16" t="n">
        <v>0</v>
      </c>
      <c r="QG116" s="16" t="n">
        <v>0</v>
      </c>
      <c r="QH116" s="16" t="n">
        <v>0</v>
      </c>
      <c r="QI116" s="16" t="n">
        <v>0</v>
      </c>
      <c r="QJ116" s="0" t="n">
        <v>0</v>
      </c>
      <c r="QK116" s="0" t="s">
        <v>509</v>
      </c>
      <c r="QL116" s="0" t="n">
        <v>29</v>
      </c>
      <c r="QM116" s="16" t="n">
        <v>76.1</v>
      </c>
      <c r="QN116" s="16" t="n">
        <v>80.4</v>
      </c>
      <c r="QO116" s="16" t="n">
        <v>20.5</v>
      </c>
      <c r="QP116" s="0" t="n">
        <v>77.86</v>
      </c>
      <c r="QQ116" s="17" t="n">
        <v>0</v>
      </c>
      <c r="QR116" s="0" t="n">
        <v>13.05</v>
      </c>
      <c r="QS116" s="0" t="n">
        <v>0</v>
      </c>
      <c r="QT116" s="0" t="n">
        <v>9.1</v>
      </c>
      <c r="QU116" s="0" t="n">
        <v>0</v>
      </c>
      <c r="QV116" s="0" t="n">
        <v>0</v>
      </c>
      <c r="QX116" s="0" t="n">
        <v>0</v>
      </c>
      <c r="QY116" s="0" t="n">
        <v>0</v>
      </c>
      <c r="QZ116" s="0" t="n">
        <v>0</v>
      </c>
      <c r="RA116" s="0" t="n">
        <v>0.57</v>
      </c>
      <c r="RB116" s="0" t="n">
        <v>29.77</v>
      </c>
      <c r="RC116" s="0" t="n">
        <v>20.82</v>
      </c>
      <c r="RD116" s="0" t="n">
        <v>0</v>
      </c>
      <c r="RE116" s="0" t="n">
        <v>0</v>
      </c>
      <c r="RF116" s="0" t="n">
        <v>0</v>
      </c>
      <c r="RG116" s="0" t="n">
        <v>1</v>
      </c>
      <c r="RH116" s="0" t="n">
        <v>2</v>
      </c>
      <c r="RJ116" s="0" t="n">
        <v>1</v>
      </c>
      <c r="RN116" s="0" t="n">
        <v>2</v>
      </c>
      <c r="RP116" s="0" t="n">
        <v>1</v>
      </c>
      <c r="RT116" s="0" t="n">
        <v>0</v>
      </c>
      <c r="RU116" s="0" t="n">
        <v>0</v>
      </c>
      <c r="SF116" s="20"/>
      <c r="SX116" s="0" t="n">
        <v>0</v>
      </c>
      <c r="UI116" s="16" t="n">
        <v>0.32</v>
      </c>
      <c r="UJ116" s="16" t="n">
        <v>1</v>
      </c>
      <c r="UK116" s="16" t="n">
        <v>1</v>
      </c>
      <c r="UL116" s="16"/>
      <c r="UM116" s="16" t="n">
        <v>1.32</v>
      </c>
      <c r="UN116" s="16"/>
      <c r="UO116" s="16"/>
      <c r="UP116" s="16"/>
      <c r="UQ116" s="16"/>
      <c r="UR116" s="16"/>
      <c r="US116" s="16"/>
      <c r="UT116" s="16" t="n">
        <v>5.5</v>
      </c>
      <c r="UU116" s="16" t="n">
        <v>9.81</v>
      </c>
      <c r="UV116" s="16" t="n">
        <v>0</v>
      </c>
      <c r="UW116" s="16" t="n">
        <v>0</v>
      </c>
      <c r="UX116" s="16" t="n">
        <v>0</v>
      </c>
      <c r="UY116" s="16" t="n">
        <v>0</v>
      </c>
      <c r="UZ116" s="16" t="n">
        <v>0</v>
      </c>
      <c r="VA116" s="0" t="n">
        <v>0</v>
      </c>
      <c r="VB116" s="0" t="s">
        <v>510</v>
      </c>
      <c r="VC116" s="0" t="n">
        <v>33.5</v>
      </c>
      <c r="VD116" s="16" t="n">
        <v>74.7</v>
      </c>
      <c r="VE116" s="16" t="n">
        <v>80.4</v>
      </c>
      <c r="VF116" s="16" t="n">
        <v>23.3</v>
      </c>
      <c r="VG116" s="0" t="n">
        <v>67.74</v>
      </c>
      <c r="VH116" s="17" t="n">
        <v>0</v>
      </c>
      <c r="VI116" s="0" t="n">
        <v>10.14</v>
      </c>
      <c r="VJ116" s="0" t="n">
        <v>0</v>
      </c>
      <c r="VK116" s="0" t="n">
        <v>22.12</v>
      </c>
      <c r="VL116" s="0" t="n">
        <v>0</v>
      </c>
      <c r="VM116" s="0" t="n">
        <v>0</v>
      </c>
      <c r="VO116" s="0" t="n">
        <v>0</v>
      </c>
      <c r="VP116" s="0" t="n">
        <v>0</v>
      </c>
      <c r="VQ116" s="0" t="n">
        <v>0</v>
      </c>
      <c r="VR116" s="0" t="n">
        <v>0</v>
      </c>
      <c r="VS116" s="0" t="n">
        <v>51.2</v>
      </c>
      <c r="VT116" s="0" t="n">
        <v>15.83</v>
      </c>
      <c r="VU116" s="0" t="n">
        <v>0</v>
      </c>
      <c r="VV116" s="0" t="n">
        <v>0</v>
      </c>
      <c r="VW116" s="0" t="n">
        <v>0</v>
      </c>
      <c r="VX116" s="0" t="n">
        <v>0</v>
      </c>
      <c r="WK116" s="0" t="n">
        <v>2.3</v>
      </c>
      <c r="WL116" s="0" t="n">
        <v>0</v>
      </c>
      <c r="WW116" s="20"/>
      <c r="XO116" s="0" t="n">
        <v>1</v>
      </c>
      <c r="XP116" s="0" t="n">
        <v>50</v>
      </c>
      <c r="XQ116" s="0" t="n">
        <v>20</v>
      </c>
      <c r="XR116" s="0" t="n">
        <v>30.66</v>
      </c>
      <c r="XS116" s="0" t="n">
        <v>3</v>
      </c>
      <c r="XT116" s="0" t="n">
        <v>60</v>
      </c>
      <c r="XU116" s="0" t="n">
        <v>33</v>
      </c>
      <c r="XV116" s="0" t="n">
        <v>0.56</v>
      </c>
      <c r="XW116" s="0" t="n">
        <v>3</v>
      </c>
      <c r="YZ116" s="16" t="n">
        <v>0</v>
      </c>
      <c r="ZA116" s="16" t="n">
        <v>0</v>
      </c>
      <c r="ZB116" s="16"/>
      <c r="ZC116" s="16"/>
      <c r="ZD116" s="16"/>
      <c r="ZE116" s="16"/>
      <c r="ZF116" s="16"/>
      <c r="ZG116" s="16"/>
      <c r="ZH116" s="16"/>
      <c r="ZI116" s="16"/>
      <c r="ZJ116" s="16"/>
      <c r="ZK116" s="16" t="n">
        <v>5.22</v>
      </c>
      <c r="ZL116" s="16" t="n">
        <v>7.07</v>
      </c>
      <c r="ZM116" s="16" t="n">
        <v>0</v>
      </c>
      <c r="ZN116" s="16" t="n">
        <v>0</v>
      </c>
      <c r="ZO116" s="16" t="n">
        <v>0</v>
      </c>
      <c r="ZP116" s="16" t="n">
        <v>0</v>
      </c>
      <c r="ZQ116" s="16" t="n">
        <v>0</v>
      </c>
      <c r="ZR116" s="0" t="n">
        <v>0</v>
      </c>
      <c r="ZS116" s="0" t="s">
        <v>511</v>
      </c>
      <c r="ZT116" s="0" t="n">
        <v>36.5</v>
      </c>
      <c r="ZU116" s="16" t="n">
        <v>85.2</v>
      </c>
      <c r="ZV116" s="16" t="n">
        <v>80.4</v>
      </c>
      <c r="ZW116" s="16" t="n">
        <v>24.1</v>
      </c>
      <c r="ZX116" s="0" t="n">
        <v>65.36</v>
      </c>
      <c r="ZY116" s="17" t="n">
        <v>0</v>
      </c>
      <c r="ZZ116" s="0" t="n">
        <v>10.14</v>
      </c>
      <c r="AAA116" s="0" t="n">
        <v>0</v>
      </c>
      <c r="AAB116" s="0" t="n">
        <v>24.5</v>
      </c>
      <c r="AAC116" s="0" t="n">
        <v>0</v>
      </c>
      <c r="AAD116" s="0" t="n">
        <v>0</v>
      </c>
      <c r="AAF116" s="0" t="n">
        <v>0</v>
      </c>
      <c r="AAG116" s="0" t="n">
        <v>0</v>
      </c>
      <c r="AAH116" s="0" t="n">
        <v>0</v>
      </c>
      <c r="AAI116" s="0" t="n">
        <v>0</v>
      </c>
      <c r="AAJ116" s="0" t="n">
        <v>56.76</v>
      </c>
      <c r="AAK116" s="0" t="n">
        <v>17.5</v>
      </c>
      <c r="AAL116" s="0" t="n">
        <v>0</v>
      </c>
      <c r="AAM116" s="0" t="n">
        <v>0</v>
      </c>
      <c r="AAN116" s="0" t="n">
        <v>0</v>
      </c>
      <c r="AAO116" s="0" t="n">
        <v>0</v>
      </c>
      <c r="ABB116" s="0" t="n">
        <v>4.3</v>
      </c>
      <c r="ABC116" s="0" t="n">
        <v>0</v>
      </c>
      <c r="ABN116" s="20"/>
      <c r="ACF116" s="0" t="n">
        <v>1</v>
      </c>
      <c r="ACG116" s="0" t="n">
        <v>60</v>
      </c>
      <c r="ACH116" s="0" t="n">
        <v>53</v>
      </c>
      <c r="ACI116" s="0" t="n">
        <v>35.98</v>
      </c>
      <c r="ACJ116" s="0" t="n">
        <v>3</v>
      </c>
      <c r="ADQ116" s="16" t="n">
        <v>0</v>
      </c>
      <c r="ADR116" s="16" t="n">
        <v>0</v>
      </c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 t="n">
        <v>5.1</v>
      </c>
      <c r="AEC116" s="16" t="n">
        <v>5.93</v>
      </c>
      <c r="AED116" s="16" t="n">
        <v>0</v>
      </c>
      <c r="AEE116" s="16" t="n">
        <v>0</v>
      </c>
      <c r="AEF116" s="16" t="n">
        <v>0</v>
      </c>
      <c r="AEG116" s="16" t="n">
        <v>0</v>
      </c>
      <c r="AEH116" s="16" t="n">
        <v>0</v>
      </c>
      <c r="AEI116" s="0" t="n">
        <v>0</v>
      </c>
      <c r="AEJ116" s="0" t="s">
        <v>525</v>
      </c>
      <c r="AEK116" s="0" t="n">
        <v>16.5</v>
      </c>
      <c r="AEL116" s="16" t="n">
        <v>30.8</v>
      </c>
      <c r="AEM116" s="16" t="n">
        <v>80.4</v>
      </c>
      <c r="AEN116" s="16" t="n">
        <v>8.7</v>
      </c>
      <c r="AEO116" s="0" t="n">
        <v>86.39</v>
      </c>
      <c r="AEP116" s="17" t="n">
        <v>0</v>
      </c>
      <c r="AEQ116" s="0" t="n">
        <v>0</v>
      </c>
      <c r="AER116" s="0" t="n">
        <v>0</v>
      </c>
      <c r="AES116" s="0" t="n">
        <v>2.28</v>
      </c>
      <c r="AET116" s="0" t="n">
        <v>0</v>
      </c>
      <c r="AEU116" s="0" t="n">
        <v>9.09</v>
      </c>
      <c r="AEV116" s="0" t="n">
        <v>3.57</v>
      </c>
      <c r="AEW116" s="0" t="n">
        <v>0</v>
      </c>
      <c r="AEX116" s="0" t="n">
        <v>1.8</v>
      </c>
      <c r="AEY116" s="0" t="n">
        <v>0</v>
      </c>
      <c r="AEZ116" s="0" t="n">
        <v>1.8</v>
      </c>
      <c r="AFA116" s="0" t="n">
        <v>5.06</v>
      </c>
      <c r="AFB116" s="0" t="n">
        <v>7.89</v>
      </c>
      <c r="AFC116" s="0" t="n">
        <v>0</v>
      </c>
      <c r="AFD116" s="0" t="n">
        <v>0</v>
      </c>
      <c r="AFE116" s="0" t="n">
        <v>0</v>
      </c>
      <c r="AFF116" s="0" t="n">
        <v>0</v>
      </c>
      <c r="AFS116" s="0" t="n">
        <v>0</v>
      </c>
      <c r="AFT116" s="0" t="n">
        <v>1</v>
      </c>
      <c r="AFU116" s="0" t="n">
        <v>23</v>
      </c>
      <c r="AFV116" s="0" t="n">
        <v>2</v>
      </c>
      <c r="AFW116" s="0" t="n">
        <v>0.72</v>
      </c>
      <c r="AFX116" s="0" t="n">
        <v>3</v>
      </c>
      <c r="AGE116" s="20"/>
      <c r="AGW116" s="0" t="n">
        <v>0</v>
      </c>
      <c r="AIH116" s="16" t="n">
        <v>0.82</v>
      </c>
      <c r="AII116" s="16" t="n">
        <v>1</v>
      </c>
      <c r="AIJ116" s="16" t="n">
        <v>1</v>
      </c>
      <c r="AIK116" s="16"/>
      <c r="AIL116" s="16" t="n">
        <v>1.84</v>
      </c>
      <c r="AIM116" s="16"/>
      <c r="AIN116" s="16"/>
      <c r="AIO116" s="16"/>
      <c r="AIP116" s="16"/>
      <c r="AIQ116" s="16"/>
      <c r="AIR116" s="16"/>
      <c r="AIS116" s="16" t="n">
        <v>0</v>
      </c>
      <c r="AIT116" s="16" t="n">
        <v>0</v>
      </c>
      <c r="AIU116" s="16" t="n">
        <v>0</v>
      </c>
      <c r="AIV116" s="16" t="n">
        <v>0</v>
      </c>
      <c r="AIW116" s="16" t="n">
        <v>6.72</v>
      </c>
      <c r="AIX116" s="16" t="n">
        <v>0</v>
      </c>
      <c r="AIY116" s="16" t="n">
        <v>0</v>
      </c>
      <c r="AIZ116" s="0" t="n">
        <v>0</v>
      </c>
      <c r="AJA116" s="0" t="s">
        <v>530</v>
      </c>
      <c r="AJB116" s="0" t="n">
        <v>29.5</v>
      </c>
      <c r="AJC116" s="16" t="n">
        <v>87</v>
      </c>
      <c r="AJD116" s="16" t="n">
        <v>80.4</v>
      </c>
      <c r="AJE116" s="16" t="n">
        <v>20.9</v>
      </c>
      <c r="AJF116" s="0" t="n">
        <v>47.27</v>
      </c>
      <c r="AJG116" s="17" t="n">
        <v>0</v>
      </c>
      <c r="AJH116" s="0" t="n">
        <v>8.94</v>
      </c>
      <c r="AJI116" s="0" t="n">
        <v>0</v>
      </c>
      <c r="AJJ116" s="0" t="n">
        <v>5.89</v>
      </c>
      <c r="AJK116" s="0" t="n">
        <v>0</v>
      </c>
      <c r="AJL116" s="0" t="n">
        <v>37.82</v>
      </c>
      <c r="AJM116" s="0" t="n">
        <v>0.76</v>
      </c>
      <c r="AJN116" s="0" t="n">
        <v>0</v>
      </c>
      <c r="AJO116" s="0" t="n">
        <v>0</v>
      </c>
      <c r="AJP116" s="0" t="n">
        <v>0</v>
      </c>
      <c r="AJQ116" s="0" t="n">
        <v>41.87</v>
      </c>
      <c r="AJR116" s="0" t="n">
        <v>46.31</v>
      </c>
      <c r="AJS116" s="0" t="n">
        <v>18.03</v>
      </c>
      <c r="AJT116" s="0" t="n">
        <v>5.06</v>
      </c>
      <c r="AJU116" s="0" t="n">
        <v>0</v>
      </c>
      <c r="AJV116" s="0" t="n">
        <v>0</v>
      </c>
      <c r="AJW116" s="0" t="n">
        <v>0</v>
      </c>
      <c r="AKJ116" s="0" t="n">
        <v>1.1</v>
      </c>
      <c r="AKK116" s="0" t="n">
        <v>1</v>
      </c>
      <c r="AKL116" s="0" t="n">
        <v>35</v>
      </c>
      <c r="AKM116" s="0" t="n">
        <v>2</v>
      </c>
      <c r="AKN116" s="0" t="n">
        <v>0.23</v>
      </c>
      <c r="AKO116" s="0" t="n">
        <v>3</v>
      </c>
      <c r="AKV116" s="20"/>
      <c r="ALN116" s="0" t="n">
        <v>0</v>
      </c>
    </row>
    <row r="117" customFormat="false" ht="13.8" hidden="false" customHeight="false" outlineLevel="0" collapsed="false">
      <c r="A117" s="1" t="s">
        <v>536</v>
      </c>
      <c r="B117" s="12" t="n">
        <v>42905</v>
      </c>
      <c r="C117" s="0" t="n">
        <v>2</v>
      </c>
      <c r="D117" s="13" t="n">
        <v>42804</v>
      </c>
      <c r="E117" s="12" t="n">
        <v>33604</v>
      </c>
      <c r="F117" s="14" t="n">
        <f aca="false">(B117-E117)/365.25</f>
        <v>25.4647501711157</v>
      </c>
      <c r="G117" s="14" t="n">
        <f aca="false">(B117-D117)/365.25</f>
        <v>0.276522929500342</v>
      </c>
      <c r="H117" s="15" t="s">
        <v>183</v>
      </c>
      <c r="I117" s="15" t="s">
        <v>523</v>
      </c>
      <c r="J117" s="15" t="s">
        <v>181</v>
      </c>
      <c r="K117" s="21" t="n">
        <v>8</v>
      </c>
      <c r="L117" s="19" t="n">
        <v>96</v>
      </c>
      <c r="M117" s="0" t="n">
        <v>1.77</v>
      </c>
      <c r="N117" s="16" t="n">
        <f aca="false">L117/(M117*M117)</f>
        <v>30.6425356698267</v>
      </c>
      <c r="O117" s="19" t="n">
        <v>0</v>
      </c>
      <c r="P117" s="19" t="n">
        <v>0</v>
      </c>
      <c r="Q117" s="19" t="n">
        <v>0</v>
      </c>
      <c r="R117" s="19" t="n">
        <v>0</v>
      </c>
      <c r="S117" s="19" t="n">
        <v>0</v>
      </c>
      <c r="T117" s="19" t="n">
        <v>0</v>
      </c>
      <c r="U117" s="19" t="n">
        <v>1</v>
      </c>
      <c r="V117" s="19" t="n">
        <v>6</v>
      </c>
      <c r="W117" s="19" t="n">
        <v>0</v>
      </c>
      <c r="X117" s="19" t="n">
        <v>0</v>
      </c>
      <c r="Y117" s="19" t="n">
        <v>1</v>
      </c>
      <c r="Z117" s="19" t="n">
        <v>1</v>
      </c>
      <c r="AA117" s="19" t="n">
        <v>60</v>
      </c>
      <c r="AB117" s="19" t="s">
        <v>537</v>
      </c>
      <c r="AC117" s="19" t="n">
        <v>0</v>
      </c>
      <c r="AD117" s="19" t="n">
        <v>0</v>
      </c>
      <c r="AE117" s="19" t="n">
        <v>0</v>
      </c>
      <c r="AF117" s="19" t="n">
        <v>0</v>
      </c>
      <c r="AG117" s="19" t="n">
        <v>0</v>
      </c>
      <c r="AH117" s="19" t="n">
        <v>0</v>
      </c>
      <c r="AI117" s="19" t="n">
        <v>0</v>
      </c>
      <c r="AJ117" s="19" t="n">
        <v>0</v>
      </c>
      <c r="AK117" s="19" t="n">
        <v>0</v>
      </c>
      <c r="AL117" s="19" t="n">
        <v>0</v>
      </c>
      <c r="AM117" s="19" t="n">
        <v>0</v>
      </c>
      <c r="AN117" s="19" t="n">
        <v>0</v>
      </c>
      <c r="AO117" s="19" t="n">
        <v>0</v>
      </c>
      <c r="AP117" s="19" t="n">
        <v>0</v>
      </c>
      <c r="AQ117" s="19" t="n">
        <v>0</v>
      </c>
      <c r="AR117" s="19" t="n">
        <v>0</v>
      </c>
      <c r="AS117" s="19" t="n">
        <v>1</v>
      </c>
      <c r="AT117" s="19" t="n">
        <v>0</v>
      </c>
      <c r="AU117" s="19" t="n">
        <v>0</v>
      </c>
      <c r="AV117" s="19" t="n">
        <v>0</v>
      </c>
      <c r="AW117" s="19" t="n">
        <v>0</v>
      </c>
      <c r="AX117" s="19" t="n">
        <v>0</v>
      </c>
      <c r="AY117" s="19" t="n">
        <v>0</v>
      </c>
      <c r="AZ117" s="19" t="n">
        <v>0</v>
      </c>
      <c r="BA117" s="19" t="n">
        <v>0</v>
      </c>
      <c r="BB117" s="19" t="n">
        <v>0</v>
      </c>
      <c r="BC117" s="19" t="n">
        <v>0</v>
      </c>
      <c r="BD117" s="19" t="n">
        <v>0</v>
      </c>
      <c r="BE117" s="19" t="n">
        <v>0</v>
      </c>
      <c r="BF117" s="19" t="n">
        <v>0</v>
      </c>
      <c r="BG117" s="19" t="n">
        <v>0</v>
      </c>
      <c r="BH117" s="19" t="n">
        <v>0</v>
      </c>
      <c r="BI117" s="19" t="n">
        <v>0</v>
      </c>
      <c r="BJ117" s="19" t="n">
        <v>0</v>
      </c>
      <c r="BK117" s="19" t="n">
        <v>0</v>
      </c>
      <c r="BL117" s="19" t="n">
        <v>0</v>
      </c>
      <c r="BM117" s="19" t="n">
        <v>0</v>
      </c>
      <c r="BN117" s="19" t="n">
        <v>0</v>
      </c>
      <c r="BO117" s="19" t="n">
        <v>0</v>
      </c>
      <c r="BP117" s="19" t="n">
        <v>0</v>
      </c>
      <c r="BQ117" s="19" t="n">
        <v>0</v>
      </c>
      <c r="BR117" s="19" t="n">
        <v>1</v>
      </c>
      <c r="BS117" s="19" t="n">
        <v>1</v>
      </c>
      <c r="BT117" s="19" t="n">
        <v>2</v>
      </c>
      <c r="BU117" s="19" t="n">
        <v>5</v>
      </c>
      <c r="BV117" s="19" t="n">
        <v>3</v>
      </c>
      <c r="BW117" s="19" t="n">
        <v>1</v>
      </c>
      <c r="BX117" s="19" t="n">
        <v>3</v>
      </c>
      <c r="BY117" s="19" t="n">
        <v>5</v>
      </c>
      <c r="BZ117" s="19" t="n">
        <v>5</v>
      </c>
      <c r="CA117" s="19" t="n">
        <v>5</v>
      </c>
      <c r="CB117" s="19" t="n">
        <v>5</v>
      </c>
      <c r="CC117" s="19" t="n">
        <v>5</v>
      </c>
      <c r="CD117" s="19" t="n">
        <v>5</v>
      </c>
      <c r="CE117" s="19" t="n">
        <v>5</v>
      </c>
      <c r="CF117" s="19" t="n">
        <v>5</v>
      </c>
      <c r="CG117" s="19" t="n">
        <v>5</v>
      </c>
      <c r="CH117" s="19" t="n">
        <v>5</v>
      </c>
      <c r="CI117" s="19" t="n">
        <v>5</v>
      </c>
      <c r="CJ117" s="19" t="n">
        <v>5</v>
      </c>
      <c r="CK117" s="19" t="n">
        <v>8</v>
      </c>
      <c r="CL117" s="0" t="s">
        <v>533</v>
      </c>
      <c r="CM117" s="0" t="n">
        <v>30.5</v>
      </c>
      <c r="CN117" s="16" t="n">
        <v>84.8</v>
      </c>
      <c r="CO117" s="16" t="n">
        <v>80.4</v>
      </c>
      <c r="CP117" s="16" t="n">
        <v>23.9</v>
      </c>
      <c r="CQ117" s="0" t="n">
        <v>79.32</v>
      </c>
      <c r="CR117" s="17" t="n">
        <v>0</v>
      </c>
      <c r="CS117" s="0" t="n">
        <v>18.78</v>
      </c>
      <c r="CT117" s="0" t="n">
        <v>1.49</v>
      </c>
      <c r="CU117" s="0" t="n">
        <v>0.4</v>
      </c>
      <c r="CV117" s="0" t="n">
        <v>0</v>
      </c>
      <c r="CW117" s="0" t="n">
        <v>0</v>
      </c>
      <c r="CY117" s="0" t="n">
        <v>0</v>
      </c>
      <c r="CZ117" s="0" t="n">
        <v>0</v>
      </c>
      <c r="DA117" s="0" t="n">
        <v>0</v>
      </c>
      <c r="DB117" s="0" t="n">
        <v>6.38</v>
      </c>
      <c r="DC117" s="0" t="n">
        <v>49.21</v>
      </c>
      <c r="DD117" s="0" t="n">
        <v>12.84</v>
      </c>
      <c r="DE117" s="0" t="n">
        <v>1.21</v>
      </c>
      <c r="DF117" s="0" t="n">
        <v>0</v>
      </c>
      <c r="DG117" s="0" t="n">
        <v>0</v>
      </c>
      <c r="DH117" s="0" t="n">
        <v>0</v>
      </c>
      <c r="DU117" s="0" t="n">
        <v>0</v>
      </c>
      <c r="DV117" s="0" t="n">
        <v>0</v>
      </c>
      <c r="EG117" s="20"/>
      <c r="EY117" s="0" t="n">
        <v>1</v>
      </c>
      <c r="EZ117" s="0" t="n">
        <v>40</v>
      </c>
      <c r="FA117" s="0" t="n">
        <v>1</v>
      </c>
      <c r="FB117" s="0" t="n">
        <v>2.09</v>
      </c>
      <c r="FC117" s="0" t="n">
        <v>1</v>
      </c>
      <c r="GJ117" s="16" t="n">
        <v>0.62</v>
      </c>
      <c r="GK117" s="16" t="n">
        <v>1</v>
      </c>
      <c r="GL117" s="16" t="n">
        <v>1</v>
      </c>
      <c r="GM117" s="16"/>
      <c r="GN117" s="16" t="n">
        <v>4.14</v>
      </c>
      <c r="GO117" s="16"/>
      <c r="GP117" s="16"/>
      <c r="GQ117" s="16"/>
      <c r="GR117" s="16"/>
      <c r="GS117" s="16"/>
      <c r="GT117" s="16"/>
      <c r="GU117" s="16" t="n">
        <v>0</v>
      </c>
      <c r="GV117" s="16" t="n">
        <v>0</v>
      </c>
      <c r="GW117" s="16" t="n">
        <v>0</v>
      </c>
      <c r="GX117" s="16" t="n">
        <v>0</v>
      </c>
      <c r="GY117" s="16" t="n">
        <v>0</v>
      </c>
      <c r="GZ117" s="16" t="n">
        <v>0</v>
      </c>
      <c r="HA117" s="16" t="n">
        <v>3.21</v>
      </c>
      <c r="HB117" s="0" t="n">
        <v>0</v>
      </c>
      <c r="HC117" s="0" t="s">
        <v>507</v>
      </c>
      <c r="HD117" s="0" t="n">
        <v>30</v>
      </c>
      <c r="HE117" s="16" t="n">
        <v>86.6</v>
      </c>
      <c r="HF117" s="16" t="n">
        <v>80.4</v>
      </c>
      <c r="HG117" s="16" t="n">
        <v>20.4</v>
      </c>
      <c r="HH117" s="0" t="n">
        <v>82.62</v>
      </c>
      <c r="HI117" s="17" t="n">
        <v>0</v>
      </c>
      <c r="HJ117" s="0" t="n">
        <v>15.49</v>
      </c>
      <c r="HK117" s="0" t="n">
        <v>1.49</v>
      </c>
      <c r="HL117" s="0" t="n">
        <v>0.4</v>
      </c>
      <c r="HM117" s="0" t="n">
        <v>0</v>
      </c>
      <c r="HN117" s="0" t="n">
        <v>0</v>
      </c>
      <c r="HP117" s="0" t="n">
        <v>0</v>
      </c>
      <c r="HQ117" s="0" t="n">
        <v>0</v>
      </c>
      <c r="HR117" s="0" t="n">
        <v>0</v>
      </c>
      <c r="HS117" s="0" t="n">
        <v>6.38</v>
      </c>
      <c r="HT117" s="0" t="n">
        <v>56.11</v>
      </c>
      <c r="HU117" s="0" t="n">
        <v>8.46</v>
      </c>
      <c r="HV117" s="0" t="n">
        <v>1.21</v>
      </c>
      <c r="HW117" s="0" t="n">
        <v>0</v>
      </c>
      <c r="HX117" s="0" t="n">
        <v>0</v>
      </c>
      <c r="HY117" s="0" t="n">
        <v>0</v>
      </c>
      <c r="IL117" s="0" t="n">
        <v>0.5</v>
      </c>
      <c r="IM117" s="0" t="n">
        <v>0</v>
      </c>
      <c r="IX117" s="20"/>
      <c r="JP117" s="0" t="n">
        <v>1</v>
      </c>
      <c r="JQ117" s="0" t="n">
        <v>40</v>
      </c>
      <c r="JR117" s="0" t="n">
        <v>1</v>
      </c>
      <c r="JS117" s="0" t="n">
        <v>1.71</v>
      </c>
      <c r="JT117" s="0" t="n">
        <v>2</v>
      </c>
      <c r="JU117" s="0" t="n">
        <v>50</v>
      </c>
      <c r="JV117" s="0" t="n">
        <v>1</v>
      </c>
      <c r="JW117" s="0" t="n">
        <v>0.13</v>
      </c>
      <c r="JX117" s="0" t="n">
        <v>2</v>
      </c>
      <c r="LA117" s="16" t="n">
        <v>0.62</v>
      </c>
      <c r="LB117" s="16" t="n">
        <v>1</v>
      </c>
      <c r="LC117" s="16" t="n">
        <v>1</v>
      </c>
      <c r="LD117" s="16"/>
      <c r="LE117" s="16" t="n">
        <v>4.14</v>
      </c>
      <c r="LF117" s="16"/>
      <c r="LG117" s="16"/>
      <c r="LH117" s="16"/>
      <c r="LI117" s="16"/>
      <c r="LJ117" s="16"/>
      <c r="LK117" s="16"/>
      <c r="LL117" s="16" t="n">
        <v>0</v>
      </c>
      <c r="LM117" s="16" t="n">
        <v>0</v>
      </c>
      <c r="LN117" s="16" t="n">
        <v>0</v>
      </c>
      <c r="LO117" s="16" t="n">
        <v>0</v>
      </c>
      <c r="LP117" s="16" t="n">
        <v>5.97</v>
      </c>
      <c r="LQ117" s="16" t="n">
        <v>0</v>
      </c>
      <c r="LR117" s="16" t="n">
        <v>0</v>
      </c>
      <c r="LS117" s="0" t="n">
        <v>2</v>
      </c>
      <c r="LT117" s="0" t="s">
        <v>508</v>
      </c>
      <c r="LU117" s="0" t="n">
        <v>42.5</v>
      </c>
      <c r="LV117" s="16" t="n">
        <v>81.7</v>
      </c>
      <c r="LW117" s="16" t="n">
        <v>80.4</v>
      </c>
      <c r="LX117" s="16" t="n">
        <v>18.4</v>
      </c>
      <c r="LY117" s="0" t="n">
        <v>80.68</v>
      </c>
      <c r="LZ117" s="17" t="n">
        <v>0</v>
      </c>
      <c r="MA117" s="0" t="n">
        <v>8.41</v>
      </c>
      <c r="MB117" s="0" t="n">
        <v>1.93</v>
      </c>
      <c r="MC117" s="0" t="n">
        <v>8.98</v>
      </c>
      <c r="MD117" s="0" t="n">
        <v>0</v>
      </c>
      <c r="ME117" s="0" t="n">
        <v>0</v>
      </c>
      <c r="MG117" s="0" t="n">
        <v>0</v>
      </c>
      <c r="MH117" s="0" t="n">
        <v>0</v>
      </c>
      <c r="MI117" s="0" t="n">
        <v>0</v>
      </c>
      <c r="MJ117" s="0" t="n">
        <v>0.07</v>
      </c>
      <c r="MK117" s="0" t="n">
        <v>26.86</v>
      </c>
      <c r="ML117" s="0" t="n">
        <v>25.47</v>
      </c>
      <c r="MM117" s="0" t="n">
        <v>0</v>
      </c>
      <c r="MN117" s="0" t="n">
        <v>0</v>
      </c>
      <c r="MO117" s="0" t="n">
        <v>0</v>
      </c>
      <c r="MP117" s="0" t="n">
        <v>0</v>
      </c>
      <c r="NC117" s="0" t="n">
        <v>17.9</v>
      </c>
      <c r="ND117" s="0" t="n">
        <v>1</v>
      </c>
      <c r="NE117" s="0" t="n">
        <v>33</v>
      </c>
      <c r="NF117" s="0" t="n">
        <v>2</v>
      </c>
      <c r="NG117" s="0" t="n">
        <v>1.52</v>
      </c>
      <c r="NH117" s="0" t="n">
        <v>4</v>
      </c>
      <c r="NI117" s="0" t="n">
        <v>35</v>
      </c>
      <c r="NJ117" s="0" t="n">
        <v>3</v>
      </c>
      <c r="NK117" s="0" t="n">
        <v>1.3</v>
      </c>
      <c r="NL117" s="0" t="n">
        <v>3</v>
      </c>
      <c r="NO117" s="20"/>
      <c r="OG117" s="0" t="n">
        <v>0</v>
      </c>
      <c r="PR117" s="16" t="n">
        <v>0</v>
      </c>
      <c r="PS117" s="16" t="n">
        <v>0</v>
      </c>
      <c r="PT117" s="16"/>
      <c r="PU117" s="16"/>
      <c r="PV117" s="16"/>
      <c r="PW117" s="16"/>
      <c r="PX117" s="16"/>
      <c r="PY117" s="16"/>
      <c r="PZ117" s="16"/>
      <c r="QA117" s="16"/>
      <c r="QB117" s="16"/>
      <c r="QC117" s="16" t="n">
        <v>4.29</v>
      </c>
      <c r="QD117" s="16" t="n">
        <v>2.66</v>
      </c>
      <c r="QE117" s="16" t="n">
        <v>0</v>
      </c>
      <c r="QF117" s="16" t="n">
        <v>0</v>
      </c>
      <c r="QG117" s="16" t="n">
        <v>0</v>
      </c>
      <c r="QH117" s="16" t="n">
        <v>0</v>
      </c>
      <c r="QI117" s="16" t="n">
        <v>0</v>
      </c>
      <c r="QJ117" s="0" t="n">
        <v>0</v>
      </c>
      <c r="QK117" s="0" t="s">
        <v>509</v>
      </c>
      <c r="QL117" s="0" t="n">
        <v>29</v>
      </c>
      <c r="QM117" s="16" t="n">
        <v>76.1</v>
      </c>
      <c r="QN117" s="16" t="n">
        <v>80.4</v>
      </c>
      <c r="QO117" s="16" t="n">
        <v>20.5</v>
      </c>
      <c r="QP117" s="0" t="n">
        <v>77.86</v>
      </c>
      <c r="QQ117" s="17" t="n">
        <v>0</v>
      </c>
      <c r="QR117" s="0" t="n">
        <v>13.05</v>
      </c>
      <c r="QS117" s="0" t="n">
        <v>0</v>
      </c>
      <c r="QT117" s="0" t="n">
        <v>9.1</v>
      </c>
      <c r="QU117" s="0" t="n">
        <v>0</v>
      </c>
      <c r="QV117" s="0" t="n">
        <v>0</v>
      </c>
      <c r="QX117" s="0" t="n">
        <v>0</v>
      </c>
      <c r="QY117" s="0" t="n">
        <v>0</v>
      </c>
      <c r="QZ117" s="0" t="n">
        <v>0</v>
      </c>
      <c r="RA117" s="0" t="n">
        <v>0.57</v>
      </c>
      <c r="RB117" s="0" t="n">
        <v>29.77</v>
      </c>
      <c r="RC117" s="0" t="n">
        <v>20.82</v>
      </c>
      <c r="RD117" s="0" t="n">
        <v>0</v>
      </c>
      <c r="RE117" s="0" t="n">
        <v>0</v>
      </c>
      <c r="RF117" s="0" t="n">
        <v>0</v>
      </c>
      <c r="RG117" s="0" t="n">
        <v>1</v>
      </c>
      <c r="RH117" s="0" t="n">
        <v>2</v>
      </c>
      <c r="RJ117" s="0" t="n">
        <v>1</v>
      </c>
      <c r="RN117" s="0" t="n">
        <v>2</v>
      </c>
      <c r="RP117" s="0" t="n">
        <v>1</v>
      </c>
      <c r="RT117" s="0" t="n">
        <v>0</v>
      </c>
      <c r="RU117" s="0" t="n">
        <v>0</v>
      </c>
      <c r="SF117" s="20"/>
      <c r="SX117" s="0" t="n">
        <v>0</v>
      </c>
      <c r="UI117" s="16" t="n">
        <v>0.32</v>
      </c>
      <c r="UJ117" s="16" t="n">
        <v>1</v>
      </c>
      <c r="UK117" s="16" t="n">
        <v>1</v>
      </c>
      <c r="UL117" s="16"/>
      <c r="UM117" s="16" t="n">
        <v>1.32</v>
      </c>
      <c r="UN117" s="16"/>
      <c r="UO117" s="16"/>
      <c r="UP117" s="16"/>
      <c r="UQ117" s="16"/>
      <c r="UR117" s="16"/>
      <c r="US117" s="16"/>
      <c r="UT117" s="16" t="n">
        <v>5.5</v>
      </c>
      <c r="UU117" s="16" t="n">
        <v>9.81</v>
      </c>
      <c r="UV117" s="16" t="n">
        <v>0</v>
      </c>
      <c r="UW117" s="16" t="n">
        <v>0</v>
      </c>
      <c r="UX117" s="16" t="n">
        <v>0</v>
      </c>
      <c r="UY117" s="16" t="n">
        <v>0</v>
      </c>
      <c r="UZ117" s="16" t="n">
        <v>0</v>
      </c>
      <c r="VA117" s="0" t="n">
        <v>0</v>
      </c>
      <c r="VB117" s="0" t="s">
        <v>510</v>
      </c>
      <c r="VC117" s="0" t="n">
        <v>33.5</v>
      </c>
      <c r="VD117" s="16" t="n">
        <v>74.7</v>
      </c>
      <c r="VE117" s="16" t="n">
        <v>80.4</v>
      </c>
      <c r="VF117" s="16" t="n">
        <v>23.3</v>
      </c>
      <c r="VG117" s="0" t="n">
        <v>67.74</v>
      </c>
      <c r="VH117" s="17" t="n">
        <v>0</v>
      </c>
      <c r="VI117" s="0" t="n">
        <v>10.14</v>
      </c>
      <c r="VJ117" s="0" t="n">
        <v>0</v>
      </c>
      <c r="VK117" s="0" t="n">
        <v>22.12</v>
      </c>
      <c r="VL117" s="0" t="n">
        <v>0</v>
      </c>
      <c r="VM117" s="0" t="n">
        <v>0</v>
      </c>
      <c r="VO117" s="0" t="n">
        <v>0</v>
      </c>
      <c r="VP117" s="0" t="n">
        <v>0</v>
      </c>
      <c r="VQ117" s="0" t="n">
        <v>0</v>
      </c>
      <c r="VR117" s="0" t="n">
        <v>0</v>
      </c>
      <c r="VS117" s="0" t="n">
        <v>51.2</v>
      </c>
      <c r="VT117" s="0" t="n">
        <v>15.83</v>
      </c>
      <c r="VU117" s="0" t="n">
        <v>0</v>
      </c>
      <c r="VV117" s="0" t="n">
        <v>0</v>
      </c>
      <c r="VW117" s="0" t="n">
        <v>0</v>
      </c>
      <c r="VX117" s="0" t="n">
        <v>0</v>
      </c>
      <c r="WK117" s="0" t="n">
        <v>2.3</v>
      </c>
      <c r="WL117" s="0" t="n">
        <v>0</v>
      </c>
      <c r="WW117" s="20"/>
      <c r="XO117" s="0" t="n">
        <v>1</v>
      </c>
      <c r="XP117" s="0" t="n">
        <v>50</v>
      </c>
      <c r="XQ117" s="0" t="n">
        <v>20</v>
      </c>
      <c r="XR117" s="0" t="n">
        <v>30.66</v>
      </c>
      <c r="XS117" s="0" t="n">
        <v>3</v>
      </c>
      <c r="XT117" s="0" t="n">
        <v>60</v>
      </c>
      <c r="XU117" s="0" t="n">
        <v>33</v>
      </c>
      <c r="XV117" s="0" t="n">
        <v>0.56</v>
      </c>
      <c r="XW117" s="0" t="n">
        <v>3</v>
      </c>
      <c r="YZ117" s="16" t="n">
        <v>0</v>
      </c>
      <c r="ZA117" s="16" t="n">
        <v>0</v>
      </c>
      <c r="ZB117" s="16"/>
      <c r="ZC117" s="16"/>
      <c r="ZD117" s="16"/>
      <c r="ZE117" s="16"/>
      <c r="ZF117" s="16"/>
      <c r="ZG117" s="16"/>
      <c r="ZH117" s="16"/>
      <c r="ZI117" s="16"/>
      <c r="ZJ117" s="16"/>
      <c r="ZK117" s="16" t="n">
        <v>5.22</v>
      </c>
      <c r="ZL117" s="16" t="n">
        <v>7.07</v>
      </c>
      <c r="ZM117" s="16" t="n">
        <v>0</v>
      </c>
      <c r="ZN117" s="16" t="n">
        <v>0</v>
      </c>
      <c r="ZO117" s="16" t="n">
        <v>0</v>
      </c>
      <c r="ZP117" s="16" t="n">
        <v>0</v>
      </c>
      <c r="ZQ117" s="16" t="n">
        <v>0</v>
      </c>
      <c r="ZR117" s="0" t="n">
        <v>0</v>
      </c>
      <c r="ZS117" s="0" t="s">
        <v>511</v>
      </c>
      <c r="ZT117" s="0" t="n">
        <v>36.5</v>
      </c>
      <c r="ZU117" s="16" t="n">
        <v>85.2</v>
      </c>
      <c r="ZV117" s="16" t="n">
        <v>80.4</v>
      </c>
      <c r="ZW117" s="16" t="n">
        <v>24.1</v>
      </c>
      <c r="ZX117" s="0" t="n">
        <v>65.36</v>
      </c>
      <c r="ZY117" s="17" t="n">
        <v>0</v>
      </c>
      <c r="ZZ117" s="0" t="n">
        <v>10.14</v>
      </c>
      <c r="AAA117" s="0" t="n">
        <v>0</v>
      </c>
      <c r="AAB117" s="0" t="n">
        <v>24.5</v>
      </c>
      <c r="AAC117" s="0" t="n">
        <v>0</v>
      </c>
      <c r="AAD117" s="0" t="n">
        <v>0</v>
      </c>
      <c r="AAF117" s="0" t="n">
        <v>0</v>
      </c>
      <c r="AAG117" s="0" t="n">
        <v>0</v>
      </c>
      <c r="AAH117" s="0" t="n">
        <v>0</v>
      </c>
      <c r="AAI117" s="0" t="n">
        <v>0</v>
      </c>
      <c r="AAJ117" s="0" t="n">
        <v>56.76</v>
      </c>
      <c r="AAK117" s="0" t="n">
        <v>17.5</v>
      </c>
      <c r="AAL117" s="0" t="n">
        <v>0</v>
      </c>
      <c r="AAM117" s="0" t="n">
        <v>0</v>
      </c>
      <c r="AAN117" s="0" t="n">
        <v>0</v>
      </c>
      <c r="AAO117" s="0" t="n">
        <v>0</v>
      </c>
      <c r="ABB117" s="0" t="n">
        <v>4.3</v>
      </c>
      <c r="ABC117" s="0" t="n">
        <v>0</v>
      </c>
      <c r="ABN117" s="20"/>
      <c r="ACF117" s="0" t="n">
        <v>1</v>
      </c>
      <c r="ACG117" s="0" t="n">
        <v>60</v>
      </c>
      <c r="ACH117" s="0" t="n">
        <v>53</v>
      </c>
      <c r="ACI117" s="0" t="n">
        <v>35.98</v>
      </c>
      <c r="ACJ117" s="0" t="n">
        <v>3</v>
      </c>
      <c r="ADQ117" s="16" t="n">
        <v>0</v>
      </c>
      <c r="ADR117" s="16" t="n">
        <v>0</v>
      </c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 t="n">
        <v>5.1</v>
      </c>
      <c r="AEC117" s="16" t="n">
        <v>5.93</v>
      </c>
      <c r="AED117" s="16" t="n">
        <v>0</v>
      </c>
      <c r="AEE117" s="16" t="n">
        <v>0</v>
      </c>
      <c r="AEF117" s="16" t="n">
        <v>0</v>
      </c>
      <c r="AEG117" s="16" t="n">
        <v>0</v>
      </c>
      <c r="AEH117" s="16" t="n">
        <v>0</v>
      </c>
      <c r="AEI117" s="0" t="n">
        <v>0</v>
      </c>
      <c r="AEJ117" s="0" t="s">
        <v>512</v>
      </c>
      <c r="AEK117" s="0" t="n">
        <v>33</v>
      </c>
      <c r="AEL117" s="16" t="n">
        <v>70.6</v>
      </c>
      <c r="AEM117" s="16" t="n">
        <v>80.4</v>
      </c>
      <c r="AEN117" s="16" t="n">
        <v>29.2</v>
      </c>
      <c r="AEO117" s="0" t="n">
        <v>16.94</v>
      </c>
      <c r="AEP117" s="17" t="n">
        <v>0</v>
      </c>
      <c r="AEQ117" s="0" t="n">
        <v>0</v>
      </c>
      <c r="AER117" s="0" t="n">
        <v>0</v>
      </c>
      <c r="AES117" s="0" t="n">
        <v>0</v>
      </c>
      <c r="AET117" s="0" t="n">
        <v>0</v>
      </c>
      <c r="AEU117" s="0" t="n">
        <v>83.06</v>
      </c>
      <c r="AEV117" s="0" t="n">
        <v>25.18</v>
      </c>
      <c r="AEW117" s="0" t="n">
        <v>8.7</v>
      </c>
      <c r="AEX117" s="0" t="n">
        <v>0</v>
      </c>
      <c r="AEY117" s="0" t="n">
        <v>0</v>
      </c>
      <c r="AEZ117" s="0" t="n">
        <v>0</v>
      </c>
      <c r="AFA117" s="0" t="n">
        <v>13.49</v>
      </c>
      <c r="AFB117" s="0" t="n">
        <v>16.48</v>
      </c>
      <c r="AFC117" s="0" t="n">
        <v>0</v>
      </c>
      <c r="AFD117" s="0" t="n">
        <v>0</v>
      </c>
      <c r="AFE117" s="0" t="n">
        <v>0</v>
      </c>
      <c r="AFF117" s="0" t="n">
        <v>0</v>
      </c>
      <c r="AFS117" s="0" t="n">
        <v>0</v>
      </c>
      <c r="AFT117" s="0" t="n">
        <v>0</v>
      </c>
      <c r="AGE117" s="20"/>
      <c r="AGW117" s="0" t="n">
        <v>0</v>
      </c>
      <c r="AIH117" s="16" t="n">
        <v>3.62</v>
      </c>
      <c r="AII117" s="16" t="n">
        <v>1</v>
      </c>
      <c r="AIJ117" s="16" t="n">
        <v>1</v>
      </c>
      <c r="AIK117" s="16"/>
      <c r="AIL117" s="16" t="n">
        <v>16.74</v>
      </c>
      <c r="AIM117" s="16"/>
      <c r="AIN117" s="16"/>
      <c r="AIO117" s="16"/>
      <c r="AIP117" s="16"/>
      <c r="AIQ117" s="16"/>
      <c r="AIR117" s="16"/>
      <c r="AIS117" s="16" t="n">
        <v>0</v>
      </c>
      <c r="AIT117" s="16" t="n">
        <v>0</v>
      </c>
      <c r="AIU117" s="16" t="n">
        <v>0</v>
      </c>
      <c r="AIV117" s="16" t="n">
        <v>0</v>
      </c>
      <c r="AIW117" s="16" t="n">
        <v>0</v>
      </c>
      <c r="AIX117" s="16" t="n">
        <v>0</v>
      </c>
      <c r="AIY117" s="16" t="n">
        <v>0</v>
      </c>
      <c r="AIZ117" s="0" t="n">
        <v>0</v>
      </c>
      <c r="AJA117" s="0" t="s">
        <v>513</v>
      </c>
      <c r="AJB117" s="0" t="n">
        <v>26</v>
      </c>
      <c r="AJC117" s="16" t="n">
        <v>68.5</v>
      </c>
      <c r="AJD117" s="16" t="n">
        <v>80.4</v>
      </c>
      <c r="AJE117" s="16" t="n">
        <v>15.6</v>
      </c>
      <c r="AJF117" s="0" t="n">
        <v>18.9</v>
      </c>
      <c r="AJG117" s="17" t="n">
        <v>0</v>
      </c>
      <c r="AJH117" s="0" t="n">
        <v>0</v>
      </c>
      <c r="AJI117" s="0" t="n">
        <v>0</v>
      </c>
      <c r="AJJ117" s="0" t="n">
        <v>3.51</v>
      </c>
      <c r="AJK117" s="0" t="n">
        <v>0</v>
      </c>
      <c r="AJL117" s="0" t="n">
        <v>77.39</v>
      </c>
      <c r="AJM117" s="0" t="n">
        <v>0</v>
      </c>
      <c r="AJN117" s="0" t="n">
        <v>2.06</v>
      </c>
      <c r="AJO117" s="0" t="n">
        <v>0</v>
      </c>
      <c r="AJP117" s="0" t="n">
        <v>0</v>
      </c>
      <c r="AJQ117" s="0" t="n">
        <v>45.86</v>
      </c>
      <c r="AJR117" s="0" t="n">
        <v>16.26</v>
      </c>
      <c r="AJS117" s="0" t="n">
        <v>26.58</v>
      </c>
      <c r="AJT117" s="0" t="n">
        <v>0</v>
      </c>
      <c r="AJU117" s="0" t="n">
        <v>0</v>
      </c>
      <c r="AJV117" s="0" t="n">
        <v>0</v>
      </c>
      <c r="AJW117" s="0" t="n">
        <v>0</v>
      </c>
      <c r="AKJ117" s="0" t="n">
        <v>3</v>
      </c>
      <c r="AKK117" s="0" t="n">
        <v>0</v>
      </c>
      <c r="AKV117" s="20"/>
      <c r="ALN117" s="0" t="n">
        <v>1</v>
      </c>
      <c r="ALO117" s="0" t="n">
        <v>50</v>
      </c>
      <c r="ALP117" s="0" t="n">
        <v>10</v>
      </c>
      <c r="ALQ117" s="0" t="n">
        <v>5.31</v>
      </c>
      <c r="ALR117" s="0" t="n">
        <v>3</v>
      </c>
    </row>
    <row r="118" customFormat="false" ht="13.8" hidden="false" customHeight="false" outlineLevel="0" collapsed="false">
      <c r="A118" s="1" t="s">
        <v>538</v>
      </c>
      <c r="B118" s="12" t="n">
        <v>42906</v>
      </c>
      <c r="C118" s="0" t="n">
        <v>1</v>
      </c>
      <c r="D118" s="13" t="n">
        <v>40672</v>
      </c>
      <c r="E118" s="12" t="n">
        <v>25997</v>
      </c>
      <c r="F118" s="14" t="n">
        <f aca="false">(B118-E118)/365.25</f>
        <v>46.2943189596167</v>
      </c>
      <c r="G118" s="14" t="n">
        <f aca="false">(B118-D118)/365.25</f>
        <v>6.11635865845311</v>
      </c>
      <c r="H118" s="15" t="s">
        <v>183</v>
      </c>
      <c r="I118" s="15" t="s">
        <v>523</v>
      </c>
      <c r="J118" s="15" t="s">
        <v>181</v>
      </c>
      <c r="K118" s="21" t="n">
        <v>8</v>
      </c>
      <c r="L118" s="19" t="n">
        <v>74</v>
      </c>
      <c r="M118" s="0" t="n">
        <v>1.67</v>
      </c>
      <c r="N118" s="16" t="n">
        <f aca="false">L118/(M118*M118)</f>
        <v>26.5337588296461</v>
      </c>
      <c r="O118" s="19" t="n">
        <v>0</v>
      </c>
      <c r="P118" s="19" t="n">
        <v>0</v>
      </c>
      <c r="Q118" s="19" t="n">
        <v>0</v>
      </c>
      <c r="R118" s="19" t="n">
        <v>0</v>
      </c>
      <c r="S118" s="19" t="n">
        <v>0</v>
      </c>
      <c r="T118" s="19" t="n">
        <v>0</v>
      </c>
      <c r="U118" s="19" t="n">
        <v>0</v>
      </c>
      <c r="V118" s="19" t="n">
        <v>0</v>
      </c>
      <c r="W118" s="19" t="n">
        <v>1</v>
      </c>
      <c r="X118" s="19" t="n">
        <v>0</v>
      </c>
      <c r="Y118" s="19" t="n">
        <v>1</v>
      </c>
      <c r="Z118" s="19" t="n">
        <v>2</v>
      </c>
      <c r="AA118" s="19" t="n">
        <v>180</v>
      </c>
      <c r="AB118" s="19" t="s">
        <v>539</v>
      </c>
      <c r="AC118" s="19" t="n">
        <v>0</v>
      </c>
      <c r="AD118" s="19" t="n">
        <v>0</v>
      </c>
      <c r="AE118" s="19" t="n">
        <v>1</v>
      </c>
      <c r="AF118" s="19" t="n">
        <v>0</v>
      </c>
      <c r="AG118" s="19" t="n">
        <v>0</v>
      </c>
      <c r="AH118" s="19" t="n">
        <v>0</v>
      </c>
      <c r="AN118" s="19" t="n">
        <v>0</v>
      </c>
      <c r="AO118" s="19" t="n">
        <v>0</v>
      </c>
      <c r="AP118" s="19" t="n">
        <v>0</v>
      </c>
      <c r="AQ118" s="19" t="n">
        <v>0</v>
      </c>
      <c r="AR118" s="19" t="n">
        <v>0</v>
      </c>
      <c r="AS118" s="19" t="n">
        <v>3</v>
      </c>
      <c r="AT118" s="19" t="n">
        <v>0</v>
      </c>
      <c r="AU118" s="19" t="n">
        <v>0</v>
      </c>
      <c r="AV118" s="19" t="n">
        <v>0</v>
      </c>
      <c r="AW118" s="19" t="n">
        <v>0</v>
      </c>
      <c r="AX118" s="19" t="n">
        <v>0</v>
      </c>
      <c r="AY118" s="19" t="n">
        <v>0</v>
      </c>
      <c r="AZ118" s="19" t="n">
        <v>0</v>
      </c>
      <c r="BA118" s="19" t="n">
        <v>0</v>
      </c>
      <c r="BB118" s="19" t="n">
        <v>0</v>
      </c>
      <c r="BC118" s="19" t="n">
        <v>0</v>
      </c>
      <c r="BD118" s="19" t="n">
        <v>0</v>
      </c>
      <c r="BE118" s="19" t="n">
        <v>0</v>
      </c>
      <c r="BF118" s="19" t="n">
        <v>0</v>
      </c>
      <c r="BG118" s="19" t="n">
        <v>0</v>
      </c>
      <c r="BH118" s="19" t="n">
        <v>0</v>
      </c>
      <c r="BI118" s="19" t="n">
        <v>0</v>
      </c>
      <c r="BJ118" s="19" t="n">
        <v>1</v>
      </c>
      <c r="BK118" s="19" t="n">
        <v>1</v>
      </c>
      <c r="BL118" s="19" t="n">
        <v>1</v>
      </c>
      <c r="BM118" s="19" t="n">
        <v>10</v>
      </c>
      <c r="BN118" s="19" t="n">
        <v>0</v>
      </c>
      <c r="BO118" s="19" t="n">
        <v>0</v>
      </c>
      <c r="BP118" s="19" t="n">
        <v>0</v>
      </c>
      <c r="BQ118" s="19" t="n">
        <v>0</v>
      </c>
      <c r="BR118" s="19" t="n">
        <v>1</v>
      </c>
      <c r="BS118" s="19" t="n">
        <v>1</v>
      </c>
      <c r="BT118" s="19" t="n">
        <v>3</v>
      </c>
      <c r="BU118" s="19" t="n">
        <v>5</v>
      </c>
      <c r="BV118" s="19" t="n">
        <v>3</v>
      </c>
      <c r="BW118" s="19" t="n">
        <v>3</v>
      </c>
      <c r="BX118" s="19" t="n">
        <v>4</v>
      </c>
      <c r="BY118" s="19"/>
      <c r="BZ118" s="19"/>
      <c r="CA118" s="19"/>
      <c r="CB118" s="19" t="n">
        <v>3</v>
      </c>
      <c r="CC118" s="19" t="n">
        <v>4</v>
      </c>
      <c r="CD118" s="19" t="n">
        <v>4</v>
      </c>
      <c r="CE118" s="19" t="n">
        <v>3</v>
      </c>
      <c r="CF118" s="19" t="n">
        <v>3</v>
      </c>
      <c r="CG118" s="19" t="n">
        <v>4</v>
      </c>
      <c r="CH118" s="19" t="n">
        <v>4</v>
      </c>
      <c r="CI118" s="19" t="n">
        <v>4</v>
      </c>
      <c r="CJ118" s="19" t="n">
        <v>4</v>
      </c>
      <c r="CK118" s="19" t="n">
        <v>8</v>
      </c>
      <c r="CL118" s="0" t="s">
        <v>540</v>
      </c>
      <c r="CM118" s="0" t="n">
        <v>70.5</v>
      </c>
      <c r="CN118" s="16" t="n">
        <v>88.2</v>
      </c>
      <c r="CO118" s="16" t="n">
        <v>80.4</v>
      </c>
      <c r="CP118" s="16" t="n">
        <v>36.3</v>
      </c>
      <c r="CQ118" s="0" t="n">
        <v>72.69</v>
      </c>
      <c r="CR118" s="17" t="n">
        <v>0</v>
      </c>
      <c r="CS118" s="0" t="n">
        <v>10.32</v>
      </c>
      <c r="CT118" s="0" t="n">
        <v>16.99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36.66</v>
      </c>
      <c r="DD118" s="0" t="n">
        <v>7.54</v>
      </c>
      <c r="DE118" s="0" t="n">
        <v>10.32</v>
      </c>
      <c r="DF118" s="0" t="n">
        <v>0</v>
      </c>
      <c r="DG118" s="0" t="n">
        <v>0</v>
      </c>
      <c r="DH118" s="0" t="n">
        <v>0</v>
      </c>
      <c r="DU118" s="0" t="n">
        <v>21.2</v>
      </c>
      <c r="DV118" s="0" t="n">
        <v>1</v>
      </c>
      <c r="DW118" s="0" t="n">
        <v>35</v>
      </c>
      <c r="DX118" s="0" t="n">
        <v>7</v>
      </c>
      <c r="DY118" s="0" t="n">
        <f aca="false">5.71+0.54</f>
        <v>6.25</v>
      </c>
      <c r="DZ118" s="0" t="n">
        <v>3</v>
      </c>
      <c r="EA118" s="0" t="n">
        <v>47</v>
      </c>
      <c r="EB118" s="0" t="n">
        <v>2</v>
      </c>
      <c r="EC118" s="0" t="n">
        <v>0.4</v>
      </c>
      <c r="ED118" s="0" t="n">
        <v>3</v>
      </c>
      <c r="EG118" s="20"/>
      <c r="EY118" s="0" t="n">
        <v>0</v>
      </c>
      <c r="GJ118" s="16" t="n">
        <v>11.58</v>
      </c>
      <c r="GK118" s="16" t="n">
        <v>1</v>
      </c>
      <c r="GL118" s="16" t="n">
        <v>2</v>
      </c>
      <c r="GM118" s="16"/>
      <c r="GN118" s="16" t="n">
        <f aca="false">0.22+1.95+3.81+0.27+0.32+0.04+0.05</f>
        <v>6.66</v>
      </c>
      <c r="GO118" s="16"/>
      <c r="GP118" s="16"/>
      <c r="GQ118" s="16"/>
      <c r="GR118" s="16"/>
      <c r="GS118" s="16"/>
      <c r="GT118" s="16"/>
      <c r="GU118" s="16" t="n">
        <v>0.27</v>
      </c>
      <c r="GV118" s="16" t="n">
        <v>0.27</v>
      </c>
      <c r="GW118" s="16" t="n">
        <v>0</v>
      </c>
      <c r="GX118" s="16" t="n">
        <v>0</v>
      </c>
      <c r="GY118" s="16" t="n">
        <v>0</v>
      </c>
      <c r="GZ118" s="16" t="n">
        <v>0</v>
      </c>
      <c r="HA118" s="16" t="n">
        <v>0</v>
      </c>
      <c r="HB118" s="0" t="n">
        <v>0</v>
      </c>
      <c r="HC118" s="0" t="s">
        <v>541</v>
      </c>
      <c r="HD118" s="0" t="n">
        <v>94.5</v>
      </c>
      <c r="HE118" s="16" t="n">
        <v>88.2</v>
      </c>
      <c r="HF118" s="16" t="n">
        <v>80.4</v>
      </c>
      <c r="HG118" s="16" t="n">
        <v>73.1</v>
      </c>
      <c r="HH118" s="0" t="n">
        <v>41.34</v>
      </c>
      <c r="HI118" s="17" t="n">
        <v>0</v>
      </c>
      <c r="HJ118" s="0" t="n">
        <v>8.63</v>
      </c>
      <c r="HK118" s="0" t="n">
        <v>0.04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8.06</v>
      </c>
      <c r="HU118" s="0" t="n">
        <v>3.65</v>
      </c>
      <c r="HV118" s="0" t="n">
        <v>7.2</v>
      </c>
      <c r="HW118" s="0" t="n">
        <v>0</v>
      </c>
      <c r="HX118" s="0" t="n">
        <v>0</v>
      </c>
      <c r="HY118" s="0" t="n">
        <v>0</v>
      </c>
      <c r="IL118" s="0" t="n">
        <v>9.4</v>
      </c>
      <c r="IM118" s="0" t="n">
        <v>1</v>
      </c>
      <c r="IN118" s="0" t="n">
        <v>35</v>
      </c>
      <c r="IO118" s="0" t="n">
        <v>2</v>
      </c>
      <c r="IP118" s="0" t="n">
        <f aca="false">0.76+0.45</f>
        <v>1.21</v>
      </c>
      <c r="IQ118" s="0" t="n">
        <v>3</v>
      </c>
      <c r="IX118" s="20"/>
      <c r="JP118" s="0" t="n">
        <v>1</v>
      </c>
      <c r="JQ118" s="0" t="n">
        <v>70</v>
      </c>
      <c r="JR118" s="0" t="n">
        <v>2</v>
      </c>
      <c r="JS118" s="0" t="n">
        <f aca="false">0.75+1.69</f>
        <v>2.44</v>
      </c>
      <c r="JT118" s="0" t="n">
        <v>2</v>
      </c>
      <c r="LA118" s="16" t="n">
        <v>0.84</v>
      </c>
      <c r="LB118" s="16" t="n">
        <v>1</v>
      </c>
      <c r="LC118" s="16" t="n">
        <v>1</v>
      </c>
      <c r="LD118" s="16"/>
      <c r="LE118" s="16" t="n">
        <v>0.6</v>
      </c>
      <c r="LF118" s="16"/>
      <c r="LG118" s="16"/>
      <c r="LH118" s="16"/>
      <c r="LI118" s="16"/>
      <c r="LJ118" s="16"/>
      <c r="LK118" s="16"/>
      <c r="LL118" s="16" t="n">
        <v>10.19</v>
      </c>
      <c r="LM118" s="16" t="n">
        <v>8.46</v>
      </c>
      <c r="LN118" s="16" t="n">
        <v>0</v>
      </c>
      <c r="LO118" s="16" t="n">
        <v>0</v>
      </c>
      <c r="LP118" s="16" t="n">
        <v>0</v>
      </c>
      <c r="LQ118" s="16" t="n">
        <v>0</v>
      </c>
      <c r="LR118" s="16" t="n">
        <v>0</v>
      </c>
      <c r="LS118" s="0" t="n">
        <v>0</v>
      </c>
      <c r="LT118" s="0" t="s">
        <v>542</v>
      </c>
      <c r="LU118" s="0" t="n">
        <v>75</v>
      </c>
      <c r="LV118" s="16" t="n">
        <v>91.2</v>
      </c>
      <c r="LW118" s="16" t="n">
        <v>80.4</v>
      </c>
      <c r="LX118" s="16" t="n">
        <v>61</v>
      </c>
      <c r="LY118" s="0" t="n">
        <v>53.67</v>
      </c>
      <c r="LZ118" s="17" t="n">
        <v>0</v>
      </c>
      <c r="MA118" s="0" t="n">
        <v>16.76</v>
      </c>
      <c r="MB118" s="0" t="n">
        <v>29.58</v>
      </c>
      <c r="MC118" s="0" t="n">
        <v>0</v>
      </c>
      <c r="MD118" s="0" t="n">
        <v>0</v>
      </c>
      <c r="ME118" s="0" t="n">
        <v>0</v>
      </c>
      <c r="MF118" s="0" t="n">
        <v>0</v>
      </c>
      <c r="MG118" s="0" t="n">
        <v>0</v>
      </c>
      <c r="MH118" s="0" t="n">
        <v>0</v>
      </c>
      <c r="MI118" s="0" t="n">
        <v>0</v>
      </c>
      <c r="MJ118" s="0" t="n">
        <v>0</v>
      </c>
      <c r="MK118" s="0" t="n">
        <v>6.79</v>
      </c>
      <c r="ML118" s="0" t="n">
        <v>14.97</v>
      </c>
      <c r="MM118" s="0" t="n">
        <v>18.24</v>
      </c>
      <c r="MN118" s="0" t="n">
        <v>0</v>
      </c>
      <c r="MO118" s="0" t="n">
        <v>0</v>
      </c>
      <c r="MP118" s="0" t="n">
        <v>0</v>
      </c>
      <c r="NC118" s="0" t="n">
        <v>9</v>
      </c>
      <c r="ND118" s="0" t="n">
        <v>1</v>
      </c>
      <c r="NE118" s="0" t="n">
        <v>68</v>
      </c>
      <c r="NF118" s="0" t="n">
        <v>1</v>
      </c>
      <c r="NG118" s="0" t="n">
        <v>0.38</v>
      </c>
      <c r="NH118" s="0" t="n">
        <v>1</v>
      </c>
      <c r="NI118" s="0" t="n">
        <v>47</v>
      </c>
      <c r="NJ118" s="0" t="n">
        <v>1</v>
      </c>
      <c r="NK118" s="0" t="n">
        <v>1.13</v>
      </c>
      <c r="NL118" s="0" t="n">
        <v>3</v>
      </c>
      <c r="NO118" s="20"/>
      <c r="OG118" s="0" t="n">
        <v>1</v>
      </c>
      <c r="OH118" s="0" t="n">
        <v>70</v>
      </c>
      <c r="OI118" s="0" t="n">
        <v>2</v>
      </c>
      <c r="OJ118" s="0" t="n">
        <f aca="false">1.69+0.75</f>
        <v>2.44</v>
      </c>
      <c r="OK118" s="0" t="n">
        <v>2</v>
      </c>
      <c r="PR118" s="16" t="n">
        <v>1.88</v>
      </c>
      <c r="PS118" s="16" t="n">
        <v>1</v>
      </c>
      <c r="PT118" s="16" t="n">
        <v>1</v>
      </c>
      <c r="PU118" s="16"/>
      <c r="PV118" s="16" t="n">
        <f aca="false">1.04+1.04+1.04</f>
        <v>3.12</v>
      </c>
      <c r="PW118" s="16"/>
      <c r="PX118" s="16"/>
      <c r="PY118" s="16"/>
      <c r="PZ118" s="16"/>
      <c r="QA118" s="16"/>
      <c r="QB118" s="16"/>
      <c r="QC118" s="16" t="n">
        <v>1.5</v>
      </c>
      <c r="QD118" s="16" t="n">
        <v>1.5</v>
      </c>
      <c r="QE118" s="16" t="n">
        <v>0</v>
      </c>
      <c r="QF118" s="16" t="n">
        <v>0</v>
      </c>
      <c r="QG118" s="16" t="n">
        <v>0</v>
      </c>
      <c r="QH118" s="16" t="n">
        <v>0</v>
      </c>
      <c r="QI118" s="16" t="n">
        <v>0</v>
      </c>
      <c r="QJ118" s="0" t="n">
        <v>0</v>
      </c>
      <c r="QK118" s="0" t="s">
        <v>543</v>
      </c>
      <c r="QL118" s="0" t="n">
        <v>21</v>
      </c>
      <c r="QM118" s="16" t="n">
        <v>77.9</v>
      </c>
      <c r="QN118" s="16" t="n">
        <v>160.8</v>
      </c>
      <c r="QO118" s="16" t="n">
        <v>14.1</v>
      </c>
      <c r="QP118" s="0" t="n">
        <v>87.99</v>
      </c>
      <c r="QQ118" s="17" t="n">
        <v>0</v>
      </c>
      <c r="QR118" s="0" t="n">
        <v>3.38</v>
      </c>
      <c r="QS118" s="0" t="n">
        <v>0</v>
      </c>
      <c r="QT118" s="0" t="n">
        <v>8.63</v>
      </c>
      <c r="QU118" s="0" t="n">
        <v>0</v>
      </c>
      <c r="QV118" s="0" t="n">
        <v>0</v>
      </c>
      <c r="QW118" s="0" t="n">
        <v>0</v>
      </c>
      <c r="QX118" s="0" t="n">
        <v>0</v>
      </c>
      <c r="QY118" s="0" t="n">
        <v>0</v>
      </c>
      <c r="QZ118" s="0" t="n">
        <v>0</v>
      </c>
      <c r="RA118" s="0" t="n">
        <v>0</v>
      </c>
      <c r="RB118" s="0" t="n">
        <v>0</v>
      </c>
      <c r="RC118" s="0" t="n">
        <v>65.6</v>
      </c>
      <c r="RD118" s="0" t="n">
        <v>0</v>
      </c>
      <c r="RE118" s="0" t="n">
        <v>0</v>
      </c>
      <c r="RF118" s="0" t="n">
        <v>0</v>
      </c>
      <c r="RG118" s="0" t="n">
        <v>0</v>
      </c>
      <c r="RT118" s="0" t="n">
        <v>1.4</v>
      </c>
      <c r="RU118" s="0" t="n">
        <v>1</v>
      </c>
      <c r="RV118" s="0" t="n">
        <v>35</v>
      </c>
      <c r="RW118" s="0" t="n">
        <v>3</v>
      </c>
      <c r="RX118" s="0" t="n">
        <f aca="false">0.38</f>
        <v>0.38</v>
      </c>
      <c r="RY118" s="0" t="n">
        <v>3</v>
      </c>
      <c r="RZ118" s="0" t="n">
        <v>34</v>
      </c>
      <c r="SA118" s="0" t="n">
        <v>27</v>
      </c>
      <c r="SB118" s="0" t="n">
        <f aca="false">0.19+0.19+1.13+3.38+0.56+1.5+1.13+0.38</f>
        <v>8.46</v>
      </c>
      <c r="SC118" s="0" t="n">
        <v>1</v>
      </c>
      <c r="SF118" s="20"/>
      <c r="SX118" s="0" t="n">
        <v>1</v>
      </c>
      <c r="SY118" s="0" t="n">
        <v>40</v>
      </c>
      <c r="SZ118" s="0" t="n">
        <v>9</v>
      </c>
      <c r="TA118" s="0" t="n">
        <f aca="false">0.38+1.13+3+1.88+0.75</f>
        <v>7.14</v>
      </c>
      <c r="TB118" s="0" t="n">
        <v>3</v>
      </c>
      <c r="UI118" s="16" t="n">
        <v>0</v>
      </c>
      <c r="UJ118" s="16" t="n">
        <v>0</v>
      </c>
      <c r="UK118" s="16"/>
      <c r="UL118" s="16"/>
      <c r="UM118" s="16"/>
      <c r="UN118" s="16"/>
      <c r="UO118" s="16"/>
      <c r="UP118" s="16"/>
      <c r="UQ118" s="16"/>
      <c r="UR118" s="16"/>
      <c r="US118" s="16"/>
      <c r="UT118" s="16" t="n">
        <v>5.27</v>
      </c>
      <c r="UU118" s="16" t="n">
        <v>1.5</v>
      </c>
      <c r="UV118" s="16" t="n">
        <v>0</v>
      </c>
      <c r="UW118" s="16" t="n">
        <v>0</v>
      </c>
      <c r="UX118" s="16" t="n">
        <v>0</v>
      </c>
      <c r="UY118" s="16" t="n">
        <v>0</v>
      </c>
      <c r="UZ118" s="16" t="n">
        <v>0</v>
      </c>
      <c r="VA118" s="0" t="n">
        <v>0</v>
      </c>
      <c r="VE118" s="15"/>
      <c r="VF118" s="15"/>
      <c r="VM118" s="15"/>
      <c r="VN118" s="15"/>
      <c r="VU118" s="15"/>
      <c r="VV118" s="15"/>
      <c r="WC118" s="15"/>
      <c r="WD118" s="15"/>
      <c r="WK118" s="15"/>
      <c r="WL118" s="15"/>
      <c r="WS118" s="15"/>
      <c r="WT118" s="15"/>
      <c r="XA118" s="15"/>
      <c r="XB118" s="15"/>
      <c r="XI118" s="15"/>
      <c r="XJ118" s="15"/>
      <c r="XQ118" s="15"/>
      <c r="XR118" s="15"/>
      <c r="XY118" s="15"/>
      <c r="XZ118" s="15"/>
      <c r="YG118" s="15"/>
      <c r="YH118" s="15"/>
      <c r="YO118" s="15"/>
      <c r="YP118" s="15"/>
      <c r="YW118" s="15"/>
      <c r="YX118" s="15"/>
      <c r="ZE118" s="15"/>
      <c r="ZF118" s="15"/>
      <c r="ZM118" s="15"/>
      <c r="ZN118" s="15"/>
      <c r="ZU118" s="15"/>
      <c r="ZV118" s="15"/>
      <c r="AAC118" s="15"/>
      <c r="AAD118" s="15"/>
      <c r="AAK118" s="15"/>
      <c r="AAL118" s="15"/>
      <c r="AAS118" s="15"/>
      <c r="AAT118" s="15"/>
      <c r="ABA118" s="15"/>
      <c r="ABB118" s="15"/>
      <c r="ABI118" s="15"/>
      <c r="ABJ118" s="15"/>
      <c r="ABQ118" s="15"/>
      <c r="ABR118" s="15"/>
      <c r="ABY118" s="15"/>
      <c r="ABZ118" s="15"/>
      <c r="ACG118" s="15"/>
      <c r="ACH118" s="15"/>
      <c r="ACO118" s="15"/>
      <c r="ACP118" s="15"/>
      <c r="ACW118" s="15"/>
      <c r="ACX118" s="15"/>
      <c r="ADE118" s="15"/>
      <c r="ADF118" s="15"/>
      <c r="ADM118" s="15"/>
      <c r="ADN118" s="15"/>
      <c r="ADU118" s="15"/>
      <c r="ADV118" s="15"/>
      <c r="AEC118" s="15"/>
      <c r="AED118" s="15"/>
      <c r="AEK118" s="15"/>
      <c r="AEL118" s="15"/>
      <c r="AES118" s="15"/>
      <c r="AET118" s="15"/>
      <c r="AFA118" s="15"/>
      <c r="AFB118" s="15"/>
      <c r="AFI118" s="15"/>
      <c r="AFJ118" s="15"/>
      <c r="AFQ118" s="15"/>
      <c r="AFR118" s="15"/>
      <c r="AFY118" s="15"/>
      <c r="AFZ118" s="15"/>
      <c r="AGG118" s="15"/>
      <c r="AGH118" s="15"/>
      <c r="AGO118" s="15"/>
      <c r="AGP118" s="15"/>
      <c r="AGW118" s="15"/>
      <c r="AGX118" s="15"/>
      <c r="AHE118" s="15"/>
      <c r="AHF118" s="15"/>
      <c r="AHM118" s="15"/>
      <c r="AHN118" s="15"/>
      <c r="AHU118" s="15"/>
      <c r="AHV118" s="15"/>
      <c r="AIC118" s="15"/>
      <c r="AID118" s="15"/>
      <c r="AIK118" s="15"/>
      <c r="AIL118" s="15"/>
      <c r="AIS118" s="15"/>
      <c r="AIT118" s="15"/>
      <c r="AJA118" s="15"/>
      <c r="AJB118" s="15"/>
      <c r="AJI118" s="15"/>
      <c r="AJJ118" s="15"/>
      <c r="AJQ118" s="15"/>
      <c r="AJR118" s="15"/>
      <c r="AJY118" s="15"/>
      <c r="AJZ118" s="15"/>
      <c r="AKG118" s="15"/>
      <c r="AKH118" s="15"/>
      <c r="AKO118" s="15"/>
      <c r="AKP118" s="15"/>
      <c r="AKW118" s="15"/>
      <c r="AKX118" s="15"/>
      <c r="ALE118" s="15"/>
      <c r="ALF118" s="15"/>
      <c r="ALM118" s="15"/>
      <c r="ALN118" s="15"/>
      <c r="ALU118" s="15"/>
      <c r="ALV118" s="15"/>
      <c r="AMC118" s="15"/>
      <c r="AMD118" s="15"/>
    </row>
    <row r="119" customFormat="false" ht="13.8" hidden="false" customHeight="false" outlineLevel="0" collapsed="false">
      <c r="A119" s="1" t="s">
        <v>544</v>
      </c>
      <c r="B119" s="12" t="n">
        <v>42905</v>
      </c>
      <c r="C119" s="0" t="n">
        <v>2</v>
      </c>
      <c r="D119" s="13" t="n">
        <v>42776</v>
      </c>
      <c r="E119" s="12" t="n">
        <v>35996</v>
      </c>
      <c r="F119" s="14" t="n">
        <f aca="false">(B119-E119)/365.25</f>
        <v>18.9158110882957</v>
      </c>
      <c r="G119" s="14" t="n">
        <f aca="false">(B119-D119)/365.25</f>
        <v>0.353182751540041</v>
      </c>
      <c r="H119" s="15" t="s">
        <v>217</v>
      </c>
      <c r="I119" s="15" t="s">
        <v>545</v>
      </c>
      <c r="J119" s="15" t="s">
        <v>181</v>
      </c>
      <c r="K119" s="21" t="n">
        <v>8</v>
      </c>
      <c r="L119" s="19" t="n">
        <v>80</v>
      </c>
      <c r="M119" s="0" t="n">
        <v>1.75</v>
      </c>
      <c r="N119" s="16" t="n">
        <f aca="false">L119/(M119*M119)</f>
        <v>26.1224489795918</v>
      </c>
      <c r="O119" s="19" t="n">
        <v>0</v>
      </c>
      <c r="P119" s="19" t="n">
        <v>0</v>
      </c>
      <c r="Q119" s="19" t="n">
        <v>0</v>
      </c>
      <c r="R119" s="19" t="n">
        <v>0</v>
      </c>
      <c r="S119" s="19" t="n">
        <v>0</v>
      </c>
      <c r="T119" s="19" t="n">
        <v>0</v>
      </c>
      <c r="U119" s="19" t="n">
        <v>0</v>
      </c>
      <c r="V119" s="19" t="n">
        <v>0</v>
      </c>
      <c r="W119" s="19" t="n">
        <v>0</v>
      </c>
      <c r="X119" s="19" t="n">
        <v>0</v>
      </c>
      <c r="Y119" s="19" t="n">
        <v>1</v>
      </c>
      <c r="Z119" s="19" t="n">
        <v>1</v>
      </c>
      <c r="AA119" s="19" t="n">
        <v>60</v>
      </c>
      <c r="AB119" s="19" t="s">
        <v>308</v>
      </c>
      <c r="AC119" s="19" t="n">
        <v>1</v>
      </c>
      <c r="AD119" s="19" t="n">
        <v>8</v>
      </c>
      <c r="AE119" s="19" t="n">
        <v>0</v>
      </c>
      <c r="AF119" s="19" t="n">
        <v>0</v>
      </c>
      <c r="AG119" s="19" t="n">
        <v>0</v>
      </c>
      <c r="AH119" s="19" t="n">
        <v>0</v>
      </c>
      <c r="AI119" s="19" t="n">
        <v>0</v>
      </c>
      <c r="AJ119" s="19" t="n">
        <v>0</v>
      </c>
      <c r="AK119" s="19" t="n">
        <v>0</v>
      </c>
      <c r="AL119" s="19" t="n">
        <v>0</v>
      </c>
      <c r="AM119" s="19" t="n">
        <v>0</v>
      </c>
      <c r="AN119" s="19" t="n">
        <v>0</v>
      </c>
      <c r="AO119" s="19" t="n">
        <v>0</v>
      </c>
      <c r="AP119" s="19" t="n">
        <v>0</v>
      </c>
      <c r="AQ119" s="19" t="n">
        <v>0</v>
      </c>
      <c r="AR119" s="19" t="n">
        <v>0</v>
      </c>
      <c r="AS119" s="19" t="n">
        <v>1</v>
      </c>
      <c r="AT119" s="19" t="n">
        <v>0</v>
      </c>
      <c r="AU119" s="19" t="n">
        <v>0</v>
      </c>
      <c r="AV119" s="19" t="n">
        <v>0</v>
      </c>
      <c r="AW119" s="19" t="n">
        <v>0</v>
      </c>
      <c r="AX119" s="19" t="n">
        <v>0</v>
      </c>
      <c r="AY119" s="19" t="n">
        <v>0</v>
      </c>
      <c r="AZ119" s="19" t="n">
        <v>0</v>
      </c>
      <c r="BA119" s="19" t="n">
        <v>0</v>
      </c>
      <c r="BB119" s="19" t="n">
        <v>0</v>
      </c>
      <c r="BC119" s="19" t="n">
        <v>0</v>
      </c>
      <c r="BD119" s="19" t="n">
        <v>0</v>
      </c>
      <c r="BE119" s="19" t="n">
        <v>0</v>
      </c>
      <c r="BF119" s="19" t="n">
        <v>0</v>
      </c>
      <c r="BG119" s="19" t="n">
        <v>0</v>
      </c>
      <c r="BH119" s="19" t="n">
        <v>0</v>
      </c>
      <c r="BI119" s="19" t="n">
        <v>0</v>
      </c>
      <c r="BJ119" s="19" t="n">
        <v>0</v>
      </c>
      <c r="BK119" s="19" t="n">
        <v>0</v>
      </c>
      <c r="BL119" s="19" t="n">
        <v>0</v>
      </c>
      <c r="BM119" s="19" t="n">
        <v>0</v>
      </c>
      <c r="BN119" s="19" t="n">
        <v>0</v>
      </c>
      <c r="BO119" s="19" t="n">
        <v>0</v>
      </c>
      <c r="BP119" s="19" t="n">
        <v>0</v>
      </c>
      <c r="BQ119" s="19" t="n">
        <v>0</v>
      </c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 t="n">
        <v>4</v>
      </c>
      <c r="CI119" s="19" t="n">
        <v>5</v>
      </c>
      <c r="CJ119" s="19" t="n">
        <v>5</v>
      </c>
      <c r="CK119" s="19" t="n">
        <v>9</v>
      </c>
      <c r="CL119" s="0" t="s">
        <v>546</v>
      </c>
      <c r="CM119" s="0" t="n">
        <v>16.5</v>
      </c>
      <c r="CN119" s="16" t="n">
        <v>35.3</v>
      </c>
      <c r="CO119" s="16" t="n">
        <v>80.4</v>
      </c>
      <c r="CP119" s="16" t="n">
        <v>9.7</v>
      </c>
      <c r="CQ119" s="0" t="n">
        <v>86.56</v>
      </c>
      <c r="CR119" s="0" t="n">
        <v>12.61</v>
      </c>
      <c r="CS119" s="0" t="n">
        <v>0</v>
      </c>
      <c r="CT119" s="0" t="n">
        <v>0</v>
      </c>
      <c r="CU119" s="0" t="n">
        <v>0.83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2.22</v>
      </c>
      <c r="DD119" s="0" t="n">
        <v>20.83</v>
      </c>
      <c r="DE119" s="0" t="n">
        <v>0</v>
      </c>
      <c r="DF119" s="0" t="n">
        <v>0</v>
      </c>
      <c r="DG119" s="0" t="n">
        <v>0</v>
      </c>
      <c r="DH119" s="0" t="n">
        <v>0</v>
      </c>
      <c r="DU119" s="0" t="n">
        <v>0.3</v>
      </c>
      <c r="DV119" s="0" t="n">
        <v>1</v>
      </c>
      <c r="DW119" s="0" t="n">
        <v>34</v>
      </c>
      <c r="DX119" s="0" t="n">
        <v>4</v>
      </c>
      <c r="DY119" s="0" t="n">
        <f aca="false">1.35+0.45+1.35+0.45</f>
        <v>3.6</v>
      </c>
      <c r="DZ119" s="0" t="n">
        <v>1</v>
      </c>
      <c r="EA119" s="0" t="n">
        <v>52</v>
      </c>
      <c r="EB119" s="0" t="n">
        <v>1</v>
      </c>
      <c r="EC119" s="0" t="n">
        <f aca="false">0.18</f>
        <v>0.18</v>
      </c>
      <c r="ED119" s="0" t="n">
        <v>2</v>
      </c>
      <c r="EG119" s="18"/>
      <c r="EY119" s="0" t="n">
        <v>0</v>
      </c>
      <c r="GJ119" s="16" t="n">
        <v>0.28</v>
      </c>
      <c r="GK119" s="16" t="n">
        <v>1</v>
      </c>
      <c r="GL119" s="16" t="n">
        <v>2</v>
      </c>
      <c r="GM119" s="16"/>
      <c r="GN119" s="16" t="n">
        <f aca="false">0.37+0.26</f>
        <v>0.63</v>
      </c>
      <c r="GO119" s="16"/>
      <c r="GP119" s="16"/>
      <c r="GQ119" s="16"/>
      <c r="GR119" s="16"/>
      <c r="GS119" s="16"/>
      <c r="GT119" s="16"/>
      <c r="GU119" s="16" t="n">
        <v>5.99</v>
      </c>
      <c r="GV119" s="16" t="n">
        <v>5.34</v>
      </c>
      <c r="GW119" s="16"/>
      <c r="GX119" s="16"/>
      <c r="GY119" s="16" t="n">
        <v>0</v>
      </c>
      <c r="GZ119" s="16" t="n">
        <v>0</v>
      </c>
      <c r="HA119" s="16" t="n">
        <v>0</v>
      </c>
      <c r="HB119" s="0" t="n">
        <v>0</v>
      </c>
      <c r="HC119" s="0" t="s">
        <v>547</v>
      </c>
      <c r="HD119" s="0" t="n">
        <v>29.5</v>
      </c>
      <c r="HE119" s="16" t="n">
        <v>87.5</v>
      </c>
      <c r="HF119" s="16" t="n">
        <v>80.4</v>
      </c>
      <c r="HG119" s="16" t="n">
        <v>14.3</v>
      </c>
      <c r="HH119" s="0" t="n">
        <v>68.7</v>
      </c>
      <c r="HI119" s="0" t="n">
        <v>23.24</v>
      </c>
      <c r="HJ119" s="0" t="n">
        <v>1.79</v>
      </c>
      <c r="HK119" s="0" t="n">
        <v>0</v>
      </c>
      <c r="HL119" s="0" t="n">
        <v>6.27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</v>
      </c>
      <c r="HT119" s="0" t="n">
        <v>7.01</v>
      </c>
      <c r="HU119" s="0" t="n">
        <v>58.72</v>
      </c>
      <c r="HV119" s="0" t="n">
        <v>0.23</v>
      </c>
      <c r="HW119" s="0" t="n">
        <v>0</v>
      </c>
      <c r="HX119" s="0" t="n">
        <v>0.5</v>
      </c>
      <c r="HY119" s="0" t="n">
        <v>2</v>
      </c>
      <c r="HZ119" s="0" t="n">
        <v>7</v>
      </c>
      <c r="IA119" s="0" t="n">
        <v>0.08</v>
      </c>
      <c r="IF119" s="0" t="n">
        <v>7</v>
      </c>
      <c r="IG119" s="0" t="n">
        <v>0.08</v>
      </c>
      <c r="IL119" s="0" t="n">
        <v>0</v>
      </c>
      <c r="IM119" s="0" t="n">
        <v>1</v>
      </c>
      <c r="IN119" s="0" t="n">
        <v>23</v>
      </c>
      <c r="IO119" s="0" t="n">
        <v>2</v>
      </c>
      <c r="IP119" s="0" t="n">
        <v>0.9</v>
      </c>
      <c r="IQ119" s="0" t="n">
        <v>3</v>
      </c>
      <c r="IX119" s="18"/>
      <c r="JP119" s="0" t="n">
        <v>1</v>
      </c>
      <c r="JQ119" s="0" t="n">
        <v>50</v>
      </c>
      <c r="JR119" s="0" t="n">
        <v>2</v>
      </c>
      <c r="JS119" s="0" t="n">
        <f aca="false">3.13+23.63</f>
        <v>26.76</v>
      </c>
      <c r="JT119" s="0" t="n">
        <v>3</v>
      </c>
      <c r="LA119" s="16" t="n">
        <v>1.49</v>
      </c>
      <c r="LB119" s="16" t="n">
        <v>1</v>
      </c>
      <c r="LC119" s="16" t="n">
        <v>1</v>
      </c>
      <c r="LD119" s="16"/>
      <c r="LE119" s="16" t="n">
        <f aca="false">1.91+2.02+2.02+1.35</f>
        <v>7.3</v>
      </c>
      <c r="LF119" s="16" t="n">
        <v>2</v>
      </c>
      <c r="LG119" s="16"/>
      <c r="LH119" s="16" t="n">
        <v>0.21</v>
      </c>
      <c r="LI119" s="16"/>
      <c r="LJ119" s="16"/>
      <c r="LK119" s="16"/>
      <c r="LL119" s="16" t="n">
        <v>10.82</v>
      </c>
      <c r="LM119" s="16" t="n">
        <v>14.57</v>
      </c>
      <c r="LN119" s="16"/>
      <c r="LO119" s="16"/>
      <c r="LP119" s="16" t="n">
        <v>2.24</v>
      </c>
      <c r="LQ119" s="16" t="n">
        <v>0.9</v>
      </c>
      <c r="LR119" s="16" t="n">
        <v>0</v>
      </c>
      <c r="LS119" s="0" t="n">
        <v>0</v>
      </c>
      <c r="LT119" s="0" t="s">
        <v>548</v>
      </c>
      <c r="LU119" s="0" t="n">
        <v>50</v>
      </c>
      <c r="LV119" s="16" t="n">
        <v>80</v>
      </c>
      <c r="LW119" s="16" t="n">
        <v>80.4</v>
      </c>
      <c r="LX119" s="16" t="n">
        <v>16.9</v>
      </c>
      <c r="LY119" s="0" t="n">
        <v>58.18</v>
      </c>
      <c r="LZ119" s="0" t="n">
        <v>32.94</v>
      </c>
      <c r="MA119" s="0" t="n">
        <v>1.79</v>
      </c>
      <c r="MB119" s="0" t="n">
        <v>0</v>
      </c>
      <c r="MC119" s="0" t="n">
        <v>7.09</v>
      </c>
      <c r="MD119" s="0" t="n">
        <v>0</v>
      </c>
      <c r="ME119" s="0" t="n">
        <v>0</v>
      </c>
      <c r="MF119" s="0" t="n">
        <v>0</v>
      </c>
      <c r="MG119" s="0" t="n">
        <v>0</v>
      </c>
      <c r="MH119" s="0" t="n">
        <v>0</v>
      </c>
      <c r="MI119" s="0" t="n">
        <v>0</v>
      </c>
      <c r="MJ119" s="0" t="n">
        <v>0</v>
      </c>
      <c r="MK119" s="0" t="n">
        <v>3.53</v>
      </c>
      <c r="ML119" s="0" t="n">
        <v>45.12</v>
      </c>
      <c r="MM119" s="0" t="n">
        <v>0</v>
      </c>
      <c r="MN119" s="0" t="n">
        <v>0</v>
      </c>
      <c r="MO119" s="0" t="n">
        <v>0</v>
      </c>
      <c r="MP119" s="0" t="n">
        <v>0</v>
      </c>
      <c r="NC119" s="0" t="n">
        <v>8.2</v>
      </c>
      <c r="ND119" s="0" t="n">
        <v>1</v>
      </c>
      <c r="NE119" s="0" t="n">
        <v>23</v>
      </c>
      <c r="NF119" s="0" t="n">
        <v>1</v>
      </c>
      <c r="NG119" s="0" t="n">
        <v>0.45</v>
      </c>
      <c r="NH119" s="0" t="n">
        <v>3</v>
      </c>
      <c r="NI119" s="0" t="n">
        <v>34</v>
      </c>
      <c r="NJ119" s="0" t="n">
        <v>28</v>
      </c>
      <c r="NK119" s="0" t="n">
        <f aca="false">0.45+0.18+1.6+0.24+0.37+4.39+0.49+0.04+0.32+0.05+1.38</f>
        <v>9.51</v>
      </c>
      <c r="NL119" s="0" t="n">
        <v>1</v>
      </c>
      <c r="NO119" s="18"/>
      <c r="OG119" s="0" t="n">
        <v>0</v>
      </c>
      <c r="PR119" s="16" t="n">
        <v>1.65</v>
      </c>
      <c r="PS119" s="16" t="n">
        <v>1</v>
      </c>
      <c r="PT119" s="16" t="n">
        <v>1</v>
      </c>
      <c r="PU119" s="16"/>
      <c r="PV119" s="16" t="n">
        <f aca="false">0.18</f>
        <v>0.18</v>
      </c>
      <c r="PW119" s="16" t="n">
        <v>2</v>
      </c>
      <c r="PX119" s="16"/>
      <c r="PY119" s="16" t="n">
        <f aca="false">1.65+0.91+6.23+0.66</f>
        <v>9.45</v>
      </c>
      <c r="PZ119" s="16"/>
      <c r="QA119" s="16"/>
      <c r="QB119" s="16"/>
      <c r="QC119" s="16" t="n">
        <v>20.65</v>
      </c>
      <c r="QD119" s="16" t="n">
        <v>33.56</v>
      </c>
      <c r="QE119" s="16"/>
      <c r="QF119" s="16"/>
      <c r="QG119" s="16" t="n">
        <v>2.24</v>
      </c>
      <c r="QH119" s="16" t="n">
        <v>0.45</v>
      </c>
      <c r="QI119" s="16" t="n">
        <v>0</v>
      </c>
      <c r="QJ119" s="0" t="n">
        <v>0.45</v>
      </c>
      <c r="QK119" s="0" t="s">
        <v>549</v>
      </c>
      <c r="QL119" s="0" t="n">
        <v>31.5</v>
      </c>
      <c r="QM119" s="16" t="n">
        <v>79.9</v>
      </c>
      <c r="QN119" s="16" t="n">
        <v>80.4</v>
      </c>
      <c r="QO119" s="16" t="n">
        <v>17.8</v>
      </c>
      <c r="QP119" s="0" t="n">
        <v>71.45</v>
      </c>
      <c r="QQ119" s="0" t="n">
        <v>9.43</v>
      </c>
      <c r="QR119" s="0" t="n">
        <v>1.12</v>
      </c>
      <c r="QS119" s="0" t="n">
        <v>0</v>
      </c>
      <c r="QT119" s="0" t="n">
        <v>18.01</v>
      </c>
      <c r="QU119" s="0" t="n">
        <v>0</v>
      </c>
      <c r="QV119" s="0" t="n">
        <v>0</v>
      </c>
      <c r="QW119" s="0" t="n">
        <v>0</v>
      </c>
      <c r="QX119" s="0" t="n">
        <v>0</v>
      </c>
      <c r="QY119" s="0" t="n">
        <v>0</v>
      </c>
      <c r="QZ119" s="0" t="n">
        <v>0</v>
      </c>
      <c r="RA119" s="0" t="n">
        <v>0</v>
      </c>
      <c r="RB119" s="0" t="n">
        <v>8.44</v>
      </c>
      <c r="RC119" s="0" t="n">
        <v>63.45</v>
      </c>
      <c r="RD119" s="0" t="n">
        <v>0</v>
      </c>
      <c r="RE119" s="0" t="n">
        <v>0</v>
      </c>
      <c r="RF119" s="0" t="n">
        <v>0</v>
      </c>
      <c r="RG119" s="0" t="n">
        <v>0</v>
      </c>
      <c r="RT119" s="0" t="n">
        <v>2</v>
      </c>
      <c r="RU119" s="0" t="n">
        <v>1</v>
      </c>
      <c r="RV119" s="0" t="n">
        <v>52</v>
      </c>
      <c r="RW119" s="0" t="n">
        <v>2</v>
      </c>
      <c r="RX119" s="0" t="n">
        <f aca="false">0.9+0.02</f>
        <v>0.92</v>
      </c>
      <c r="RY119" s="0" t="n">
        <v>2</v>
      </c>
      <c r="SF119" s="18"/>
      <c r="SX119" s="0" t="n">
        <v>1</v>
      </c>
      <c r="SY119" s="0" t="n">
        <v>50</v>
      </c>
      <c r="SZ119" s="0" t="n">
        <v>9</v>
      </c>
      <c r="TA119" s="0" t="n">
        <f aca="false">19.9+3.13</f>
        <v>23.03</v>
      </c>
      <c r="TB119" s="0" t="n">
        <v>3</v>
      </c>
      <c r="UI119" s="16" t="n">
        <v>1.47</v>
      </c>
      <c r="UJ119" s="16" t="n">
        <v>1</v>
      </c>
      <c r="UK119" s="16" t="n">
        <v>1</v>
      </c>
      <c r="UL119" s="16"/>
      <c r="UM119" s="16" t="n">
        <v>2.13</v>
      </c>
      <c r="UN119" s="16" t="n">
        <v>2</v>
      </c>
      <c r="UO119" s="16"/>
      <c r="UP119" s="16" t="n">
        <v>3.37</v>
      </c>
      <c r="UQ119" s="16"/>
      <c r="UR119" s="16"/>
      <c r="US119" s="16"/>
      <c r="UT119" s="16" t="n">
        <v>5.55</v>
      </c>
      <c r="UU119" s="16" t="n">
        <v>6.42</v>
      </c>
      <c r="UV119" s="16"/>
      <c r="UW119" s="16"/>
      <c r="UX119" s="16" t="n">
        <v>0</v>
      </c>
      <c r="UY119" s="16" t="n">
        <v>0</v>
      </c>
      <c r="UZ119" s="16" t="n">
        <v>4.48</v>
      </c>
      <c r="VA119" s="0" t="n">
        <v>0</v>
      </c>
      <c r="VB119" s="0" t="s">
        <v>550</v>
      </c>
      <c r="VC119" s="0" t="n">
        <v>17</v>
      </c>
      <c r="VD119" s="16" t="n">
        <v>87.8</v>
      </c>
      <c r="VE119" s="16" t="n">
        <v>80.4</v>
      </c>
      <c r="VF119" s="16" t="n">
        <v>11.6</v>
      </c>
      <c r="VG119" s="0" t="n">
        <v>86.21</v>
      </c>
      <c r="VH119" s="0" t="n">
        <v>1.64</v>
      </c>
      <c r="VI119" s="0" t="n">
        <v>0.45</v>
      </c>
      <c r="VJ119" s="0" t="n">
        <v>0</v>
      </c>
      <c r="VK119" s="0" t="n">
        <v>11.7</v>
      </c>
      <c r="VL119" s="0" t="n">
        <v>0</v>
      </c>
      <c r="VM119" s="0" t="n">
        <v>0</v>
      </c>
      <c r="VN119" s="0" t="n">
        <v>0</v>
      </c>
      <c r="VO119" s="0" t="n">
        <v>0</v>
      </c>
      <c r="VP119" s="0" t="n">
        <v>0</v>
      </c>
      <c r="VQ119" s="0" t="n">
        <v>0</v>
      </c>
      <c r="VR119" s="0" t="n">
        <v>0</v>
      </c>
      <c r="VS119" s="0" t="n">
        <v>14.73</v>
      </c>
      <c r="VT119" s="0" t="n">
        <v>7.98</v>
      </c>
      <c r="VU119" s="0" t="n">
        <v>0</v>
      </c>
      <c r="VV119" s="0" t="n">
        <v>0</v>
      </c>
      <c r="VW119" s="0" t="n">
        <v>0</v>
      </c>
      <c r="VX119" s="0" t="n">
        <v>0</v>
      </c>
      <c r="WK119" s="0" t="n">
        <v>0</v>
      </c>
      <c r="WL119" s="0" t="n">
        <v>0</v>
      </c>
      <c r="WW119" s="18"/>
      <c r="XO119" s="0" t="n">
        <v>0</v>
      </c>
      <c r="YZ119" s="16" t="n">
        <v>0</v>
      </c>
      <c r="ZA119" s="16" t="n">
        <v>0</v>
      </c>
      <c r="ZB119" s="16"/>
      <c r="ZC119" s="16"/>
      <c r="ZD119" s="16"/>
      <c r="ZE119" s="16"/>
      <c r="ZF119" s="16"/>
      <c r="ZG119" s="16"/>
      <c r="ZH119" s="16"/>
      <c r="ZI119" s="16"/>
      <c r="ZJ119" s="16"/>
      <c r="ZK119" s="16" t="n">
        <v>5.22</v>
      </c>
      <c r="ZL119" s="16" t="n">
        <v>5.37</v>
      </c>
      <c r="ZM119" s="16"/>
      <c r="ZN119" s="16"/>
      <c r="ZO119" s="16" t="n">
        <v>0</v>
      </c>
      <c r="ZP119" s="16" t="n">
        <v>0</v>
      </c>
      <c r="ZQ119" s="16" t="n">
        <v>0.19</v>
      </c>
      <c r="ZR119" s="0" t="n">
        <v>0</v>
      </c>
      <c r="ZS119" s="0" t="s">
        <v>551</v>
      </c>
      <c r="ZT119" s="0" t="n">
        <v>17.5</v>
      </c>
      <c r="ZU119" s="16" t="n">
        <v>87.6</v>
      </c>
      <c r="ZV119" s="16" t="n">
        <v>80.4</v>
      </c>
      <c r="ZW119" s="16" t="n">
        <v>12</v>
      </c>
      <c r="ZX119" s="0" t="n">
        <v>84.96</v>
      </c>
      <c r="ZY119" s="0" t="n">
        <v>1.61</v>
      </c>
      <c r="ZZ119" s="0" t="n">
        <v>0.45</v>
      </c>
      <c r="AAA119" s="0" t="n">
        <v>0</v>
      </c>
      <c r="AAB119" s="0" t="n">
        <v>12.98</v>
      </c>
      <c r="AAC119" s="0" t="n">
        <v>0</v>
      </c>
      <c r="AAD119" s="0" t="n">
        <v>0</v>
      </c>
      <c r="AAE119" s="0" t="n">
        <v>0</v>
      </c>
      <c r="AAF119" s="0" t="n">
        <v>0</v>
      </c>
      <c r="AAG119" s="0" t="n">
        <v>0</v>
      </c>
      <c r="AAH119" s="0" t="n">
        <v>0</v>
      </c>
      <c r="AAI119" s="0" t="n">
        <v>0</v>
      </c>
      <c r="AAJ119" s="0" t="n">
        <v>15.99</v>
      </c>
      <c r="AAK119" s="0" t="n">
        <v>7.84</v>
      </c>
      <c r="AAL119" s="0" t="n">
        <v>0</v>
      </c>
      <c r="AAM119" s="0" t="n">
        <v>0</v>
      </c>
      <c r="AAN119" s="0" t="n">
        <v>0</v>
      </c>
      <c r="AAO119" s="0" t="n">
        <v>0</v>
      </c>
      <c r="ABB119" s="0" t="n">
        <v>0</v>
      </c>
      <c r="ABC119" s="0" t="n">
        <v>0</v>
      </c>
      <c r="ABN119" s="18"/>
      <c r="ACF119" s="0" t="n">
        <v>0</v>
      </c>
      <c r="ADQ119" s="16" t="n">
        <v>0</v>
      </c>
      <c r="ADR119" s="16" t="n">
        <v>0</v>
      </c>
      <c r="ADS119" s="16"/>
      <c r="ADT119" s="16"/>
      <c r="ADU119" s="16"/>
      <c r="ADV119" s="16"/>
      <c r="ADW119" s="16"/>
      <c r="ADX119" s="16"/>
      <c r="ADY119" s="16"/>
      <c r="ADZ119" s="16"/>
      <c r="AEA119" s="16"/>
      <c r="AEB119" s="16" t="n">
        <v>5.22</v>
      </c>
      <c r="AEC119" s="16" t="n">
        <v>5.37</v>
      </c>
      <c r="AED119" s="16"/>
      <c r="AEE119" s="16"/>
      <c r="AEF119" s="16" t="n">
        <v>0</v>
      </c>
      <c r="AEG119" s="16" t="n">
        <v>0</v>
      </c>
      <c r="AEH119" s="16" t="n">
        <v>0.19</v>
      </c>
      <c r="AEI119" s="0" t="n">
        <v>0</v>
      </c>
      <c r="AEJ119" s="0" t="s">
        <v>552</v>
      </c>
      <c r="AEK119" s="0" t="n">
        <v>16.5</v>
      </c>
      <c r="AEL119" s="16" t="n">
        <v>73.2</v>
      </c>
      <c r="AEM119" s="16" t="n">
        <v>80.4</v>
      </c>
      <c r="AEN119" s="16" t="n">
        <v>10.2</v>
      </c>
      <c r="AEO119" s="0" t="n">
        <v>69.43</v>
      </c>
      <c r="AEP119" s="0" t="n">
        <v>29.45</v>
      </c>
      <c r="AEQ119" s="0" t="n">
        <v>1.12</v>
      </c>
      <c r="AER119" s="0" t="n">
        <v>0</v>
      </c>
      <c r="AES119" s="0" t="n">
        <v>0</v>
      </c>
      <c r="AET119" s="0" t="n">
        <v>0</v>
      </c>
      <c r="AEU119" s="0" t="n">
        <v>0</v>
      </c>
      <c r="AEV119" s="0" t="n">
        <v>0</v>
      </c>
      <c r="AEW119" s="0" t="n">
        <v>0</v>
      </c>
      <c r="AEX119" s="0" t="n">
        <v>0</v>
      </c>
      <c r="AEY119" s="0" t="n">
        <v>0</v>
      </c>
      <c r="AEZ119" s="0" t="n">
        <v>0</v>
      </c>
      <c r="AFA119" s="0" t="n">
        <v>29.3</v>
      </c>
      <c r="AFB119" s="0" t="n">
        <v>10.81</v>
      </c>
      <c r="AFC119" s="0" t="n">
        <v>0</v>
      </c>
      <c r="AFD119" s="0" t="n">
        <v>0</v>
      </c>
      <c r="AFE119" s="0" t="n">
        <v>5.9</v>
      </c>
      <c r="AFF119" s="0" t="n">
        <v>2</v>
      </c>
      <c r="AFG119" s="0" t="n">
        <v>3</v>
      </c>
      <c r="AFH119" s="0" t="n">
        <v>2.01</v>
      </c>
      <c r="AFM119" s="0" t="n">
        <v>3</v>
      </c>
      <c r="AFN119" s="0" t="n">
        <v>2.01</v>
      </c>
      <c r="AFS119" s="0" t="n">
        <v>0</v>
      </c>
      <c r="AFT119" s="0" t="n">
        <v>0</v>
      </c>
      <c r="AGE119" s="18"/>
      <c r="AGW119" s="0" t="n">
        <v>0</v>
      </c>
      <c r="AIH119" s="16" t="n">
        <v>0</v>
      </c>
      <c r="AII119" s="16" t="n">
        <v>0</v>
      </c>
      <c r="AIJ119" s="16"/>
      <c r="AIK119" s="16"/>
      <c r="AIL119" s="16"/>
      <c r="AIM119" s="16"/>
      <c r="AIN119" s="16"/>
      <c r="AIO119" s="16"/>
      <c r="AIP119" s="16"/>
      <c r="AIQ119" s="16"/>
      <c r="AIR119" s="16"/>
      <c r="AIS119" s="16" t="n">
        <v>0</v>
      </c>
      <c r="AIT119" s="16" t="n">
        <v>0</v>
      </c>
      <c r="AIU119" s="16"/>
      <c r="AIV119" s="16"/>
      <c r="AIW119" s="16" t="n">
        <v>0</v>
      </c>
      <c r="AIX119" s="16" t="n">
        <v>0</v>
      </c>
      <c r="AIY119" s="16" t="n">
        <v>0</v>
      </c>
      <c r="AIZ119" s="0" t="n">
        <v>0</v>
      </c>
      <c r="AJA119" s="0" t="s">
        <v>553</v>
      </c>
      <c r="AJB119" s="0" t="n">
        <v>16.5</v>
      </c>
      <c r="AJC119" s="16" t="n">
        <v>66.9</v>
      </c>
      <c r="AJD119" s="16" t="n">
        <v>80.4</v>
      </c>
      <c r="AJE119" s="16" t="n">
        <v>10.2</v>
      </c>
      <c r="AJF119" s="0" t="n">
        <v>69.43</v>
      </c>
      <c r="AJG119" s="0" t="n">
        <v>29.45</v>
      </c>
      <c r="AJH119" s="0" t="n">
        <v>1.12</v>
      </c>
      <c r="AJI119" s="0" t="n">
        <v>0</v>
      </c>
      <c r="AJJ119" s="0" t="n">
        <v>0</v>
      </c>
      <c r="AJK119" s="0" t="n">
        <v>0</v>
      </c>
      <c r="AJL119" s="0" t="n">
        <v>0</v>
      </c>
      <c r="AJM119" s="0" t="n">
        <v>0</v>
      </c>
      <c r="AJN119" s="0" t="n">
        <v>0</v>
      </c>
      <c r="AJO119" s="0" t="n">
        <v>0</v>
      </c>
      <c r="AJP119" s="0" t="n">
        <v>0</v>
      </c>
      <c r="AJQ119" s="0" t="n">
        <v>0</v>
      </c>
      <c r="AJR119" s="0" t="n">
        <v>29.3</v>
      </c>
      <c r="AJS119" s="0" t="n">
        <v>10.81</v>
      </c>
      <c r="AJT119" s="0" t="n">
        <v>0</v>
      </c>
      <c r="AJU119" s="0" t="n">
        <v>0</v>
      </c>
      <c r="AJV119" s="0" t="n">
        <v>5.9</v>
      </c>
      <c r="AJW119" s="0" t="n">
        <v>2</v>
      </c>
      <c r="AJX119" s="0" t="n">
        <v>3</v>
      </c>
      <c r="AJY119" s="0" t="n">
        <v>2.01</v>
      </c>
      <c r="AKD119" s="0" t="n">
        <v>3</v>
      </c>
      <c r="AKE119" s="0" t="n">
        <v>2.01</v>
      </c>
      <c r="AKJ119" s="0" t="n">
        <v>0</v>
      </c>
      <c r="AKK119" s="0" t="n">
        <v>0</v>
      </c>
      <c r="AKV119" s="18"/>
      <c r="ALN119" s="0" t="n">
        <v>0</v>
      </c>
    </row>
    <row r="120" customFormat="false" ht="13.8" hidden="false" customHeight="false" outlineLevel="0" collapsed="false">
      <c r="A120" s="1" t="s">
        <v>554</v>
      </c>
      <c r="B120" s="12" t="n">
        <v>42905</v>
      </c>
      <c r="C120" s="0" t="n">
        <v>1</v>
      </c>
      <c r="D120" s="13" t="n">
        <v>42797</v>
      </c>
      <c r="E120" s="12" t="n">
        <v>29736</v>
      </c>
      <c r="F120" s="14" t="n">
        <f aca="false">(B120-E120)/365.25</f>
        <v>36.0547570157426</v>
      </c>
      <c r="G120" s="14" t="n">
        <f aca="false">(B120-D120)/365.25</f>
        <v>0.295687885010267</v>
      </c>
      <c r="H120" s="15" t="s">
        <v>217</v>
      </c>
      <c r="I120" s="15" t="s">
        <v>545</v>
      </c>
      <c r="J120" s="15" t="s">
        <v>181</v>
      </c>
      <c r="K120" s="21" t="n">
        <v>8</v>
      </c>
      <c r="L120" s="19" t="n">
        <v>57</v>
      </c>
      <c r="M120" s="0" t="n">
        <v>1.61</v>
      </c>
      <c r="N120" s="16" t="n">
        <f aca="false">L120/(M120*M120)</f>
        <v>21.9898923652637</v>
      </c>
      <c r="O120" s="19" t="n">
        <v>0</v>
      </c>
      <c r="P120" s="19" t="n">
        <v>0</v>
      </c>
      <c r="Q120" s="19" t="n">
        <v>0</v>
      </c>
      <c r="R120" s="19" t="n">
        <v>0</v>
      </c>
      <c r="S120" s="19" t="n">
        <v>0</v>
      </c>
      <c r="T120" s="19" t="n">
        <v>0</v>
      </c>
      <c r="U120" s="19" t="n">
        <v>0</v>
      </c>
      <c r="V120" s="19" t="n">
        <v>0</v>
      </c>
      <c r="W120" s="19" t="n">
        <v>0</v>
      </c>
      <c r="X120" s="19" t="n">
        <v>0</v>
      </c>
      <c r="Y120" s="19" t="n">
        <v>0</v>
      </c>
      <c r="Z120" s="19" t="n">
        <v>0</v>
      </c>
      <c r="AA120" s="19" t="n">
        <v>0</v>
      </c>
      <c r="AB120" s="19" t="n">
        <v>0</v>
      </c>
      <c r="AC120" s="19" t="n">
        <v>0</v>
      </c>
      <c r="AD120" s="19" t="n">
        <v>0</v>
      </c>
      <c r="AE120" s="19"/>
      <c r="AF120" s="19"/>
      <c r="AG120" s="19" t="n">
        <v>0</v>
      </c>
      <c r="AH120" s="19" t="n">
        <v>0</v>
      </c>
      <c r="AI120" s="19"/>
      <c r="AJ120" s="19"/>
      <c r="AK120" s="19" t="n">
        <v>0</v>
      </c>
      <c r="AL120" s="19" t="n">
        <v>0</v>
      </c>
      <c r="AM120" s="19" t="n">
        <v>0</v>
      </c>
      <c r="AN120" s="19" t="n">
        <v>1</v>
      </c>
      <c r="AO120" s="19"/>
      <c r="AP120" s="19" t="n">
        <v>1</v>
      </c>
      <c r="AQ120" s="19" t="n">
        <v>6</v>
      </c>
      <c r="AR120" s="19" t="n">
        <v>0</v>
      </c>
      <c r="AS120" s="19" t="n">
        <v>1</v>
      </c>
      <c r="AT120" s="19"/>
      <c r="AU120" s="19" t="n">
        <v>1</v>
      </c>
      <c r="AV120" s="19" t="n">
        <v>6</v>
      </c>
      <c r="AW120" s="19" t="n">
        <v>0</v>
      </c>
      <c r="AX120" s="19"/>
      <c r="AY120" s="19"/>
      <c r="AZ120" s="19" t="n">
        <v>0</v>
      </c>
      <c r="BA120" s="19" t="n">
        <v>0</v>
      </c>
      <c r="BB120" s="19" t="n">
        <v>1</v>
      </c>
      <c r="BC120" s="19"/>
      <c r="BD120" s="19" t="n">
        <v>1</v>
      </c>
      <c r="BE120" s="19" t="n">
        <v>5</v>
      </c>
      <c r="BF120" s="19"/>
      <c r="BG120" s="19"/>
      <c r="BH120" s="19" t="n">
        <v>0</v>
      </c>
      <c r="BI120" s="19"/>
      <c r="BJ120" s="19"/>
      <c r="BK120" s="19"/>
      <c r="BL120" s="19" t="n">
        <v>0</v>
      </c>
      <c r="BM120" s="19" t="n">
        <v>0</v>
      </c>
      <c r="BN120" s="19" t="n">
        <v>1</v>
      </c>
      <c r="BO120" s="19"/>
      <c r="BP120" s="19" t="n">
        <v>1</v>
      </c>
      <c r="BQ120" s="19" t="n">
        <v>5</v>
      </c>
      <c r="BR120" s="19" t="n">
        <v>2</v>
      </c>
      <c r="BS120" s="19" t="n">
        <v>1</v>
      </c>
      <c r="BT120" s="19" t="n">
        <v>3</v>
      </c>
      <c r="BU120" s="19" t="n">
        <v>5</v>
      </c>
      <c r="BV120" s="19" t="n">
        <v>1</v>
      </c>
      <c r="BW120" s="19" t="n">
        <v>1</v>
      </c>
      <c r="BX120" s="19" t="n">
        <v>3</v>
      </c>
      <c r="BY120" s="19" t="n">
        <v>3</v>
      </c>
      <c r="BZ120" s="19" t="n">
        <v>5</v>
      </c>
      <c r="CA120" s="19" t="n">
        <v>5</v>
      </c>
      <c r="CB120" s="19" t="n">
        <v>4</v>
      </c>
      <c r="CC120" s="19" t="n">
        <v>5</v>
      </c>
      <c r="CD120" s="19" t="n">
        <v>4</v>
      </c>
      <c r="CE120" s="19" t="n">
        <v>5</v>
      </c>
      <c r="CF120" s="19" t="n">
        <v>5</v>
      </c>
      <c r="CG120" s="19" t="n">
        <v>5</v>
      </c>
      <c r="CH120" s="19" t="n">
        <v>4</v>
      </c>
      <c r="CI120" s="19" t="n">
        <v>4</v>
      </c>
      <c r="CJ120" s="19" t="n">
        <v>5</v>
      </c>
      <c r="CK120" s="19" t="n">
        <v>9</v>
      </c>
      <c r="CL120" s="0" t="s">
        <v>555</v>
      </c>
      <c r="CM120" s="0" t="n">
        <v>35</v>
      </c>
      <c r="CN120" s="16" t="n">
        <v>78.8</v>
      </c>
      <c r="CO120" s="16" t="n">
        <v>80.4</v>
      </c>
      <c r="CP120" s="16" t="n">
        <v>17.2</v>
      </c>
      <c r="CQ120" s="0" t="n">
        <v>72.07</v>
      </c>
      <c r="CR120" s="0" t="n">
        <v>11.09</v>
      </c>
      <c r="CS120" s="0" t="n">
        <v>1.12</v>
      </c>
      <c r="CT120" s="0" t="n">
        <v>0</v>
      </c>
      <c r="CU120" s="0" t="n">
        <v>15.71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1.66</v>
      </c>
      <c r="DD120" s="0" t="n">
        <v>34.99</v>
      </c>
      <c r="DE120" s="0" t="n">
        <v>0</v>
      </c>
      <c r="DF120" s="0" t="n">
        <v>0</v>
      </c>
      <c r="DG120" s="0" t="n">
        <v>0</v>
      </c>
      <c r="DH120" s="0" t="n">
        <v>0</v>
      </c>
      <c r="DU120" s="0" t="n">
        <v>11.2</v>
      </c>
      <c r="DV120" s="0" t="n">
        <v>1</v>
      </c>
      <c r="DW120" s="0" t="n">
        <v>52</v>
      </c>
      <c r="DX120" s="0" t="n">
        <f aca="false">18+1+15</f>
        <v>34</v>
      </c>
      <c r="DY120" s="0" t="n">
        <f aca="false">3.2+2.05+0.07</f>
        <v>5.32</v>
      </c>
      <c r="DZ120" s="0" t="n">
        <v>2</v>
      </c>
      <c r="EG120" s="18"/>
      <c r="EY120" s="0" t="n">
        <v>0</v>
      </c>
      <c r="GJ120" s="16" t="n">
        <v>0</v>
      </c>
      <c r="GK120" s="16" t="n">
        <v>0</v>
      </c>
      <c r="GL120" s="16"/>
      <c r="GM120" s="16"/>
      <c r="GN120" s="16"/>
      <c r="GO120" s="16"/>
      <c r="GP120" s="16"/>
      <c r="GQ120" s="16"/>
      <c r="GR120" s="16"/>
      <c r="GS120" s="16"/>
      <c r="GT120" s="16"/>
      <c r="GU120" s="16" t="n">
        <v>6.16</v>
      </c>
      <c r="GV120" s="16" t="n">
        <v>7.21</v>
      </c>
      <c r="GW120" s="16"/>
      <c r="GX120" s="16"/>
      <c r="GY120" s="16" t="n">
        <v>0</v>
      </c>
      <c r="GZ120" s="16" t="n">
        <v>0</v>
      </c>
      <c r="HA120" s="16" t="n">
        <v>0</v>
      </c>
      <c r="HB120" s="0" t="n">
        <v>0</v>
      </c>
      <c r="HC120" s="0" t="s">
        <v>546</v>
      </c>
      <c r="HD120" s="0" t="n">
        <v>16.5</v>
      </c>
      <c r="HE120" s="16" t="n">
        <v>35.3</v>
      </c>
      <c r="HF120" s="16" t="n">
        <v>80.4</v>
      </c>
      <c r="HG120" s="16" t="n">
        <v>9.7</v>
      </c>
      <c r="HH120" s="0" t="n">
        <v>86.56</v>
      </c>
      <c r="HI120" s="0" t="n">
        <v>12.61</v>
      </c>
      <c r="HJ120" s="0" t="n">
        <v>0</v>
      </c>
      <c r="HK120" s="0" t="n">
        <v>0</v>
      </c>
      <c r="HL120" s="0" t="n">
        <v>0.83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0</v>
      </c>
      <c r="HT120" s="0" t="n">
        <v>2.22</v>
      </c>
      <c r="HU120" s="0" t="n">
        <v>20.83</v>
      </c>
      <c r="HV120" s="0" t="n">
        <v>0</v>
      </c>
      <c r="HW120" s="0" t="n">
        <v>0</v>
      </c>
      <c r="HX120" s="0" t="n">
        <v>0</v>
      </c>
      <c r="HY120" s="0" t="n">
        <v>0</v>
      </c>
      <c r="IL120" s="0" t="n">
        <v>0.3</v>
      </c>
      <c r="IM120" s="0" t="n">
        <v>1</v>
      </c>
      <c r="IN120" s="0" t="n">
        <v>34</v>
      </c>
      <c r="IO120" s="0" t="n">
        <v>4</v>
      </c>
      <c r="IP120" s="0" t="n">
        <f aca="false">1.35+0.45+1.35+0.45</f>
        <v>3.6</v>
      </c>
      <c r="IQ120" s="0" t="n">
        <v>1</v>
      </c>
      <c r="IR120" s="0" t="n">
        <v>52</v>
      </c>
      <c r="IS120" s="0" t="n">
        <v>1</v>
      </c>
      <c r="IT120" s="0" t="n">
        <f aca="false">0.18</f>
        <v>0.18</v>
      </c>
      <c r="IU120" s="0" t="n">
        <v>2</v>
      </c>
      <c r="IX120" s="18"/>
      <c r="JP120" s="0" t="n">
        <v>0</v>
      </c>
      <c r="LA120" s="16" t="n">
        <v>0.28</v>
      </c>
      <c r="LB120" s="16" t="n">
        <v>1</v>
      </c>
      <c r="LC120" s="16" t="n">
        <v>2</v>
      </c>
      <c r="LD120" s="16"/>
      <c r="LE120" s="16" t="n">
        <f aca="false">0.37+0.26</f>
        <v>0.63</v>
      </c>
      <c r="LF120" s="16"/>
      <c r="LG120" s="16"/>
      <c r="LH120" s="16"/>
      <c r="LI120" s="16"/>
      <c r="LJ120" s="16"/>
      <c r="LK120" s="16"/>
      <c r="LL120" s="16" t="n">
        <v>5.99</v>
      </c>
      <c r="LM120" s="16" t="n">
        <v>5.34</v>
      </c>
      <c r="LN120" s="16"/>
      <c r="LO120" s="16"/>
      <c r="LP120" s="16" t="n">
        <v>0</v>
      </c>
      <c r="LQ120" s="16" t="n">
        <v>0</v>
      </c>
      <c r="LR120" s="16" t="n">
        <v>0</v>
      </c>
      <c r="LS120" s="0" t="n">
        <v>0</v>
      </c>
      <c r="LT120" s="0" t="s">
        <v>547</v>
      </c>
      <c r="LU120" s="0" t="n">
        <v>29.5</v>
      </c>
      <c r="LV120" s="16" t="n">
        <v>87.5</v>
      </c>
      <c r="LW120" s="16" t="n">
        <v>80.4</v>
      </c>
      <c r="LX120" s="16" t="n">
        <v>14.3</v>
      </c>
      <c r="LY120" s="0" t="n">
        <v>68.7</v>
      </c>
      <c r="LZ120" s="0" t="n">
        <v>23.24</v>
      </c>
      <c r="MA120" s="0" t="n">
        <v>1.79</v>
      </c>
      <c r="MB120" s="0" t="n">
        <v>0</v>
      </c>
      <c r="MC120" s="0" t="n">
        <v>6.27</v>
      </c>
      <c r="MD120" s="0" t="n">
        <v>0</v>
      </c>
      <c r="ME120" s="0" t="n">
        <v>0</v>
      </c>
      <c r="MF120" s="0" t="n">
        <v>0</v>
      </c>
      <c r="MG120" s="0" t="n">
        <v>0</v>
      </c>
      <c r="MH120" s="0" t="n">
        <v>0</v>
      </c>
      <c r="MI120" s="0" t="n">
        <v>0</v>
      </c>
      <c r="MJ120" s="0" t="n">
        <v>0</v>
      </c>
      <c r="MK120" s="0" t="n">
        <v>7.01</v>
      </c>
      <c r="ML120" s="0" t="n">
        <v>58.72</v>
      </c>
      <c r="MM120" s="0" t="n">
        <v>0.23</v>
      </c>
      <c r="MN120" s="0" t="n">
        <v>0</v>
      </c>
      <c r="MO120" s="0" t="n">
        <v>0.5</v>
      </c>
      <c r="MP120" s="0" t="n">
        <v>2</v>
      </c>
      <c r="MQ120" s="0" t="n">
        <v>7</v>
      </c>
      <c r="MR120" s="0" t="n">
        <v>0.08</v>
      </c>
      <c r="MW120" s="0" t="n">
        <v>7</v>
      </c>
      <c r="MX120" s="0" t="n">
        <v>0.08</v>
      </c>
      <c r="NC120" s="0" t="n">
        <v>0</v>
      </c>
      <c r="ND120" s="0" t="n">
        <v>1</v>
      </c>
      <c r="NE120" s="0" t="n">
        <v>23</v>
      </c>
      <c r="NF120" s="0" t="n">
        <v>2</v>
      </c>
      <c r="NG120" s="0" t="n">
        <v>0.9</v>
      </c>
      <c r="NH120" s="0" t="n">
        <v>3</v>
      </c>
      <c r="NO120" s="18"/>
      <c r="OG120" s="0" t="n">
        <v>1</v>
      </c>
      <c r="OH120" s="0" t="n">
        <v>50</v>
      </c>
      <c r="OI120" s="0" t="n">
        <v>2</v>
      </c>
      <c r="OJ120" s="0" t="n">
        <f aca="false">3.13+23.63</f>
        <v>26.76</v>
      </c>
      <c r="OK120" s="0" t="n">
        <v>3</v>
      </c>
      <c r="PR120" s="16" t="n">
        <v>1.49</v>
      </c>
      <c r="PS120" s="16" t="n">
        <v>1</v>
      </c>
      <c r="PT120" s="16" t="n">
        <v>1</v>
      </c>
      <c r="PU120" s="16"/>
      <c r="PV120" s="16" t="n">
        <f aca="false">1.91+2.02+2.02+1.35</f>
        <v>7.3</v>
      </c>
      <c r="PW120" s="16" t="n">
        <v>2</v>
      </c>
      <c r="PX120" s="16"/>
      <c r="PY120" s="16" t="n">
        <v>0.21</v>
      </c>
      <c r="PZ120" s="16"/>
      <c r="QA120" s="16"/>
      <c r="QB120" s="16"/>
      <c r="QC120" s="16" t="n">
        <v>10.82</v>
      </c>
      <c r="QD120" s="16" t="n">
        <v>14.57</v>
      </c>
      <c r="QE120" s="16"/>
      <c r="QF120" s="16"/>
      <c r="QG120" s="16" t="n">
        <v>2.24</v>
      </c>
      <c r="QH120" s="16" t="n">
        <v>0.9</v>
      </c>
      <c r="QI120" s="16" t="n">
        <v>0</v>
      </c>
      <c r="QJ120" s="0" t="n">
        <v>0</v>
      </c>
      <c r="QK120" s="0" t="s">
        <v>548</v>
      </c>
      <c r="QL120" s="0" t="n">
        <v>50</v>
      </c>
      <c r="QM120" s="16" t="n">
        <v>80</v>
      </c>
      <c r="QN120" s="16" t="n">
        <v>80.4</v>
      </c>
      <c r="QO120" s="16" t="n">
        <v>16.9</v>
      </c>
      <c r="QP120" s="0" t="n">
        <v>58.18</v>
      </c>
      <c r="QQ120" s="0" t="n">
        <v>32.94</v>
      </c>
      <c r="QR120" s="0" t="n">
        <v>1.79</v>
      </c>
      <c r="QS120" s="0" t="n">
        <v>0</v>
      </c>
      <c r="QT120" s="0" t="n">
        <v>7.09</v>
      </c>
      <c r="QU120" s="0" t="n">
        <v>0</v>
      </c>
      <c r="QV120" s="0" t="n">
        <v>0</v>
      </c>
      <c r="QW120" s="0" t="n">
        <v>0</v>
      </c>
      <c r="QX120" s="0" t="n">
        <v>0</v>
      </c>
      <c r="QY120" s="0" t="n">
        <v>0</v>
      </c>
      <c r="QZ120" s="0" t="n">
        <v>0</v>
      </c>
      <c r="RA120" s="0" t="n">
        <v>0</v>
      </c>
      <c r="RB120" s="0" t="n">
        <v>3.53</v>
      </c>
      <c r="RC120" s="0" t="n">
        <v>45.12</v>
      </c>
      <c r="RD120" s="0" t="n">
        <v>0</v>
      </c>
      <c r="RE120" s="0" t="n">
        <v>0</v>
      </c>
      <c r="RF120" s="0" t="n">
        <v>0</v>
      </c>
      <c r="RG120" s="0" t="n">
        <v>0</v>
      </c>
      <c r="RT120" s="0" t="n">
        <v>8.2</v>
      </c>
      <c r="RU120" s="0" t="n">
        <v>1</v>
      </c>
      <c r="RV120" s="0" t="n">
        <v>23</v>
      </c>
      <c r="RW120" s="0" t="n">
        <v>1</v>
      </c>
      <c r="RX120" s="0" t="n">
        <v>0.45</v>
      </c>
      <c r="RY120" s="0" t="n">
        <v>3</v>
      </c>
      <c r="RZ120" s="0" t="n">
        <v>34</v>
      </c>
      <c r="SA120" s="0" t="n">
        <v>28</v>
      </c>
      <c r="SB120" s="0" t="n">
        <f aca="false">0.45+0.18+1.6+0.24+0.37+4.39+0.49+0.04+0.32+0.05+1.38</f>
        <v>9.51</v>
      </c>
      <c r="SC120" s="0" t="n">
        <v>1</v>
      </c>
      <c r="SF120" s="18"/>
      <c r="SX120" s="0" t="n">
        <v>0</v>
      </c>
      <c r="UI120" s="16" t="n">
        <v>1.65</v>
      </c>
      <c r="UJ120" s="16" t="n">
        <v>1</v>
      </c>
      <c r="UK120" s="16" t="n">
        <v>1</v>
      </c>
      <c r="UL120" s="16"/>
      <c r="UM120" s="16" t="n">
        <f aca="false">0.18</f>
        <v>0.18</v>
      </c>
      <c r="UN120" s="16" t="n">
        <v>2</v>
      </c>
      <c r="UO120" s="16"/>
      <c r="UP120" s="16" t="n">
        <f aca="false">1.65+0.91+6.23+0.66</f>
        <v>9.45</v>
      </c>
      <c r="UQ120" s="16"/>
      <c r="UR120" s="16"/>
      <c r="US120" s="16"/>
      <c r="UT120" s="16" t="n">
        <v>20.65</v>
      </c>
      <c r="UU120" s="16" t="n">
        <v>33.56</v>
      </c>
      <c r="UV120" s="16"/>
      <c r="UW120" s="16"/>
      <c r="UX120" s="16" t="n">
        <v>2.24</v>
      </c>
      <c r="UY120" s="16" t="n">
        <v>0.45</v>
      </c>
      <c r="UZ120" s="16" t="n">
        <v>0</v>
      </c>
      <c r="VA120" s="0" t="n">
        <v>0.45</v>
      </c>
      <c r="VB120" s="0" t="s">
        <v>549</v>
      </c>
      <c r="VC120" s="0" t="n">
        <v>31.5</v>
      </c>
      <c r="VD120" s="16" t="n">
        <v>79.9</v>
      </c>
      <c r="VE120" s="16" t="n">
        <v>80.4</v>
      </c>
      <c r="VF120" s="16" t="n">
        <v>17.8</v>
      </c>
      <c r="VG120" s="0" t="n">
        <v>71.45</v>
      </c>
      <c r="VH120" s="0" t="n">
        <v>9.43</v>
      </c>
      <c r="VI120" s="0" t="n">
        <v>1.12</v>
      </c>
      <c r="VJ120" s="0" t="n">
        <v>0</v>
      </c>
      <c r="VK120" s="0" t="n">
        <v>18.01</v>
      </c>
      <c r="VL120" s="0" t="n">
        <v>0</v>
      </c>
      <c r="VM120" s="0" t="n">
        <v>0</v>
      </c>
      <c r="VN120" s="0" t="n">
        <v>0</v>
      </c>
      <c r="VO120" s="0" t="n">
        <v>0</v>
      </c>
      <c r="VP120" s="0" t="n">
        <v>0</v>
      </c>
      <c r="VQ120" s="0" t="n">
        <v>0</v>
      </c>
      <c r="VR120" s="0" t="n">
        <v>0</v>
      </c>
      <c r="VS120" s="0" t="n">
        <v>8.44</v>
      </c>
      <c r="VT120" s="0" t="n">
        <v>63.45</v>
      </c>
      <c r="VU120" s="0" t="n">
        <v>0</v>
      </c>
      <c r="VV120" s="0" t="n">
        <v>0</v>
      </c>
      <c r="VW120" s="0" t="n">
        <v>0</v>
      </c>
      <c r="VX120" s="0" t="n">
        <v>0</v>
      </c>
      <c r="WK120" s="0" t="n">
        <v>2</v>
      </c>
      <c r="WL120" s="0" t="n">
        <v>1</v>
      </c>
      <c r="WM120" s="0" t="n">
        <v>52</v>
      </c>
      <c r="WN120" s="0" t="n">
        <v>2</v>
      </c>
      <c r="WO120" s="0" t="n">
        <f aca="false">0.9+0.02</f>
        <v>0.92</v>
      </c>
      <c r="WP120" s="0" t="n">
        <v>2</v>
      </c>
      <c r="WW120" s="18"/>
      <c r="XO120" s="0" t="n">
        <v>1</v>
      </c>
      <c r="XP120" s="0" t="n">
        <v>50</v>
      </c>
      <c r="XQ120" s="0" t="n">
        <v>9</v>
      </c>
      <c r="XR120" s="0" t="n">
        <f aca="false">19.9+3.13</f>
        <v>23.03</v>
      </c>
      <c r="XS120" s="0" t="n">
        <v>3</v>
      </c>
      <c r="YZ120" s="16" t="n">
        <v>1.47</v>
      </c>
      <c r="ZA120" s="16" t="n">
        <v>1</v>
      </c>
      <c r="ZB120" s="16" t="n">
        <v>1</v>
      </c>
      <c r="ZC120" s="16"/>
      <c r="ZD120" s="16" t="n">
        <v>2.13</v>
      </c>
      <c r="ZE120" s="16" t="n">
        <v>2</v>
      </c>
      <c r="ZF120" s="16"/>
      <c r="ZG120" s="16" t="n">
        <v>3.37</v>
      </c>
      <c r="ZH120" s="16"/>
      <c r="ZI120" s="16"/>
      <c r="ZJ120" s="16"/>
      <c r="ZK120" s="16" t="n">
        <v>5.55</v>
      </c>
      <c r="ZL120" s="16" t="n">
        <v>6.42</v>
      </c>
      <c r="ZM120" s="16"/>
      <c r="ZN120" s="16"/>
      <c r="ZO120" s="16" t="n">
        <v>0</v>
      </c>
      <c r="ZP120" s="16" t="n">
        <v>0</v>
      </c>
      <c r="ZQ120" s="16" t="n">
        <v>4.48</v>
      </c>
      <c r="ZR120" s="0" t="n">
        <v>0</v>
      </c>
      <c r="ZS120" s="0" t="s">
        <v>550</v>
      </c>
      <c r="ZT120" s="0" t="n">
        <v>17</v>
      </c>
      <c r="ZU120" s="16" t="n">
        <v>87.8</v>
      </c>
      <c r="ZV120" s="16" t="n">
        <v>80.4</v>
      </c>
      <c r="ZW120" s="16" t="n">
        <v>11.6</v>
      </c>
      <c r="ZX120" s="0" t="n">
        <v>86.21</v>
      </c>
      <c r="ZY120" s="0" t="n">
        <v>1.64</v>
      </c>
      <c r="ZZ120" s="0" t="n">
        <v>0.45</v>
      </c>
      <c r="AAA120" s="0" t="n">
        <v>0</v>
      </c>
      <c r="AAB120" s="0" t="n">
        <v>11.7</v>
      </c>
      <c r="AAC120" s="0" t="n">
        <v>0</v>
      </c>
      <c r="AAD120" s="0" t="n">
        <v>0</v>
      </c>
      <c r="AAE120" s="0" t="n">
        <v>0</v>
      </c>
      <c r="AAF120" s="0" t="n">
        <v>0</v>
      </c>
      <c r="AAG120" s="0" t="n">
        <v>0</v>
      </c>
      <c r="AAH120" s="0" t="n">
        <v>0</v>
      </c>
      <c r="AAI120" s="0" t="n">
        <v>0</v>
      </c>
      <c r="AAJ120" s="0" t="n">
        <v>14.73</v>
      </c>
      <c r="AAK120" s="0" t="n">
        <v>7.98</v>
      </c>
      <c r="AAL120" s="0" t="n">
        <v>0</v>
      </c>
      <c r="AAM120" s="0" t="n">
        <v>0</v>
      </c>
      <c r="AAN120" s="0" t="n">
        <v>0</v>
      </c>
      <c r="AAO120" s="0" t="n">
        <v>0</v>
      </c>
      <c r="ABB120" s="0" t="n">
        <v>0</v>
      </c>
      <c r="ABC120" s="0" t="n">
        <v>0</v>
      </c>
      <c r="ABN120" s="18"/>
      <c r="ACF120" s="0" t="n">
        <v>0</v>
      </c>
      <c r="ADQ120" s="16" t="n">
        <v>0</v>
      </c>
      <c r="ADR120" s="16" t="n">
        <v>0</v>
      </c>
      <c r="ADS120" s="16"/>
      <c r="ADT120" s="16"/>
      <c r="ADU120" s="16"/>
      <c r="ADV120" s="16"/>
      <c r="ADW120" s="16"/>
      <c r="ADX120" s="16"/>
      <c r="ADY120" s="16"/>
      <c r="ADZ120" s="16"/>
      <c r="AEA120" s="16"/>
      <c r="AEB120" s="16" t="n">
        <v>5.22</v>
      </c>
      <c r="AEC120" s="16" t="n">
        <v>5.37</v>
      </c>
      <c r="AED120" s="16"/>
      <c r="AEE120" s="16"/>
      <c r="AEF120" s="16" t="n">
        <v>0</v>
      </c>
      <c r="AEG120" s="16" t="n">
        <v>0</v>
      </c>
      <c r="AEH120" s="16" t="n">
        <v>0.19</v>
      </c>
      <c r="AEI120" s="0" t="n">
        <v>0</v>
      </c>
      <c r="AEJ120" s="0" t="s">
        <v>551</v>
      </c>
      <c r="AEK120" s="0" t="n">
        <v>17.5</v>
      </c>
      <c r="AEL120" s="16" t="n">
        <v>87.6</v>
      </c>
      <c r="AEM120" s="16" t="n">
        <v>80.4</v>
      </c>
      <c r="AEN120" s="16" t="n">
        <v>12</v>
      </c>
      <c r="AEO120" s="0" t="n">
        <v>84.96</v>
      </c>
      <c r="AEP120" s="0" t="n">
        <v>1.61</v>
      </c>
      <c r="AEQ120" s="0" t="n">
        <v>0.45</v>
      </c>
      <c r="AER120" s="0" t="n">
        <v>0</v>
      </c>
      <c r="AES120" s="0" t="n">
        <v>12.98</v>
      </c>
      <c r="AET120" s="0" t="n">
        <v>0</v>
      </c>
      <c r="AEU120" s="0" t="n">
        <v>0</v>
      </c>
      <c r="AEV120" s="0" t="n">
        <v>0</v>
      </c>
      <c r="AEW120" s="0" t="n">
        <v>0</v>
      </c>
      <c r="AEX120" s="0" t="n">
        <v>0</v>
      </c>
      <c r="AEY120" s="0" t="n">
        <v>0</v>
      </c>
      <c r="AEZ120" s="0" t="n">
        <v>0</v>
      </c>
      <c r="AFA120" s="0" t="n">
        <v>15.99</v>
      </c>
      <c r="AFB120" s="0" t="n">
        <v>7.84</v>
      </c>
      <c r="AFC120" s="0" t="n">
        <v>0</v>
      </c>
      <c r="AFD120" s="0" t="n">
        <v>0</v>
      </c>
      <c r="AFE120" s="0" t="n">
        <v>0</v>
      </c>
      <c r="AFF120" s="0" t="n">
        <v>0</v>
      </c>
      <c r="AFS120" s="0" t="n">
        <v>0</v>
      </c>
      <c r="AFT120" s="0" t="n">
        <v>0</v>
      </c>
      <c r="AGE120" s="18"/>
      <c r="AGW120" s="0" t="n">
        <v>0</v>
      </c>
      <c r="AIH120" s="16" t="n">
        <v>0</v>
      </c>
      <c r="AII120" s="16" t="n">
        <v>0</v>
      </c>
      <c r="AIJ120" s="16"/>
      <c r="AIK120" s="16"/>
      <c r="AIL120" s="16"/>
      <c r="AIM120" s="16"/>
      <c r="AIN120" s="16"/>
      <c r="AIO120" s="16"/>
      <c r="AIP120" s="16"/>
      <c r="AIQ120" s="16"/>
      <c r="AIR120" s="16"/>
      <c r="AIS120" s="16" t="n">
        <v>5.22</v>
      </c>
      <c r="AIT120" s="16" t="n">
        <v>5.37</v>
      </c>
      <c r="AIU120" s="16"/>
      <c r="AIV120" s="16"/>
      <c r="AIW120" s="16" t="n">
        <v>0</v>
      </c>
      <c r="AIX120" s="16" t="n">
        <v>0</v>
      </c>
      <c r="AIY120" s="16" t="n">
        <v>0.19</v>
      </c>
      <c r="AIZ120" s="0" t="n">
        <v>0</v>
      </c>
      <c r="AJA120" s="0" t="s">
        <v>552</v>
      </c>
      <c r="AJB120" s="0" t="n">
        <v>16.5</v>
      </c>
      <c r="AJC120" s="16" t="n">
        <v>73.2</v>
      </c>
      <c r="AJD120" s="16" t="n">
        <v>80.4</v>
      </c>
      <c r="AJE120" s="16" t="n">
        <v>10.2</v>
      </c>
      <c r="AJF120" s="0" t="n">
        <v>69.43</v>
      </c>
      <c r="AJG120" s="0" t="n">
        <v>29.45</v>
      </c>
      <c r="AJH120" s="0" t="n">
        <v>1.12</v>
      </c>
      <c r="AJI120" s="0" t="n">
        <v>0</v>
      </c>
      <c r="AJJ120" s="0" t="n">
        <v>0</v>
      </c>
      <c r="AJK120" s="0" t="n">
        <v>0</v>
      </c>
      <c r="AJL120" s="0" t="n">
        <v>0</v>
      </c>
      <c r="AJM120" s="0" t="n">
        <v>0</v>
      </c>
      <c r="AJN120" s="0" t="n">
        <v>0</v>
      </c>
      <c r="AJO120" s="0" t="n">
        <v>0</v>
      </c>
      <c r="AJP120" s="0" t="n">
        <v>0</v>
      </c>
      <c r="AJQ120" s="0" t="n">
        <v>0</v>
      </c>
      <c r="AJR120" s="0" t="n">
        <v>29.3</v>
      </c>
      <c r="AJS120" s="0" t="n">
        <v>10.81</v>
      </c>
      <c r="AJT120" s="0" t="n">
        <v>0</v>
      </c>
      <c r="AJU120" s="0" t="n">
        <v>0</v>
      </c>
      <c r="AJV120" s="0" t="n">
        <v>5.9</v>
      </c>
      <c r="AJW120" s="0" t="n">
        <v>2</v>
      </c>
      <c r="AJX120" s="0" t="n">
        <v>3</v>
      </c>
      <c r="AJY120" s="0" t="n">
        <v>2.01</v>
      </c>
      <c r="AKD120" s="0" t="n">
        <v>3</v>
      </c>
      <c r="AKE120" s="0" t="n">
        <v>2.01</v>
      </c>
      <c r="AKJ120" s="0" t="n">
        <v>0</v>
      </c>
      <c r="AKK120" s="0" t="n">
        <v>0</v>
      </c>
      <c r="AKV120" s="18"/>
      <c r="ALN120" s="0" t="n">
        <v>0</v>
      </c>
    </row>
    <row r="121" customFormat="false" ht="13.8" hidden="false" customHeight="false" outlineLevel="0" collapsed="false">
      <c r="A121" s="1" t="s">
        <v>556</v>
      </c>
      <c r="B121" s="12" t="n">
        <v>42905</v>
      </c>
      <c r="C121" s="0" t="n">
        <v>2</v>
      </c>
      <c r="D121" s="13" t="n">
        <v>42797</v>
      </c>
      <c r="E121" s="12" t="n">
        <v>30772</v>
      </c>
      <c r="F121" s="14" t="n">
        <f aca="false">(B121-E121)/365.25</f>
        <v>33.2183436002738</v>
      </c>
      <c r="G121" s="14" t="n">
        <f aca="false">(B121-D121)/365.25</f>
        <v>0.295687885010267</v>
      </c>
      <c r="H121" s="15" t="s">
        <v>217</v>
      </c>
      <c r="I121" s="15" t="s">
        <v>545</v>
      </c>
      <c r="J121" s="15" t="s">
        <v>181</v>
      </c>
      <c r="K121" s="21" t="n">
        <v>8</v>
      </c>
      <c r="L121" s="19" t="n">
        <v>78</v>
      </c>
      <c r="M121" s="0" t="n">
        <v>1.78</v>
      </c>
      <c r="N121" s="16" t="n">
        <f aca="false">L121/(M121*M121)</f>
        <v>24.6181037747759</v>
      </c>
      <c r="O121" s="19" t="n">
        <v>0</v>
      </c>
      <c r="P121" s="19" t="n">
        <v>0</v>
      </c>
      <c r="Q121" s="19" t="n">
        <v>0</v>
      </c>
      <c r="R121" s="19" t="n">
        <v>0</v>
      </c>
      <c r="S121" s="19" t="n">
        <v>0</v>
      </c>
      <c r="T121" s="19" t="n">
        <v>0</v>
      </c>
      <c r="U121" s="19" t="n">
        <v>0</v>
      </c>
      <c r="V121" s="19" t="n">
        <v>0</v>
      </c>
      <c r="W121" s="19" t="n">
        <v>0</v>
      </c>
      <c r="X121" s="19" t="n">
        <v>0</v>
      </c>
      <c r="Y121" s="19" t="n">
        <v>0</v>
      </c>
      <c r="Z121" s="19" t="n">
        <v>0</v>
      </c>
      <c r="AA121" s="19" t="n">
        <v>0</v>
      </c>
      <c r="AB121" s="19" t="n">
        <v>0</v>
      </c>
      <c r="AC121" s="19" t="n">
        <v>0</v>
      </c>
      <c r="AD121" s="19" t="n">
        <v>0</v>
      </c>
      <c r="AE121" s="19" t="n">
        <v>0</v>
      </c>
      <c r="AF121" s="19" t="n">
        <v>0</v>
      </c>
      <c r="AG121" s="19" t="n">
        <v>0</v>
      </c>
      <c r="AH121" s="19" t="n">
        <v>0</v>
      </c>
      <c r="AI121" s="19" t="n">
        <v>0</v>
      </c>
      <c r="AJ121" s="19" t="n">
        <v>0</v>
      </c>
      <c r="AK121" s="19" t="n">
        <v>0</v>
      </c>
      <c r="AL121" s="19" t="n">
        <v>0</v>
      </c>
      <c r="AM121" s="19" t="n">
        <v>0</v>
      </c>
      <c r="AN121" s="19" t="n">
        <v>0</v>
      </c>
      <c r="AO121" s="19" t="n">
        <v>0</v>
      </c>
      <c r="AP121" s="19" t="n">
        <v>0</v>
      </c>
      <c r="AQ121" s="19" t="n">
        <v>0</v>
      </c>
      <c r="AR121" s="19" t="n">
        <v>0</v>
      </c>
      <c r="AS121" s="19" t="n">
        <v>1</v>
      </c>
      <c r="AT121" s="19" t="n">
        <v>0</v>
      </c>
      <c r="AU121" s="19" t="n">
        <v>1</v>
      </c>
      <c r="AV121" s="19" t="n">
        <v>4</v>
      </c>
      <c r="AW121" s="19" t="n">
        <v>0</v>
      </c>
      <c r="AX121" s="19" t="n">
        <v>0</v>
      </c>
      <c r="AY121" s="19" t="n">
        <v>0</v>
      </c>
      <c r="AZ121" s="19" t="n">
        <v>0</v>
      </c>
      <c r="BA121" s="19" t="n">
        <v>0</v>
      </c>
      <c r="BB121" s="19" t="n">
        <v>0</v>
      </c>
      <c r="BC121" s="19" t="n">
        <v>0</v>
      </c>
      <c r="BD121" s="19" t="n">
        <v>0</v>
      </c>
      <c r="BE121" s="19" t="n">
        <v>0</v>
      </c>
      <c r="BF121" s="19" t="n">
        <v>0</v>
      </c>
      <c r="BG121" s="19" t="n">
        <v>0</v>
      </c>
      <c r="BH121" s="19" t="n">
        <v>0</v>
      </c>
      <c r="BI121" s="19" t="n">
        <v>0</v>
      </c>
      <c r="BJ121" s="19" t="n">
        <v>0</v>
      </c>
      <c r="BK121" s="19" t="n">
        <v>0</v>
      </c>
      <c r="BL121" s="19" t="n">
        <v>0</v>
      </c>
      <c r="BM121" s="19" t="n">
        <v>0</v>
      </c>
      <c r="BN121" s="19" t="n">
        <v>0</v>
      </c>
      <c r="BO121" s="19" t="n">
        <v>0</v>
      </c>
      <c r="BP121" s="19" t="n">
        <v>0</v>
      </c>
      <c r="BQ121" s="19" t="n">
        <v>0</v>
      </c>
      <c r="BR121" s="19" t="n">
        <v>1</v>
      </c>
      <c r="BS121" s="19" t="n">
        <v>2</v>
      </c>
      <c r="BT121" s="19" t="n">
        <v>2</v>
      </c>
      <c r="BU121" s="19" t="n">
        <v>5</v>
      </c>
      <c r="BV121" s="19" t="n">
        <v>3</v>
      </c>
      <c r="BW121" s="19" t="n">
        <v>1</v>
      </c>
      <c r="BX121" s="19" t="n">
        <v>3</v>
      </c>
      <c r="BY121" s="19" t="n">
        <v>3</v>
      </c>
      <c r="BZ121" s="19" t="n">
        <v>3</v>
      </c>
      <c r="CA121" s="19" t="n">
        <v>4</v>
      </c>
      <c r="CB121" s="19" t="n">
        <v>5</v>
      </c>
      <c r="CC121" s="19" t="n">
        <v>5</v>
      </c>
      <c r="CD121" s="19" t="n">
        <v>4</v>
      </c>
      <c r="CE121" s="19" t="n">
        <v>4</v>
      </c>
      <c r="CF121" s="19" t="n">
        <v>5</v>
      </c>
      <c r="CG121" s="19" t="n">
        <v>5</v>
      </c>
      <c r="CH121" s="19" t="n">
        <v>4</v>
      </c>
      <c r="CI121" s="19" t="n">
        <v>5</v>
      </c>
      <c r="CJ121" s="19" t="n">
        <v>4</v>
      </c>
      <c r="CK121" s="19" t="n">
        <v>9</v>
      </c>
      <c r="CL121" s="0" t="s">
        <v>555</v>
      </c>
      <c r="CM121" s="0" t="n">
        <v>35</v>
      </c>
      <c r="CN121" s="16" t="n">
        <v>78.8</v>
      </c>
      <c r="CO121" s="16" t="n">
        <v>80.4</v>
      </c>
      <c r="CP121" s="16" t="n">
        <v>17.2</v>
      </c>
      <c r="CQ121" s="0" t="n">
        <v>72.07</v>
      </c>
      <c r="CR121" s="0" t="n">
        <v>11.09</v>
      </c>
      <c r="CS121" s="0" t="n">
        <v>1.12</v>
      </c>
      <c r="CT121" s="0" t="n">
        <v>0</v>
      </c>
      <c r="CU121" s="0" t="n">
        <v>15.71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1.66</v>
      </c>
      <c r="DD121" s="0" t="n">
        <v>34.99</v>
      </c>
      <c r="DE121" s="0" t="n">
        <v>0</v>
      </c>
      <c r="DF121" s="0" t="n">
        <v>0</v>
      </c>
      <c r="DG121" s="0" t="n">
        <v>0</v>
      </c>
      <c r="DH121" s="0" t="n">
        <v>0</v>
      </c>
      <c r="DU121" s="0" t="n">
        <v>11.2</v>
      </c>
      <c r="DV121" s="0" t="n">
        <v>1</v>
      </c>
      <c r="DW121" s="0" t="n">
        <v>52</v>
      </c>
      <c r="DX121" s="0" t="n">
        <f aca="false">18+1+15</f>
        <v>34</v>
      </c>
      <c r="DY121" s="0" t="n">
        <f aca="false">3.2+2.05+0.07</f>
        <v>5.32</v>
      </c>
      <c r="DZ121" s="0" t="n">
        <v>2</v>
      </c>
      <c r="EG121" s="18"/>
      <c r="EY121" s="0" t="n">
        <v>0</v>
      </c>
      <c r="GJ121" s="16" t="n">
        <v>0</v>
      </c>
      <c r="GK121" s="16" t="n">
        <v>0</v>
      </c>
      <c r="GL121" s="16"/>
      <c r="GM121" s="16"/>
      <c r="GN121" s="16"/>
      <c r="GO121" s="16"/>
      <c r="GP121" s="16"/>
      <c r="GQ121" s="16"/>
      <c r="GR121" s="16"/>
      <c r="GS121" s="16"/>
      <c r="GT121" s="16"/>
      <c r="GU121" s="16" t="n">
        <v>6.16</v>
      </c>
      <c r="GV121" s="16" t="n">
        <v>7.21</v>
      </c>
      <c r="GW121" s="16"/>
      <c r="GX121" s="16"/>
      <c r="GY121" s="16" t="n">
        <v>0</v>
      </c>
      <c r="GZ121" s="16" t="n">
        <v>0</v>
      </c>
      <c r="HA121" s="16" t="n">
        <v>0</v>
      </c>
      <c r="HB121" s="0" t="n">
        <v>0</v>
      </c>
      <c r="HC121" s="0" t="s">
        <v>546</v>
      </c>
      <c r="HD121" s="0" t="n">
        <v>16.5</v>
      </c>
      <c r="HE121" s="16" t="n">
        <v>35.3</v>
      </c>
      <c r="HF121" s="16" t="n">
        <v>80.4</v>
      </c>
      <c r="HG121" s="16" t="n">
        <v>9.7</v>
      </c>
      <c r="HH121" s="0" t="n">
        <v>86.56</v>
      </c>
      <c r="HI121" s="0" t="n">
        <v>12.61</v>
      </c>
      <c r="HJ121" s="0" t="n">
        <v>0</v>
      </c>
      <c r="HK121" s="0" t="n">
        <v>0</v>
      </c>
      <c r="HL121" s="0" t="n">
        <v>0.83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2.22</v>
      </c>
      <c r="HU121" s="0" t="n">
        <v>20.83</v>
      </c>
      <c r="HV121" s="0" t="n">
        <v>0</v>
      </c>
      <c r="HW121" s="0" t="n">
        <v>0</v>
      </c>
      <c r="HX121" s="0" t="n">
        <v>0</v>
      </c>
      <c r="HY121" s="0" t="n">
        <v>0</v>
      </c>
      <c r="IL121" s="0" t="n">
        <v>0.3</v>
      </c>
      <c r="IM121" s="0" t="n">
        <v>1</v>
      </c>
      <c r="IN121" s="0" t="n">
        <v>34</v>
      </c>
      <c r="IO121" s="0" t="n">
        <v>4</v>
      </c>
      <c r="IP121" s="0" t="n">
        <f aca="false">1.35+0.45+1.35+0.45</f>
        <v>3.6</v>
      </c>
      <c r="IQ121" s="0" t="n">
        <v>1</v>
      </c>
      <c r="IR121" s="0" t="n">
        <v>52</v>
      </c>
      <c r="IS121" s="0" t="n">
        <v>1</v>
      </c>
      <c r="IT121" s="0" t="n">
        <f aca="false">0.18</f>
        <v>0.18</v>
      </c>
      <c r="IU121" s="0" t="n">
        <v>2</v>
      </c>
      <c r="IX121" s="18"/>
      <c r="JP121" s="0" t="n">
        <v>0</v>
      </c>
      <c r="LA121" s="16" t="n">
        <v>0.28</v>
      </c>
      <c r="LB121" s="16" t="n">
        <v>1</v>
      </c>
      <c r="LC121" s="16" t="n">
        <v>2</v>
      </c>
      <c r="LD121" s="16"/>
      <c r="LE121" s="16" t="n">
        <f aca="false">0.37+0.26</f>
        <v>0.63</v>
      </c>
      <c r="LF121" s="16"/>
      <c r="LG121" s="16"/>
      <c r="LH121" s="16"/>
      <c r="LI121" s="16"/>
      <c r="LJ121" s="16"/>
      <c r="LK121" s="16"/>
      <c r="LL121" s="16" t="n">
        <v>5.99</v>
      </c>
      <c r="LM121" s="16" t="n">
        <v>5.34</v>
      </c>
      <c r="LN121" s="16"/>
      <c r="LO121" s="16"/>
      <c r="LP121" s="16" t="n">
        <v>0</v>
      </c>
      <c r="LQ121" s="16" t="n">
        <v>0</v>
      </c>
      <c r="LR121" s="16" t="n">
        <v>0</v>
      </c>
      <c r="LS121" s="0" t="n">
        <v>0</v>
      </c>
      <c r="LT121" s="0" t="s">
        <v>547</v>
      </c>
      <c r="LU121" s="0" t="n">
        <v>29.5</v>
      </c>
      <c r="LV121" s="16" t="n">
        <v>87.5</v>
      </c>
      <c r="LW121" s="16" t="n">
        <v>80.4</v>
      </c>
      <c r="LX121" s="16" t="n">
        <v>14.3</v>
      </c>
      <c r="LY121" s="0" t="n">
        <v>68.7</v>
      </c>
      <c r="LZ121" s="0" t="n">
        <v>23.24</v>
      </c>
      <c r="MA121" s="0" t="n">
        <v>1.79</v>
      </c>
      <c r="MB121" s="0" t="n">
        <v>0</v>
      </c>
      <c r="MC121" s="0" t="n">
        <v>6.27</v>
      </c>
      <c r="MD121" s="0" t="n">
        <v>0</v>
      </c>
      <c r="ME121" s="0" t="n">
        <v>0</v>
      </c>
      <c r="MF121" s="0" t="n">
        <v>0</v>
      </c>
      <c r="MG121" s="0" t="n">
        <v>0</v>
      </c>
      <c r="MH121" s="0" t="n">
        <v>0</v>
      </c>
      <c r="MI121" s="0" t="n">
        <v>0</v>
      </c>
      <c r="MJ121" s="0" t="n">
        <v>0</v>
      </c>
      <c r="MK121" s="0" t="n">
        <v>7.01</v>
      </c>
      <c r="ML121" s="0" t="n">
        <v>58.72</v>
      </c>
      <c r="MM121" s="0" t="n">
        <v>0.23</v>
      </c>
      <c r="MN121" s="0" t="n">
        <v>0</v>
      </c>
      <c r="MO121" s="0" t="n">
        <v>0.5</v>
      </c>
      <c r="MP121" s="0" t="n">
        <v>2</v>
      </c>
      <c r="MQ121" s="0" t="n">
        <v>7</v>
      </c>
      <c r="MR121" s="0" t="n">
        <v>0.08</v>
      </c>
      <c r="MW121" s="0" t="n">
        <v>7</v>
      </c>
      <c r="MX121" s="0" t="n">
        <v>0.08</v>
      </c>
      <c r="NC121" s="0" t="n">
        <v>0</v>
      </c>
      <c r="ND121" s="0" t="n">
        <v>1</v>
      </c>
      <c r="NE121" s="0" t="n">
        <v>23</v>
      </c>
      <c r="NF121" s="0" t="n">
        <v>2</v>
      </c>
      <c r="NG121" s="0" t="n">
        <v>0.9</v>
      </c>
      <c r="NH121" s="0" t="n">
        <v>3</v>
      </c>
      <c r="NO121" s="18"/>
      <c r="OG121" s="0" t="n">
        <v>1</v>
      </c>
      <c r="OH121" s="0" t="n">
        <v>50</v>
      </c>
      <c r="OI121" s="0" t="n">
        <v>2</v>
      </c>
      <c r="OJ121" s="0" t="n">
        <f aca="false">3.13+23.63</f>
        <v>26.76</v>
      </c>
      <c r="OK121" s="0" t="n">
        <v>3</v>
      </c>
      <c r="PR121" s="16" t="n">
        <v>1.49</v>
      </c>
      <c r="PS121" s="16" t="n">
        <v>1</v>
      </c>
      <c r="PT121" s="16" t="n">
        <v>1</v>
      </c>
      <c r="PU121" s="16"/>
      <c r="PV121" s="16" t="n">
        <f aca="false">1.91+2.02+2.02+1.35</f>
        <v>7.3</v>
      </c>
      <c r="PW121" s="16" t="n">
        <v>2</v>
      </c>
      <c r="PX121" s="16"/>
      <c r="PY121" s="16" t="n">
        <v>0.21</v>
      </c>
      <c r="PZ121" s="16"/>
      <c r="QA121" s="16"/>
      <c r="QB121" s="16"/>
      <c r="QC121" s="16" t="n">
        <v>10.82</v>
      </c>
      <c r="QD121" s="16" t="n">
        <v>14.57</v>
      </c>
      <c r="QE121" s="16"/>
      <c r="QF121" s="16"/>
      <c r="QG121" s="16" t="n">
        <v>2.24</v>
      </c>
      <c r="QH121" s="16" t="n">
        <v>0.9</v>
      </c>
      <c r="QI121" s="16" t="n">
        <v>0</v>
      </c>
      <c r="QJ121" s="0" t="n">
        <v>0</v>
      </c>
      <c r="QK121" s="0" t="s">
        <v>548</v>
      </c>
      <c r="QL121" s="0" t="n">
        <v>50</v>
      </c>
      <c r="QM121" s="16" t="n">
        <v>80</v>
      </c>
      <c r="QN121" s="16" t="n">
        <v>80.4</v>
      </c>
      <c r="QO121" s="16" t="n">
        <v>16.9</v>
      </c>
      <c r="QP121" s="0" t="n">
        <v>58.18</v>
      </c>
      <c r="QQ121" s="0" t="n">
        <v>32.94</v>
      </c>
      <c r="QR121" s="0" t="n">
        <v>1.79</v>
      </c>
      <c r="QS121" s="0" t="n">
        <v>0</v>
      </c>
      <c r="QT121" s="0" t="n">
        <v>7.09</v>
      </c>
      <c r="QU121" s="0" t="n">
        <v>0</v>
      </c>
      <c r="QV121" s="0" t="n">
        <v>0</v>
      </c>
      <c r="QW121" s="0" t="n">
        <v>0</v>
      </c>
      <c r="QX121" s="0" t="n">
        <v>0</v>
      </c>
      <c r="QY121" s="0" t="n">
        <v>0</v>
      </c>
      <c r="QZ121" s="0" t="n">
        <v>0</v>
      </c>
      <c r="RA121" s="0" t="n">
        <v>0</v>
      </c>
      <c r="RB121" s="0" t="n">
        <v>3.53</v>
      </c>
      <c r="RC121" s="0" t="n">
        <v>45.12</v>
      </c>
      <c r="RD121" s="0" t="n">
        <v>0</v>
      </c>
      <c r="RE121" s="0" t="n">
        <v>0</v>
      </c>
      <c r="RF121" s="0" t="n">
        <v>0</v>
      </c>
      <c r="RG121" s="0" t="n">
        <v>0</v>
      </c>
      <c r="RT121" s="0" t="n">
        <v>8.2</v>
      </c>
      <c r="RU121" s="0" t="n">
        <v>1</v>
      </c>
      <c r="RV121" s="0" t="n">
        <v>23</v>
      </c>
      <c r="RW121" s="0" t="n">
        <v>1</v>
      </c>
      <c r="RX121" s="0" t="n">
        <v>0.45</v>
      </c>
      <c r="RY121" s="0" t="n">
        <v>3</v>
      </c>
      <c r="RZ121" s="0" t="n">
        <v>34</v>
      </c>
      <c r="SA121" s="0" t="n">
        <v>28</v>
      </c>
      <c r="SB121" s="0" t="n">
        <f aca="false">0.45+0.18+1.6+0.24+0.37+4.39+0.49+0.04+0.32+0.05+1.38</f>
        <v>9.51</v>
      </c>
      <c r="SC121" s="0" t="n">
        <v>1</v>
      </c>
      <c r="SF121" s="18"/>
      <c r="SX121" s="0" t="n">
        <v>0</v>
      </c>
      <c r="UI121" s="16" t="n">
        <v>1.65</v>
      </c>
      <c r="UJ121" s="16" t="n">
        <v>1</v>
      </c>
      <c r="UK121" s="16" t="n">
        <v>1</v>
      </c>
      <c r="UL121" s="16"/>
      <c r="UM121" s="16" t="n">
        <f aca="false">0.18</f>
        <v>0.18</v>
      </c>
      <c r="UN121" s="16" t="n">
        <v>2</v>
      </c>
      <c r="UO121" s="16"/>
      <c r="UP121" s="16" t="n">
        <f aca="false">1.65+0.91+6.23+0.66</f>
        <v>9.45</v>
      </c>
      <c r="UQ121" s="16"/>
      <c r="UR121" s="16"/>
      <c r="US121" s="16"/>
      <c r="UT121" s="16" t="n">
        <v>20.65</v>
      </c>
      <c r="UU121" s="16" t="n">
        <v>33.56</v>
      </c>
      <c r="UV121" s="16"/>
      <c r="UW121" s="16"/>
      <c r="UX121" s="16" t="n">
        <v>2.24</v>
      </c>
      <c r="UY121" s="16" t="n">
        <v>0.45</v>
      </c>
      <c r="UZ121" s="16" t="n">
        <v>0</v>
      </c>
      <c r="VA121" s="0" t="n">
        <v>0.45</v>
      </c>
      <c r="VB121" s="0" t="s">
        <v>549</v>
      </c>
      <c r="VC121" s="0" t="n">
        <v>31.5</v>
      </c>
      <c r="VD121" s="16" t="n">
        <v>79.9</v>
      </c>
      <c r="VE121" s="16" t="n">
        <v>80.4</v>
      </c>
      <c r="VF121" s="16" t="n">
        <v>17.8</v>
      </c>
      <c r="VG121" s="0" t="n">
        <v>71.45</v>
      </c>
      <c r="VH121" s="0" t="n">
        <v>9.43</v>
      </c>
      <c r="VI121" s="0" t="n">
        <v>1.12</v>
      </c>
      <c r="VJ121" s="0" t="n">
        <v>0</v>
      </c>
      <c r="VK121" s="0" t="n">
        <v>18.01</v>
      </c>
      <c r="VL121" s="0" t="n">
        <v>0</v>
      </c>
      <c r="VM121" s="0" t="n">
        <v>0</v>
      </c>
      <c r="VN121" s="0" t="n">
        <v>0</v>
      </c>
      <c r="VO121" s="0" t="n">
        <v>0</v>
      </c>
      <c r="VP121" s="0" t="n">
        <v>0</v>
      </c>
      <c r="VQ121" s="0" t="n">
        <v>0</v>
      </c>
      <c r="VR121" s="0" t="n">
        <v>0</v>
      </c>
      <c r="VS121" s="0" t="n">
        <v>8.44</v>
      </c>
      <c r="VT121" s="0" t="n">
        <v>63.45</v>
      </c>
      <c r="VU121" s="0" t="n">
        <v>0</v>
      </c>
      <c r="VV121" s="0" t="n">
        <v>0</v>
      </c>
      <c r="VW121" s="0" t="n">
        <v>0</v>
      </c>
      <c r="VX121" s="0" t="n">
        <v>0</v>
      </c>
      <c r="WK121" s="0" t="n">
        <v>2</v>
      </c>
      <c r="WL121" s="0" t="n">
        <v>1</v>
      </c>
      <c r="WM121" s="0" t="n">
        <v>52</v>
      </c>
      <c r="WN121" s="0" t="n">
        <v>2</v>
      </c>
      <c r="WO121" s="0" t="n">
        <f aca="false">0.9+0.02</f>
        <v>0.92</v>
      </c>
      <c r="WP121" s="0" t="n">
        <v>2</v>
      </c>
      <c r="WW121" s="18"/>
      <c r="XO121" s="0" t="n">
        <v>1</v>
      </c>
      <c r="XP121" s="0" t="n">
        <v>50</v>
      </c>
      <c r="XQ121" s="0" t="n">
        <v>9</v>
      </c>
      <c r="XR121" s="0" t="n">
        <f aca="false">19.9+3.13</f>
        <v>23.03</v>
      </c>
      <c r="XS121" s="0" t="n">
        <v>3</v>
      </c>
      <c r="YZ121" s="16" t="n">
        <v>1.47</v>
      </c>
      <c r="ZA121" s="16" t="n">
        <v>1</v>
      </c>
      <c r="ZB121" s="16" t="n">
        <v>1</v>
      </c>
      <c r="ZC121" s="16"/>
      <c r="ZD121" s="16" t="n">
        <v>2.13</v>
      </c>
      <c r="ZE121" s="16" t="n">
        <v>2</v>
      </c>
      <c r="ZF121" s="16"/>
      <c r="ZG121" s="16" t="n">
        <v>3.37</v>
      </c>
      <c r="ZH121" s="16"/>
      <c r="ZI121" s="16"/>
      <c r="ZJ121" s="16"/>
      <c r="ZK121" s="16" t="n">
        <v>5.55</v>
      </c>
      <c r="ZL121" s="16" t="n">
        <v>6.42</v>
      </c>
      <c r="ZM121" s="16"/>
      <c r="ZN121" s="16"/>
      <c r="ZO121" s="16" t="n">
        <v>0</v>
      </c>
      <c r="ZP121" s="16" t="n">
        <v>0</v>
      </c>
      <c r="ZQ121" s="16" t="n">
        <v>4.48</v>
      </c>
      <c r="ZR121" s="0" t="n">
        <v>0</v>
      </c>
      <c r="ZS121" s="0" t="s">
        <v>550</v>
      </c>
      <c r="ZT121" s="0" t="n">
        <v>17</v>
      </c>
      <c r="ZU121" s="16" t="n">
        <v>87.8</v>
      </c>
      <c r="ZV121" s="16" t="n">
        <v>80.4</v>
      </c>
      <c r="ZW121" s="16" t="n">
        <v>11.6</v>
      </c>
      <c r="ZX121" s="0" t="n">
        <v>86.21</v>
      </c>
      <c r="ZY121" s="0" t="n">
        <v>1.64</v>
      </c>
      <c r="ZZ121" s="0" t="n">
        <v>0.45</v>
      </c>
      <c r="AAA121" s="0" t="n">
        <v>0</v>
      </c>
      <c r="AAB121" s="0" t="n">
        <v>11.7</v>
      </c>
      <c r="AAC121" s="0" t="n">
        <v>0</v>
      </c>
      <c r="AAD121" s="0" t="n">
        <v>0</v>
      </c>
      <c r="AAE121" s="0" t="n">
        <v>0</v>
      </c>
      <c r="AAF121" s="0" t="n">
        <v>0</v>
      </c>
      <c r="AAG121" s="0" t="n">
        <v>0</v>
      </c>
      <c r="AAH121" s="0" t="n">
        <v>0</v>
      </c>
      <c r="AAI121" s="0" t="n">
        <v>0</v>
      </c>
      <c r="AAJ121" s="0" t="n">
        <v>14.73</v>
      </c>
      <c r="AAK121" s="0" t="n">
        <v>7.98</v>
      </c>
      <c r="AAL121" s="0" t="n">
        <v>0</v>
      </c>
      <c r="AAM121" s="0" t="n">
        <v>0</v>
      </c>
      <c r="AAN121" s="0" t="n">
        <v>0</v>
      </c>
      <c r="AAO121" s="0" t="n">
        <v>0</v>
      </c>
      <c r="ABB121" s="0" t="n">
        <v>0</v>
      </c>
      <c r="ABC121" s="0" t="n">
        <v>0</v>
      </c>
      <c r="ABN121" s="18"/>
      <c r="ACF121" s="0" t="n">
        <v>0</v>
      </c>
      <c r="ADQ121" s="16" t="n">
        <v>0</v>
      </c>
      <c r="ADR121" s="16" t="n">
        <v>0</v>
      </c>
      <c r="ADS121" s="16"/>
      <c r="ADT121" s="16"/>
      <c r="ADU121" s="16"/>
      <c r="ADV121" s="16"/>
      <c r="ADW121" s="16"/>
      <c r="ADX121" s="16"/>
      <c r="ADY121" s="16"/>
      <c r="ADZ121" s="16"/>
      <c r="AEA121" s="16"/>
      <c r="AEB121" s="16" t="n">
        <v>5.22</v>
      </c>
      <c r="AEC121" s="16" t="n">
        <v>5.37</v>
      </c>
      <c r="AED121" s="16"/>
      <c r="AEE121" s="16"/>
      <c r="AEF121" s="16" t="n">
        <v>0</v>
      </c>
      <c r="AEG121" s="16" t="n">
        <v>0</v>
      </c>
      <c r="AEH121" s="16" t="n">
        <v>0.19</v>
      </c>
      <c r="AEI121" s="0" t="n">
        <v>0</v>
      </c>
      <c r="AEJ121" s="0" t="s">
        <v>551</v>
      </c>
      <c r="AEK121" s="0" t="n">
        <v>17.5</v>
      </c>
      <c r="AEL121" s="16" t="n">
        <v>87.6</v>
      </c>
      <c r="AEM121" s="16" t="n">
        <v>80.4</v>
      </c>
      <c r="AEN121" s="16" t="n">
        <v>12</v>
      </c>
      <c r="AEO121" s="0" t="n">
        <v>84.96</v>
      </c>
      <c r="AEP121" s="0" t="n">
        <v>1.61</v>
      </c>
      <c r="AEQ121" s="0" t="n">
        <v>0.45</v>
      </c>
      <c r="AER121" s="0" t="n">
        <v>0</v>
      </c>
      <c r="AES121" s="0" t="n">
        <v>12.98</v>
      </c>
      <c r="AET121" s="0" t="n">
        <v>0</v>
      </c>
      <c r="AEU121" s="0" t="n">
        <v>0</v>
      </c>
      <c r="AEV121" s="0" t="n">
        <v>0</v>
      </c>
      <c r="AEW121" s="0" t="n">
        <v>0</v>
      </c>
      <c r="AEX121" s="0" t="n">
        <v>0</v>
      </c>
      <c r="AEY121" s="0" t="n">
        <v>0</v>
      </c>
      <c r="AEZ121" s="0" t="n">
        <v>0</v>
      </c>
      <c r="AFA121" s="0" t="n">
        <v>15.99</v>
      </c>
      <c r="AFB121" s="0" t="n">
        <v>7.84</v>
      </c>
      <c r="AFC121" s="0" t="n">
        <v>0</v>
      </c>
      <c r="AFD121" s="0" t="n">
        <v>0</v>
      </c>
      <c r="AFE121" s="0" t="n">
        <v>0</v>
      </c>
      <c r="AFF121" s="0" t="n">
        <v>0</v>
      </c>
      <c r="AFS121" s="0" t="n">
        <v>0</v>
      </c>
      <c r="AFT121" s="0" t="n">
        <v>0</v>
      </c>
      <c r="AGE121" s="18"/>
      <c r="AGW121" s="0" t="n">
        <v>0</v>
      </c>
      <c r="AIH121" s="16" t="n">
        <v>0</v>
      </c>
      <c r="AII121" s="16" t="n">
        <v>0</v>
      </c>
      <c r="AIJ121" s="16"/>
      <c r="AIK121" s="16"/>
      <c r="AIL121" s="16"/>
      <c r="AIM121" s="16"/>
      <c r="AIN121" s="16"/>
      <c r="AIO121" s="16"/>
      <c r="AIP121" s="16"/>
      <c r="AIQ121" s="16"/>
      <c r="AIR121" s="16"/>
      <c r="AIS121" s="16" t="n">
        <v>5.22</v>
      </c>
      <c r="AIT121" s="16" t="n">
        <v>5.37</v>
      </c>
      <c r="AIU121" s="16"/>
      <c r="AIV121" s="16"/>
      <c r="AIW121" s="16" t="n">
        <v>0</v>
      </c>
      <c r="AIX121" s="16" t="n">
        <v>0</v>
      </c>
      <c r="AIY121" s="16" t="n">
        <v>0.19</v>
      </c>
      <c r="AIZ121" s="0" t="n">
        <v>0</v>
      </c>
      <c r="AJA121" s="0" t="s">
        <v>552</v>
      </c>
      <c r="AJB121" s="0" t="n">
        <v>16.5</v>
      </c>
      <c r="AJC121" s="16" t="n">
        <v>73.2</v>
      </c>
      <c r="AJD121" s="16" t="n">
        <v>80.4</v>
      </c>
      <c r="AJE121" s="16" t="n">
        <v>10.2</v>
      </c>
      <c r="AJF121" s="0" t="n">
        <v>69.43</v>
      </c>
      <c r="AJG121" s="0" t="n">
        <v>29.45</v>
      </c>
      <c r="AJH121" s="0" t="n">
        <v>1.12</v>
      </c>
      <c r="AJI121" s="0" t="n">
        <v>0</v>
      </c>
      <c r="AJJ121" s="0" t="n">
        <v>0</v>
      </c>
      <c r="AJK121" s="0" t="n">
        <v>0</v>
      </c>
      <c r="AJL121" s="0" t="n">
        <v>0</v>
      </c>
      <c r="AJM121" s="0" t="n">
        <v>0</v>
      </c>
      <c r="AJN121" s="0" t="n">
        <v>0</v>
      </c>
      <c r="AJO121" s="0" t="n">
        <v>0</v>
      </c>
      <c r="AJP121" s="0" t="n">
        <v>0</v>
      </c>
      <c r="AJQ121" s="0" t="n">
        <v>0</v>
      </c>
      <c r="AJR121" s="0" t="n">
        <v>29.3</v>
      </c>
      <c r="AJS121" s="0" t="n">
        <v>10.81</v>
      </c>
      <c r="AJT121" s="0" t="n">
        <v>0</v>
      </c>
      <c r="AJU121" s="0" t="n">
        <v>0</v>
      </c>
      <c r="AJV121" s="0" t="n">
        <v>5.9</v>
      </c>
      <c r="AJW121" s="0" t="n">
        <v>2</v>
      </c>
      <c r="AJX121" s="0" t="n">
        <v>3</v>
      </c>
      <c r="AJY121" s="0" t="n">
        <v>2.01</v>
      </c>
      <c r="AKD121" s="0" t="n">
        <v>3</v>
      </c>
      <c r="AKE121" s="0" t="n">
        <v>2.01</v>
      </c>
      <c r="AKJ121" s="0" t="n">
        <v>0</v>
      </c>
      <c r="AKK121" s="0" t="n">
        <v>0</v>
      </c>
      <c r="AKV121" s="18"/>
      <c r="ALN121" s="0" t="n">
        <v>0</v>
      </c>
    </row>
    <row r="122" customFormat="false" ht="13.8" hidden="false" customHeight="false" outlineLevel="0" collapsed="false">
      <c r="A122" s="1" t="s">
        <v>557</v>
      </c>
      <c r="B122" s="12" t="n">
        <v>42902</v>
      </c>
      <c r="C122" s="0" t="n">
        <v>2</v>
      </c>
      <c r="D122" s="13" t="n">
        <v>42783</v>
      </c>
      <c r="E122" s="12" t="n">
        <v>34410</v>
      </c>
      <c r="F122" s="14" t="n">
        <f aca="false">(B122-E122)/365.25</f>
        <v>23.2498288843258</v>
      </c>
      <c r="G122" s="14" t="n">
        <f aca="false">(B122-D122)/365.25</f>
        <v>0.32580424366872</v>
      </c>
      <c r="H122" s="15" t="s">
        <v>217</v>
      </c>
      <c r="I122" s="15" t="s">
        <v>545</v>
      </c>
      <c r="J122" s="15" t="s">
        <v>181</v>
      </c>
      <c r="K122" s="21" t="n">
        <v>8</v>
      </c>
      <c r="L122" s="19" t="n">
        <v>55</v>
      </c>
      <c r="M122" s="0" t="n">
        <v>1.66</v>
      </c>
      <c r="N122" s="16" t="n">
        <f aca="false">L122/(M122*M122)</f>
        <v>19.9593554942662</v>
      </c>
      <c r="O122" s="19" t="n">
        <v>0</v>
      </c>
      <c r="P122" s="19" t="n">
        <v>0</v>
      </c>
      <c r="Q122" s="19" t="n">
        <v>0</v>
      </c>
      <c r="R122" s="19" t="n">
        <v>0</v>
      </c>
      <c r="S122" s="19" t="n">
        <v>0</v>
      </c>
      <c r="T122" s="19" t="n">
        <v>0</v>
      </c>
      <c r="U122" s="19" t="n">
        <v>0</v>
      </c>
      <c r="V122" s="19" t="n">
        <v>0</v>
      </c>
      <c r="W122" s="19" t="n">
        <v>0</v>
      </c>
      <c r="X122" s="19" t="n">
        <v>0</v>
      </c>
      <c r="Y122" s="19" t="n">
        <v>0</v>
      </c>
      <c r="Z122" s="19" t="n">
        <v>0</v>
      </c>
      <c r="AA122" s="19" t="n">
        <v>0</v>
      </c>
      <c r="AB122" s="19" t="n">
        <v>0</v>
      </c>
      <c r="AC122" s="19" t="n">
        <v>1</v>
      </c>
      <c r="AD122" s="19" t="n">
        <v>6</v>
      </c>
      <c r="AE122" s="19" t="n">
        <v>0</v>
      </c>
      <c r="AF122" s="19" t="n">
        <v>0</v>
      </c>
      <c r="AG122" s="19" t="n">
        <v>0</v>
      </c>
      <c r="AH122" s="19" t="n">
        <v>0</v>
      </c>
      <c r="AI122" s="19" t="n">
        <v>0</v>
      </c>
      <c r="AJ122" s="19" t="n">
        <v>0</v>
      </c>
      <c r="AK122" s="19" t="n">
        <v>0</v>
      </c>
      <c r="AL122" s="19" t="n">
        <v>0</v>
      </c>
      <c r="AM122" s="19" t="n">
        <v>0</v>
      </c>
      <c r="AN122" s="19" t="n">
        <v>0</v>
      </c>
      <c r="AO122" s="19" t="n">
        <v>0</v>
      </c>
      <c r="AP122" s="19" t="n">
        <v>0</v>
      </c>
      <c r="AQ122" s="19" t="n">
        <v>0</v>
      </c>
      <c r="AR122" s="19" t="n">
        <v>0</v>
      </c>
      <c r="AS122" s="19" t="n">
        <v>0</v>
      </c>
      <c r="AT122" s="19" t="n">
        <v>0</v>
      </c>
      <c r="AU122" s="19" t="n">
        <v>0</v>
      </c>
      <c r="AV122" s="19" t="n">
        <v>0</v>
      </c>
      <c r="AW122" s="19" t="n">
        <v>0</v>
      </c>
      <c r="AX122" s="19" t="n">
        <v>0</v>
      </c>
      <c r="AY122" s="19" t="n">
        <v>0</v>
      </c>
      <c r="AZ122" s="19" t="n">
        <v>0</v>
      </c>
      <c r="BA122" s="19" t="n">
        <v>0</v>
      </c>
      <c r="BB122" s="19" t="n">
        <v>0</v>
      </c>
      <c r="BC122" s="19" t="n">
        <v>0</v>
      </c>
      <c r="BD122" s="19" t="n">
        <v>0</v>
      </c>
      <c r="BE122" s="19" t="n">
        <v>0</v>
      </c>
      <c r="BF122" s="19" t="n">
        <v>0</v>
      </c>
      <c r="BG122" s="19" t="n">
        <v>0</v>
      </c>
      <c r="BH122" s="19" t="n">
        <v>0</v>
      </c>
      <c r="BI122" s="19" t="n">
        <v>0</v>
      </c>
      <c r="BJ122" s="19" t="n">
        <v>0</v>
      </c>
      <c r="BK122" s="19" t="n">
        <v>0</v>
      </c>
      <c r="BL122" s="19" t="n">
        <v>0</v>
      </c>
      <c r="BM122" s="19" t="n">
        <v>0</v>
      </c>
      <c r="BN122" s="19" t="n">
        <v>0</v>
      </c>
      <c r="BO122" s="19" t="n">
        <v>0</v>
      </c>
      <c r="BP122" s="19" t="n">
        <v>0</v>
      </c>
      <c r="BQ122" s="19" t="n">
        <v>0</v>
      </c>
      <c r="BR122" s="19" t="n">
        <v>2</v>
      </c>
      <c r="BS122" s="19" t="n">
        <v>2</v>
      </c>
      <c r="BT122" s="19" t="n">
        <v>5</v>
      </c>
      <c r="BU122" s="19" t="n">
        <v>5</v>
      </c>
      <c r="BV122" s="19" t="n">
        <v>3</v>
      </c>
      <c r="BW122" s="19" t="n">
        <v>1</v>
      </c>
      <c r="BX122" s="19" t="n">
        <v>3</v>
      </c>
      <c r="BY122" s="19" t="n">
        <v>5</v>
      </c>
      <c r="BZ122" s="19" t="n">
        <v>5</v>
      </c>
      <c r="CA122" s="19" t="n">
        <v>5</v>
      </c>
      <c r="CB122" s="19" t="n">
        <v>5</v>
      </c>
      <c r="CC122" s="19" t="n">
        <v>5</v>
      </c>
      <c r="CD122" s="19" t="n">
        <v>5</v>
      </c>
      <c r="CE122" s="19" t="n">
        <v>5</v>
      </c>
      <c r="CF122" s="19" t="n">
        <v>4</v>
      </c>
      <c r="CG122" s="19" t="n">
        <v>5</v>
      </c>
      <c r="CH122" s="19" t="n">
        <v>5</v>
      </c>
      <c r="CI122" s="19" t="n">
        <v>5</v>
      </c>
      <c r="CJ122" s="19" t="n">
        <v>5</v>
      </c>
      <c r="CK122" s="19" t="n">
        <v>10</v>
      </c>
      <c r="CL122" s="0" t="s">
        <v>555</v>
      </c>
      <c r="CM122" s="0" t="n">
        <v>35</v>
      </c>
      <c r="CN122" s="16" t="n">
        <v>78.8</v>
      </c>
      <c r="CO122" s="16" t="n">
        <v>80.4</v>
      </c>
      <c r="CP122" s="16" t="n">
        <v>17.2</v>
      </c>
      <c r="CQ122" s="0" t="n">
        <v>72.07</v>
      </c>
      <c r="CR122" s="0" t="n">
        <v>11.09</v>
      </c>
      <c r="CS122" s="0" t="n">
        <v>1.12</v>
      </c>
      <c r="CT122" s="0" t="n">
        <v>0</v>
      </c>
      <c r="CU122" s="0" t="n">
        <v>15.71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1.66</v>
      </c>
      <c r="DD122" s="0" t="n">
        <v>34.99</v>
      </c>
      <c r="DE122" s="0" t="n">
        <v>0</v>
      </c>
      <c r="DF122" s="0" t="n">
        <v>0</v>
      </c>
      <c r="DG122" s="0" t="n">
        <v>0</v>
      </c>
      <c r="DH122" s="0" t="n">
        <v>0</v>
      </c>
      <c r="DU122" s="0" t="n">
        <v>11.2</v>
      </c>
      <c r="DV122" s="0" t="n">
        <v>1</v>
      </c>
      <c r="DW122" s="0" t="n">
        <v>52</v>
      </c>
      <c r="DX122" s="0" t="n">
        <f aca="false">18+1+15</f>
        <v>34</v>
      </c>
      <c r="DY122" s="0" t="n">
        <f aca="false">3.2+2.05+0.07</f>
        <v>5.32</v>
      </c>
      <c r="DZ122" s="0" t="n">
        <v>2</v>
      </c>
      <c r="EG122" s="18"/>
      <c r="EY122" s="0" t="n">
        <v>0</v>
      </c>
      <c r="GJ122" s="16" t="n">
        <v>0</v>
      </c>
      <c r="GK122" s="16" t="n">
        <v>0</v>
      </c>
      <c r="GL122" s="16"/>
      <c r="GM122" s="16"/>
      <c r="GN122" s="16"/>
      <c r="GO122" s="16"/>
      <c r="GP122" s="16"/>
      <c r="GQ122" s="16"/>
      <c r="GR122" s="16"/>
      <c r="GS122" s="16"/>
      <c r="GT122" s="16"/>
      <c r="GU122" s="16" t="n">
        <v>6.16</v>
      </c>
      <c r="GV122" s="16" t="n">
        <v>7.21</v>
      </c>
      <c r="GW122" s="16"/>
      <c r="GX122" s="16"/>
      <c r="GY122" s="16" t="n">
        <v>0</v>
      </c>
      <c r="GZ122" s="16" t="n">
        <v>0</v>
      </c>
      <c r="HA122" s="16" t="n">
        <v>0</v>
      </c>
      <c r="HB122" s="0" t="n">
        <v>0</v>
      </c>
      <c r="HC122" s="0" t="s">
        <v>546</v>
      </c>
      <c r="HD122" s="0" t="n">
        <v>16.5</v>
      </c>
      <c r="HE122" s="16" t="n">
        <v>35.3</v>
      </c>
      <c r="HF122" s="16" t="n">
        <v>80.4</v>
      </c>
      <c r="HG122" s="16" t="n">
        <v>9.7</v>
      </c>
      <c r="HH122" s="0" t="n">
        <v>86.56</v>
      </c>
      <c r="HI122" s="0" t="n">
        <v>12.61</v>
      </c>
      <c r="HJ122" s="0" t="n">
        <v>0</v>
      </c>
      <c r="HK122" s="0" t="n">
        <v>0</v>
      </c>
      <c r="HL122" s="0" t="n">
        <v>0.83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2.22</v>
      </c>
      <c r="HU122" s="0" t="n">
        <v>20.83</v>
      </c>
      <c r="HV122" s="0" t="n">
        <v>0</v>
      </c>
      <c r="HW122" s="0" t="n">
        <v>0</v>
      </c>
      <c r="HX122" s="0" t="n">
        <v>0</v>
      </c>
      <c r="HY122" s="0" t="n">
        <v>0</v>
      </c>
      <c r="IL122" s="0" t="n">
        <v>0.3</v>
      </c>
      <c r="IM122" s="0" t="n">
        <v>1</v>
      </c>
      <c r="IN122" s="0" t="n">
        <v>34</v>
      </c>
      <c r="IO122" s="0" t="n">
        <v>4</v>
      </c>
      <c r="IP122" s="0" t="n">
        <f aca="false">1.35+0.45+1.35+0.45</f>
        <v>3.6</v>
      </c>
      <c r="IQ122" s="0" t="n">
        <v>1</v>
      </c>
      <c r="IR122" s="0" t="n">
        <v>52</v>
      </c>
      <c r="IS122" s="0" t="n">
        <v>1</v>
      </c>
      <c r="IT122" s="0" t="n">
        <f aca="false">0.18</f>
        <v>0.18</v>
      </c>
      <c r="IU122" s="0" t="n">
        <v>2</v>
      </c>
      <c r="IX122" s="18"/>
      <c r="JP122" s="0" t="n">
        <v>0</v>
      </c>
      <c r="LA122" s="16" t="n">
        <v>0.28</v>
      </c>
      <c r="LB122" s="16" t="n">
        <v>1</v>
      </c>
      <c r="LC122" s="16" t="n">
        <v>2</v>
      </c>
      <c r="LD122" s="16"/>
      <c r="LE122" s="16" t="n">
        <f aca="false">0.37+0.26</f>
        <v>0.63</v>
      </c>
      <c r="LF122" s="16"/>
      <c r="LG122" s="16"/>
      <c r="LH122" s="16"/>
      <c r="LI122" s="16"/>
      <c r="LJ122" s="16"/>
      <c r="LK122" s="16"/>
      <c r="LL122" s="16" t="n">
        <v>5.99</v>
      </c>
      <c r="LM122" s="16" t="n">
        <v>5.34</v>
      </c>
      <c r="LN122" s="16"/>
      <c r="LO122" s="16"/>
      <c r="LP122" s="16" t="n">
        <v>0</v>
      </c>
      <c r="LQ122" s="16" t="n">
        <v>0</v>
      </c>
      <c r="LR122" s="16" t="n">
        <v>0</v>
      </c>
      <c r="LS122" s="0" t="n">
        <v>0</v>
      </c>
      <c r="LT122" s="0" t="s">
        <v>547</v>
      </c>
      <c r="LU122" s="0" t="n">
        <v>29.5</v>
      </c>
      <c r="LV122" s="16" t="n">
        <v>87.5</v>
      </c>
      <c r="LW122" s="16" t="n">
        <v>80.4</v>
      </c>
      <c r="LX122" s="16" t="n">
        <v>14.3</v>
      </c>
      <c r="LY122" s="0" t="n">
        <v>68.7</v>
      </c>
      <c r="LZ122" s="0" t="n">
        <v>23.24</v>
      </c>
      <c r="MA122" s="0" t="n">
        <v>1.79</v>
      </c>
      <c r="MB122" s="0" t="n">
        <v>0</v>
      </c>
      <c r="MC122" s="0" t="n">
        <v>6.27</v>
      </c>
      <c r="MD122" s="0" t="n">
        <v>0</v>
      </c>
      <c r="ME122" s="0" t="n">
        <v>0</v>
      </c>
      <c r="MF122" s="0" t="n">
        <v>0</v>
      </c>
      <c r="MG122" s="0" t="n">
        <v>0</v>
      </c>
      <c r="MH122" s="0" t="n">
        <v>0</v>
      </c>
      <c r="MI122" s="0" t="n">
        <v>0</v>
      </c>
      <c r="MJ122" s="0" t="n">
        <v>0</v>
      </c>
      <c r="MK122" s="0" t="n">
        <v>7.01</v>
      </c>
      <c r="ML122" s="0" t="n">
        <v>58.72</v>
      </c>
      <c r="MM122" s="0" t="n">
        <v>0.23</v>
      </c>
      <c r="MN122" s="0" t="n">
        <v>0</v>
      </c>
      <c r="MO122" s="0" t="n">
        <v>0.5</v>
      </c>
      <c r="MP122" s="0" t="n">
        <v>2</v>
      </c>
      <c r="MQ122" s="0" t="n">
        <v>7</v>
      </c>
      <c r="MR122" s="0" t="n">
        <v>0.08</v>
      </c>
      <c r="MW122" s="0" t="n">
        <v>7</v>
      </c>
      <c r="MX122" s="0" t="n">
        <v>0.08</v>
      </c>
      <c r="NC122" s="0" t="n">
        <v>0</v>
      </c>
      <c r="ND122" s="0" t="n">
        <v>1</v>
      </c>
      <c r="NE122" s="0" t="n">
        <v>23</v>
      </c>
      <c r="NF122" s="0" t="n">
        <v>2</v>
      </c>
      <c r="NG122" s="0" t="n">
        <v>0.9</v>
      </c>
      <c r="NH122" s="0" t="n">
        <v>3</v>
      </c>
      <c r="NO122" s="18"/>
      <c r="OG122" s="0" t="n">
        <v>1</v>
      </c>
      <c r="OH122" s="0" t="n">
        <v>50</v>
      </c>
      <c r="OI122" s="0" t="n">
        <v>2</v>
      </c>
      <c r="OJ122" s="0" t="n">
        <f aca="false">3.13+23.63</f>
        <v>26.76</v>
      </c>
      <c r="OK122" s="0" t="n">
        <v>3</v>
      </c>
      <c r="PR122" s="16" t="n">
        <v>1.49</v>
      </c>
      <c r="PS122" s="16" t="n">
        <v>1</v>
      </c>
      <c r="PT122" s="16" t="n">
        <v>1</v>
      </c>
      <c r="PU122" s="16"/>
      <c r="PV122" s="16" t="n">
        <f aca="false">1.91+2.02+2.02+1.35</f>
        <v>7.3</v>
      </c>
      <c r="PW122" s="16" t="n">
        <v>2</v>
      </c>
      <c r="PX122" s="16"/>
      <c r="PY122" s="16" t="n">
        <v>0.21</v>
      </c>
      <c r="PZ122" s="16"/>
      <c r="QA122" s="16"/>
      <c r="QB122" s="16"/>
      <c r="QC122" s="16" t="n">
        <v>10.82</v>
      </c>
      <c r="QD122" s="16" t="n">
        <v>14.57</v>
      </c>
      <c r="QE122" s="16"/>
      <c r="QF122" s="16"/>
      <c r="QG122" s="16" t="n">
        <v>2.24</v>
      </c>
      <c r="QH122" s="16" t="n">
        <v>0.9</v>
      </c>
      <c r="QI122" s="16" t="n">
        <v>0</v>
      </c>
      <c r="QJ122" s="0" t="n">
        <v>0</v>
      </c>
      <c r="QK122" s="0" t="s">
        <v>548</v>
      </c>
      <c r="QL122" s="0" t="n">
        <v>50</v>
      </c>
      <c r="QM122" s="16" t="n">
        <v>80</v>
      </c>
      <c r="QN122" s="16" t="n">
        <v>80.4</v>
      </c>
      <c r="QO122" s="16" t="n">
        <v>16.9</v>
      </c>
      <c r="QP122" s="0" t="n">
        <v>58.18</v>
      </c>
      <c r="QQ122" s="0" t="n">
        <v>32.94</v>
      </c>
      <c r="QR122" s="0" t="n">
        <v>1.79</v>
      </c>
      <c r="QS122" s="0" t="n">
        <v>0</v>
      </c>
      <c r="QT122" s="0" t="n">
        <v>7.09</v>
      </c>
      <c r="QU122" s="0" t="n">
        <v>0</v>
      </c>
      <c r="QV122" s="0" t="n">
        <v>0</v>
      </c>
      <c r="QW122" s="0" t="n">
        <v>0</v>
      </c>
      <c r="QX122" s="0" t="n">
        <v>0</v>
      </c>
      <c r="QY122" s="0" t="n">
        <v>0</v>
      </c>
      <c r="QZ122" s="0" t="n">
        <v>0</v>
      </c>
      <c r="RA122" s="0" t="n">
        <v>0</v>
      </c>
      <c r="RB122" s="0" t="n">
        <v>3.53</v>
      </c>
      <c r="RC122" s="0" t="n">
        <v>45.12</v>
      </c>
      <c r="RD122" s="0" t="n">
        <v>0</v>
      </c>
      <c r="RE122" s="0" t="n">
        <v>0</v>
      </c>
      <c r="RF122" s="0" t="n">
        <v>0</v>
      </c>
      <c r="RG122" s="0" t="n">
        <v>0</v>
      </c>
      <c r="RT122" s="0" t="n">
        <v>8.2</v>
      </c>
      <c r="RU122" s="0" t="n">
        <v>1</v>
      </c>
      <c r="RV122" s="0" t="n">
        <v>23</v>
      </c>
      <c r="RW122" s="0" t="n">
        <v>1</v>
      </c>
      <c r="RX122" s="0" t="n">
        <v>0.45</v>
      </c>
      <c r="RY122" s="0" t="n">
        <v>3</v>
      </c>
      <c r="RZ122" s="0" t="n">
        <v>34</v>
      </c>
      <c r="SA122" s="0" t="n">
        <v>28</v>
      </c>
      <c r="SB122" s="0" t="n">
        <f aca="false">0.45+0.18+1.6+0.24+0.37+4.39+0.49+0.04+0.32+0.05+1.38</f>
        <v>9.51</v>
      </c>
      <c r="SC122" s="0" t="n">
        <v>1</v>
      </c>
      <c r="SF122" s="18"/>
      <c r="SX122" s="0" t="n">
        <v>0</v>
      </c>
      <c r="UI122" s="16" t="n">
        <v>1.65</v>
      </c>
      <c r="UJ122" s="16" t="n">
        <v>1</v>
      </c>
      <c r="UK122" s="16" t="n">
        <v>1</v>
      </c>
      <c r="UL122" s="16"/>
      <c r="UM122" s="16" t="n">
        <f aca="false">0.18</f>
        <v>0.18</v>
      </c>
      <c r="UN122" s="16" t="n">
        <v>2</v>
      </c>
      <c r="UO122" s="16"/>
      <c r="UP122" s="16" t="n">
        <f aca="false">1.65+0.91+6.23+0.66</f>
        <v>9.45</v>
      </c>
      <c r="UQ122" s="16"/>
      <c r="UR122" s="16"/>
      <c r="US122" s="16"/>
      <c r="UT122" s="16" t="n">
        <v>20.65</v>
      </c>
      <c r="UU122" s="16" t="n">
        <v>33.56</v>
      </c>
      <c r="UV122" s="16"/>
      <c r="UW122" s="16"/>
      <c r="UX122" s="16" t="n">
        <v>2.24</v>
      </c>
      <c r="UY122" s="16" t="n">
        <v>0.45</v>
      </c>
      <c r="UZ122" s="16" t="n">
        <v>0</v>
      </c>
      <c r="VA122" s="0" t="n">
        <v>0.45</v>
      </c>
      <c r="VB122" s="0" t="s">
        <v>549</v>
      </c>
      <c r="VC122" s="0" t="n">
        <v>31.5</v>
      </c>
      <c r="VD122" s="16" t="n">
        <v>79.9</v>
      </c>
      <c r="VE122" s="16" t="n">
        <v>80.4</v>
      </c>
      <c r="VF122" s="16" t="n">
        <v>17.8</v>
      </c>
      <c r="VG122" s="0" t="n">
        <v>71.45</v>
      </c>
      <c r="VH122" s="0" t="n">
        <v>9.43</v>
      </c>
      <c r="VI122" s="0" t="n">
        <v>1.12</v>
      </c>
      <c r="VJ122" s="0" t="n">
        <v>0</v>
      </c>
      <c r="VK122" s="0" t="n">
        <v>18.01</v>
      </c>
      <c r="VL122" s="0" t="n">
        <v>0</v>
      </c>
      <c r="VM122" s="0" t="n">
        <v>0</v>
      </c>
      <c r="VN122" s="0" t="n">
        <v>0</v>
      </c>
      <c r="VO122" s="0" t="n">
        <v>0</v>
      </c>
      <c r="VP122" s="0" t="n">
        <v>0</v>
      </c>
      <c r="VQ122" s="0" t="n">
        <v>0</v>
      </c>
      <c r="VR122" s="0" t="n">
        <v>0</v>
      </c>
      <c r="VS122" s="0" t="n">
        <v>8.44</v>
      </c>
      <c r="VT122" s="0" t="n">
        <v>63.45</v>
      </c>
      <c r="VU122" s="0" t="n">
        <v>0</v>
      </c>
      <c r="VV122" s="0" t="n">
        <v>0</v>
      </c>
      <c r="VW122" s="0" t="n">
        <v>0</v>
      </c>
      <c r="VX122" s="0" t="n">
        <v>0</v>
      </c>
      <c r="WK122" s="0" t="n">
        <v>2</v>
      </c>
      <c r="WL122" s="0" t="n">
        <v>1</v>
      </c>
      <c r="WM122" s="0" t="n">
        <v>52</v>
      </c>
      <c r="WN122" s="0" t="n">
        <v>2</v>
      </c>
      <c r="WO122" s="0" t="n">
        <f aca="false">0.9+0.02</f>
        <v>0.92</v>
      </c>
      <c r="WP122" s="0" t="n">
        <v>2</v>
      </c>
      <c r="WW122" s="18"/>
      <c r="XO122" s="0" t="n">
        <v>1</v>
      </c>
      <c r="XP122" s="0" t="n">
        <v>50</v>
      </c>
      <c r="XQ122" s="0" t="n">
        <v>9</v>
      </c>
      <c r="XR122" s="0" t="n">
        <f aca="false">19.9+3.13</f>
        <v>23.03</v>
      </c>
      <c r="XS122" s="0" t="n">
        <v>3</v>
      </c>
      <c r="YZ122" s="16" t="n">
        <v>1.47</v>
      </c>
      <c r="ZA122" s="16" t="n">
        <v>1</v>
      </c>
      <c r="ZB122" s="16" t="n">
        <v>1</v>
      </c>
      <c r="ZC122" s="16"/>
      <c r="ZD122" s="16" t="n">
        <v>2.13</v>
      </c>
      <c r="ZE122" s="16" t="n">
        <v>2</v>
      </c>
      <c r="ZF122" s="16"/>
      <c r="ZG122" s="16" t="n">
        <v>3.37</v>
      </c>
      <c r="ZH122" s="16"/>
      <c r="ZI122" s="16"/>
      <c r="ZJ122" s="16"/>
      <c r="ZK122" s="16" t="n">
        <v>5.55</v>
      </c>
      <c r="ZL122" s="16" t="n">
        <v>6.42</v>
      </c>
      <c r="ZM122" s="16"/>
      <c r="ZN122" s="16"/>
      <c r="ZO122" s="16" t="n">
        <v>0</v>
      </c>
      <c r="ZP122" s="16" t="n">
        <v>0</v>
      </c>
      <c r="ZQ122" s="16" t="n">
        <v>4.48</v>
      </c>
      <c r="ZR122" s="0" t="n">
        <v>0</v>
      </c>
      <c r="ZS122" s="0" t="s">
        <v>550</v>
      </c>
      <c r="ZT122" s="0" t="n">
        <v>17</v>
      </c>
      <c r="ZU122" s="16" t="n">
        <v>87.8</v>
      </c>
      <c r="ZV122" s="16" t="n">
        <v>80.4</v>
      </c>
      <c r="ZW122" s="16" t="n">
        <v>11.6</v>
      </c>
      <c r="ZX122" s="0" t="n">
        <v>86.21</v>
      </c>
      <c r="ZY122" s="0" t="n">
        <v>1.64</v>
      </c>
      <c r="ZZ122" s="0" t="n">
        <v>0.45</v>
      </c>
      <c r="AAA122" s="0" t="n">
        <v>0</v>
      </c>
      <c r="AAB122" s="0" t="n">
        <v>11.7</v>
      </c>
      <c r="AAC122" s="0" t="n">
        <v>0</v>
      </c>
      <c r="AAD122" s="0" t="n">
        <v>0</v>
      </c>
      <c r="AAE122" s="0" t="n">
        <v>0</v>
      </c>
      <c r="AAF122" s="0" t="n">
        <v>0</v>
      </c>
      <c r="AAG122" s="0" t="n">
        <v>0</v>
      </c>
      <c r="AAH122" s="0" t="n">
        <v>0</v>
      </c>
      <c r="AAI122" s="0" t="n">
        <v>0</v>
      </c>
      <c r="AAJ122" s="0" t="n">
        <v>14.73</v>
      </c>
      <c r="AAK122" s="0" t="n">
        <v>7.98</v>
      </c>
      <c r="AAL122" s="0" t="n">
        <v>0</v>
      </c>
      <c r="AAM122" s="0" t="n">
        <v>0</v>
      </c>
      <c r="AAN122" s="0" t="n">
        <v>0</v>
      </c>
      <c r="AAO122" s="0" t="n">
        <v>0</v>
      </c>
      <c r="ABB122" s="0" t="n">
        <v>0</v>
      </c>
      <c r="ABC122" s="0" t="n">
        <v>0</v>
      </c>
      <c r="ABN122" s="18"/>
      <c r="ACF122" s="0" t="n">
        <v>0</v>
      </c>
      <c r="ADQ122" s="16" t="n">
        <v>0</v>
      </c>
      <c r="ADR122" s="16" t="n">
        <v>0</v>
      </c>
      <c r="ADS122" s="16"/>
      <c r="ADT122" s="16"/>
      <c r="ADU122" s="16"/>
      <c r="ADV122" s="16"/>
      <c r="ADW122" s="16"/>
      <c r="ADX122" s="16"/>
      <c r="ADY122" s="16"/>
      <c r="ADZ122" s="16"/>
      <c r="AEA122" s="16"/>
      <c r="AEB122" s="16" t="n">
        <v>5.22</v>
      </c>
      <c r="AEC122" s="16" t="n">
        <v>5.37</v>
      </c>
      <c r="AED122" s="16"/>
      <c r="AEE122" s="16"/>
      <c r="AEF122" s="16" t="n">
        <v>0</v>
      </c>
      <c r="AEG122" s="16" t="n">
        <v>0</v>
      </c>
      <c r="AEH122" s="16" t="n">
        <v>0.19</v>
      </c>
      <c r="AEI122" s="0" t="n">
        <v>0</v>
      </c>
      <c r="AEJ122" s="0" t="s">
        <v>551</v>
      </c>
      <c r="AEK122" s="0" t="n">
        <v>17.5</v>
      </c>
      <c r="AEL122" s="16" t="n">
        <v>87.6</v>
      </c>
      <c r="AEM122" s="16" t="n">
        <v>80.4</v>
      </c>
      <c r="AEN122" s="16" t="n">
        <v>12</v>
      </c>
      <c r="AEO122" s="0" t="n">
        <v>84.96</v>
      </c>
      <c r="AEP122" s="0" t="n">
        <v>1.61</v>
      </c>
      <c r="AEQ122" s="0" t="n">
        <v>0.45</v>
      </c>
      <c r="AER122" s="0" t="n">
        <v>0</v>
      </c>
      <c r="AES122" s="0" t="n">
        <v>12.98</v>
      </c>
      <c r="AET122" s="0" t="n">
        <v>0</v>
      </c>
      <c r="AEU122" s="0" t="n">
        <v>0</v>
      </c>
      <c r="AEV122" s="0" t="n">
        <v>0</v>
      </c>
      <c r="AEW122" s="0" t="n">
        <v>0</v>
      </c>
      <c r="AEX122" s="0" t="n">
        <v>0</v>
      </c>
      <c r="AEY122" s="0" t="n">
        <v>0</v>
      </c>
      <c r="AEZ122" s="0" t="n">
        <v>0</v>
      </c>
      <c r="AFA122" s="0" t="n">
        <v>15.99</v>
      </c>
      <c r="AFB122" s="0" t="n">
        <v>7.84</v>
      </c>
      <c r="AFC122" s="0" t="n">
        <v>0</v>
      </c>
      <c r="AFD122" s="0" t="n">
        <v>0</v>
      </c>
      <c r="AFE122" s="0" t="n">
        <v>0</v>
      </c>
      <c r="AFF122" s="0" t="n">
        <v>0</v>
      </c>
      <c r="AFS122" s="0" t="n">
        <v>0</v>
      </c>
      <c r="AFT122" s="0" t="n">
        <v>0</v>
      </c>
      <c r="AGE122" s="18"/>
      <c r="AGW122" s="0" t="n">
        <v>0</v>
      </c>
      <c r="AIH122" s="16" t="n">
        <v>0</v>
      </c>
      <c r="AII122" s="16" t="n">
        <v>0</v>
      </c>
      <c r="AIJ122" s="16"/>
      <c r="AIK122" s="16"/>
      <c r="AIL122" s="16"/>
      <c r="AIM122" s="16"/>
      <c r="AIN122" s="16"/>
      <c r="AIO122" s="16"/>
      <c r="AIP122" s="16"/>
      <c r="AIQ122" s="16"/>
      <c r="AIR122" s="16"/>
      <c r="AIS122" s="16" t="n">
        <v>5.22</v>
      </c>
      <c r="AIT122" s="16" t="n">
        <v>5.37</v>
      </c>
      <c r="AIU122" s="16"/>
      <c r="AIV122" s="16"/>
      <c r="AIW122" s="16" t="n">
        <v>0</v>
      </c>
      <c r="AIX122" s="16" t="n">
        <v>0</v>
      </c>
      <c r="AIY122" s="16" t="n">
        <v>0.19</v>
      </c>
      <c r="AIZ122" s="0" t="n">
        <v>0</v>
      </c>
      <c r="AJA122" s="0" t="s">
        <v>552</v>
      </c>
      <c r="AJB122" s="0" t="n">
        <v>16.5</v>
      </c>
      <c r="AJC122" s="16" t="n">
        <v>73.2</v>
      </c>
      <c r="AJD122" s="16" t="n">
        <v>80.4</v>
      </c>
      <c r="AJE122" s="16" t="n">
        <v>10.2</v>
      </c>
      <c r="AJF122" s="0" t="n">
        <v>69.43</v>
      </c>
      <c r="AJG122" s="0" t="n">
        <v>29.45</v>
      </c>
      <c r="AJH122" s="0" t="n">
        <v>1.12</v>
      </c>
      <c r="AJI122" s="0" t="n">
        <v>0</v>
      </c>
      <c r="AJJ122" s="0" t="n">
        <v>0</v>
      </c>
      <c r="AJK122" s="0" t="n">
        <v>0</v>
      </c>
      <c r="AJL122" s="0" t="n">
        <v>0</v>
      </c>
      <c r="AJM122" s="0" t="n">
        <v>0</v>
      </c>
      <c r="AJN122" s="0" t="n">
        <v>0</v>
      </c>
      <c r="AJO122" s="0" t="n">
        <v>0</v>
      </c>
      <c r="AJP122" s="0" t="n">
        <v>0</v>
      </c>
      <c r="AJQ122" s="0" t="n">
        <v>0</v>
      </c>
      <c r="AJR122" s="0" t="n">
        <v>29.3</v>
      </c>
      <c r="AJS122" s="0" t="n">
        <v>10.81</v>
      </c>
      <c r="AJT122" s="0" t="n">
        <v>0</v>
      </c>
      <c r="AJU122" s="0" t="n">
        <v>0</v>
      </c>
      <c r="AJV122" s="0" t="n">
        <v>5.9</v>
      </c>
      <c r="AJW122" s="0" t="n">
        <v>2</v>
      </c>
      <c r="AJX122" s="0" t="n">
        <v>3</v>
      </c>
      <c r="AJY122" s="0" t="n">
        <v>2.01</v>
      </c>
      <c r="AKD122" s="0" t="n">
        <v>3</v>
      </c>
      <c r="AKE122" s="0" t="n">
        <v>2.01</v>
      </c>
      <c r="AKJ122" s="0" t="n">
        <v>0</v>
      </c>
      <c r="AKK122" s="0" t="n">
        <v>0</v>
      </c>
      <c r="AKV122" s="18"/>
      <c r="ALN122" s="0" t="n">
        <v>0</v>
      </c>
    </row>
    <row r="123" customFormat="false" ht="13.8" hidden="false" customHeight="false" outlineLevel="0" collapsed="false">
      <c r="A123" s="1" t="s">
        <v>558</v>
      </c>
      <c r="B123" s="12" t="n">
        <v>42902</v>
      </c>
      <c r="C123" s="0" t="n">
        <v>2</v>
      </c>
      <c r="D123" s="13" t="n">
        <v>42811</v>
      </c>
      <c r="E123" s="12" t="n">
        <v>30468</v>
      </c>
      <c r="F123" s="14" t="n">
        <f aca="false">(B123-E123)/365.25</f>
        <v>34.0424366872005</v>
      </c>
      <c r="G123" s="14" t="n">
        <f aca="false">(B123-D123)/365.25</f>
        <v>0.249144421629021</v>
      </c>
      <c r="H123" s="15" t="s">
        <v>217</v>
      </c>
      <c r="I123" s="15" t="s">
        <v>545</v>
      </c>
      <c r="J123" s="15" t="s">
        <v>181</v>
      </c>
      <c r="K123" s="21" t="n">
        <v>8</v>
      </c>
      <c r="L123" s="19" t="n">
        <v>74</v>
      </c>
      <c r="M123" s="0" t="n">
        <v>1.82</v>
      </c>
      <c r="N123" s="16" t="n">
        <f aca="false">L123/(M123*M123)</f>
        <v>22.3402970655718</v>
      </c>
      <c r="O123" s="19" t="n">
        <v>0</v>
      </c>
      <c r="P123" s="19" t="n">
        <v>0</v>
      </c>
      <c r="Q123" s="19" t="n">
        <v>0</v>
      </c>
      <c r="R123" s="19" t="n">
        <v>0</v>
      </c>
      <c r="S123" s="19" t="n">
        <v>0</v>
      </c>
      <c r="T123" s="19" t="n">
        <v>0</v>
      </c>
      <c r="U123" s="19" t="n">
        <v>0</v>
      </c>
      <c r="V123" s="19" t="n">
        <v>0</v>
      </c>
      <c r="W123" s="19" t="n">
        <v>0</v>
      </c>
      <c r="X123" s="19" t="n">
        <v>0</v>
      </c>
      <c r="Y123" s="19" t="n">
        <v>1</v>
      </c>
      <c r="Z123" s="19" t="n">
        <v>3</v>
      </c>
      <c r="AA123" s="19" t="n">
        <v>60</v>
      </c>
      <c r="AB123" s="19" t="s">
        <v>559</v>
      </c>
      <c r="AC123" s="19" t="n">
        <v>1</v>
      </c>
      <c r="AD123" s="19" t="n">
        <v>7</v>
      </c>
      <c r="AE123" s="19" t="n">
        <v>0</v>
      </c>
      <c r="AF123" s="19" t="n">
        <v>0</v>
      </c>
      <c r="AG123" s="19" t="n">
        <v>0</v>
      </c>
      <c r="AH123" s="19" t="n">
        <v>0</v>
      </c>
      <c r="AI123" s="19" t="n">
        <v>0</v>
      </c>
      <c r="AJ123" s="19" t="n">
        <v>0</v>
      </c>
      <c r="AK123" s="19" t="n">
        <v>0</v>
      </c>
      <c r="AL123" s="19" t="n">
        <v>0</v>
      </c>
      <c r="AM123" s="19" t="n">
        <v>0</v>
      </c>
      <c r="AN123" s="19" t="n">
        <v>0</v>
      </c>
      <c r="AO123" s="19" t="n">
        <v>0</v>
      </c>
      <c r="AP123" s="19" t="n">
        <v>0</v>
      </c>
      <c r="AQ123" s="19" t="n">
        <v>0</v>
      </c>
      <c r="AR123" s="19" t="n">
        <v>0</v>
      </c>
      <c r="AS123" s="19" t="n">
        <v>0</v>
      </c>
      <c r="AT123" s="19" t="n">
        <v>0</v>
      </c>
      <c r="AU123" s="19" t="n">
        <v>0</v>
      </c>
      <c r="AV123" s="19" t="n">
        <v>0</v>
      </c>
      <c r="AW123" s="19" t="n">
        <v>0</v>
      </c>
      <c r="AX123" s="19" t="n">
        <v>0</v>
      </c>
      <c r="AY123" s="19" t="n">
        <v>0</v>
      </c>
      <c r="AZ123" s="19" t="n">
        <v>0</v>
      </c>
      <c r="BA123" s="19" t="n">
        <v>0</v>
      </c>
      <c r="BB123" s="19" t="n">
        <v>0</v>
      </c>
      <c r="BC123" s="19" t="n">
        <v>0</v>
      </c>
      <c r="BD123" s="19" t="n">
        <v>0</v>
      </c>
      <c r="BE123" s="19" t="n">
        <v>0</v>
      </c>
      <c r="BF123" s="19" t="n">
        <v>0</v>
      </c>
      <c r="BG123" s="19" t="n">
        <v>0</v>
      </c>
      <c r="BH123" s="19" t="n">
        <v>0</v>
      </c>
      <c r="BI123" s="19" t="n">
        <v>0</v>
      </c>
      <c r="BJ123" s="19" t="n">
        <v>0</v>
      </c>
      <c r="BK123" s="19" t="n">
        <v>0</v>
      </c>
      <c r="BL123" s="19" t="n">
        <v>0</v>
      </c>
      <c r="BM123" s="19" t="n">
        <v>0</v>
      </c>
      <c r="BN123" s="19" t="n">
        <v>0</v>
      </c>
      <c r="BO123" s="19" t="n">
        <v>0</v>
      </c>
      <c r="BP123" s="19" t="n">
        <v>0</v>
      </c>
      <c r="BQ123" s="19" t="n">
        <v>0</v>
      </c>
      <c r="BR123" s="19" t="n">
        <v>1</v>
      </c>
      <c r="BS123" s="19" t="n">
        <v>5</v>
      </c>
      <c r="BT123" s="19" t="n">
        <v>3</v>
      </c>
      <c r="BU123" s="19" t="n">
        <v>5</v>
      </c>
      <c r="BV123" s="19" t="n">
        <v>1</v>
      </c>
      <c r="BW123" s="19" t="n">
        <v>1</v>
      </c>
      <c r="BX123" s="19" t="n">
        <v>1</v>
      </c>
      <c r="BY123" s="19" t="n">
        <v>3</v>
      </c>
      <c r="BZ123" s="19" t="n">
        <v>4</v>
      </c>
      <c r="CA123" s="19" t="n">
        <v>4</v>
      </c>
      <c r="CB123" s="19" t="n">
        <v>4</v>
      </c>
      <c r="CC123" s="19" t="n">
        <v>5</v>
      </c>
      <c r="CD123" s="19" t="n">
        <v>4</v>
      </c>
      <c r="CE123" s="19" t="n">
        <v>4</v>
      </c>
      <c r="CF123" s="19" t="n">
        <v>5</v>
      </c>
      <c r="CG123" s="19" t="n">
        <v>5</v>
      </c>
      <c r="CH123" s="19" t="n">
        <v>5</v>
      </c>
      <c r="CI123" s="19" t="n">
        <v>5</v>
      </c>
      <c r="CJ123" s="19" t="n">
        <v>4</v>
      </c>
      <c r="CK123" s="19" t="n">
        <v>7</v>
      </c>
      <c r="CL123" s="0" t="s">
        <v>555</v>
      </c>
      <c r="CM123" s="0" t="n">
        <v>35</v>
      </c>
      <c r="CN123" s="16" t="n">
        <v>78.8</v>
      </c>
      <c r="CO123" s="16" t="n">
        <v>80.4</v>
      </c>
      <c r="CP123" s="16" t="n">
        <v>17.2</v>
      </c>
      <c r="CQ123" s="0" t="n">
        <v>72.07</v>
      </c>
      <c r="CR123" s="0" t="n">
        <v>11.09</v>
      </c>
      <c r="CS123" s="0" t="n">
        <v>1.12</v>
      </c>
      <c r="CT123" s="0" t="n">
        <v>0</v>
      </c>
      <c r="CU123" s="0" t="n">
        <v>15.71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1.66</v>
      </c>
      <c r="DD123" s="0" t="n">
        <v>34.99</v>
      </c>
      <c r="DE123" s="0" t="n">
        <v>0</v>
      </c>
      <c r="DF123" s="0" t="n">
        <v>0</v>
      </c>
      <c r="DG123" s="0" t="n">
        <v>0</v>
      </c>
      <c r="DH123" s="0" t="n">
        <v>0</v>
      </c>
      <c r="DU123" s="0" t="n">
        <v>11.2</v>
      </c>
      <c r="DV123" s="0" t="n">
        <v>1</v>
      </c>
      <c r="DW123" s="0" t="n">
        <v>52</v>
      </c>
      <c r="DX123" s="0" t="n">
        <f aca="false">18+1+15</f>
        <v>34</v>
      </c>
      <c r="DY123" s="0" t="n">
        <f aca="false">3.2+2.05+0.07</f>
        <v>5.32</v>
      </c>
      <c r="DZ123" s="0" t="n">
        <v>2</v>
      </c>
      <c r="EG123" s="18"/>
      <c r="EY123" s="0" t="n">
        <v>0</v>
      </c>
      <c r="GJ123" s="16" t="n">
        <v>0</v>
      </c>
      <c r="GK123" s="16" t="n">
        <v>0</v>
      </c>
      <c r="GL123" s="16"/>
      <c r="GM123" s="16"/>
      <c r="GN123" s="16"/>
      <c r="GO123" s="16"/>
      <c r="GP123" s="16"/>
      <c r="GQ123" s="16"/>
      <c r="GR123" s="16"/>
      <c r="GS123" s="16"/>
      <c r="GT123" s="16"/>
      <c r="GU123" s="16" t="n">
        <v>6.16</v>
      </c>
      <c r="GV123" s="16" t="n">
        <v>7.21</v>
      </c>
      <c r="GW123" s="16"/>
      <c r="GX123" s="16"/>
      <c r="GY123" s="16" t="n">
        <v>0</v>
      </c>
      <c r="GZ123" s="16" t="n">
        <v>0</v>
      </c>
      <c r="HA123" s="16" t="n">
        <v>0</v>
      </c>
      <c r="HB123" s="0" t="n">
        <v>0</v>
      </c>
      <c r="HC123" s="0" t="s">
        <v>546</v>
      </c>
      <c r="HD123" s="0" t="n">
        <v>16.5</v>
      </c>
      <c r="HE123" s="16" t="n">
        <v>35.3</v>
      </c>
      <c r="HF123" s="16" t="n">
        <v>80.4</v>
      </c>
      <c r="HG123" s="16" t="n">
        <v>9.7</v>
      </c>
      <c r="HH123" s="0" t="n">
        <v>86.56</v>
      </c>
      <c r="HI123" s="0" t="n">
        <v>12.61</v>
      </c>
      <c r="HJ123" s="0" t="n">
        <v>0</v>
      </c>
      <c r="HK123" s="0" t="n">
        <v>0</v>
      </c>
      <c r="HL123" s="0" t="n">
        <v>0.83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  <c r="HT123" s="0" t="n">
        <v>2.22</v>
      </c>
      <c r="HU123" s="0" t="n">
        <v>20.83</v>
      </c>
      <c r="HV123" s="0" t="n">
        <v>0</v>
      </c>
      <c r="HW123" s="0" t="n">
        <v>0</v>
      </c>
      <c r="HX123" s="0" t="n">
        <v>0</v>
      </c>
      <c r="HY123" s="0" t="n">
        <v>0</v>
      </c>
      <c r="IL123" s="0" t="n">
        <v>0.3</v>
      </c>
      <c r="IM123" s="0" t="n">
        <v>1</v>
      </c>
      <c r="IN123" s="0" t="n">
        <v>34</v>
      </c>
      <c r="IO123" s="0" t="n">
        <v>4</v>
      </c>
      <c r="IP123" s="0" t="n">
        <f aca="false">1.35+0.45+1.35+0.45</f>
        <v>3.6</v>
      </c>
      <c r="IQ123" s="0" t="n">
        <v>1</v>
      </c>
      <c r="IR123" s="0" t="n">
        <v>52</v>
      </c>
      <c r="IS123" s="0" t="n">
        <v>1</v>
      </c>
      <c r="IT123" s="0" t="n">
        <f aca="false">0.18</f>
        <v>0.18</v>
      </c>
      <c r="IU123" s="0" t="n">
        <v>2</v>
      </c>
      <c r="IX123" s="18"/>
      <c r="JP123" s="0" t="n">
        <v>0</v>
      </c>
      <c r="LA123" s="16" t="n">
        <v>0.28</v>
      </c>
      <c r="LB123" s="16" t="n">
        <v>1</v>
      </c>
      <c r="LC123" s="16" t="n">
        <v>2</v>
      </c>
      <c r="LD123" s="16"/>
      <c r="LE123" s="16" t="n">
        <f aca="false">0.37+0.26</f>
        <v>0.63</v>
      </c>
      <c r="LF123" s="16"/>
      <c r="LG123" s="16"/>
      <c r="LH123" s="16"/>
      <c r="LI123" s="16"/>
      <c r="LJ123" s="16"/>
      <c r="LK123" s="16"/>
      <c r="LL123" s="16" t="n">
        <v>5.99</v>
      </c>
      <c r="LM123" s="16" t="n">
        <v>5.34</v>
      </c>
      <c r="LN123" s="16"/>
      <c r="LO123" s="16"/>
      <c r="LP123" s="16" t="n">
        <v>0</v>
      </c>
      <c r="LQ123" s="16" t="n">
        <v>0</v>
      </c>
      <c r="LR123" s="16" t="n">
        <v>0</v>
      </c>
      <c r="LS123" s="0" t="n">
        <v>0</v>
      </c>
      <c r="LT123" s="0" t="s">
        <v>547</v>
      </c>
      <c r="LU123" s="0" t="n">
        <v>29.5</v>
      </c>
      <c r="LV123" s="16" t="n">
        <v>87.5</v>
      </c>
      <c r="LW123" s="16" t="n">
        <v>80.4</v>
      </c>
      <c r="LX123" s="16" t="n">
        <v>14.3</v>
      </c>
      <c r="LY123" s="0" t="n">
        <v>68.7</v>
      </c>
      <c r="LZ123" s="0" t="n">
        <v>23.24</v>
      </c>
      <c r="MA123" s="0" t="n">
        <v>1.79</v>
      </c>
      <c r="MB123" s="0" t="n">
        <v>0</v>
      </c>
      <c r="MC123" s="0" t="n">
        <v>6.27</v>
      </c>
      <c r="MD123" s="0" t="n">
        <v>0</v>
      </c>
      <c r="ME123" s="0" t="n">
        <v>0</v>
      </c>
      <c r="MF123" s="0" t="n">
        <v>0</v>
      </c>
      <c r="MG123" s="0" t="n">
        <v>0</v>
      </c>
      <c r="MH123" s="0" t="n">
        <v>0</v>
      </c>
      <c r="MI123" s="0" t="n">
        <v>0</v>
      </c>
      <c r="MJ123" s="0" t="n">
        <v>0</v>
      </c>
      <c r="MK123" s="0" t="n">
        <v>7.01</v>
      </c>
      <c r="ML123" s="0" t="n">
        <v>58.72</v>
      </c>
      <c r="MM123" s="0" t="n">
        <v>0.23</v>
      </c>
      <c r="MN123" s="0" t="n">
        <v>0</v>
      </c>
      <c r="MO123" s="0" t="n">
        <v>0.5</v>
      </c>
      <c r="MP123" s="0" t="n">
        <v>2</v>
      </c>
      <c r="MQ123" s="0" t="n">
        <v>7</v>
      </c>
      <c r="MR123" s="0" t="n">
        <v>0.08</v>
      </c>
      <c r="MW123" s="0" t="n">
        <v>7</v>
      </c>
      <c r="MX123" s="0" t="n">
        <v>0.08</v>
      </c>
      <c r="NC123" s="0" t="n">
        <v>0</v>
      </c>
      <c r="ND123" s="0" t="n">
        <v>1</v>
      </c>
      <c r="NE123" s="0" t="n">
        <v>23</v>
      </c>
      <c r="NF123" s="0" t="n">
        <v>2</v>
      </c>
      <c r="NG123" s="0" t="n">
        <v>0.9</v>
      </c>
      <c r="NH123" s="0" t="n">
        <v>3</v>
      </c>
      <c r="NO123" s="18"/>
      <c r="OG123" s="0" t="n">
        <v>1</v>
      </c>
      <c r="OH123" s="0" t="n">
        <v>50</v>
      </c>
      <c r="OI123" s="0" t="n">
        <v>2</v>
      </c>
      <c r="OJ123" s="0" t="n">
        <f aca="false">3.13+23.63</f>
        <v>26.76</v>
      </c>
      <c r="OK123" s="0" t="n">
        <v>3</v>
      </c>
      <c r="PR123" s="16" t="n">
        <v>1.49</v>
      </c>
      <c r="PS123" s="16" t="n">
        <v>1</v>
      </c>
      <c r="PT123" s="16" t="n">
        <v>1</v>
      </c>
      <c r="PU123" s="16"/>
      <c r="PV123" s="16" t="n">
        <f aca="false">1.91+2.02+2.02+1.35</f>
        <v>7.3</v>
      </c>
      <c r="PW123" s="16" t="n">
        <v>2</v>
      </c>
      <c r="PX123" s="16"/>
      <c r="PY123" s="16" t="n">
        <v>0.21</v>
      </c>
      <c r="PZ123" s="16"/>
      <c r="QA123" s="16"/>
      <c r="QB123" s="16"/>
      <c r="QC123" s="16" t="n">
        <v>10.82</v>
      </c>
      <c r="QD123" s="16" t="n">
        <v>14.57</v>
      </c>
      <c r="QE123" s="16"/>
      <c r="QF123" s="16"/>
      <c r="QG123" s="16" t="n">
        <v>2.24</v>
      </c>
      <c r="QH123" s="16" t="n">
        <v>0.9</v>
      </c>
      <c r="QI123" s="16" t="n">
        <v>0</v>
      </c>
      <c r="QJ123" s="0" t="n">
        <v>0</v>
      </c>
      <c r="QK123" s="0" t="s">
        <v>548</v>
      </c>
      <c r="QL123" s="0" t="n">
        <v>50</v>
      </c>
      <c r="QM123" s="16" t="n">
        <v>80</v>
      </c>
      <c r="QN123" s="16" t="n">
        <v>80.4</v>
      </c>
      <c r="QO123" s="16" t="n">
        <v>16.9</v>
      </c>
      <c r="QP123" s="0" t="n">
        <v>58.18</v>
      </c>
      <c r="QQ123" s="0" t="n">
        <v>32.94</v>
      </c>
      <c r="QR123" s="0" t="n">
        <v>1.79</v>
      </c>
      <c r="QS123" s="0" t="n">
        <v>0</v>
      </c>
      <c r="QT123" s="0" t="n">
        <v>7.09</v>
      </c>
      <c r="QU123" s="0" t="n">
        <v>0</v>
      </c>
      <c r="QV123" s="0" t="n">
        <v>0</v>
      </c>
      <c r="QW123" s="0" t="n">
        <v>0</v>
      </c>
      <c r="QX123" s="0" t="n">
        <v>0</v>
      </c>
      <c r="QY123" s="0" t="n">
        <v>0</v>
      </c>
      <c r="QZ123" s="0" t="n">
        <v>0</v>
      </c>
      <c r="RA123" s="0" t="n">
        <v>0</v>
      </c>
      <c r="RB123" s="0" t="n">
        <v>3.53</v>
      </c>
      <c r="RC123" s="0" t="n">
        <v>45.12</v>
      </c>
      <c r="RD123" s="0" t="n">
        <v>0</v>
      </c>
      <c r="RE123" s="0" t="n">
        <v>0</v>
      </c>
      <c r="RF123" s="0" t="n">
        <v>0</v>
      </c>
      <c r="RG123" s="0" t="n">
        <v>0</v>
      </c>
      <c r="RT123" s="0" t="n">
        <v>8.2</v>
      </c>
      <c r="RU123" s="0" t="n">
        <v>1</v>
      </c>
      <c r="RV123" s="0" t="n">
        <v>23</v>
      </c>
      <c r="RW123" s="0" t="n">
        <v>1</v>
      </c>
      <c r="RX123" s="0" t="n">
        <v>0.45</v>
      </c>
      <c r="RY123" s="0" t="n">
        <v>3</v>
      </c>
      <c r="RZ123" s="0" t="n">
        <v>34</v>
      </c>
      <c r="SA123" s="0" t="n">
        <v>28</v>
      </c>
      <c r="SB123" s="0" t="n">
        <f aca="false">0.45+0.18+1.6+0.24+0.37+4.39+0.49+0.04+0.32+0.05+1.38</f>
        <v>9.51</v>
      </c>
      <c r="SC123" s="0" t="n">
        <v>1</v>
      </c>
      <c r="SF123" s="18"/>
      <c r="SX123" s="0" t="n">
        <v>0</v>
      </c>
      <c r="UI123" s="16" t="n">
        <v>1.65</v>
      </c>
      <c r="UJ123" s="16" t="n">
        <v>1</v>
      </c>
      <c r="UK123" s="16" t="n">
        <v>1</v>
      </c>
      <c r="UL123" s="16"/>
      <c r="UM123" s="16" t="n">
        <f aca="false">0.18</f>
        <v>0.18</v>
      </c>
      <c r="UN123" s="16" t="n">
        <v>2</v>
      </c>
      <c r="UO123" s="16"/>
      <c r="UP123" s="16" t="n">
        <f aca="false">1.65+0.91+6.23+0.66</f>
        <v>9.45</v>
      </c>
      <c r="UQ123" s="16"/>
      <c r="UR123" s="16"/>
      <c r="US123" s="16"/>
      <c r="UT123" s="16" t="n">
        <v>20.65</v>
      </c>
      <c r="UU123" s="16" t="n">
        <v>33.56</v>
      </c>
      <c r="UV123" s="16"/>
      <c r="UW123" s="16"/>
      <c r="UX123" s="16" t="n">
        <v>2.24</v>
      </c>
      <c r="UY123" s="16" t="n">
        <v>0.45</v>
      </c>
      <c r="UZ123" s="16" t="n">
        <v>0</v>
      </c>
      <c r="VA123" s="0" t="n">
        <v>0.45</v>
      </c>
      <c r="VB123" s="0" t="s">
        <v>549</v>
      </c>
      <c r="VC123" s="0" t="n">
        <v>31.5</v>
      </c>
      <c r="VD123" s="16" t="n">
        <v>79.9</v>
      </c>
      <c r="VE123" s="16" t="n">
        <v>80.4</v>
      </c>
      <c r="VF123" s="16" t="n">
        <v>17.8</v>
      </c>
      <c r="VG123" s="0" t="n">
        <v>71.45</v>
      </c>
      <c r="VH123" s="0" t="n">
        <v>9.43</v>
      </c>
      <c r="VI123" s="0" t="n">
        <v>1.12</v>
      </c>
      <c r="VJ123" s="0" t="n">
        <v>0</v>
      </c>
      <c r="VK123" s="0" t="n">
        <v>18.01</v>
      </c>
      <c r="VL123" s="0" t="n">
        <v>0</v>
      </c>
      <c r="VM123" s="0" t="n">
        <v>0</v>
      </c>
      <c r="VN123" s="0" t="n">
        <v>0</v>
      </c>
      <c r="VO123" s="0" t="n">
        <v>0</v>
      </c>
      <c r="VP123" s="0" t="n">
        <v>0</v>
      </c>
      <c r="VQ123" s="0" t="n">
        <v>0</v>
      </c>
      <c r="VR123" s="0" t="n">
        <v>0</v>
      </c>
      <c r="VS123" s="0" t="n">
        <v>8.44</v>
      </c>
      <c r="VT123" s="0" t="n">
        <v>63.45</v>
      </c>
      <c r="VU123" s="0" t="n">
        <v>0</v>
      </c>
      <c r="VV123" s="0" t="n">
        <v>0</v>
      </c>
      <c r="VW123" s="0" t="n">
        <v>0</v>
      </c>
      <c r="VX123" s="0" t="n">
        <v>0</v>
      </c>
      <c r="WK123" s="0" t="n">
        <v>2</v>
      </c>
      <c r="WL123" s="0" t="n">
        <v>1</v>
      </c>
      <c r="WM123" s="0" t="n">
        <v>52</v>
      </c>
      <c r="WN123" s="0" t="n">
        <v>2</v>
      </c>
      <c r="WO123" s="0" t="n">
        <f aca="false">0.9+0.02</f>
        <v>0.92</v>
      </c>
      <c r="WP123" s="0" t="n">
        <v>2</v>
      </c>
      <c r="WW123" s="18"/>
      <c r="XO123" s="0" t="n">
        <v>1</v>
      </c>
      <c r="XP123" s="0" t="n">
        <v>50</v>
      </c>
      <c r="XQ123" s="0" t="n">
        <v>9</v>
      </c>
      <c r="XR123" s="0" t="n">
        <f aca="false">19.9+3.13</f>
        <v>23.03</v>
      </c>
      <c r="XS123" s="0" t="n">
        <v>3</v>
      </c>
      <c r="YZ123" s="16" t="n">
        <v>1.47</v>
      </c>
      <c r="ZA123" s="16" t="n">
        <v>1</v>
      </c>
      <c r="ZB123" s="16" t="n">
        <v>1</v>
      </c>
      <c r="ZC123" s="16"/>
      <c r="ZD123" s="16" t="n">
        <v>2.13</v>
      </c>
      <c r="ZE123" s="16" t="n">
        <v>2</v>
      </c>
      <c r="ZF123" s="16"/>
      <c r="ZG123" s="16" t="n">
        <v>3.37</v>
      </c>
      <c r="ZH123" s="16"/>
      <c r="ZI123" s="16"/>
      <c r="ZJ123" s="16"/>
      <c r="ZK123" s="16" t="n">
        <v>5.55</v>
      </c>
      <c r="ZL123" s="16" t="n">
        <v>6.42</v>
      </c>
      <c r="ZM123" s="16"/>
      <c r="ZN123" s="16"/>
      <c r="ZO123" s="16" t="n">
        <v>0</v>
      </c>
      <c r="ZP123" s="16" t="n">
        <v>0</v>
      </c>
      <c r="ZQ123" s="16" t="n">
        <v>4.48</v>
      </c>
      <c r="ZR123" s="0" t="n">
        <v>0</v>
      </c>
      <c r="ZS123" s="0" t="s">
        <v>550</v>
      </c>
      <c r="ZT123" s="0" t="n">
        <v>17</v>
      </c>
      <c r="ZU123" s="16" t="n">
        <v>87.8</v>
      </c>
      <c r="ZV123" s="16" t="n">
        <v>80.4</v>
      </c>
      <c r="ZW123" s="16" t="n">
        <v>11.6</v>
      </c>
      <c r="ZX123" s="0" t="n">
        <v>86.21</v>
      </c>
      <c r="ZY123" s="0" t="n">
        <v>1.64</v>
      </c>
      <c r="ZZ123" s="0" t="n">
        <v>0.45</v>
      </c>
      <c r="AAA123" s="0" t="n">
        <v>0</v>
      </c>
      <c r="AAB123" s="0" t="n">
        <v>11.7</v>
      </c>
      <c r="AAC123" s="0" t="n">
        <v>0</v>
      </c>
      <c r="AAD123" s="0" t="n">
        <v>0</v>
      </c>
      <c r="AAE123" s="0" t="n">
        <v>0</v>
      </c>
      <c r="AAF123" s="0" t="n">
        <v>0</v>
      </c>
      <c r="AAG123" s="0" t="n">
        <v>0</v>
      </c>
      <c r="AAH123" s="0" t="n">
        <v>0</v>
      </c>
      <c r="AAI123" s="0" t="n">
        <v>0</v>
      </c>
      <c r="AAJ123" s="0" t="n">
        <v>14.73</v>
      </c>
      <c r="AAK123" s="0" t="n">
        <v>7.98</v>
      </c>
      <c r="AAL123" s="0" t="n">
        <v>0</v>
      </c>
      <c r="AAM123" s="0" t="n">
        <v>0</v>
      </c>
      <c r="AAN123" s="0" t="n">
        <v>0</v>
      </c>
      <c r="AAO123" s="0" t="n">
        <v>0</v>
      </c>
      <c r="ABB123" s="0" t="n">
        <v>0</v>
      </c>
      <c r="ABC123" s="0" t="n">
        <v>0</v>
      </c>
      <c r="ABN123" s="18"/>
      <c r="ACF123" s="0" t="n">
        <v>0</v>
      </c>
      <c r="ADQ123" s="16" t="n">
        <v>0</v>
      </c>
      <c r="ADR123" s="16" t="n">
        <v>0</v>
      </c>
      <c r="ADS123" s="16"/>
      <c r="ADT123" s="16"/>
      <c r="ADU123" s="16"/>
      <c r="ADV123" s="16"/>
      <c r="ADW123" s="16"/>
      <c r="ADX123" s="16"/>
      <c r="ADY123" s="16"/>
      <c r="ADZ123" s="16"/>
      <c r="AEA123" s="16"/>
      <c r="AEB123" s="16" t="n">
        <v>5.22</v>
      </c>
      <c r="AEC123" s="16" t="n">
        <v>5.37</v>
      </c>
      <c r="AED123" s="16"/>
      <c r="AEE123" s="16"/>
      <c r="AEF123" s="16" t="n">
        <v>0</v>
      </c>
      <c r="AEG123" s="16" t="n">
        <v>0</v>
      </c>
      <c r="AEH123" s="16" t="n">
        <v>0.19</v>
      </c>
      <c r="AEI123" s="0" t="n">
        <v>0</v>
      </c>
      <c r="AEJ123" s="0" t="s">
        <v>551</v>
      </c>
      <c r="AEK123" s="0" t="n">
        <v>17.5</v>
      </c>
      <c r="AEL123" s="16" t="n">
        <v>87.6</v>
      </c>
      <c r="AEM123" s="16" t="n">
        <v>80.4</v>
      </c>
      <c r="AEN123" s="16" t="n">
        <v>12</v>
      </c>
      <c r="AEO123" s="0" t="n">
        <v>84.96</v>
      </c>
      <c r="AEP123" s="0" t="n">
        <v>1.61</v>
      </c>
      <c r="AEQ123" s="0" t="n">
        <v>0.45</v>
      </c>
      <c r="AER123" s="0" t="n">
        <v>0</v>
      </c>
      <c r="AES123" s="0" t="n">
        <v>12.98</v>
      </c>
      <c r="AET123" s="0" t="n">
        <v>0</v>
      </c>
      <c r="AEU123" s="0" t="n">
        <v>0</v>
      </c>
      <c r="AEV123" s="0" t="n">
        <v>0</v>
      </c>
      <c r="AEW123" s="0" t="n">
        <v>0</v>
      </c>
      <c r="AEX123" s="0" t="n">
        <v>0</v>
      </c>
      <c r="AEY123" s="0" t="n">
        <v>0</v>
      </c>
      <c r="AEZ123" s="0" t="n">
        <v>0</v>
      </c>
      <c r="AFA123" s="0" t="n">
        <v>15.99</v>
      </c>
      <c r="AFB123" s="0" t="n">
        <v>7.84</v>
      </c>
      <c r="AFC123" s="0" t="n">
        <v>0</v>
      </c>
      <c r="AFD123" s="0" t="n">
        <v>0</v>
      </c>
      <c r="AFE123" s="0" t="n">
        <v>0</v>
      </c>
      <c r="AFF123" s="0" t="n">
        <v>0</v>
      </c>
      <c r="AFS123" s="0" t="n">
        <v>0</v>
      </c>
      <c r="AFT123" s="0" t="n">
        <v>0</v>
      </c>
      <c r="AGE123" s="18"/>
      <c r="AGW123" s="0" t="n">
        <v>0</v>
      </c>
      <c r="AIH123" s="16" t="n">
        <v>0</v>
      </c>
      <c r="AII123" s="16" t="n">
        <v>0</v>
      </c>
      <c r="AIJ123" s="16"/>
      <c r="AIK123" s="16"/>
      <c r="AIL123" s="16"/>
      <c r="AIM123" s="16"/>
      <c r="AIN123" s="16"/>
      <c r="AIO123" s="16"/>
      <c r="AIP123" s="16"/>
      <c r="AIQ123" s="16"/>
      <c r="AIR123" s="16"/>
      <c r="AIS123" s="16" t="n">
        <v>5.22</v>
      </c>
      <c r="AIT123" s="16" t="n">
        <v>5.37</v>
      </c>
      <c r="AIU123" s="16"/>
      <c r="AIV123" s="16"/>
      <c r="AIW123" s="16" t="n">
        <v>0</v>
      </c>
      <c r="AIX123" s="16" t="n">
        <v>0</v>
      </c>
      <c r="AIY123" s="16" t="n">
        <v>0.19</v>
      </c>
      <c r="AIZ123" s="0" t="n">
        <v>0</v>
      </c>
      <c r="AJA123" s="0" t="s">
        <v>552</v>
      </c>
      <c r="AJB123" s="0" t="n">
        <v>16.5</v>
      </c>
      <c r="AJC123" s="16" t="n">
        <v>73.2</v>
      </c>
      <c r="AJD123" s="16" t="n">
        <v>80.4</v>
      </c>
      <c r="AJE123" s="16" t="n">
        <v>10.2</v>
      </c>
      <c r="AJF123" s="0" t="n">
        <v>69.43</v>
      </c>
      <c r="AJG123" s="0" t="n">
        <v>29.45</v>
      </c>
      <c r="AJH123" s="0" t="n">
        <v>1.12</v>
      </c>
      <c r="AJI123" s="0" t="n">
        <v>0</v>
      </c>
      <c r="AJJ123" s="0" t="n">
        <v>0</v>
      </c>
      <c r="AJK123" s="0" t="n">
        <v>0</v>
      </c>
      <c r="AJL123" s="0" t="n">
        <v>0</v>
      </c>
      <c r="AJM123" s="0" t="n">
        <v>0</v>
      </c>
      <c r="AJN123" s="0" t="n">
        <v>0</v>
      </c>
      <c r="AJO123" s="0" t="n">
        <v>0</v>
      </c>
      <c r="AJP123" s="0" t="n">
        <v>0</v>
      </c>
      <c r="AJQ123" s="0" t="n">
        <v>0</v>
      </c>
      <c r="AJR123" s="0" t="n">
        <v>29.3</v>
      </c>
      <c r="AJS123" s="0" t="n">
        <v>10.81</v>
      </c>
      <c r="AJT123" s="0" t="n">
        <v>0</v>
      </c>
      <c r="AJU123" s="0" t="n">
        <v>0</v>
      </c>
      <c r="AJV123" s="0" t="n">
        <v>5.9</v>
      </c>
      <c r="AJW123" s="0" t="n">
        <v>2</v>
      </c>
      <c r="AJX123" s="0" t="n">
        <v>3</v>
      </c>
      <c r="AJY123" s="0" t="n">
        <v>2.01</v>
      </c>
      <c r="AKD123" s="0" t="n">
        <v>3</v>
      </c>
      <c r="AKE123" s="0" t="n">
        <v>2.01</v>
      </c>
      <c r="AKJ123" s="0" t="n">
        <v>0</v>
      </c>
      <c r="AKK123" s="0" t="n">
        <v>0</v>
      </c>
      <c r="AKV123" s="18"/>
      <c r="ALN123" s="0" t="n">
        <v>0</v>
      </c>
    </row>
    <row r="124" customFormat="false" ht="13.8" hidden="false" customHeight="false" outlineLevel="0" collapsed="false">
      <c r="A124" s="1" t="s">
        <v>560</v>
      </c>
      <c r="B124" s="12" t="n">
        <v>42901</v>
      </c>
      <c r="C124" s="0" t="n">
        <v>2</v>
      </c>
      <c r="D124" s="13" t="n">
        <v>42821</v>
      </c>
      <c r="E124" s="12" t="n">
        <v>31461</v>
      </c>
      <c r="F124" s="14" t="n">
        <f aca="false">(B124-E124)/365.25</f>
        <v>31.3210130047912</v>
      </c>
      <c r="G124" s="14" t="n">
        <f aca="false">(B124-D124)/365.25</f>
        <v>0.219028062970568</v>
      </c>
      <c r="H124" s="15" t="s">
        <v>217</v>
      </c>
      <c r="I124" s="15" t="s">
        <v>545</v>
      </c>
      <c r="J124" s="15" t="s">
        <v>181</v>
      </c>
      <c r="K124" s="21" t="n">
        <v>8</v>
      </c>
      <c r="L124" s="19" t="n">
        <v>126</v>
      </c>
      <c r="M124" s="0" t="n">
        <v>1.78</v>
      </c>
      <c r="N124" s="16" t="n">
        <f aca="false">L124/(M124*M124)</f>
        <v>39.7677060977149</v>
      </c>
      <c r="O124" s="19" t="n">
        <v>0</v>
      </c>
      <c r="P124" s="19" t="n">
        <v>0</v>
      </c>
      <c r="Q124" s="19" t="n">
        <v>0</v>
      </c>
      <c r="R124" s="19" t="n">
        <v>0</v>
      </c>
      <c r="S124" s="19" t="n">
        <v>0</v>
      </c>
      <c r="T124" s="19" t="n">
        <v>0</v>
      </c>
      <c r="U124" s="19" t="n">
        <v>0</v>
      </c>
      <c r="V124" s="19" t="n">
        <v>0</v>
      </c>
      <c r="W124" s="19" t="n">
        <v>0</v>
      </c>
      <c r="X124" s="19" t="n">
        <v>0</v>
      </c>
      <c r="Y124" s="19" t="n">
        <v>0</v>
      </c>
      <c r="Z124" s="19" t="n">
        <v>0</v>
      </c>
      <c r="AA124" s="19" t="n">
        <v>0</v>
      </c>
      <c r="AB124" s="19" t="n">
        <v>0</v>
      </c>
      <c r="AC124" s="19" t="n">
        <v>0</v>
      </c>
      <c r="AD124" s="19" t="n">
        <v>0</v>
      </c>
      <c r="AE124" s="19" t="n">
        <v>0</v>
      </c>
      <c r="AF124" s="19" t="n">
        <v>0</v>
      </c>
      <c r="AG124" s="19" t="n">
        <v>0</v>
      </c>
      <c r="AH124" s="19" t="n">
        <v>0</v>
      </c>
      <c r="AI124" s="19" t="n">
        <v>0</v>
      </c>
      <c r="AJ124" s="19" t="n">
        <v>0</v>
      </c>
      <c r="AK124" s="19" t="n">
        <v>0</v>
      </c>
      <c r="AL124" s="19" t="n">
        <v>0</v>
      </c>
      <c r="AM124" s="19" t="n">
        <v>0</v>
      </c>
      <c r="AN124" s="19" t="n">
        <v>0</v>
      </c>
      <c r="AO124" s="19" t="n">
        <v>0</v>
      </c>
      <c r="AP124" s="19" t="n">
        <v>0</v>
      </c>
      <c r="AQ124" s="19" t="n">
        <v>0</v>
      </c>
      <c r="AR124" s="19" t="n">
        <v>0</v>
      </c>
      <c r="AS124" s="19" t="n">
        <v>0</v>
      </c>
      <c r="AT124" s="19" t="n">
        <v>0</v>
      </c>
      <c r="AU124" s="19" t="n">
        <v>0</v>
      </c>
      <c r="AV124" s="19" t="n">
        <v>0</v>
      </c>
      <c r="AW124" s="19" t="n">
        <v>0</v>
      </c>
      <c r="AX124" s="19" t="n">
        <v>0</v>
      </c>
      <c r="AY124" s="19" t="n">
        <v>0</v>
      </c>
      <c r="AZ124" s="19" t="n">
        <v>0</v>
      </c>
      <c r="BA124" s="19" t="n">
        <v>0</v>
      </c>
      <c r="BB124" s="19" t="n">
        <v>0</v>
      </c>
      <c r="BC124" s="19" t="n">
        <v>0</v>
      </c>
      <c r="BD124" s="19" t="n">
        <v>0</v>
      </c>
      <c r="BE124" s="19" t="n">
        <v>0</v>
      </c>
      <c r="BF124" s="19" t="n">
        <v>0</v>
      </c>
      <c r="BG124" s="19" t="n">
        <v>0</v>
      </c>
      <c r="BH124" s="19" t="n">
        <v>0</v>
      </c>
      <c r="BI124" s="19" t="n">
        <v>0</v>
      </c>
      <c r="BJ124" s="19" t="n">
        <v>0</v>
      </c>
      <c r="BK124" s="19" t="n">
        <v>0</v>
      </c>
      <c r="BL124" s="19" t="n">
        <v>0</v>
      </c>
      <c r="BM124" s="19" t="n">
        <v>0</v>
      </c>
      <c r="BN124" s="19" t="n">
        <v>0</v>
      </c>
      <c r="BO124" s="19" t="n">
        <v>0</v>
      </c>
      <c r="BP124" s="19" t="n">
        <v>0</v>
      </c>
      <c r="BQ124" s="19" t="n">
        <v>0</v>
      </c>
      <c r="BR124" s="19" t="n">
        <v>1</v>
      </c>
      <c r="BS124" s="19" t="n">
        <v>1</v>
      </c>
      <c r="BT124" s="19" t="n">
        <v>2</v>
      </c>
      <c r="BU124" s="19" t="n">
        <v>5</v>
      </c>
      <c r="BV124" s="19" t="n">
        <v>2</v>
      </c>
      <c r="BW124" s="19" t="n">
        <v>5</v>
      </c>
      <c r="BX124" s="19"/>
      <c r="BY124" s="19" t="n">
        <v>4</v>
      </c>
      <c r="BZ124" s="19" t="n">
        <v>5</v>
      </c>
      <c r="CA124" s="19" t="n">
        <v>4</v>
      </c>
      <c r="CB124" s="19" t="n">
        <v>4</v>
      </c>
      <c r="CC124" s="19" t="n">
        <v>4</v>
      </c>
      <c r="CD124" s="19" t="n">
        <v>4</v>
      </c>
      <c r="CE124" s="19" t="n">
        <v>5</v>
      </c>
      <c r="CF124" s="19" t="n">
        <v>5</v>
      </c>
      <c r="CG124" s="19" t="n">
        <v>5</v>
      </c>
      <c r="CH124" s="19" t="n">
        <v>5</v>
      </c>
      <c r="CI124" s="19" t="n">
        <v>5</v>
      </c>
      <c r="CJ124" s="19" t="n">
        <v>4</v>
      </c>
      <c r="CK124" s="19" t="n">
        <v>9</v>
      </c>
      <c r="CL124" s="0" t="s">
        <v>555</v>
      </c>
      <c r="CM124" s="0" t="n">
        <v>35</v>
      </c>
      <c r="CN124" s="16" t="n">
        <v>78.8</v>
      </c>
      <c r="CO124" s="16" t="n">
        <v>80.4</v>
      </c>
      <c r="CP124" s="16" t="n">
        <v>17.2</v>
      </c>
      <c r="CQ124" s="0" t="n">
        <v>72.07</v>
      </c>
      <c r="CR124" s="0" t="n">
        <v>11.09</v>
      </c>
      <c r="CS124" s="0" t="n">
        <v>1.12</v>
      </c>
      <c r="CT124" s="0" t="n">
        <v>0</v>
      </c>
      <c r="CU124" s="0" t="n">
        <v>15.71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1.66</v>
      </c>
      <c r="DD124" s="0" t="n">
        <v>34.99</v>
      </c>
      <c r="DE124" s="0" t="n">
        <v>0</v>
      </c>
      <c r="DF124" s="0" t="n">
        <v>0</v>
      </c>
      <c r="DG124" s="0" t="n">
        <v>0</v>
      </c>
      <c r="DH124" s="0" t="n">
        <v>0</v>
      </c>
      <c r="DU124" s="0" t="n">
        <v>11.2</v>
      </c>
      <c r="DV124" s="0" t="n">
        <v>1</v>
      </c>
      <c r="DW124" s="0" t="n">
        <v>52</v>
      </c>
      <c r="DX124" s="0" t="n">
        <f aca="false">18+1+15</f>
        <v>34</v>
      </c>
      <c r="DY124" s="0" t="n">
        <f aca="false">3.2+2.05+0.07</f>
        <v>5.32</v>
      </c>
      <c r="DZ124" s="0" t="n">
        <v>2</v>
      </c>
      <c r="EG124" s="18"/>
      <c r="EY124" s="0" t="n">
        <v>0</v>
      </c>
      <c r="GJ124" s="16" t="n">
        <v>0</v>
      </c>
      <c r="GK124" s="16" t="n">
        <v>0</v>
      </c>
      <c r="GL124" s="16"/>
      <c r="GM124" s="16"/>
      <c r="GN124" s="16"/>
      <c r="GO124" s="16"/>
      <c r="GP124" s="16"/>
      <c r="GQ124" s="16"/>
      <c r="GR124" s="16"/>
      <c r="GS124" s="16"/>
      <c r="GT124" s="16"/>
      <c r="GU124" s="16" t="n">
        <v>6.16</v>
      </c>
      <c r="GV124" s="16" t="n">
        <v>7.21</v>
      </c>
      <c r="GW124" s="16"/>
      <c r="GX124" s="16"/>
      <c r="GY124" s="16" t="n">
        <v>0</v>
      </c>
      <c r="GZ124" s="16" t="n">
        <v>0</v>
      </c>
      <c r="HA124" s="16" t="n">
        <v>0</v>
      </c>
      <c r="HB124" s="0" t="n">
        <v>0</v>
      </c>
      <c r="HC124" s="0" t="s">
        <v>546</v>
      </c>
      <c r="HD124" s="0" t="n">
        <v>16.5</v>
      </c>
      <c r="HE124" s="16" t="n">
        <v>35.3</v>
      </c>
      <c r="HF124" s="16" t="n">
        <v>80.4</v>
      </c>
      <c r="HG124" s="16" t="n">
        <v>9.7</v>
      </c>
      <c r="HH124" s="0" t="n">
        <v>86.56</v>
      </c>
      <c r="HI124" s="0" t="n">
        <v>12.61</v>
      </c>
      <c r="HJ124" s="0" t="n">
        <v>0</v>
      </c>
      <c r="HK124" s="0" t="n">
        <v>0</v>
      </c>
      <c r="HL124" s="0" t="n">
        <v>0.83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  <c r="HT124" s="0" t="n">
        <v>2.22</v>
      </c>
      <c r="HU124" s="0" t="n">
        <v>20.83</v>
      </c>
      <c r="HV124" s="0" t="n">
        <v>0</v>
      </c>
      <c r="HW124" s="0" t="n">
        <v>0</v>
      </c>
      <c r="HX124" s="0" t="n">
        <v>0</v>
      </c>
      <c r="HY124" s="0" t="n">
        <v>0</v>
      </c>
      <c r="IL124" s="0" t="n">
        <v>0.3</v>
      </c>
      <c r="IM124" s="0" t="n">
        <v>1</v>
      </c>
      <c r="IN124" s="0" t="n">
        <v>34</v>
      </c>
      <c r="IO124" s="0" t="n">
        <v>4</v>
      </c>
      <c r="IP124" s="0" t="n">
        <f aca="false">1.35+0.45+1.35+0.45</f>
        <v>3.6</v>
      </c>
      <c r="IQ124" s="0" t="n">
        <v>1</v>
      </c>
      <c r="IR124" s="0" t="n">
        <v>52</v>
      </c>
      <c r="IS124" s="0" t="n">
        <v>1</v>
      </c>
      <c r="IT124" s="0" t="n">
        <f aca="false">0.18</f>
        <v>0.18</v>
      </c>
      <c r="IU124" s="0" t="n">
        <v>2</v>
      </c>
      <c r="IX124" s="18"/>
      <c r="JP124" s="0" t="n">
        <v>0</v>
      </c>
      <c r="LA124" s="16" t="n">
        <v>0.28</v>
      </c>
      <c r="LB124" s="16" t="n">
        <v>1</v>
      </c>
      <c r="LC124" s="16" t="n">
        <v>2</v>
      </c>
      <c r="LD124" s="16"/>
      <c r="LE124" s="16" t="n">
        <f aca="false">0.37+0.26</f>
        <v>0.63</v>
      </c>
      <c r="LF124" s="16"/>
      <c r="LG124" s="16"/>
      <c r="LH124" s="16"/>
      <c r="LI124" s="16"/>
      <c r="LJ124" s="16"/>
      <c r="LK124" s="16"/>
      <c r="LL124" s="16" t="n">
        <v>5.99</v>
      </c>
      <c r="LM124" s="16" t="n">
        <v>5.34</v>
      </c>
      <c r="LN124" s="16"/>
      <c r="LO124" s="16"/>
      <c r="LP124" s="16" t="n">
        <v>0</v>
      </c>
      <c r="LQ124" s="16" t="n">
        <v>0</v>
      </c>
      <c r="LR124" s="16" t="n">
        <v>0</v>
      </c>
      <c r="LS124" s="0" t="n">
        <v>0</v>
      </c>
      <c r="LT124" s="0" t="s">
        <v>547</v>
      </c>
      <c r="LU124" s="0" t="n">
        <v>29.5</v>
      </c>
      <c r="LV124" s="16" t="n">
        <v>87.5</v>
      </c>
      <c r="LW124" s="16" t="n">
        <v>80.4</v>
      </c>
      <c r="LX124" s="16" t="n">
        <v>14.3</v>
      </c>
      <c r="LY124" s="0" t="n">
        <v>68.7</v>
      </c>
      <c r="LZ124" s="0" t="n">
        <v>23.24</v>
      </c>
      <c r="MA124" s="0" t="n">
        <v>1.79</v>
      </c>
      <c r="MB124" s="0" t="n">
        <v>0</v>
      </c>
      <c r="MC124" s="0" t="n">
        <v>6.27</v>
      </c>
      <c r="MD124" s="0" t="n">
        <v>0</v>
      </c>
      <c r="ME124" s="0" t="n">
        <v>0</v>
      </c>
      <c r="MF124" s="0" t="n">
        <v>0</v>
      </c>
      <c r="MG124" s="0" t="n">
        <v>0</v>
      </c>
      <c r="MH124" s="0" t="n">
        <v>0</v>
      </c>
      <c r="MI124" s="0" t="n">
        <v>0</v>
      </c>
      <c r="MJ124" s="0" t="n">
        <v>0</v>
      </c>
      <c r="MK124" s="0" t="n">
        <v>7.01</v>
      </c>
      <c r="ML124" s="0" t="n">
        <v>58.72</v>
      </c>
      <c r="MM124" s="0" t="n">
        <v>0.23</v>
      </c>
      <c r="MN124" s="0" t="n">
        <v>0</v>
      </c>
      <c r="MO124" s="0" t="n">
        <v>0.5</v>
      </c>
      <c r="MP124" s="0" t="n">
        <v>2</v>
      </c>
      <c r="MQ124" s="0" t="n">
        <v>7</v>
      </c>
      <c r="MR124" s="0" t="n">
        <v>0.08</v>
      </c>
      <c r="MW124" s="0" t="n">
        <v>7</v>
      </c>
      <c r="MX124" s="0" t="n">
        <v>0.08</v>
      </c>
      <c r="NC124" s="0" t="n">
        <v>0</v>
      </c>
      <c r="ND124" s="0" t="n">
        <v>1</v>
      </c>
      <c r="NE124" s="0" t="n">
        <v>23</v>
      </c>
      <c r="NF124" s="0" t="n">
        <v>2</v>
      </c>
      <c r="NG124" s="0" t="n">
        <v>0.9</v>
      </c>
      <c r="NH124" s="0" t="n">
        <v>3</v>
      </c>
      <c r="NO124" s="18"/>
      <c r="OG124" s="0" t="n">
        <v>1</v>
      </c>
      <c r="OH124" s="0" t="n">
        <v>50</v>
      </c>
      <c r="OI124" s="0" t="n">
        <v>2</v>
      </c>
      <c r="OJ124" s="0" t="n">
        <f aca="false">3.13+23.63</f>
        <v>26.76</v>
      </c>
      <c r="OK124" s="0" t="n">
        <v>3</v>
      </c>
      <c r="PR124" s="16" t="n">
        <v>1.49</v>
      </c>
      <c r="PS124" s="16" t="n">
        <v>1</v>
      </c>
      <c r="PT124" s="16" t="n">
        <v>1</v>
      </c>
      <c r="PU124" s="16"/>
      <c r="PV124" s="16" t="n">
        <f aca="false">1.91+2.02+2.02+1.35</f>
        <v>7.3</v>
      </c>
      <c r="PW124" s="16" t="n">
        <v>2</v>
      </c>
      <c r="PX124" s="16"/>
      <c r="PY124" s="16" t="n">
        <v>0.21</v>
      </c>
      <c r="PZ124" s="16"/>
      <c r="QA124" s="16"/>
      <c r="QB124" s="16"/>
      <c r="QC124" s="16" t="n">
        <v>10.82</v>
      </c>
      <c r="QD124" s="16" t="n">
        <v>14.57</v>
      </c>
      <c r="QE124" s="16"/>
      <c r="QF124" s="16"/>
      <c r="QG124" s="16" t="n">
        <v>2.24</v>
      </c>
      <c r="QH124" s="16" t="n">
        <v>0.9</v>
      </c>
      <c r="QI124" s="16" t="n">
        <v>0</v>
      </c>
      <c r="QJ124" s="0" t="n">
        <v>0</v>
      </c>
      <c r="QK124" s="0" t="s">
        <v>548</v>
      </c>
      <c r="QL124" s="0" t="n">
        <v>50</v>
      </c>
      <c r="QM124" s="16" t="n">
        <v>80</v>
      </c>
      <c r="QN124" s="16" t="n">
        <v>80.4</v>
      </c>
      <c r="QO124" s="16" t="n">
        <v>16.9</v>
      </c>
      <c r="QP124" s="0" t="n">
        <v>58.18</v>
      </c>
      <c r="QQ124" s="0" t="n">
        <v>32.94</v>
      </c>
      <c r="QR124" s="0" t="n">
        <v>1.79</v>
      </c>
      <c r="QS124" s="0" t="n">
        <v>0</v>
      </c>
      <c r="QT124" s="0" t="n">
        <v>7.09</v>
      </c>
      <c r="QU124" s="0" t="n">
        <v>0</v>
      </c>
      <c r="QV124" s="0" t="n">
        <v>0</v>
      </c>
      <c r="QW124" s="0" t="n">
        <v>0</v>
      </c>
      <c r="QX124" s="0" t="n">
        <v>0</v>
      </c>
      <c r="QY124" s="0" t="n">
        <v>0</v>
      </c>
      <c r="QZ124" s="0" t="n">
        <v>0</v>
      </c>
      <c r="RA124" s="0" t="n">
        <v>0</v>
      </c>
      <c r="RB124" s="0" t="n">
        <v>3.53</v>
      </c>
      <c r="RC124" s="0" t="n">
        <v>45.12</v>
      </c>
      <c r="RD124" s="0" t="n">
        <v>0</v>
      </c>
      <c r="RE124" s="0" t="n">
        <v>0</v>
      </c>
      <c r="RF124" s="0" t="n">
        <v>0</v>
      </c>
      <c r="RG124" s="0" t="n">
        <v>0</v>
      </c>
      <c r="RT124" s="0" t="n">
        <v>8.2</v>
      </c>
      <c r="RU124" s="0" t="n">
        <v>1</v>
      </c>
      <c r="RV124" s="0" t="n">
        <v>23</v>
      </c>
      <c r="RW124" s="0" t="n">
        <v>1</v>
      </c>
      <c r="RX124" s="0" t="n">
        <v>0.45</v>
      </c>
      <c r="RY124" s="0" t="n">
        <v>3</v>
      </c>
      <c r="RZ124" s="0" t="n">
        <v>34</v>
      </c>
      <c r="SA124" s="0" t="n">
        <v>28</v>
      </c>
      <c r="SB124" s="0" t="n">
        <f aca="false">0.45+0.18+1.6+0.24+0.37+4.39+0.49+0.04+0.32+0.05+1.38</f>
        <v>9.51</v>
      </c>
      <c r="SC124" s="0" t="n">
        <v>1</v>
      </c>
      <c r="SF124" s="18"/>
      <c r="SX124" s="0" t="n">
        <v>0</v>
      </c>
      <c r="UI124" s="16" t="n">
        <v>1.65</v>
      </c>
      <c r="UJ124" s="16" t="n">
        <v>1</v>
      </c>
      <c r="UK124" s="16" t="n">
        <v>1</v>
      </c>
      <c r="UL124" s="16"/>
      <c r="UM124" s="16" t="n">
        <f aca="false">0.18</f>
        <v>0.18</v>
      </c>
      <c r="UN124" s="16" t="n">
        <v>2</v>
      </c>
      <c r="UO124" s="16"/>
      <c r="UP124" s="16" t="n">
        <f aca="false">1.65+0.91+6.23+0.66</f>
        <v>9.45</v>
      </c>
      <c r="UQ124" s="16"/>
      <c r="UR124" s="16"/>
      <c r="US124" s="16"/>
      <c r="UT124" s="16" t="n">
        <v>20.65</v>
      </c>
      <c r="UU124" s="16" t="n">
        <v>33.56</v>
      </c>
      <c r="UV124" s="16"/>
      <c r="UW124" s="16"/>
      <c r="UX124" s="16" t="n">
        <v>2.24</v>
      </c>
      <c r="UY124" s="16" t="n">
        <v>0.45</v>
      </c>
      <c r="UZ124" s="16" t="n">
        <v>0</v>
      </c>
      <c r="VA124" s="0" t="n">
        <v>0.45</v>
      </c>
      <c r="VB124" s="0" t="s">
        <v>549</v>
      </c>
      <c r="VC124" s="0" t="n">
        <v>31.5</v>
      </c>
      <c r="VD124" s="16" t="n">
        <v>79.9</v>
      </c>
      <c r="VE124" s="16" t="n">
        <v>80.4</v>
      </c>
      <c r="VF124" s="16" t="n">
        <v>17.8</v>
      </c>
      <c r="VG124" s="0" t="n">
        <v>71.45</v>
      </c>
      <c r="VH124" s="0" t="n">
        <v>9.43</v>
      </c>
      <c r="VI124" s="0" t="n">
        <v>1.12</v>
      </c>
      <c r="VJ124" s="0" t="n">
        <v>0</v>
      </c>
      <c r="VK124" s="0" t="n">
        <v>18.01</v>
      </c>
      <c r="VL124" s="0" t="n">
        <v>0</v>
      </c>
      <c r="VM124" s="0" t="n">
        <v>0</v>
      </c>
      <c r="VN124" s="0" t="n">
        <v>0</v>
      </c>
      <c r="VO124" s="0" t="n">
        <v>0</v>
      </c>
      <c r="VP124" s="0" t="n">
        <v>0</v>
      </c>
      <c r="VQ124" s="0" t="n">
        <v>0</v>
      </c>
      <c r="VR124" s="0" t="n">
        <v>0</v>
      </c>
      <c r="VS124" s="0" t="n">
        <v>8.44</v>
      </c>
      <c r="VT124" s="0" t="n">
        <v>63.45</v>
      </c>
      <c r="VU124" s="0" t="n">
        <v>0</v>
      </c>
      <c r="VV124" s="0" t="n">
        <v>0</v>
      </c>
      <c r="VW124" s="0" t="n">
        <v>0</v>
      </c>
      <c r="VX124" s="0" t="n">
        <v>0</v>
      </c>
      <c r="WK124" s="0" t="n">
        <v>2</v>
      </c>
      <c r="WL124" s="0" t="n">
        <v>1</v>
      </c>
      <c r="WM124" s="0" t="n">
        <v>52</v>
      </c>
      <c r="WN124" s="0" t="n">
        <v>2</v>
      </c>
      <c r="WO124" s="0" t="n">
        <f aca="false">0.9+0.02</f>
        <v>0.92</v>
      </c>
      <c r="WP124" s="0" t="n">
        <v>2</v>
      </c>
      <c r="WW124" s="18"/>
      <c r="XO124" s="0" t="n">
        <v>1</v>
      </c>
      <c r="XP124" s="0" t="n">
        <v>50</v>
      </c>
      <c r="XQ124" s="0" t="n">
        <v>9</v>
      </c>
      <c r="XR124" s="0" t="n">
        <f aca="false">19.9+3.13</f>
        <v>23.03</v>
      </c>
      <c r="XS124" s="0" t="n">
        <v>3</v>
      </c>
      <c r="YZ124" s="16" t="n">
        <v>1.47</v>
      </c>
      <c r="ZA124" s="16" t="n">
        <v>1</v>
      </c>
      <c r="ZB124" s="16" t="n">
        <v>1</v>
      </c>
      <c r="ZC124" s="16"/>
      <c r="ZD124" s="16" t="n">
        <v>2.13</v>
      </c>
      <c r="ZE124" s="16" t="n">
        <v>2</v>
      </c>
      <c r="ZF124" s="16"/>
      <c r="ZG124" s="16" t="n">
        <v>3.37</v>
      </c>
      <c r="ZH124" s="16"/>
      <c r="ZI124" s="16"/>
      <c r="ZJ124" s="16"/>
      <c r="ZK124" s="16" t="n">
        <v>5.55</v>
      </c>
      <c r="ZL124" s="16" t="n">
        <v>6.42</v>
      </c>
      <c r="ZM124" s="16"/>
      <c r="ZN124" s="16"/>
      <c r="ZO124" s="16" t="n">
        <v>0</v>
      </c>
      <c r="ZP124" s="16" t="n">
        <v>0</v>
      </c>
      <c r="ZQ124" s="16" t="n">
        <v>4.48</v>
      </c>
      <c r="ZR124" s="0" t="n">
        <v>0</v>
      </c>
      <c r="ZS124" s="0" t="s">
        <v>550</v>
      </c>
      <c r="ZT124" s="0" t="n">
        <v>17</v>
      </c>
      <c r="ZU124" s="16" t="n">
        <v>87.8</v>
      </c>
      <c r="ZV124" s="16" t="n">
        <v>80.4</v>
      </c>
      <c r="ZW124" s="16" t="n">
        <v>11.6</v>
      </c>
      <c r="ZX124" s="0" t="n">
        <v>86.21</v>
      </c>
      <c r="ZY124" s="0" t="n">
        <v>1.64</v>
      </c>
      <c r="ZZ124" s="0" t="n">
        <v>0.45</v>
      </c>
      <c r="AAA124" s="0" t="n">
        <v>0</v>
      </c>
      <c r="AAB124" s="0" t="n">
        <v>11.7</v>
      </c>
      <c r="AAC124" s="0" t="n">
        <v>0</v>
      </c>
      <c r="AAD124" s="0" t="n">
        <v>0</v>
      </c>
      <c r="AAE124" s="0" t="n">
        <v>0</v>
      </c>
      <c r="AAF124" s="0" t="n">
        <v>0</v>
      </c>
      <c r="AAG124" s="0" t="n">
        <v>0</v>
      </c>
      <c r="AAH124" s="0" t="n">
        <v>0</v>
      </c>
      <c r="AAI124" s="0" t="n">
        <v>0</v>
      </c>
      <c r="AAJ124" s="0" t="n">
        <v>14.73</v>
      </c>
      <c r="AAK124" s="0" t="n">
        <v>7.98</v>
      </c>
      <c r="AAL124" s="0" t="n">
        <v>0</v>
      </c>
      <c r="AAM124" s="0" t="n">
        <v>0</v>
      </c>
      <c r="AAN124" s="0" t="n">
        <v>0</v>
      </c>
      <c r="AAO124" s="0" t="n">
        <v>0</v>
      </c>
      <c r="ABB124" s="0" t="n">
        <v>0</v>
      </c>
      <c r="ABC124" s="0" t="n">
        <v>0</v>
      </c>
      <c r="ABN124" s="18"/>
      <c r="ACF124" s="0" t="n">
        <v>0</v>
      </c>
      <c r="ADQ124" s="16" t="n">
        <v>0</v>
      </c>
      <c r="ADR124" s="16" t="n">
        <v>0</v>
      </c>
      <c r="ADS124" s="16"/>
      <c r="ADT124" s="16"/>
      <c r="ADU124" s="16"/>
      <c r="ADV124" s="16"/>
      <c r="ADW124" s="16"/>
      <c r="ADX124" s="16"/>
      <c r="ADY124" s="16"/>
      <c r="ADZ124" s="16"/>
      <c r="AEA124" s="16"/>
      <c r="AEB124" s="16" t="n">
        <v>5.22</v>
      </c>
      <c r="AEC124" s="16" t="n">
        <v>5.37</v>
      </c>
      <c r="AED124" s="16"/>
      <c r="AEE124" s="16"/>
      <c r="AEF124" s="16" t="n">
        <v>0</v>
      </c>
      <c r="AEG124" s="16" t="n">
        <v>0</v>
      </c>
      <c r="AEH124" s="16" t="n">
        <v>0.19</v>
      </c>
      <c r="AEI124" s="0" t="n">
        <v>0</v>
      </c>
      <c r="AEJ124" s="0" t="s">
        <v>551</v>
      </c>
      <c r="AEK124" s="0" t="n">
        <v>17.5</v>
      </c>
      <c r="AEL124" s="16" t="n">
        <v>87.6</v>
      </c>
      <c r="AEM124" s="16" t="n">
        <v>80.4</v>
      </c>
      <c r="AEN124" s="16" t="n">
        <v>12</v>
      </c>
      <c r="AEO124" s="0" t="n">
        <v>84.96</v>
      </c>
      <c r="AEP124" s="0" t="n">
        <v>1.61</v>
      </c>
      <c r="AEQ124" s="0" t="n">
        <v>0.45</v>
      </c>
      <c r="AER124" s="0" t="n">
        <v>0</v>
      </c>
      <c r="AES124" s="0" t="n">
        <v>12.98</v>
      </c>
      <c r="AET124" s="0" t="n">
        <v>0</v>
      </c>
      <c r="AEU124" s="0" t="n">
        <v>0</v>
      </c>
      <c r="AEV124" s="0" t="n">
        <v>0</v>
      </c>
      <c r="AEW124" s="0" t="n">
        <v>0</v>
      </c>
      <c r="AEX124" s="0" t="n">
        <v>0</v>
      </c>
      <c r="AEY124" s="0" t="n">
        <v>0</v>
      </c>
      <c r="AEZ124" s="0" t="n">
        <v>0</v>
      </c>
      <c r="AFA124" s="0" t="n">
        <v>15.99</v>
      </c>
      <c r="AFB124" s="0" t="n">
        <v>7.84</v>
      </c>
      <c r="AFC124" s="0" t="n">
        <v>0</v>
      </c>
      <c r="AFD124" s="0" t="n">
        <v>0</v>
      </c>
      <c r="AFE124" s="0" t="n">
        <v>0</v>
      </c>
      <c r="AFF124" s="0" t="n">
        <v>0</v>
      </c>
      <c r="AFS124" s="0" t="n">
        <v>0</v>
      </c>
      <c r="AFT124" s="0" t="n">
        <v>0</v>
      </c>
      <c r="AGE124" s="18"/>
      <c r="AGW124" s="0" t="n">
        <v>0</v>
      </c>
      <c r="AIH124" s="16" t="n">
        <v>0</v>
      </c>
      <c r="AII124" s="16" t="n">
        <v>0</v>
      </c>
      <c r="AIJ124" s="16"/>
      <c r="AIK124" s="16"/>
      <c r="AIL124" s="16"/>
      <c r="AIM124" s="16"/>
      <c r="AIN124" s="16"/>
      <c r="AIO124" s="16"/>
      <c r="AIP124" s="16"/>
      <c r="AIQ124" s="16"/>
      <c r="AIR124" s="16"/>
      <c r="AIS124" s="16" t="n">
        <v>5.22</v>
      </c>
      <c r="AIT124" s="16" t="n">
        <v>5.37</v>
      </c>
      <c r="AIU124" s="16"/>
      <c r="AIV124" s="16"/>
      <c r="AIW124" s="16" t="n">
        <v>0</v>
      </c>
      <c r="AIX124" s="16" t="n">
        <v>0</v>
      </c>
      <c r="AIY124" s="16" t="n">
        <v>0.19</v>
      </c>
      <c r="AIZ124" s="0" t="n">
        <v>0</v>
      </c>
      <c r="AJA124" s="0" t="s">
        <v>552</v>
      </c>
      <c r="AJB124" s="0" t="n">
        <v>16.5</v>
      </c>
      <c r="AJC124" s="16" t="n">
        <v>73.2</v>
      </c>
      <c r="AJD124" s="16" t="n">
        <v>80.4</v>
      </c>
      <c r="AJE124" s="16" t="n">
        <v>10.2</v>
      </c>
      <c r="AJF124" s="0" t="n">
        <v>69.43</v>
      </c>
      <c r="AJG124" s="0" t="n">
        <v>29.45</v>
      </c>
      <c r="AJH124" s="0" t="n">
        <v>1.12</v>
      </c>
      <c r="AJI124" s="0" t="n">
        <v>0</v>
      </c>
      <c r="AJJ124" s="0" t="n">
        <v>0</v>
      </c>
      <c r="AJK124" s="0" t="n">
        <v>0</v>
      </c>
      <c r="AJL124" s="0" t="n">
        <v>0</v>
      </c>
      <c r="AJM124" s="0" t="n">
        <v>0</v>
      </c>
      <c r="AJN124" s="0" t="n">
        <v>0</v>
      </c>
      <c r="AJO124" s="0" t="n">
        <v>0</v>
      </c>
      <c r="AJP124" s="0" t="n">
        <v>0</v>
      </c>
      <c r="AJQ124" s="0" t="n">
        <v>0</v>
      </c>
      <c r="AJR124" s="0" t="n">
        <v>29.3</v>
      </c>
      <c r="AJS124" s="0" t="n">
        <v>10.81</v>
      </c>
      <c r="AJT124" s="0" t="n">
        <v>0</v>
      </c>
      <c r="AJU124" s="0" t="n">
        <v>0</v>
      </c>
      <c r="AJV124" s="0" t="n">
        <v>5.9</v>
      </c>
      <c r="AJW124" s="0" t="n">
        <v>2</v>
      </c>
      <c r="AJX124" s="0" t="n">
        <v>3</v>
      </c>
      <c r="AJY124" s="0" t="n">
        <v>2.01</v>
      </c>
      <c r="AKD124" s="0" t="n">
        <v>3</v>
      </c>
      <c r="AKE124" s="0" t="n">
        <v>2.01</v>
      </c>
      <c r="AKJ124" s="0" t="n">
        <v>0</v>
      </c>
      <c r="AKK124" s="0" t="n">
        <v>0</v>
      </c>
      <c r="AKV124" s="18"/>
      <c r="ALN124" s="0" t="n">
        <v>0</v>
      </c>
    </row>
    <row r="125" customFormat="false" ht="13.8" hidden="false" customHeight="false" outlineLevel="0" collapsed="false">
      <c r="A125" s="1" t="s">
        <v>561</v>
      </c>
      <c r="B125" s="12" t="n">
        <v>42894</v>
      </c>
      <c r="C125" s="0" t="n">
        <v>2</v>
      </c>
      <c r="D125" s="13" t="n">
        <v>34700</v>
      </c>
      <c r="E125" s="12" t="n">
        <v>27419</v>
      </c>
      <c r="F125" s="14" t="n">
        <f aca="false">(B125-E125)/365.25</f>
        <v>42.3682409308693</v>
      </c>
      <c r="G125" s="14" t="n">
        <f aca="false">(B125-D125)/365.25</f>
        <v>22.4339493497604</v>
      </c>
      <c r="H125" s="15" t="s">
        <v>183</v>
      </c>
      <c r="I125" s="15" t="s">
        <v>383</v>
      </c>
      <c r="J125" s="15" t="s">
        <v>183</v>
      </c>
      <c r="K125" s="21" t="n">
        <v>8</v>
      </c>
      <c r="L125" s="19" t="n">
        <v>64</v>
      </c>
      <c r="M125" s="0" t="n">
        <v>1.73</v>
      </c>
      <c r="N125" s="16" t="n">
        <f aca="false">L125/(M125*M125)</f>
        <v>21.3839419960573</v>
      </c>
      <c r="O125" s="19" t="n">
        <v>0</v>
      </c>
      <c r="P125" s="19" t="n">
        <v>0</v>
      </c>
      <c r="Q125" s="19" t="n">
        <v>0</v>
      </c>
      <c r="R125" s="19" t="n">
        <v>0</v>
      </c>
      <c r="S125" s="19" t="n">
        <v>0</v>
      </c>
      <c r="T125" s="19" t="n">
        <v>0</v>
      </c>
      <c r="U125" s="19" t="n">
        <v>0</v>
      </c>
      <c r="V125" s="19" t="n">
        <v>0</v>
      </c>
      <c r="W125" s="19" t="n">
        <v>1</v>
      </c>
      <c r="X125" s="19" t="n">
        <v>1</v>
      </c>
      <c r="Y125" s="19" t="n">
        <v>0</v>
      </c>
      <c r="Z125" s="19" t="n">
        <v>0</v>
      </c>
      <c r="AA125" s="19" t="n">
        <v>0</v>
      </c>
      <c r="AB125" s="19" t="n">
        <v>0</v>
      </c>
      <c r="AC125" s="19" t="n">
        <v>0</v>
      </c>
      <c r="AD125" s="19" t="n">
        <v>0</v>
      </c>
      <c r="AE125" s="19" t="n">
        <v>0</v>
      </c>
      <c r="AF125" s="19" t="n">
        <v>0</v>
      </c>
      <c r="AG125" s="19" t="n">
        <v>0</v>
      </c>
      <c r="AH125" s="19" t="n">
        <v>0</v>
      </c>
      <c r="AI125" s="19" t="n">
        <v>0</v>
      </c>
      <c r="AJ125" s="19" t="n">
        <v>0</v>
      </c>
      <c r="AK125" s="19" t="n">
        <v>0</v>
      </c>
      <c r="AL125" s="19" t="n">
        <v>0</v>
      </c>
      <c r="AM125" s="19" t="n">
        <v>0</v>
      </c>
      <c r="AN125" s="19" t="n">
        <v>2</v>
      </c>
      <c r="AO125" s="19" t="n">
        <v>2</v>
      </c>
      <c r="AP125" s="19" t="n">
        <v>2</v>
      </c>
      <c r="AQ125" s="19" t="n">
        <v>0</v>
      </c>
      <c r="AR125" s="19" t="n">
        <v>8</v>
      </c>
      <c r="AS125" s="19" t="n">
        <v>1</v>
      </c>
      <c r="AT125" s="19" t="n">
        <v>1</v>
      </c>
      <c r="AU125" s="19" t="n">
        <v>1</v>
      </c>
      <c r="AV125" s="19" t="n">
        <v>10</v>
      </c>
      <c r="AW125" s="19" t="n">
        <v>0</v>
      </c>
      <c r="AX125" s="19" t="n">
        <v>0</v>
      </c>
      <c r="AY125" s="19" t="n">
        <v>0</v>
      </c>
      <c r="AZ125" s="19" t="n">
        <v>0</v>
      </c>
      <c r="BA125" s="19" t="n">
        <v>0</v>
      </c>
      <c r="BB125" s="19" t="n">
        <v>1</v>
      </c>
      <c r="BC125" s="19" t="n">
        <v>1</v>
      </c>
      <c r="BD125" s="19" t="n">
        <v>1</v>
      </c>
      <c r="BE125" s="19" t="n">
        <v>5</v>
      </c>
      <c r="BF125" s="19" t="n">
        <v>0</v>
      </c>
      <c r="BG125" s="19" t="n">
        <v>0</v>
      </c>
      <c r="BH125" s="19" t="n">
        <v>0</v>
      </c>
      <c r="BI125" s="19" t="n">
        <v>0</v>
      </c>
      <c r="BJ125" s="19" t="n">
        <v>1</v>
      </c>
      <c r="BK125" s="19" t="n">
        <v>1</v>
      </c>
      <c r="BL125" s="19" t="n">
        <v>1</v>
      </c>
      <c r="BM125" s="19" t="n">
        <v>5</v>
      </c>
      <c r="BN125" s="19" t="n">
        <v>1</v>
      </c>
      <c r="BO125" s="19" t="n">
        <v>1</v>
      </c>
      <c r="BP125" s="19" t="n">
        <v>1</v>
      </c>
      <c r="BQ125" s="19" t="n">
        <v>5</v>
      </c>
      <c r="BR125" s="19" t="n">
        <v>4</v>
      </c>
      <c r="BS125" s="19" t="n">
        <v>3</v>
      </c>
      <c r="BT125" s="19" t="n">
        <v>3</v>
      </c>
      <c r="BU125" s="19" t="n">
        <v>3</v>
      </c>
      <c r="BV125" s="19" t="n">
        <v>2</v>
      </c>
      <c r="BW125" s="19" t="n">
        <v>2</v>
      </c>
      <c r="BX125" s="19" t="n">
        <v>1</v>
      </c>
      <c r="BY125" s="19" t="n">
        <v>1</v>
      </c>
      <c r="BZ125" s="19" t="n">
        <v>1</v>
      </c>
      <c r="CA125" s="19" t="n">
        <v>1</v>
      </c>
      <c r="CB125" s="19" t="n">
        <v>1</v>
      </c>
      <c r="CC125" s="19" t="n">
        <v>4</v>
      </c>
      <c r="CD125" s="19" t="n">
        <v>1</v>
      </c>
      <c r="CE125" s="19" t="n">
        <v>1</v>
      </c>
      <c r="CF125" s="19" t="n">
        <v>3</v>
      </c>
      <c r="CG125" s="19" t="n">
        <v>4</v>
      </c>
      <c r="CH125" s="19" t="n">
        <v>1</v>
      </c>
      <c r="CI125" s="19" t="n">
        <v>2</v>
      </c>
      <c r="CJ125" s="19" t="n">
        <v>1</v>
      </c>
      <c r="CK125" s="19" t="n">
        <v>2</v>
      </c>
      <c r="CL125" s="30" t="s">
        <v>384</v>
      </c>
      <c r="CM125" s="15" t="n">
        <v>28.5</v>
      </c>
      <c r="CN125" s="17" t="n">
        <v>69.3</v>
      </c>
      <c r="CO125" s="17" t="n">
        <v>114</v>
      </c>
      <c r="CP125" s="17" t="n">
        <v>19.5</v>
      </c>
      <c r="CQ125" s="17" t="n">
        <v>79.15</v>
      </c>
      <c r="CR125" s="17" t="n">
        <v>0</v>
      </c>
      <c r="CS125" s="17" t="n">
        <v>3.87</v>
      </c>
      <c r="CT125" s="17" t="n">
        <v>2.86</v>
      </c>
      <c r="CU125" s="17" t="n">
        <v>14.12</v>
      </c>
      <c r="CV125" s="17" t="n">
        <v>0</v>
      </c>
      <c r="CW125" s="17" t="n">
        <v>0</v>
      </c>
      <c r="CX125" s="17" t="n">
        <v>0</v>
      </c>
      <c r="CY125" s="17" t="n">
        <v>0</v>
      </c>
      <c r="CZ125" s="17" t="n">
        <v>0</v>
      </c>
      <c r="DA125" s="17" t="n">
        <v>0</v>
      </c>
      <c r="DB125" s="17" t="n">
        <v>0.82</v>
      </c>
      <c r="DC125" s="17" t="n">
        <v>11.71</v>
      </c>
      <c r="DD125" s="17" t="n">
        <v>15.43</v>
      </c>
      <c r="DE125" s="17" t="n">
        <v>4.91</v>
      </c>
      <c r="DF125" s="17" t="n">
        <v>0</v>
      </c>
      <c r="DG125" s="17" t="n">
        <v>0</v>
      </c>
      <c r="DH125" s="17" t="n">
        <v>0</v>
      </c>
      <c r="DI125" s="17" t="n">
        <v>0</v>
      </c>
      <c r="DJ125" s="17" t="n">
        <v>0</v>
      </c>
      <c r="DK125" s="17" t="n">
        <v>0</v>
      </c>
      <c r="DL125" s="17" t="n">
        <v>0</v>
      </c>
      <c r="DM125" s="17" t="n">
        <v>0</v>
      </c>
      <c r="DN125" s="17" t="n">
        <v>0</v>
      </c>
      <c r="DO125" s="17" t="n">
        <v>0</v>
      </c>
      <c r="DP125" s="17" t="n">
        <v>0</v>
      </c>
      <c r="DQ125" s="17" t="n">
        <v>0</v>
      </c>
      <c r="DR125" s="17" t="n">
        <v>0</v>
      </c>
      <c r="DS125" s="17" t="n">
        <v>0</v>
      </c>
      <c r="DT125" s="17" t="n">
        <v>0</v>
      </c>
      <c r="DU125" s="17" t="n">
        <v>0</v>
      </c>
      <c r="DV125" s="17" t="n">
        <v>0</v>
      </c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31"/>
      <c r="EH125" s="17"/>
      <c r="EI125" s="15"/>
      <c r="EJ125" s="15"/>
      <c r="EK125" s="31"/>
      <c r="EL125" s="15"/>
      <c r="EM125" s="15"/>
      <c r="EN125" s="15"/>
      <c r="EO125" s="31"/>
      <c r="EP125" s="15"/>
      <c r="EQ125" s="15"/>
      <c r="ER125" s="15"/>
      <c r="ES125" s="31"/>
      <c r="ET125" s="15"/>
      <c r="EU125" s="15"/>
      <c r="EV125" s="15"/>
      <c r="EW125" s="31"/>
      <c r="EX125" s="15"/>
      <c r="EY125" s="15" t="n">
        <v>0</v>
      </c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5"/>
      <c r="GC125" s="15"/>
      <c r="GD125" s="15"/>
      <c r="GE125" s="15"/>
      <c r="GF125" s="15"/>
      <c r="GG125" s="15"/>
      <c r="GH125" s="15"/>
      <c r="GI125" s="15"/>
      <c r="GJ125" s="15" t="n">
        <v>0</v>
      </c>
      <c r="GK125" s="15" t="n">
        <v>0</v>
      </c>
      <c r="GL125" s="15"/>
      <c r="GM125" s="15"/>
      <c r="GN125" s="15"/>
      <c r="GO125" s="15"/>
      <c r="GP125" s="15"/>
      <c r="GQ125" s="15"/>
      <c r="GR125" s="15"/>
      <c r="GS125" s="15"/>
      <c r="GT125" s="15"/>
      <c r="GU125" s="15" t="n">
        <v>8.7</v>
      </c>
      <c r="GV125" s="15" t="n">
        <f aca="false">3.27*4+1.23+0.08+0.52*2</f>
        <v>15.43</v>
      </c>
      <c r="GW125" s="15" t="n">
        <v>0</v>
      </c>
      <c r="GX125" s="15" t="n">
        <v>0</v>
      </c>
      <c r="GY125" s="15" t="n">
        <v>0</v>
      </c>
      <c r="GZ125" s="15" t="n">
        <v>0</v>
      </c>
      <c r="HA125" s="15" t="n">
        <v>0</v>
      </c>
      <c r="HB125" s="15" t="n">
        <v>0</v>
      </c>
      <c r="HI125" s="15"/>
      <c r="HJ125" s="15"/>
      <c r="HQ125" s="15"/>
      <c r="HR125" s="15"/>
      <c r="HY125" s="15"/>
      <c r="HZ125" s="15"/>
      <c r="IG125" s="15"/>
      <c r="IH125" s="15"/>
      <c r="IO125" s="15"/>
      <c r="IP125" s="15"/>
      <c r="IW125" s="15"/>
      <c r="IX125" s="15"/>
      <c r="JE125" s="15"/>
      <c r="JF125" s="15"/>
      <c r="JM125" s="15"/>
      <c r="JN125" s="15"/>
      <c r="JU125" s="15"/>
      <c r="JV125" s="15"/>
      <c r="KC125" s="15"/>
      <c r="KD125" s="15"/>
      <c r="KK125" s="15"/>
      <c r="KL125" s="15"/>
      <c r="KS125" s="15"/>
      <c r="KT125" s="15"/>
      <c r="LA125" s="15"/>
      <c r="LB125" s="15"/>
      <c r="LI125" s="15"/>
      <c r="LJ125" s="15"/>
      <c r="LQ125" s="15"/>
      <c r="LR125" s="15"/>
      <c r="LY125" s="15"/>
      <c r="LZ125" s="15"/>
      <c r="MG125" s="15"/>
      <c r="MH125" s="15"/>
      <c r="MO125" s="15"/>
      <c r="MP125" s="15"/>
      <c r="MW125" s="15"/>
      <c r="MX125" s="15"/>
      <c r="NE125" s="15"/>
      <c r="NF125" s="15"/>
      <c r="NM125" s="15"/>
      <c r="NN125" s="15"/>
      <c r="NU125" s="15"/>
      <c r="NV125" s="15"/>
      <c r="OC125" s="15"/>
      <c r="OD125" s="15"/>
      <c r="OK125" s="15"/>
      <c r="OL125" s="15"/>
      <c r="OS125" s="15"/>
      <c r="OT125" s="15"/>
      <c r="PA125" s="15"/>
      <c r="PB125" s="15"/>
      <c r="PI125" s="15"/>
      <c r="PJ125" s="15"/>
      <c r="PQ125" s="15"/>
      <c r="PR125" s="15"/>
      <c r="PY125" s="15"/>
      <c r="PZ125" s="15"/>
      <c r="QG125" s="15"/>
      <c r="QH125" s="15"/>
      <c r="QO125" s="15"/>
      <c r="QP125" s="15"/>
      <c r="QW125" s="15"/>
      <c r="QX125" s="15"/>
      <c r="RE125" s="15"/>
      <c r="RF125" s="15"/>
      <c r="RM125" s="15"/>
      <c r="RN125" s="15"/>
      <c r="RU125" s="15"/>
      <c r="RV125" s="15"/>
      <c r="SC125" s="15"/>
      <c r="SD125" s="15"/>
      <c r="SK125" s="15"/>
      <c r="SL125" s="15"/>
      <c r="SS125" s="15"/>
      <c r="ST125" s="15"/>
      <c r="TA125" s="15"/>
      <c r="TB125" s="15"/>
      <c r="TI125" s="15"/>
      <c r="TJ125" s="15"/>
      <c r="TQ125" s="15"/>
      <c r="TR125" s="15"/>
      <c r="TY125" s="15"/>
      <c r="TZ125" s="15"/>
      <c r="UG125" s="15"/>
      <c r="UH125" s="15"/>
      <c r="UO125" s="15"/>
      <c r="UP125" s="15"/>
      <c r="UW125" s="15"/>
      <c r="UX125" s="15"/>
      <c r="VE125" s="15"/>
      <c r="VF125" s="15"/>
      <c r="VM125" s="15"/>
      <c r="VN125" s="15"/>
      <c r="VU125" s="15"/>
      <c r="VV125" s="15"/>
      <c r="WC125" s="15"/>
      <c r="WD125" s="15"/>
      <c r="WK125" s="15"/>
      <c r="WL125" s="15"/>
      <c r="WS125" s="15"/>
      <c r="WT125" s="15"/>
      <c r="XA125" s="15"/>
      <c r="XB125" s="15"/>
      <c r="XI125" s="15"/>
      <c r="XJ125" s="15"/>
      <c r="XQ125" s="15"/>
      <c r="XR125" s="15"/>
      <c r="XY125" s="15"/>
      <c r="XZ125" s="15"/>
      <c r="YG125" s="15"/>
      <c r="YH125" s="15"/>
      <c r="YO125" s="15"/>
      <c r="YP125" s="15"/>
      <c r="YW125" s="15"/>
      <c r="YX125" s="15"/>
      <c r="ZE125" s="15"/>
      <c r="ZF125" s="15"/>
      <c r="ZM125" s="15"/>
      <c r="ZN125" s="15"/>
      <c r="ZU125" s="15"/>
      <c r="ZV125" s="15"/>
      <c r="AAC125" s="15"/>
      <c r="AAD125" s="15"/>
      <c r="AAK125" s="15"/>
      <c r="AAL125" s="15"/>
      <c r="AAS125" s="15"/>
      <c r="AAT125" s="15"/>
      <c r="ABA125" s="15"/>
      <c r="ABB125" s="15"/>
      <c r="ABI125" s="15"/>
      <c r="ABJ125" s="15"/>
      <c r="ABQ125" s="15"/>
      <c r="ABR125" s="15"/>
      <c r="ABY125" s="15"/>
      <c r="ABZ125" s="15"/>
      <c r="ACG125" s="15"/>
      <c r="ACH125" s="15"/>
      <c r="ACO125" s="15"/>
      <c r="ACP125" s="15"/>
      <c r="ACW125" s="15"/>
      <c r="ACX125" s="15"/>
      <c r="ADE125" s="15"/>
      <c r="ADF125" s="15"/>
      <c r="ADM125" s="15"/>
      <c r="ADN125" s="15"/>
      <c r="ADU125" s="15"/>
      <c r="ADV125" s="15"/>
      <c r="AEC125" s="15"/>
      <c r="AED125" s="15"/>
      <c r="AEK125" s="15"/>
      <c r="AEL125" s="15"/>
      <c r="AES125" s="15"/>
      <c r="AET125" s="15"/>
      <c r="AFA125" s="15"/>
      <c r="AFB125" s="15"/>
      <c r="AFI125" s="15"/>
      <c r="AFJ125" s="15"/>
      <c r="AFQ125" s="15"/>
      <c r="AFR125" s="15"/>
      <c r="AFY125" s="15"/>
      <c r="AFZ125" s="15"/>
      <c r="AGG125" s="15"/>
      <c r="AGH125" s="15"/>
      <c r="AGO125" s="15"/>
      <c r="AGP125" s="15"/>
      <c r="AGW125" s="15"/>
      <c r="AGX125" s="15"/>
      <c r="AHE125" s="15"/>
      <c r="AHF125" s="15"/>
      <c r="AHM125" s="15"/>
      <c r="AHN125" s="15"/>
      <c r="AHU125" s="15"/>
      <c r="AHV125" s="15"/>
      <c r="AIC125" s="15"/>
      <c r="AID125" s="15"/>
      <c r="AIK125" s="15"/>
      <c r="AIL125" s="15"/>
      <c r="AIS125" s="15"/>
      <c r="AIT125" s="15"/>
      <c r="AJA125" s="15"/>
      <c r="AJB125" s="15"/>
      <c r="AJI125" s="15"/>
      <c r="AJJ125" s="15"/>
      <c r="AJQ125" s="15"/>
      <c r="AJR125" s="15"/>
      <c r="AJY125" s="15"/>
      <c r="AJZ125" s="15"/>
      <c r="AKG125" s="15"/>
      <c r="AKH125" s="15"/>
      <c r="AKO125" s="15"/>
      <c r="AKP125" s="15"/>
      <c r="AKW125" s="15"/>
      <c r="AKX125" s="15"/>
      <c r="ALE125" s="15"/>
      <c r="ALF125" s="15"/>
      <c r="ALM125" s="15"/>
      <c r="ALN125" s="15"/>
      <c r="ALU125" s="15"/>
      <c r="ALV125" s="15"/>
      <c r="AMC125" s="15"/>
      <c r="AMD125" s="15"/>
    </row>
    <row r="126" s="15" customFormat="true" ht="13.8" hidden="false" customHeight="false" outlineLevel="0" collapsed="false">
      <c r="A126" s="1" t="s">
        <v>562</v>
      </c>
      <c r="B126" s="12" t="n">
        <v>42893</v>
      </c>
      <c r="C126" s="0" t="n">
        <v>2</v>
      </c>
      <c r="D126" s="13" t="n">
        <v>34995</v>
      </c>
      <c r="E126" s="12" t="n">
        <v>26402</v>
      </c>
      <c r="F126" s="14" t="n">
        <f aca="false">(B126-E126)/365.25</f>
        <v>45.1498973305955</v>
      </c>
      <c r="G126" s="14" t="n">
        <f aca="false">(B126-D126)/365.25</f>
        <v>21.6235455167693</v>
      </c>
      <c r="H126" s="15" t="s">
        <v>183</v>
      </c>
      <c r="I126" s="15" t="s">
        <v>383</v>
      </c>
      <c r="J126" s="15" t="s">
        <v>183</v>
      </c>
      <c r="K126" s="21" t="n">
        <v>4</v>
      </c>
      <c r="L126" s="19" t="n">
        <v>100</v>
      </c>
      <c r="M126" s="0" t="n">
        <v>1.81</v>
      </c>
      <c r="N126" s="16" t="n">
        <f aca="false">L126/(M126*M126)</f>
        <v>30.5240987759836</v>
      </c>
      <c r="O126" s="19" t="n">
        <v>0</v>
      </c>
      <c r="P126" s="19" t="n">
        <v>0</v>
      </c>
      <c r="Q126" s="19" t="n">
        <v>0</v>
      </c>
      <c r="R126" s="19" t="n">
        <v>0</v>
      </c>
      <c r="S126" s="19" t="n">
        <v>0</v>
      </c>
      <c r="T126" s="19" t="n">
        <v>0</v>
      </c>
      <c r="U126" s="19" t="n">
        <v>0</v>
      </c>
      <c r="V126" s="19" t="n">
        <v>0</v>
      </c>
      <c r="W126" s="19" t="n">
        <v>1</v>
      </c>
      <c r="X126" s="19" t="n">
        <v>0</v>
      </c>
      <c r="Y126" s="19" t="n">
        <v>0</v>
      </c>
      <c r="Z126" s="19" t="n">
        <v>0</v>
      </c>
      <c r="AA126" s="19" t="n">
        <v>0</v>
      </c>
      <c r="AB126" s="19" t="n">
        <v>0</v>
      </c>
      <c r="AC126" s="19" t="n">
        <v>1</v>
      </c>
      <c r="AD126" s="19" t="n">
        <v>17</v>
      </c>
      <c r="AE126" s="19" t="n">
        <v>0</v>
      </c>
      <c r="AF126" s="19" t="n">
        <v>0</v>
      </c>
      <c r="AG126" s="19" t="n">
        <v>0</v>
      </c>
      <c r="AH126" s="19" t="n">
        <v>0</v>
      </c>
      <c r="AI126" s="19" t="n">
        <v>0</v>
      </c>
      <c r="AJ126" s="19" t="n">
        <v>0</v>
      </c>
      <c r="AK126" s="19" t="n">
        <v>0</v>
      </c>
      <c r="AL126" s="19" t="n">
        <v>0</v>
      </c>
      <c r="AM126" s="19" t="n">
        <v>0</v>
      </c>
      <c r="AN126" s="19" t="n">
        <v>0</v>
      </c>
      <c r="AO126" s="19" t="n">
        <v>0</v>
      </c>
      <c r="AP126" s="19" t="n">
        <v>0</v>
      </c>
      <c r="AQ126" s="19" t="n">
        <v>0</v>
      </c>
      <c r="AR126" s="19" t="n">
        <v>0</v>
      </c>
      <c r="AS126" s="19" t="n">
        <v>0</v>
      </c>
      <c r="AT126" s="19" t="n">
        <v>0</v>
      </c>
      <c r="AU126" s="19" t="n">
        <v>0</v>
      </c>
      <c r="AV126" s="19" t="n">
        <v>0</v>
      </c>
      <c r="AW126" s="19" t="n">
        <v>0</v>
      </c>
      <c r="AX126" s="19" t="n">
        <v>0</v>
      </c>
      <c r="AY126" s="19" t="n">
        <v>0</v>
      </c>
      <c r="AZ126" s="19" t="n">
        <v>0</v>
      </c>
      <c r="BA126" s="19" t="n">
        <v>0</v>
      </c>
      <c r="BB126" s="19" t="n">
        <v>1</v>
      </c>
      <c r="BC126" s="19" t="n">
        <v>1</v>
      </c>
      <c r="BD126" s="19" t="n">
        <v>1</v>
      </c>
      <c r="BE126" s="19" t="n">
        <v>3</v>
      </c>
      <c r="BF126" s="19" t="n">
        <v>0</v>
      </c>
      <c r="BG126" s="19" t="n">
        <v>0</v>
      </c>
      <c r="BH126" s="19" t="n">
        <v>0</v>
      </c>
      <c r="BI126" s="19" t="n">
        <v>0</v>
      </c>
      <c r="BJ126" s="19" t="n">
        <v>0</v>
      </c>
      <c r="BK126" s="19" t="n">
        <v>0</v>
      </c>
      <c r="BL126" s="19" t="n">
        <v>0</v>
      </c>
      <c r="BM126" s="19" t="n">
        <v>0</v>
      </c>
      <c r="BN126" s="19" t="n">
        <v>0</v>
      </c>
      <c r="BO126" s="19" t="n">
        <v>0</v>
      </c>
      <c r="BP126" s="19" t="n">
        <v>0</v>
      </c>
      <c r="BQ126" s="19" t="n">
        <v>0</v>
      </c>
      <c r="BR126" s="19" t="n">
        <v>4</v>
      </c>
      <c r="BS126" s="19" t="n">
        <v>4</v>
      </c>
      <c r="BT126" s="19" t="n">
        <v>4</v>
      </c>
      <c r="BU126" s="19" t="n">
        <v>3</v>
      </c>
      <c r="BV126" s="19" t="n">
        <v>2</v>
      </c>
      <c r="BW126" s="19" t="n">
        <v>2</v>
      </c>
      <c r="BX126" s="19" t="n">
        <v>2</v>
      </c>
      <c r="BY126" s="19" t="n">
        <v>2</v>
      </c>
      <c r="BZ126" s="19" t="n">
        <v>1</v>
      </c>
      <c r="CA126" s="19" t="n">
        <v>1</v>
      </c>
      <c r="CB126" s="19" t="n">
        <v>4</v>
      </c>
      <c r="CC126" s="19" t="n">
        <v>5</v>
      </c>
      <c r="CD126" s="19" t="n">
        <v>1</v>
      </c>
      <c r="CE126" s="19" t="n">
        <v>2</v>
      </c>
      <c r="CF126" s="19" t="n">
        <v>4</v>
      </c>
      <c r="CG126" s="19" t="n">
        <v>4</v>
      </c>
      <c r="CH126" s="19" t="n">
        <v>1</v>
      </c>
      <c r="CI126" s="19" t="n">
        <v>3</v>
      </c>
      <c r="CJ126" s="19" t="n">
        <v>4</v>
      </c>
      <c r="CK126" s="19" t="n">
        <v>9</v>
      </c>
      <c r="CL126" s="30" t="s">
        <v>384</v>
      </c>
      <c r="CM126" s="15" t="n">
        <v>28.5</v>
      </c>
      <c r="CN126" s="17" t="n">
        <v>69.3</v>
      </c>
      <c r="CO126" s="17" t="n">
        <v>114</v>
      </c>
      <c r="CP126" s="17" t="n">
        <v>19.5</v>
      </c>
      <c r="CQ126" s="17" t="n">
        <v>79.15</v>
      </c>
      <c r="CR126" s="17" t="n">
        <v>0</v>
      </c>
      <c r="CS126" s="17" t="n">
        <v>3.87</v>
      </c>
      <c r="CT126" s="17" t="n">
        <v>2.86</v>
      </c>
      <c r="CU126" s="17" t="n">
        <v>14.12</v>
      </c>
      <c r="CV126" s="17" t="n">
        <v>0</v>
      </c>
      <c r="CW126" s="17" t="n">
        <v>0</v>
      </c>
      <c r="CX126" s="17" t="n">
        <v>0</v>
      </c>
      <c r="CY126" s="17" t="n">
        <v>0</v>
      </c>
      <c r="CZ126" s="17" t="n">
        <v>0</v>
      </c>
      <c r="DA126" s="17" t="n">
        <v>0</v>
      </c>
      <c r="DB126" s="17" t="n">
        <v>0.82</v>
      </c>
      <c r="DC126" s="17" t="n">
        <v>11.71</v>
      </c>
      <c r="DD126" s="17" t="n">
        <v>15.43</v>
      </c>
      <c r="DE126" s="17" t="n">
        <v>4.91</v>
      </c>
      <c r="DF126" s="17" t="n">
        <v>0</v>
      </c>
      <c r="DG126" s="17" t="n">
        <v>0</v>
      </c>
      <c r="DH126" s="17" t="n">
        <v>0</v>
      </c>
      <c r="DI126" s="17" t="n">
        <v>0</v>
      </c>
      <c r="DJ126" s="17" t="n">
        <v>0</v>
      </c>
      <c r="DK126" s="17" t="n">
        <v>0</v>
      </c>
      <c r="DL126" s="17" t="n">
        <v>0</v>
      </c>
      <c r="DM126" s="17" t="n">
        <v>0</v>
      </c>
      <c r="DN126" s="17" t="n">
        <v>0</v>
      </c>
      <c r="DO126" s="17" t="n">
        <v>0</v>
      </c>
      <c r="DP126" s="17" t="n">
        <v>0</v>
      </c>
      <c r="DQ126" s="17" t="n">
        <v>0</v>
      </c>
      <c r="DR126" s="17" t="n">
        <v>0</v>
      </c>
      <c r="DS126" s="17" t="n">
        <v>0</v>
      </c>
      <c r="DT126" s="17" t="n">
        <v>0</v>
      </c>
      <c r="DU126" s="17" t="n">
        <v>0</v>
      </c>
      <c r="DV126" s="17" t="n">
        <v>0</v>
      </c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31"/>
      <c r="EH126" s="17"/>
      <c r="EK126" s="31"/>
      <c r="EO126" s="31"/>
      <c r="ES126" s="31"/>
      <c r="EW126" s="31"/>
      <c r="EY126" s="15" t="n">
        <v>0</v>
      </c>
      <c r="GJ126" s="15" t="n">
        <v>0</v>
      </c>
      <c r="GK126" s="15" t="n">
        <v>0</v>
      </c>
      <c r="GU126" s="15" t="n">
        <v>8.7</v>
      </c>
      <c r="GV126" s="15" t="n">
        <f aca="false">3.27*4+1.23+0.08+0.52*2</f>
        <v>15.43</v>
      </c>
      <c r="GW126" s="15" t="n">
        <v>0</v>
      </c>
      <c r="GX126" s="15" t="n">
        <v>0</v>
      </c>
      <c r="GY126" s="15" t="n">
        <v>0</v>
      </c>
      <c r="GZ126" s="15" t="n">
        <v>0</v>
      </c>
      <c r="HA126" s="15" t="n">
        <v>0</v>
      </c>
      <c r="HB126" s="15" t="n">
        <v>0</v>
      </c>
      <c r="HC126" s="15" t="s">
        <v>385</v>
      </c>
      <c r="HD126" s="15" t="n">
        <v>38.5</v>
      </c>
      <c r="HE126" s="17" t="n">
        <v>55</v>
      </c>
      <c r="HF126" s="17" t="n">
        <v>114</v>
      </c>
      <c r="HG126" s="17" t="n">
        <v>7.8</v>
      </c>
      <c r="HH126" s="17" t="n">
        <v>95.15</v>
      </c>
      <c r="HI126" s="17" t="n">
        <v>0</v>
      </c>
      <c r="HJ126" s="17" t="n">
        <v>3.78</v>
      </c>
      <c r="HK126" s="17" t="n">
        <v>0</v>
      </c>
      <c r="HL126" s="17" t="n">
        <v>1.07</v>
      </c>
      <c r="HM126" s="17" t="n">
        <v>0</v>
      </c>
      <c r="HN126" s="17" t="n">
        <v>0</v>
      </c>
      <c r="HO126" s="17" t="n">
        <v>0</v>
      </c>
      <c r="HP126" s="17" t="n">
        <v>0</v>
      </c>
      <c r="HQ126" s="17" t="n">
        <v>0</v>
      </c>
      <c r="HR126" s="17" t="n">
        <v>0</v>
      </c>
      <c r="HS126" s="17" t="n">
        <v>0</v>
      </c>
      <c r="HT126" s="17" t="n">
        <v>15.05</v>
      </c>
      <c r="HU126" s="17" t="n">
        <v>4.58</v>
      </c>
      <c r="HV126" s="17" t="n">
        <v>0.1</v>
      </c>
      <c r="HW126" s="17" t="n">
        <v>0</v>
      </c>
      <c r="HX126" s="17" t="n">
        <v>0</v>
      </c>
      <c r="HY126" s="17" t="n">
        <v>0</v>
      </c>
      <c r="IL126" s="15" t="n">
        <v>22.8</v>
      </c>
      <c r="IM126" s="15" t="n">
        <v>1</v>
      </c>
      <c r="IN126" s="15" t="n">
        <v>38</v>
      </c>
      <c r="IO126" s="15" t="n">
        <v>5</v>
      </c>
      <c r="IP126" s="15" t="n">
        <f aca="false">2.45+1.09</f>
        <v>3.54</v>
      </c>
      <c r="IQ126" s="15" t="n">
        <v>5</v>
      </c>
      <c r="IX126" s="31"/>
      <c r="JB126" s="31"/>
      <c r="JF126" s="31"/>
      <c r="JJ126" s="31"/>
      <c r="JN126" s="31"/>
      <c r="JP126" s="15" t="n">
        <v>0</v>
      </c>
      <c r="LA126" s="15" t="n">
        <v>0</v>
      </c>
      <c r="LB126" s="15" t="n">
        <v>0</v>
      </c>
      <c r="LL126" s="15" t="n">
        <v>7.84</v>
      </c>
      <c r="LM126" s="15" t="n">
        <f aca="false">2.45+1.09</f>
        <v>3.54</v>
      </c>
      <c r="LN126" s="15" t="n">
        <v>0</v>
      </c>
      <c r="LO126" s="15" t="n">
        <v>0</v>
      </c>
      <c r="LP126" s="15" t="n">
        <v>0</v>
      </c>
      <c r="LQ126" s="15" t="n">
        <v>0</v>
      </c>
      <c r="LR126" s="15" t="n">
        <v>0</v>
      </c>
      <c r="LS126" s="15" t="n">
        <v>0</v>
      </c>
      <c r="LT126" s="15" t="s">
        <v>386</v>
      </c>
      <c r="LU126" s="15" t="n">
        <v>38</v>
      </c>
      <c r="LV126" s="17" t="n">
        <v>48.8</v>
      </c>
      <c r="LW126" s="17" t="n">
        <v>114</v>
      </c>
      <c r="LX126" s="17" t="n">
        <v>7.2</v>
      </c>
      <c r="LY126" s="17" t="n">
        <v>96.13</v>
      </c>
      <c r="LZ126" s="17" t="n">
        <v>0</v>
      </c>
      <c r="MA126" s="17" t="n">
        <v>3.78</v>
      </c>
      <c r="MB126" s="17" t="n">
        <v>0</v>
      </c>
      <c r="MC126" s="17" t="n">
        <v>0.1</v>
      </c>
      <c r="MD126" s="17" t="n">
        <v>0</v>
      </c>
      <c r="ME126" s="17" t="n">
        <v>0</v>
      </c>
      <c r="MF126" s="17" t="n">
        <v>0</v>
      </c>
      <c r="MG126" s="17" t="n">
        <v>0</v>
      </c>
      <c r="MH126" s="17" t="n">
        <v>0</v>
      </c>
      <c r="MI126" s="17" t="n">
        <v>0</v>
      </c>
      <c r="MJ126" s="17" t="n">
        <v>0</v>
      </c>
      <c r="MK126" s="17" t="n">
        <v>12.85</v>
      </c>
      <c r="ML126" s="17" t="n">
        <v>4.58</v>
      </c>
      <c r="MM126" s="17" t="n">
        <v>0.1</v>
      </c>
      <c r="MN126" s="17" t="n">
        <v>0</v>
      </c>
      <c r="MO126" s="17" t="n">
        <v>0</v>
      </c>
      <c r="MP126" s="17" t="n">
        <v>0</v>
      </c>
      <c r="NC126" s="15" t="n">
        <v>22.8</v>
      </c>
      <c r="ND126" s="15" t="n">
        <v>1</v>
      </c>
      <c r="NE126" s="15" t="n">
        <v>38</v>
      </c>
      <c r="NF126" s="15" t="n">
        <v>5</v>
      </c>
      <c r="NG126" s="15" t="n">
        <f aca="false">2.45+1.09</f>
        <v>3.54</v>
      </c>
      <c r="NH126" s="15" t="n">
        <v>5</v>
      </c>
      <c r="NI126" s="15" t="n">
        <v>20</v>
      </c>
      <c r="NJ126" s="15" t="n">
        <v>4</v>
      </c>
      <c r="NK126" s="15" t="n">
        <v>0.29</v>
      </c>
      <c r="NL126" s="15" t="n">
        <v>2</v>
      </c>
      <c r="NO126" s="31"/>
      <c r="NS126" s="31"/>
      <c r="NW126" s="31"/>
      <c r="OA126" s="31"/>
      <c r="OE126" s="31"/>
      <c r="OG126" s="15" t="n">
        <v>0</v>
      </c>
      <c r="PR126" s="15" t="n">
        <v>0</v>
      </c>
      <c r="PS126" s="15" t="n">
        <v>0</v>
      </c>
      <c r="QC126" s="15" t="n">
        <v>7.84</v>
      </c>
      <c r="QD126" s="15" t="n">
        <f aca="false">2.45+1.09</f>
        <v>3.54</v>
      </c>
      <c r="QE126" s="15" t="n">
        <v>0</v>
      </c>
      <c r="QF126" s="15" t="n">
        <v>0</v>
      </c>
      <c r="QG126" s="15" t="n">
        <v>0</v>
      </c>
      <c r="QH126" s="15" t="n">
        <v>0</v>
      </c>
      <c r="QI126" s="15" t="n">
        <v>0</v>
      </c>
      <c r="QJ126" s="15" t="n">
        <v>0</v>
      </c>
      <c r="QK126" s="15" t="s">
        <v>387</v>
      </c>
      <c r="QL126" s="15" t="n">
        <v>64</v>
      </c>
      <c r="QM126" s="17" t="n">
        <v>70.6</v>
      </c>
      <c r="QN126" s="17" t="n">
        <v>114</v>
      </c>
      <c r="QO126" s="17" t="n">
        <v>14.9</v>
      </c>
      <c r="QP126" s="17" t="n">
        <v>88.29</v>
      </c>
      <c r="QQ126" s="17" t="n">
        <v>0</v>
      </c>
      <c r="QR126" s="17" t="n">
        <v>9.81</v>
      </c>
      <c r="QS126" s="17" t="n">
        <v>1.64</v>
      </c>
      <c r="QT126" s="17" t="n">
        <v>0.26</v>
      </c>
      <c r="QU126" s="17" t="n">
        <v>0</v>
      </c>
      <c r="QV126" s="17" t="n">
        <v>0</v>
      </c>
      <c r="QW126" s="17" t="n">
        <v>0</v>
      </c>
      <c r="QX126" s="17" t="n">
        <v>0</v>
      </c>
      <c r="QY126" s="17" t="n">
        <v>0</v>
      </c>
      <c r="QZ126" s="17" t="n">
        <v>0</v>
      </c>
      <c r="RA126" s="17" t="n">
        <v>0.55</v>
      </c>
      <c r="RB126" s="17" t="n">
        <v>22.64</v>
      </c>
      <c r="RC126" s="17" t="n">
        <v>2.58</v>
      </c>
      <c r="RD126" s="17" t="n">
        <v>0.13</v>
      </c>
      <c r="RE126" s="17" t="n">
        <v>0</v>
      </c>
      <c r="RF126" s="17" t="n">
        <v>0</v>
      </c>
      <c r="RG126" s="17" t="n">
        <v>0</v>
      </c>
      <c r="RT126" s="15" t="n">
        <v>40.4</v>
      </c>
      <c r="RU126" s="15" t="n">
        <v>1</v>
      </c>
      <c r="RV126" s="15" t="n">
        <v>38</v>
      </c>
      <c r="RW126" s="15" t="n">
        <v>9</v>
      </c>
      <c r="RX126" s="15" t="n">
        <v>5.52</v>
      </c>
      <c r="RY126" s="15" t="n">
        <v>5</v>
      </c>
      <c r="RZ126" s="15" t="n">
        <v>23</v>
      </c>
      <c r="SA126" s="15" t="n">
        <v>1</v>
      </c>
      <c r="SB126" s="15" t="n">
        <v>0.09</v>
      </c>
      <c r="SC126" s="15" t="n">
        <v>3</v>
      </c>
      <c r="SF126" s="31"/>
      <c r="SJ126" s="31"/>
      <c r="SN126" s="31"/>
      <c r="SR126" s="31"/>
      <c r="SV126" s="31"/>
      <c r="SX126" s="15" t="n">
        <v>0</v>
      </c>
      <c r="UI126" s="15" t="n">
        <v>0</v>
      </c>
      <c r="UJ126" s="15" t="n">
        <v>0</v>
      </c>
      <c r="UT126" s="15" t="n">
        <v>8.33</v>
      </c>
      <c r="UU126" s="15" t="n">
        <v>5.52</v>
      </c>
      <c r="UV126" s="15" t="n">
        <v>0</v>
      </c>
      <c r="UW126" s="15" t="n">
        <v>0</v>
      </c>
      <c r="UX126" s="15" t="n">
        <v>0</v>
      </c>
      <c r="UY126" s="15" t="n">
        <v>0</v>
      </c>
      <c r="UZ126" s="15" t="n">
        <v>0</v>
      </c>
      <c r="VA126" s="15" t="n">
        <v>0</v>
      </c>
      <c r="VB126" s="15" t="s">
        <v>388</v>
      </c>
      <c r="VC126" s="15" t="n">
        <v>64</v>
      </c>
      <c r="VD126" s="17" t="n">
        <v>79.5</v>
      </c>
      <c r="VE126" s="17" t="n">
        <v>114</v>
      </c>
      <c r="VF126" s="17" t="n">
        <v>15</v>
      </c>
      <c r="VG126" s="17" t="n">
        <v>88.29</v>
      </c>
      <c r="VH126" s="17" t="n">
        <v>0</v>
      </c>
      <c r="VI126" s="17" t="n">
        <v>9.81</v>
      </c>
      <c r="VJ126" s="17" t="n">
        <v>1.64</v>
      </c>
      <c r="VK126" s="17" t="n">
        <v>0.26</v>
      </c>
      <c r="VL126" s="17" t="n">
        <v>0</v>
      </c>
      <c r="VM126" s="17" t="n">
        <v>0</v>
      </c>
      <c r="VN126" s="17" t="n">
        <v>0</v>
      </c>
      <c r="VO126" s="17" t="n">
        <v>0</v>
      </c>
      <c r="VP126" s="17" t="n">
        <v>0</v>
      </c>
      <c r="VQ126" s="17" t="n">
        <v>0</v>
      </c>
      <c r="VR126" s="17" t="n">
        <v>0.55</v>
      </c>
      <c r="VS126" s="17" t="n">
        <v>24</v>
      </c>
      <c r="VT126" s="17" t="n">
        <v>4.31</v>
      </c>
      <c r="VU126" s="17" t="n">
        <v>0.82</v>
      </c>
      <c r="VV126" s="17" t="n">
        <v>0</v>
      </c>
      <c r="VW126" s="17" t="n">
        <v>0</v>
      </c>
      <c r="VX126" s="17" t="n">
        <v>0</v>
      </c>
      <c r="VY126" s="17"/>
      <c r="WK126" s="15" t="n">
        <v>40.4</v>
      </c>
      <c r="WL126" s="15" t="n">
        <v>1</v>
      </c>
      <c r="WM126" s="15" t="n">
        <v>38</v>
      </c>
      <c r="WN126" s="15" t="n">
        <v>9</v>
      </c>
      <c r="WO126" s="15" t="n">
        <v>5.52</v>
      </c>
      <c r="WP126" s="15" t="n">
        <v>5</v>
      </c>
      <c r="WQ126" s="15" t="n">
        <v>23</v>
      </c>
      <c r="WR126" s="15" t="n">
        <v>1</v>
      </c>
      <c r="WS126" s="15" t="n">
        <v>0.09</v>
      </c>
      <c r="WT126" s="15" t="n">
        <v>3</v>
      </c>
      <c r="WW126" s="31"/>
      <c r="XA126" s="31"/>
      <c r="XE126" s="31"/>
      <c r="XI126" s="31"/>
      <c r="XM126" s="31"/>
      <c r="XO126" s="15" t="n">
        <v>0</v>
      </c>
      <c r="YZ126" s="15" t="n">
        <v>0</v>
      </c>
      <c r="ZA126" s="15" t="n">
        <v>0</v>
      </c>
      <c r="ZK126" s="15" t="n">
        <v>8.33</v>
      </c>
      <c r="ZL126" s="15" t="n">
        <v>5.52</v>
      </c>
      <c r="ZM126" s="15" t="n">
        <v>0</v>
      </c>
      <c r="ZN126" s="15" t="n">
        <v>0</v>
      </c>
      <c r="ZO126" s="15" t="n">
        <v>0</v>
      </c>
      <c r="ZP126" s="15" t="n">
        <v>0</v>
      </c>
      <c r="ZQ126" s="15" t="n">
        <v>0</v>
      </c>
      <c r="ZR126" s="15" t="n">
        <v>0</v>
      </c>
      <c r="ZS126" s="15" t="s">
        <v>563</v>
      </c>
      <c r="ZT126" s="15" t="n">
        <v>10</v>
      </c>
      <c r="ZU126" s="17" t="n">
        <v>46.2</v>
      </c>
      <c r="ZV126" s="17" t="n">
        <v>114</v>
      </c>
      <c r="ZW126" s="17" t="n">
        <v>6.3</v>
      </c>
      <c r="ZX126" s="17" t="n">
        <v>0</v>
      </c>
      <c r="ZY126" s="17" t="n">
        <v>0</v>
      </c>
      <c r="ZZ126" s="17" t="n">
        <v>1.91</v>
      </c>
      <c r="AAA126" s="17" t="n">
        <v>0</v>
      </c>
      <c r="AAB126" s="17" t="n">
        <v>1.91</v>
      </c>
      <c r="AAC126" s="17" t="n">
        <v>0</v>
      </c>
      <c r="AAD126" s="17" t="n">
        <v>0</v>
      </c>
      <c r="AAE126" s="17" t="n">
        <v>0</v>
      </c>
      <c r="AAF126" s="17" t="n">
        <v>0</v>
      </c>
      <c r="AAG126" s="17" t="n">
        <v>0</v>
      </c>
      <c r="AAH126" s="17" t="n">
        <v>0</v>
      </c>
      <c r="AAI126" s="17" t="n">
        <v>0</v>
      </c>
      <c r="AAJ126" s="17" t="n">
        <v>8.85</v>
      </c>
      <c r="AAK126" s="17" t="n">
        <v>4.36</v>
      </c>
      <c r="AAL126" s="17" t="n">
        <v>0</v>
      </c>
      <c r="AAM126" s="17" t="n">
        <v>0</v>
      </c>
      <c r="AAN126" s="17" t="n">
        <v>0</v>
      </c>
      <c r="ABB126" s="15" t="n">
        <v>0</v>
      </c>
      <c r="ABN126" s="31"/>
      <c r="ABR126" s="31"/>
      <c r="ABV126" s="31"/>
      <c r="ABZ126" s="31"/>
      <c r="ACD126" s="31"/>
      <c r="ACF126" s="15" t="n">
        <v>0</v>
      </c>
      <c r="AEB126" s="15" t="n">
        <v>3.41</v>
      </c>
      <c r="AEC126" s="15" t="n">
        <f aca="false">0.95*2+0.27*2</f>
        <v>2.44</v>
      </c>
      <c r="AED126" s="15" t="n">
        <v>0</v>
      </c>
      <c r="AEE126" s="15" t="n">
        <v>0</v>
      </c>
      <c r="AEF126" s="15" t="n">
        <v>0</v>
      </c>
      <c r="AEG126" s="15" t="n">
        <v>0</v>
      </c>
      <c r="AEH126" s="15" t="n">
        <v>0</v>
      </c>
      <c r="AEI126" s="15" t="n">
        <v>0</v>
      </c>
      <c r="AEJ126" s="0"/>
      <c r="AEM126" s="0"/>
      <c r="AEN126" s="0"/>
      <c r="AEO126" s="0"/>
      <c r="AEP126" s="0"/>
      <c r="AEQ126" s="0"/>
      <c r="AER126" s="0"/>
      <c r="AEU126" s="0"/>
      <c r="AEV126" s="0"/>
      <c r="AEW126" s="0"/>
      <c r="AEX126" s="0"/>
      <c r="AEY126" s="0"/>
      <c r="AEZ126" s="0"/>
      <c r="AFC126" s="0"/>
      <c r="AFD126" s="0"/>
      <c r="AFE126" s="0"/>
      <c r="AFF126" s="0"/>
      <c r="AFG126" s="0"/>
      <c r="AFH126" s="0"/>
      <c r="AFK126" s="0"/>
      <c r="AFL126" s="0"/>
      <c r="AFM126" s="0"/>
      <c r="AFN126" s="0"/>
      <c r="AFO126" s="0"/>
      <c r="AFP126" s="0"/>
      <c r="AFS126" s="0"/>
      <c r="AFT126" s="0"/>
      <c r="AFU126" s="0"/>
      <c r="AFV126" s="0"/>
      <c r="AFW126" s="0"/>
      <c r="AFX126" s="0"/>
      <c r="AGA126" s="0"/>
      <c r="AGB126" s="0"/>
      <c r="AGC126" s="0"/>
      <c r="AGD126" s="0"/>
      <c r="AGE126" s="0"/>
      <c r="AGF126" s="0"/>
      <c r="AGI126" s="0"/>
      <c r="AGJ126" s="0"/>
      <c r="AGK126" s="0"/>
      <c r="AGL126" s="0"/>
      <c r="AGM126" s="0"/>
      <c r="AGN126" s="0"/>
      <c r="AGQ126" s="0"/>
      <c r="AGR126" s="0"/>
      <c r="AGS126" s="0"/>
      <c r="AGT126" s="0"/>
      <c r="AGU126" s="0"/>
      <c r="AGV126" s="0"/>
      <c r="AGY126" s="0"/>
      <c r="AGZ126" s="0"/>
      <c r="AHA126" s="0"/>
      <c r="AHB126" s="0"/>
      <c r="AHC126" s="0"/>
      <c r="AHD126" s="0"/>
      <c r="AHG126" s="0"/>
      <c r="AHH126" s="0"/>
      <c r="AHI126" s="0"/>
      <c r="AHJ126" s="0"/>
      <c r="AHK126" s="0"/>
      <c r="AHL126" s="0"/>
      <c r="AHO126" s="0"/>
      <c r="AHP126" s="0"/>
      <c r="AHQ126" s="0"/>
      <c r="AHR126" s="0"/>
      <c r="AHS126" s="0"/>
      <c r="AHT126" s="0"/>
      <c r="AHW126" s="0"/>
      <c r="AHX126" s="0"/>
      <c r="AHY126" s="0"/>
      <c r="AHZ126" s="0"/>
      <c r="AIA126" s="0"/>
      <c r="AIB126" s="0"/>
      <c r="AIE126" s="0"/>
      <c r="AIF126" s="0"/>
      <c r="AIG126" s="0"/>
      <c r="AIH126" s="0"/>
      <c r="AII126" s="0"/>
      <c r="AIJ126" s="0"/>
      <c r="AIM126" s="0"/>
      <c r="AIN126" s="0"/>
      <c r="AIO126" s="0"/>
      <c r="AIP126" s="0"/>
      <c r="AIQ126" s="0"/>
      <c r="AIR126" s="0"/>
      <c r="AIU126" s="0"/>
      <c r="AIV126" s="0"/>
      <c r="AIW126" s="0"/>
      <c r="AIX126" s="0"/>
      <c r="AIY126" s="0"/>
      <c r="AIZ126" s="0"/>
      <c r="AJC126" s="0"/>
      <c r="AJD126" s="0"/>
      <c r="AJE126" s="0"/>
      <c r="AJF126" s="0"/>
      <c r="AJG126" s="0"/>
      <c r="AJH126" s="0"/>
      <c r="AJK126" s="0"/>
      <c r="AJL126" s="0"/>
      <c r="AJM126" s="0"/>
      <c r="AJN126" s="0"/>
      <c r="AJO126" s="0"/>
      <c r="AJP126" s="0"/>
      <c r="AJS126" s="0"/>
      <c r="AJT126" s="0"/>
      <c r="AJU126" s="0"/>
      <c r="AJV126" s="0"/>
      <c r="AJW126" s="0"/>
      <c r="AJX126" s="0"/>
      <c r="AKA126" s="0"/>
      <c r="AKB126" s="0"/>
      <c r="AKC126" s="0"/>
      <c r="AKD126" s="0"/>
      <c r="AKE126" s="0"/>
      <c r="AKF126" s="0"/>
      <c r="AKI126" s="0"/>
      <c r="AKJ126" s="0"/>
      <c r="AKK126" s="0"/>
      <c r="AKL126" s="0"/>
      <c r="AKM126" s="0"/>
      <c r="AKN126" s="0"/>
      <c r="AKQ126" s="0"/>
      <c r="AKR126" s="0"/>
      <c r="AKS126" s="0"/>
      <c r="AKT126" s="0"/>
      <c r="AKU126" s="0"/>
      <c r="AKV126" s="0"/>
      <c r="AKY126" s="0"/>
      <c r="AKZ126" s="0"/>
      <c r="ALA126" s="0"/>
      <c r="ALB126" s="0"/>
      <c r="ALC126" s="0"/>
      <c r="ALD126" s="0"/>
      <c r="ALG126" s="0"/>
      <c r="ALH126" s="0"/>
      <c r="ALI126" s="0"/>
      <c r="ALJ126" s="0"/>
      <c r="ALK126" s="0"/>
      <c r="ALL126" s="0"/>
      <c r="ALO126" s="0"/>
      <c r="ALP126" s="0"/>
      <c r="ALQ126" s="0"/>
      <c r="ALR126" s="0"/>
      <c r="ALS126" s="0"/>
      <c r="ALT126" s="0"/>
      <c r="ALW126" s="0"/>
      <c r="ALX126" s="0"/>
      <c r="ALY126" s="0"/>
      <c r="ALZ126" s="0"/>
      <c r="AMA126" s="0"/>
      <c r="AMB126" s="0"/>
      <c r="AME126" s="0"/>
      <c r="AMF126" s="0"/>
      <c r="AMG126" s="0"/>
      <c r="AMH126" s="0"/>
      <c r="AMI126" s="0"/>
      <c r="AMJ126" s="0"/>
    </row>
    <row r="127" customFormat="false" ht="13.8" hidden="false" customHeight="false" outlineLevel="0" collapsed="false">
      <c r="A127" s="1" t="s">
        <v>564</v>
      </c>
      <c r="B127" s="12" t="n">
        <v>42893</v>
      </c>
      <c r="C127" s="0" t="n">
        <v>2</v>
      </c>
      <c r="D127" s="13" t="n">
        <v>34547</v>
      </c>
      <c r="E127" s="12" t="n">
        <v>24618</v>
      </c>
      <c r="F127" s="14" t="n">
        <f aca="false">(B127-E127)/365.25</f>
        <v>50.0342231348392</v>
      </c>
      <c r="G127" s="14" t="n">
        <f aca="false">(B127-D127)/365.25</f>
        <v>22.8501026694045</v>
      </c>
      <c r="H127" s="15" t="s">
        <v>183</v>
      </c>
      <c r="I127" s="15" t="s">
        <v>383</v>
      </c>
      <c r="J127" s="15" t="s">
        <v>183</v>
      </c>
      <c r="K127" s="21" t="n">
        <v>4</v>
      </c>
      <c r="L127" s="19" t="n">
        <v>80</v>
      </c>
      <c r="M127" s="0" t="n">
        <v>1.75</v>
      </c>
      <c r="N127" s="16" t="n">
        <f aca="false">L127/(M127*M127)</f>
        <v>26.1224489795918</v>
      </c>
      <c r="O127" s="19" t="n">
        <v>0</v>
      </c>
      <c r="P127" s="19" t="n">
        <v>0</v>
      </c>
      <c r="Q127" s="19" t="n">
        <v>0</v>
      </c>
      <c r="R127" s="19" t="n">
        <v>0</v>
      </c>
      <c r="S127" s="19" t="n">
        <v>0</v>
      </c>
      <c r="T127" s="19" t="n">
        <v>0</v>
      </c>
      <c r="U127" s="19" t="n">
        <v>0</v>
      </c>
      <c r="V127" s="19" t="n">
        <v>0</v>
      </c>
      <c r="W127" s="19" t="n">
        <v>1</v>
      </c>
      <c r="X127" s="19" t="n">
        <v>1</v>
      </c>
      <c r="Y127" s="19" t="n">
        <v>0</v>
      </c>
      <c r="Z127" s="19" t="n">
        <v>0</v>
      </c>
      <c r="AA127" s="19" t="n">
        <v>0</v>
      </c>
      <c r="AB127" s="19" t="n">
        <v>0</v>
      </c>
      <c r="AC127" s="19" t="n">
        <v>1</v>
      </c>
      <c r="AD127" s="19" t="n">
        <v>7</v>
      </c>
      <c r="AE127" s="19" t="n">
        <v>1</v>
      </c>
      <c r="AF127" s="19" t="n">
        <v>1</v>
      </c>
      <c r="AG127" s="19" t="n">
        <v>0</v>
      </c>
      <c r="AH127" s="19" t="n">
        <v>0</v>
      </c>
      <c r="AI127" s="19" t="n">
        <v>3</v>
      </c>
      <c r="AJ127" s="19" t="n">
        <v>3</v>
      </c>
      <c r="AK127" s="19" t="n">
        <v>1</v>
      </c>
      <c r="AL127" s="19" t="n">
        <v>7</v>
      </c>
      <c r="AM127" s="19" t="n">
        <v>0</v>
      </c>
      <c r="AN127" s="19" t="n">
        <v>0</v>
      </c>
      <c r="AO127" s="19" t="n">
        <v>0</v>
      </c>
      <c r="AP127" s="19" t="n">
        <v>0</v>
      </c>
      <c r="AQ127" s="19" t="n">
        <v>0</v>
      </c>
      <c r="AR127" s="19" t="n">
        <v>0</v>
      </c>
      <c r="AS127" s="19" t="n">
        <v>3</v>
      </c>
      <c r="AT127" s="19" t="n">
        <v>3</v>
      </c>
      <c r="AU127" s="19" t="n">
        <v>3</v>
      </c>
      <c r="AV127" s="19" t="n">
        <v>9</v>
      </c>
      <c r="AW127" s="19" t="n">
        <v>7</v>
      </c>
      <c r="AX127" s="19" t="n">
        <v>0</v>
      </c>
      <c r="AY127" s="19" t="n">
        <v>0</v>
      </c>
      <c r="AZ127" s="19" t="n">
        <v>0</v>
      </c>
      <c r="BA127" s="19" t="n">
        <v>0</v>
      </c>
      <c r="BB127" s="19" t="n">
        <v>1</v>
      </c>
      <c r="BC127" s="19" t="n">
        <v>1</v>
      </c>
      <c r="BD127" s="19" t="n">
        <v>0</v>
      </c>
      <c r="BE127" s="19" t="n">
        <v>0</v>
      </c>
      <c r="BF127" s="19" t="n">
        <v>0</v>
      </c>
      <c r="BG127" s="19" t="n">
        <v>0</v>
      </c>
      <c r="BH127" s="19" t="n">
        <v>0</v>
      </c>
      <c r="BI127" s="19" t="n">
        <v>0</v>
      </c>
      <c r="BJ127" s="19" t="n">
        <v>1</v>
      </c>
      <c r="BK127" s="19" t="n">
        <v>1</v>
      </c>
      <c r="BL127" s="19" t="n">
        <v>1</v>
      </c>
      <c r="BM127" s="19" t="n">
        <v>7</v>
      </c>
      <c r="BN127" s="19" t="n">
        <v>1</v>
      </c>
      <c r="BO127" s="19" t="n">
        <v>1</v>
      </c>
      <c r="BP127" s="19" t="n">
        <v>1</v>
      </c>
      <c r="BQ127" s="19" t="n">
        <v>7</v>
      </c>
      <c r="BR127" s="19" t="n">
        <v>4</v>
      </c>
      <c r="BS127" s="19" t="n">
        <v>3</v>
      </c>
      <c r="BT127" s="19" t="n">
        <v>5</v>
      </c>
      <c r="BU127" s="19" t="n">
        <v>4</v>
      </c>
      <c r="BV127" s="19" t="n">
        <v>3</v>
      </c>
      <c r="BW127" s="19" t="n">
        <v>3</v>
      </c>
      <c r="BX127" s="19" t="n">
        <v>3</v>
      </c>
      <c r="BY127" s="19" t="n">
        <v>3</v>
      </c>
      <c r="BZ127" s="19" t="n">
        <v>1</v>
      </c>
      <c r="CA127" s="19" t="n">
        <v>1</v>
      </c>
      <c r="CB127" s="19" t="n">
        <v>3</v>
      </c>
      <c r="CC127" s="19" t="n">
        <v>5</v>
      </c>
      <c r="CD127" s="19" t="n">
        <v>1</v>
      </c>
      <c r="CE127" s="19" t="n">
        <v>1</v>
      </c>
      <c r="CF127" s="19" t="n">
        <v>4</v>
      </c>
      <c r="CG127" s="19" t="n">
        <v>4</v>
      </c>
      <c r="CH127" s="19" t="n">
        <v>2</v>
      </c>
      <c r="CI127" s="19" t="n">
        <v>4</v>
      </c>
      <c r="CJ127" s="19" t="n">
        <v>1</v>
      </c>
      <c r="CK127" s="19" t="n">
        <v>5</v>
      </c>
      <c r="CL127" s="30" t="s">
        <v>384</v>
      </c>
      <c r="CM127" s="15" t="n">
        <v>28.5</v>
      </c>
      <c r="CN127" s="17" t="n">
        <v>69.3</v>
      </c>
      <c r="CO127" s="17" t="n">
        <v>114</v>
      </c>
      <c r="CP127" s="17" t="n">
        <v>19.5</v>
      </c>
      <c r="CQ127" s="17" t="n">
        <v>79.15</v>
      </c>
      <c r="CR127" s="17" t="n">
        <v>0</v>
      </c>
      <c r="CS127" s="17" t="n">
        <v>3.87</v>
      </c>
      <c r="CT127" s="17" t="n">
        <v>2.86</v>
      </c>
      <c r="CU127" s="17" t="n">
        <v>14.12</v>
      </c>
      <c r="CV127" s="17" t="n">
        <v>0</v>
      </c>
      <c r="CW127" s="17" t="n">
        <v>0</v>
      </c>
      <c r="CX127" s="17" t="n">
        <v>0</v>
      </c>
      <c r="CY127" s="17" t="n">
        <v>0</v>
      </c>
      <c r="CZ127" s="17" t="n">
        <v>0</v>
      </c>
      <c r="DA127" s="17" t="n">
        <v>0</v>
      </c>
      <c r="DB127" s="17" t="n">
        <v>0.82</v>
      </c>
      <c r="DC127" s="17" t="n">
        <v>11.71</v>
      </c>
      <c r="DD127" s="17" t="n">
        <v>15.43</v>
      </c>
      <c r="DE127" s="17" t="n">
        <v>4.91</v>
      </c>
      <c r="DF127" s="17" t="n">
        <v>0</v>
      </c>
      <c r="DG127" s="17" t="n">
        <v>0</v>
      </c>
      <c r="DH127" s="17" t="n">
        <v>0</v>
      </c>
      <c r="DI127" s="17" t="n">
        <v>0</v>
      </c>
      <c r="DJ127" s="17" t="n">
        <v>0</v>
      </c>
      <c r="DK127" s="17" t="n">
        <v>0</v>
      </c>
      <c r="DL127" s="17" t="n">
        <v>0</v>
      </c>
      <c r="DM127" s="17" t="n">
        <v>0</v>
      </c>
      <c r="DN127" s="17" t="n">
        <v>0</v>
      </c>
      <c r="DO127" s="17" t="n">
        <v>0</v>
      </c>
      <c r="DP127" s="17" t="n">
        <v>0</v>
      </c>
      <c r="DQ127" s="17" t="n">
        <v>0</v>
      </c>
      <c r="DR127" s="17" t="n">
        <v>0</v>
      </c>
      <c r="DS127" s="17" t="n">
        <v>0</v>
      </c>
      <c r="DT127" s="17" t="n">
        <v>0</v>
      </c>
      <c r="DU127" s="17" t="n">
        <v>0</v>
      </c>
      <c r="DV127" s="17" t="n">
        <v>0</v>
      </c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31"/>
      <c r="EH127" s="17"/>
      <c r="EK127" s="31"/>
      <c r="EO127" s="31"/>
      <c r="ES127" s="31"/>
      <c r="EW127" s="31"/>
      <c r="EY127" s="15" t="n">
        <v>0</v>
      </c>
      <c r="GJ127" s="15" t="n">
        <v>0</v>
      </c>
      <c r="GK127" s="15" t="n">
        <v>0</v>
      </c>
      <c r="GU127" s="15" t="n">
        <v>8.7</v>
      </c>
      <c r="GV127" s="15" t="n">
        <f aca="false">3.27*4+1.23+0.08+0.52*2</f>
        <v>15.43</v>
      </c>
      <c r="GW127" s="15" t="n">
        <v>0</v>
      </c>
      <c r="GX127" s="15" t="n">
        <v>0</v>
      </c>
      <c r="GY127" s="15" t="n">
        <v>0</v>
      </c>
      <c r="GZ127" s="15" t="n">
        <v>0</v>
      </c>
      <c r="HA127" s="15" t="n">
        <v>0</v>
      </c>
      <c r="HB127" s="15" t="n">
        <v>0</v>
      </c>
      <c r="HC127" s="15" t="s">
        <v>385</v>
      </c>
      <c r="HD127" s="15" t="n">
        <v>38.5</v>
      </c>
      <c r="HE127" s="17" t="n">
        <v>55</v>
      </c>
      <c r="HF127" s="17" t="n">
        <v>114</v>
      </c>
      <c r="HG127" s="17" t="n">
        <v>7.8</v>
      </c>
      <c r="HH127" s="17" t="n">
        <v>95.15</v>
      </c>
      <c r="HI127" s="17" t="n">
        <v>0</v>
      </c>
      <c r="HJ127" s="17" t="n">
        <v>3.78</v>
      </c>
      <c r="HK127" s="17" t="n">
        <v>0</v>
      </c>
      <c r="HL127" s="17" t="n">
        <v>1.07</v>
      </c>
      <c r="HM127" s="17" t="n">
        <v>0</v>
      </c>
      <c r="HN127" s="17" t="n">
        <v>0</v>
      </c>
      <c r="HO127" s="17" t="n">
        <v>0</v>
      </c>
      <c r="HP127" s="17" t="n">
        <v>0</v>
      </c>
      <c r="HQ127" s="17" t="n">
        <v>0</v>
      </c>
      <c r="HR127" s="17" t="n">
        <v>0</v>
      </c>
      <c r="HS127" s="17" t="n">
        <v>0</v>
      </c>
      <c r="HT127" s="17" t="n">
        <v>15.05</v>
      </c>
      <c r="HU127" s="17" t="n">
        <v>4.58</v>
      </c>
      <c r="HV127" s="17" t="n">
        <v>0.1</v>
      </c>
      <c r="HW127" s="17" t="n">
        <v>0</v>
      </c>
      <c r="HX127" s="17" t="n">
        <v>0</v>
      </c>
      <c r="HY127" s="17" t="n">
        <v>0</v>
      </c>
      <c r="IL127" s="15" t="n">
        <v>22.8</v>
      </c>
      <c r="IM127" s="15" t="n">
        <v>1</v>
      </c>
      <c r="IN127" s="15" t="n">
        <v>38</v>
      </c>
      <c r="IO127" s="15" t="n">
        <v>5</v>
      </c>
      <c r="IP127" s="15" t="n">
        <f aca="false">2.45+1.09</f>
        <v>3.54</v>
      </c>
      <c r="IQ127" s="15" t="n">
        <v>5</v>
      </c>
      <c r="IX127" s="31"/>
      <c r="JB127" s="31"/>
      <c r="JF127" s="31"/>
      <c r="JJ127" s="31"/>
      <c r="JN127" s="31"/>
      <c r="JP127" s="15" t="n">
        <v>0</v>
      </c>
      <c r="LA127" s="15" t="n">
        <v>0</v>
      </c>
      <c r="LB127" s="15" t="n">
        <v>0</v>
      </c>
      <c r="LL127" s="15" t="n">
        <v>7.84</v>
      </c>
      <c r="LM127" s="15" t="n">
        <f aca="false">2.45+1.09</f>
        <v>3.54</v>
      </c>
      <c r="LN127" s="15" t="n">
        <v>0</v>
      </c>
      <c r="LO127" s="15" t="n">
        <v>0</v>
      </c>
      <c r="LP127" s="15" t="n">
        <v>0</v>
      </c>
      <c r="LQ127" s="15" t="n">
        <v>0</v>
      </c>
      <c r="LR127" s="15" t="n">
        <v>0</v>
      </c>
      <c r="LS127" s="15" t="n">
        <v>0</v>
      </c>
      <c r="LT127" s="15" t="s">
        <v>386</v>
      </c>
      <c r="LU127" s="15" t="n">
        <v>38</v>
      </c>
      <c r="LV127" s="17" t="n">
        <v>48.8</v>
      </c>
      <c r="LW127" s="17" t="n">
        <v>114</v>
      </c>
      <c r="LX127" s="17" t="n">
        <v>7.2</v>
      </c>
      <c r="LY127" s="17" t="n">
        <v>96.13</v>
      </c>
      <c r="LZ127" s="17" t="n">
        <v>0</v>
      </c>
      <c r="MA127" s="17" t="n">
        <v>3.78</v>
      </c>
      <c r="MB127" s="17" t="n">
        <v>0</v>
      </c>
      <c r="MC127" s="17" t="n">
        <v>0.1</v>
      </c>
      <c r="MD127" s="17" t="n">
        <v>0</v>
      </c>
      <c r="ME127" s="17" t="n">
        <v>0</v>
      </c>
      <c r="MF127" s="17" t="n">
        <v>0</v>
      </c>
      <c r="MG127" s="17" t="n">
        <v>0</v>
      </c>
      <c r="MH127" s="17" t="n">
        <v>0</v>
      </c>
      <c r="MI127" s="17" t="n">
        <v>0</v>
      </c>
      <c r="MJ127" s="17" t="n">
        <v>0</v>
      </c>
      <c r="MK127" s="17" t="n">
        <v>12.85</v>
      </c>
      <c r="ML127" s="17" t="n">
        <v>4.58</v>
      </c>
      <c r="MM127" s="17" t="n">
        <v>0.1</v>
      </c>
      <c r="MN127" s="17" t="n">
        <v>0</v>
      </c>
      <c r="MO127" s="17" t="n">
        <v>0</v>
      </c>
      <c r="MP127" s="17" t="n">
        <v>0</v>
      </c>
      <c r="NC127" s="15" t="n">
        <v>22.8</v>
      </c>
      <c r="ND127" s="15" t="n">
        <v>1</v>
      </c>
      <c r="NE127" s="15" t="n">
        <v>38</v>
      </c>
      <c r="NF127" s="15" t="n">
        <v>5</v>
      </c>
      <c r="NG127" s="15" t="n">
        <f aca="false">2.45+1.09</f>
        <v>3.54</v>
      </c>
      <c r="NH127" s="15" t="n">
        <v>5</v>
      </c>
      <c r="NI127" s="15" t="n">
        <v>20</v>
      </c>
      <c r="NJ127" s="15" t="n">
        <v>4</v>
      </c>
      <c r="NK127" s="15" t="n">
        <v>0.29</v>
      </c>
      <c r="NL127" s="15" t="n">
        <v>2</v>
      </c>
      <c r="NO127" s="31"/>
      <c r="NS127" s="31"/>
      <c r="NW127" s="31"/>
      <c r="OA127" s="31"/>
      <c r="OE127" s="31"/>
      <c r="OG127" s="15" t="n">
        <v>0</v>
      </c>
      <c r="PR127" s="15" t="n">
        <v>0</v>
      </c>
      <c r="PS127" s="15" t="n">
        <v>0</v>
      </c>
      <c r="QC127" s="15" t="n">
        <v>7.84</v>
      </c>
      <c r="QD127" s="15" t="n">
        <f aca="false">2.45+1.09</f>
        <v>3.54</v>
      </c>
      <c r="QE127" s="15" t="n">
        <v>0</v>
      </c>
      <c r="QF127" s="15" t="n">
        <v>0</v>
      </c>
      <c r="QG127" s="15" t="n">
        <v>0</v>
      </c>
      <c r="QH127" s="15" t="n">
        <v>0</v>
      </c>
      <c r="QI127" s="15" t="n">
        <v>0</v>
      </c>
      <c r="QJ127" s="15" t="n">
        <v>0</v>
      </c>
      <c r="QK127" s="15" t="s">
        <v>387</v>
      </c>
      <c r="QL127" s="15" t="n">
        <v>64</v>
      </c>
      <c r="QM127" s="17" t="n">
        <v>70.6</v>
      </c>
      <c r="QN127" s="17" t="n">
        <v>114</v>
      </c>
      <c r="QO127" s="17" t="n">
        <v>14.9</v>
      </c>
      <c r="QP127" s="17" t="n">
        <v>88.29</v>
      </c>
      <c r="QQ127" s="17" t="n">
        <v>0</v>
      </c>
      <c r="QR127" s="17" t="n">
        <v>9.81</v>
      </c>
      <c r="QS127" s="17" t="n">
        <v>1.64</v>
      </c>
      <c r="QT127" s="17" t="n">
        <v>0.26</v>
      </c>
      <c r="QU127" s="17" t="n">
        <v>0</v>
      </c>
      <c r="QV127" s="17" t="n">
        <v>0</v>
      </c>
      <c r="QW127" s="17" t="n">
        <v>0</v>
      </c>
      <c r="QX127" s="17" t="n">
        <v>0</v>
      </c>
      <c r="QY127" s="17" t="n">
        <v>0</v>
      </c>
      <c r="QZ127" s="17" t="n">
        <v>0</v>
      </c>
      <c r="RA127" s="17" t="n">
        <v>0.55</v>
      </c>
      <c r="RB127" s="17" t="n">
        <v>22.64</v>
      </c>
      <c r="RC127" s="17" t="n">
        <v>2.58</v>
      </c>
      <c r="RD127" s="17" t="n">
        <v>0.13</v>
      </c>
      <c r="RE127" s="17" t="n">
        <v>0</v>
      </c>
      <c r="RF127" s="17" t="n">
        <v>0</v>
      </c>
      <c r="RG127" s="17" t="n">
        <v>0</v>
      </c>
      <c r="RT127" s="15" t="n">
        <v>40.4</v>
      </c>
      <c r="RU127" s="15" t="n">
        <v>1</v>
      </c>
      <c r="RV127" s="15" t="n">
        <v>38</v>
      </c>
      <c r="RW127" s="15" t="n">
        <v>9</v>
      </c>
      <c r="RX127" s="15" t="n">
        <v>5.52</v>
      </c>
      <c r="RY127" s="15" t="n">
        <v>5</v>
      </c>
      <c r="RZ127" s="15" t="n">
        <v>23</v>
      </c>
      <c r="SA127" s="15" t="n">
        <v>1</v>
      </c>
      <c r="SB127" s="15" t="n">
        <v>0.09</v>
      </c>
      <c r="SC127" s="15" t="n">
        <v>3</v>
      </c>
      <c r="SF127" s="31"/>
      <c r="SJ127" s="31"/>
      <c r="SN127" s="31"/>
      <c r="SR127" s="31"/>
      <c r="SV127" s="31"/>
      <c r="SX127" s="15" t="n">
        <v>0</v>
      </c>
      <c r="UI127" s="15" t="n">
        <v>0</v>
      </c>
      <c r="UJ127" s="15" t="n">
        <v>0</v>
      </c>
      <c r="UT127" s="15" t="n">
        <v>8.33</v>
      </c>
      <c r="UU127" s="15" t="n">
        <v>5.52</v>
      </c>
      <c r="UV127" s="15" t="n">
        <v>0</v>
      </c>
      <c r="UW127" s="15" t="n">
        <v>0</v>
      </c>
      <c r="UX127" s="15" t="n">
        <v>0</v>
      </c>
      <c r="UY127" s="15" t="n">
        <v>0</v>
      </c>
      <c r="UZ127" s="15" t="n">
        <v>0</v>
      </c>
      <c r="VA127" s="15" t="n">
        <v>0</v>
      </c>
      <c r="VB127" s="15" t="s">
        <v>388</v>
      </c>
      <c r="VC127" s="15" t="n">
        <v>64</v>
      </c>
      <c r="VD127" s="17" t="n">
        <v>79.5</v>
      </c>
      <c r="VE127" s="17" t="n">
        <v>114</v>
      </c>
      <c r="VF127" s="17" t="n">
        <v>15</v>
      </c>
      <c r="VG127" s="17" t="n">
        <v>88.29</v>
      </c>
      <c r="VH127" s="17" t="n">
        <v>0</v>
      </c>
      <c r="VI127" s="17" t="n">
        <v>9.81</v>
      </c>
      <c r="VJ127" s="17" t="n">
        <v>1.64</v>
      </c>
      <c r="VK127" s="17" t="n">
        <v>0.26</v>
      </c>
      <c r="VL127" s="17" t="n">
        <v>0</v>
      </c>
      <c r="VM127" s="17" t="n">
        <v>0</v>
      </c>
      <c r="VN127" s="17" t="n">
        <v>0</v>
      </c>
      <c r="VO127" s="17" t="n">
        <v>0</v>
      </c>
      <c r="VP127" s="17" t="n">
        <v>0</v>
      </c>
      <c r="VQ127" s="17" t="n">
        <v>0</v>
      </c>
      <c r="VR127" s="17" t="n">
        <v>0.55</v>
      </c>
      <c r="VS127" s="17" t="n">
        <v>24</v>
      </c>
      <c r="VT127" s="17" t="n">
        <v>4.31</v>
      </c>
      <c r="VU127" s="17" t="n">
        <v>0.82</v>
      </c>
      <c r="VV127" s="17" t="n">
        <v>0</v>
      </c>
      <c r="VW127" s="17" t="n">
        <v>0</v>
      </c>
      <c r="VX127" s="17" t="n">
        <v>0</v>
      </c>
      <c r="VY127" s="17"/>
      <c r="WK127" s="15" t="n">
        <v>40.4</v>
      </c>
      <c r="WL127" s="15" t="n">
        <v>1</v>
      </c>
      <c r="WM127" s="15" t="n">
        <v>38</v>
      </c>
      <c r="WN127" s="15" t="n">
        <v>9</v>
      </c>
      <c r="WO127" s="15" t="n">
        <v>5.52</v>
      </c>
      <c r="WP127" s="15" t="n">
        <v>5</v>
      </c>
      <c r="WQ127" s="15" t="n">
        <v>23</v>
      </c>
      <c r="WR127" s="15" t="n">
        <v>1</v>
      </c>
      <c r="WS127" s="15" t="n">
        <v>0.09</v>
      </c>
      <c r="WT127" s="15" t="n">
        <v>3</v>
      </c>
      <c r="WW127" s="31"/>
      <c r="XA127" s="31"/>
      <c r="XE127" s="31"/>
      <c r="XI127" s="31"/>
      <c r="XM127" s="31"/>
      <c r="XO127" s="15" t="n">
        <v>0</v>
      </c>
      <c r="YZ127" s="15" t="n">
        <v>0</v>
      </c>
      <c r="ZA127" s="15" t="n">
        <v>0</v>
      </c>
      <c r="ZK127" s="15" t="n">
        <v>8.33</v>
      </c>
      <c r="ZL127" s="15" t="n">
        <v>5.52</v>
      </c>
      <c r="ZM127" s="15" t="n">
        <v>0</v>
      </c>
      <c r="ZN127" s="15" t="n">
        <v>0</v>
      </c>
      <c r="ZO127" s="15" t="n">
        <v>0</v>
      </c>
      <c r="ZP127" s="15" t="n">
        <v>0</v>
      </c>
      <c r="ZQ127" s="15" t="n">
        <v>0</v>
      </c>
      <c r="ZR127" s="15" t="n">
        <v>0</v>
      </c>
      <c r="ZS127" s="15" t="s">
        <v>389</v>
      </c>
      <c r="ZT127" s="15" t="n">
        <v>10</v>
      </c>
      <c r="ZU127" s="17" t="n">
        <v>46.2</v>
      </c>
      <c r="ZV127" s="17" t="n">
        <v>114</v>
      </c>
      <c r="ZW127" s="17" t="n">
        <v>6.3</v>
      </c>
      <c r="ZX127" s="17" t="n">
        <v>0</v>
      </c>
      <c r="ZY127" s="17" t="n">
        <v>0</v>
      </c>
      <c r="ZZ127" s="17" t="n">
        <v>1.91</v>
      </c>
      <c r="AAA127" s="17" t="n">
        <v>0</v>
      </c>
      <c r="AAB127" s="17" t="n">
        <v>1.91</v>
      </c>
      <c r="AAC127" s="17" t="n">
        <v>0</v>
      </c>
      <c r="AAD127" s="17" t="n">
        <v>0</v>
      </c>
      <c r="AAE127" s="17" t="n">
        <v>0</v>
      </c>
      <c r="AAF127" s="17" t="n">
        <v>0</v>
      </c>
      <c r="AAG127" s="17" t="n">
        <v>0</v>
      </c>
      <c r="AAH127" s="17" t="n">
        <v>0</v>
      </c>
      <c r="AAI127" s="17" t="n">
        <v>0</v>
      </c>
      <c r="AAJ127" s="17" t="n">
        <v>8.85</v>
      </c>
      <c r="AAK127" s="17" t="n">
        <v>4.36</v>
      </c>
      <c r="AAL127" s="17" t="n">
        <v>0</v>
      </c>
      <c r="AAM127" s="17" t="n">
        <v>0</v>
      </c>
      <c r="AAN127" s="17" t="n">
        <v>0</v>
      </c>
      <c r="ABB127" s="15" t="n">
        <v>0</v>
      </c>
      <c r="ABN127" s="31"/>
      <c r="ABR127" s="31"/>
      <c r="ABV127" s="31"/>
      <c r="ABZ127" s="31"/>
      <c r="ACD127" s="31"/>
      <c r="ACF127" s="15" t="n">
        <v>0</v>
      </c>
      <c r="AEB127" s="15" t="n">
        <v>3.41</v>
      </c>
      <c r="AEC127" s="15" t="n">
        <f aca="false">0.95*2+0.27*2</f>
        <v>2.44</v>
      </c>
      <c r="AED127" s="15" t="n">
        <v>0</v>
      </c>
      <c r="AEE127" s="15" t="n">
        <v>0</v>
      </c>
      <c r="AEF127" s="15" t="n">
        <v>0</v>
      </c>
      <c r="AEG127" s="15" t="n">
        <v>0</v>
      </c>
      <c r="AEH127" s="15" t="n">
        <v>0</v>
      </c>
      <c r="AEI127" s="15" t="n">
        <v>0</v>
      </c>
      <c r="AEK127" s="15"/>
      <c r="AEL127" s="15"/>
      <c r="AES127" s="15"/>
      <c r="AET127" s="15"/>
      <c r="AFA127" s="15"/>
      <c r="AFB127" s="15"/>
      <c r="AFI127" s="15"/>
      <c r="AFJ127" s="15"/>
      <c r="AFQ127" s="15"/>
      <c r="AFR127" s="15"/>
      <c r="AFY127" s="15"/>
      <c r="AFZ127" s="15"/>
      <c r="AGG127" s="15"/>
      <c r="AGH127" s="15"/>
      <c r="AGO127" s="15"/>
      <c r="AGP127" s="15"/>
      <c r="AGW127" s="15"/>
      <c r="AGX127" s="15"/>
      <c r="AHE127" s="15"/>
      <c r="AHF127" s="15"/>
      <c r="AHM127" s="15"/>
      <c r="AHN127" s="15"/>
      <c r="AHU127" s="15"/>
      <c r="AHV127" s="15"/>
      <c r="AIC127" s="15"/>
      <c r="AID127" s="15"/>
      <c r="AIK127" s="15"/>
      <c r="AIL127" s="15"/>
      <c r="AIS127" s="15"/>
      <c r="AIT127" s="15"/>
      <c r="AJA127" s="15"/>
      <c r="AJB127" s="15"/>
      <c r="AJI127" s="15"/>
      <c r="AJJ127" s="15"/>
      <c r="AJQ127" s="15"/>
      <c r="AJR127" s="15"/>
      <c r="AJY127" s="15"/>
      <c r="AJZ127" s="15"/>
      <c r="AKG127" s="15"/>
      <c r="AKH127" s="15"/>
      <c r="AKO127" s="15"/>
      <c r="AKP127" s="15"/>
      <c r="AKW127" s="15"/>
      <c r="AKX127" s="15"/>
      <c r="ALE127" s="15"/>
      <c r="ALF127" s="15"/>
      <c r="ALM127" s="15"/>
      <c r="ALN127" s="15"/>
      <c r="ALU127" s="15"/>
      <c r="ALV127" s="15"/>
      <c r="AMC127" s="15"/>
      <c r="AMD127" s="15"/>
    </row>
    <row r="128" customFormat="false" ht="13.8" hidden="false" customHeight="false" outlineLevel="0" collapsed="false">
      <c r="A128" s="1" t="s">
        <v>565</v>
      </c>
      <c r="B128" s="12" t="n">
        <v>42894</v>
      </c>
      <c r="C128" s="0" t="n">
        <v>2</v>
      </c>
      <c r="D128" s="13" t="n">
        <v>34876</v>
      </c>
      <c r="E128" s="12" t="n">
        <v>24643</v>
      </c>
      <c r="F128" s="14" t="n">
        <f aca="false">(B128-E128)/365.25</f>
        <v>49.968514715948</v>
      </c>
      <c r="G128" s="14" t="n">
        <f aca="false">(B128-D128)/365.25</f>
        <v>21.9520876112252</v>
      </c>
      <c r="H128" s="15" t="s">
        <v>183</v>
      </c>
      <c r="I128" s="15" t="s">
        <v>383</v>
      </c>
      <c r="J128" s="15" t="s">
        <v>183</v>
      </c>
      <c r="K128" s="21" t="n">
        <v>8</v>
      </c>
      <c r="L128" s="19"/>
      <c r="N128" s="16" t="e">
        <f aca="false">L128/(M128*M128)</f>
        <v>#DIV/0!</v>
      </c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 t="n">
        <v>0</v>
      </c>
      <c r="AF128" s="19" t="n">
        <v>0</v>
      </c>
      <c r="AG128" s="19" t="n">
        <v>0</v>
      </c>
      <c r="AH128" s="19" t="n">
        <v>0</v>
      </c>
      <c r="AI128" s="19" t="n">
        <v>0</v>
      </c>
      <c r="AJ128" s="19" t="n">
        <v>0</v>
      </c>
      <c r="AK128" s="19" t="n">
        <v>0</v>
      </c>
      <c r="AL128" s="19" t="n">
        <v>0</v>
      </c>
      <c r="AM128" s="19" t="n">
        <v>0</v>
      </c>
      <c r="AN128" s="19" t="n">
        <v>0</v>
      </c>
      <c r="AO128" s="19" t="n">
        <v>0</v>
      </c>
      <c r="AP128" s="19" t="n">
        <v>0</v>
      </c>
      <c r="AQ128" s="19" t="n">
        <v>0</v>
      </c>
      <c r="AR128" s="19" t="n">
        <v>0</v>
      </c>
      <c r="AS128" s="19" t="n">
        <v>0</v>
      </c>
      <c r="AT128" s="19" t="n">
        <v>0</v>
      </c>
      <c r="AU128" s="19" t="n">
        <v>0</v>
      </c>
      <c r="AV128" s="19" t="n">
        <v>0</v>
      </c>
      <c r="AW128" s="19" t="n">
        <v>0</v>
      </c>
      <c r="AX128" s="19" t="n">
        <v>0</v>
      </c>
      <c r="AY128" s="19" t="n">
        <v>0</v>
      </c>
      <c r="AZ128" s="19" t="n">
        <v>0</v>
      </c>
      <c r="BA128" s="19" t="n">
        <v>0</v>
      </c>
      <c r="BB128" s="19" t="n">
        <v>0</v>
      </c>
      <c r="BC128" s="19" t="n">
        <v>0</v>
      </c>
      <c r="BD128" s="19" t="n">
        <v>0</v>
      </c>
      <c r="BE128" s="19" t="n">
        <v>0</v>
      </c>
      <c r="BF128" s="19" t="n">
        <v>0</v>
      </c>
      <c r="BG128" s="19" t="n">
        <v>0</v>
      </c>
      <c r="BH128" s="19" t="n">
        <v>0</v>
      </c>
      <c r="BI128" s="19" t="n">
        <v>0</v>
      </c>
      <c r="BJ128" s="19" t="n">
        <v>0</v>
      </c>
      <c r="BK128" s="19" t="n">
        <v>0</v>
      </c>
      <c r="BL128" s="19" t="n">
        <v>0</v>
      </c>
      <c r="BM128" s="19" t="n">
        <v>0</v>
      </c>
      <c r="BN128" s="19" t="n">
        <v>0</v>
      </c>
      <c r="BO128" s="19" t="n">
        <v>0</v>
      </c>
      <c r="BP128" s="19" t="n">
        <v>0</v>
      </c>
      <c r="BQ128" s="19" t="n">
        <v>0</v>
      </c>
      <c r="BR128" s="19" t="n">
        <v>1</v>
      </c>
      <c r="BS128" s="19" t="n">
        <v>1</v>
      </c>
      <c r="BT128" s="19" t="n">
        <v>3</v>
      </c>
      <c r="BU128" s="19" t="n">
        <v>5</v>
      </c>
      <c r="BV128" s="19" t="n">
        <v>2</v>
      </c>
      <c r="BW128" s="19" t="n">
        <v>1</v>
      </c>
      <c r="BX128" s="19" t="n">
        <v>5</v>
      </c>
      <c r="BY128" s="19" t="n">
        <v>1</v>
      </c>
      <c r="BZ128" s="19" t="n">
        <v>1</v>
      </c>
      <c r="CA128" s="19" t="n">
        <v>5</v>
      </c>
      <c r="CB128" s="19" t="n">
        <v>5</v>
      </c>
      <c r="CC128" s="19" t="n">
        <v>5</v>
      </c>
      <c r="CD128" s="19" t="n">
        <v>3</v>
      </c>
      <c r="CE128" s="19" t="n">
        <v>5</v>
      </c>
      <c r="CF128" s="19" t="n">
        <v>3</v>
      </c>
      <c r="CG128" s="19" t="n">
        <v>5</v>
      </c>
      <c r="CH128" s="19" t="n">
        <v>5</v>
      </c>
      <c r="CI128" s="19" t="n">
        <v>5</v>
      </c>
      <c r="CJ128" s="19" t="n">
        <v>5</v>
      </c>
      <c r="CK128" s="19" t="n">
        <v>7</v>
      </c>
      <c r="CL128" s="30" t="s">
        <v>384</v>
      </c>
      <c r="CM128" s="15" t="n">
        <v>28.5</v>
      </c>
      <c r="CN128" s="17" t="n">
        <v>69.3</v>
      </c>
      <c r="CO128" s="17" t="n">
        <v>114</v>
      </c>
      <c r="CP128" s="17" t="n">
        <v>19.5</v>
      </c>
      <c r="CQ128" s="17" t="n">
        <v>79.15</v>
      </c>
      <c r="CR128" s="17" t="n">
        <v>0</v>
      </c>
      <c r="CS128" s="17" t="n">
        <v>3.87</v>
      </c>
      <c r="CT128" s="17" t="n">
        <v>2.86</v>
      </c>
      <c r="CU128" s="17" t="n">
        <v>14.12</v>
      </c>
      <c r="CV128" s="17" t="n">
        <v>0</v>
      </c>
      <c r="CW128" s="17" t="n">
        <v>0</v>
      </c>
      <c r="CX128" s="17" t="n">
        <v>0</v>
      </c>
      <c r="CY128" s="17" t="n">
        <v>0</v>
      </c>
      <c r="CZ128" s="17" t="n">
        <v>0</v>
      </c>
      <c r="DA128" s="17" t="n">
        <v>0</v>
      </c>
      <c r="DB128" s="17" t="n">
        <v>0.82</v>
      </c>
      <c r="DC128" s="17" t="n">
        <v>11.71</v>
      </c>
      <c r="DD128" s="17" t="n">
        <v>15.43</v>
      </c>
      <c r="DE128" s="17" t="n">
        <v>4.91</v>
      </c>
      <c r="DF128" s="17" t="n">
        <v>0</v>
      </c>
      <c r="DG128" s="17" t="n">
        <v>0</v>
      </c>
      <c r="DH128" s="17" t="n">
        <v>0</v>
      </c>
      <c r="DI128" s="17" t="n">
        <v>0</v>
      </c>
      <c r="DJ128" s="17" t="n">
        <v>0</v>
      </c>
      <c r="DK128" s="17" t="n">
        <v>0</v>
      </c>
      <c r="DL128" s="17" t="n">
        <v>0</v>
      </c>
      <c r="DM128" s="17" t="n">
        <v>0</v>
      </c>
      <c r="DN128" s="17" t="n">
        <v>0</v>
      </c>
      <c r="DO128" s="17" t="n">
        <v>0</v>
      </c>
      <c r="DP128" s="17" t="n">
        <v>0</v>
      </c>
      <c r="DQ128" s="17" t="n">
        <v>0</v>
      </c>
      <c r="DR128" s="17" t="n">
        <v>0</v>
      </c>
      <c r="DS128" s="17" t="n">
        <v>0</v>
      </c>
      <c r="DT128" s="17" t="n">
        <v>0</v>
      </c>
      <c r="DU128" s="17" t="n">
        <v>0</v>
      </c>
      <c r="DV128" s="17" t="n">
        <v>0</v>
      </c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31"/>
      <c r="EH128" s="17"/>
      <c r="EK128" s="31"/>
      <c r="EO128" s="31"/>
      <c r="ES128" s="31"/>
      <c r="EW128" s="31"/>
      <c r="EY128" s="15" t="n">
        <v>0</v>
      </c>
      <c r="GJ128" s="15" t="n">
        <v>0</v>
      </c>
      <c r="GK128" s="15" t="n">
        <v>0</v>
      </c>
      <c r="GU128" s="15" t="n">
        <v>8.7</v>
      </c>
      <c r="GV128" s="15" t="n">
        <f aca="false">3.27*4+1.23+0.08+0.52*2</f>
        <v>15.43</v>
      </c>
      <c r="GW128" s="15" t="n">
        <v>0</v>
      </c>
      <c r="GX128" s="15" t="n">
        <v>0</v>
      </c>
      <c r="GY128" s="15" t="n">
        <v>0</v>
      </c>
      <c r="GZ128" s="15" t="n">
        <v>0</v>
      </c>
      <c r="HA128" s="15" t="n">
        <v>0</v>
      </c>
      <c r="HB128" s="15" t="n">
        <v>0</v>
      </c>
      <c r="HC128" s="15" t="s">
        <v>385</v>
      </c>
      <c r="HD128" s="15" t="n">
        <v>38.5</v>
      </c>
      <c r="HE128" s="17" t="n">
        <v>55</v>
      </c>
      <c r="HF128" s="17" t="n">
        <v>114</v>
      </c>
      <c r="HG128" s="17" t="n">
        <v>7.8</v>
      </c>
      <c r="HH128" s="17" t="n">
        <v>95.15</v>
      </c>
      <c r="HI128" s="17" t="n">
        <v>0</v>
      </c>
      <c r="HJ128" s="17" t="n">
        <v>3.78</v>
      </c>
      <c r="HK128" s="17" t="n">
        <v>0</v>
      </c>
      <c r="HL128" s="17" t="n">
        <v>1.07</v>
      </c>
      <c r="HM128" s="17" t="n">
        <v>0</v>
      </c>
      <c r="HN128" s="17" t="n">
        <v>0</v>
      </c>
      <c r="HO128" s="17" t="n">
        <v>0</v>
      </c>
      <c r="HP128" s="17" t="n">
        <v>0</v>
      </c>
      <c r="HQ128" s="17" t="n">
        <v>0</v>
      </c>
      <c r="HR128" s="17" t="n">
        <v>0</v>
      </c>
      <c r="HS128" s="17" t="n">
        <v>0</v>
      </c>
      <c r="HT128" s="17" t="n">
        <v>15.05</v>
      </c>
      <c r="HU128" s="17" t="n">
        <v>4.58</v>
      </c>
      <c r="HV128" s="17" t="n">
        <v>0.1</v>
      </c>
      <c r="HW128" s="17" t="n">
        <v>0</v>
      </c>
      <c r="HX128" s="17" t="n">
        <v>0</v>
      </c>
      <c r="HY128" s="17" t="n">
        <v>0</v>
      </c>
      <c r="IL128" s="15" t="n">
        <v>22.8</v>
      </c>
      <c r="IM128" s="15" t="n">
        <v>1</v>
      </c>
      <c r="IN128" s="15" t="n">
        <v>38</v>
      </c>
      <c r="IO128" s="15" t="n">
        <v>5</v>
      </c>
      <c r="IP128" s="15" t="n">
        <f aca="false">2.45+1.09</f>
        <v>3.54</v>
      </c>
      <c r="IQ128" s="15" t="n">
        <v>5</v>
      </c>
      <c r="IX128" s="31"/>
      <c r="JB128" s="31"/>
      <c r="JF128" s="31"/>
      <c r="JJ128" s="31"/>
      <c r="JN128" s="31"/>
      <c r="JP128" s="15" t="n">
        <v>0</v>
      </c>
      <c r="LA128" s="15" t="n">
        <v>0</v>
      </c>
      <c r="LB128" s="15" t="n">
        <v>0</v>
      </c>
      <c r="LL128" s="15" t="n">
        <v>7.84</v>
      </c>
      <c r="LM128" s="15" t="n">
        <f aca="false">2.45+1.09</f>
        <v>3.54</v>
      </c>
      <c r="LN128" s="15" t="n">
        <v>0</v>
      </c>
      <c r="LO128" s="15" t="n">
        <v>0</v>
      </c>
      <c r="LP128" s="15" t="n">
        <v>0</v>
      </c>
      <c r="LQ128" s="15" t="n">
        <v>0</v>
      </c>
      <c r="LR128" s="15" t="n">
        <v>0</v>
      </c>
      <c r="LS128" s="15" t="n">
        <v>0</v>
      </c>
      <c r="LT128" s="15" t="s">
        <v>386</v>
      </c>
      <c r="LU128" s="15" t="n">
        <v>38</v>
      </c>
      <c r="LV128" s="17" t="n">
        <v>48.8</v>
      </c>
      <c r="LW128" s="17" t="n">
        <v>114</v>
      </c>
      <c r="LX128" s="17" t="n">
        <v>7.2</v>
      </c>
      <c r="LY128" s="17" t="n">
        <v>96.13</v>
      </c>
      <c r="LZ128" s="17" t="n">
        <v>0</v>
      </c>
      <c r="MA128" s="17" t="n">
        <v>3.78</v>
      </c>
      <c r="MB128" s="17" t="n">
        <v>0</v>
      </c>
      <c r="MC128" s="17" t="n">
        <v>0.1</v>
      </c>
      <c r="MD128" s="17" t="n">
        <v>0</v>
      </c>
      <c r="ME128" s="17" t="n">
        <v>0</v>
      </c>
      <c r="MF128" s="17" t="n">
        <v>0</v>
      </c>
      <c r="MG128" s="17" t="n">
        <v>0</v>
      </c>
      <c r="MH128" s="17" t="n">
        <v>0</v>
      </c>
      <c r="MI128" s="17" t="n">
        <v>0</v>
      </c>
      <c r="MJ128" s="17" t="n">
        <v>0</v>
      </c>
      <c r="MK128" s="17" t="n">
        <v>12.85</v>
      </c>
      <c r="ML128" s="17" t="n">
        <v>4.58</v>
      </c>
      <c r="MM128" s="17" t="n">
        <v>0.1</v>
      </c>
      <c r="MN128" s="17" t="n">
        <v>0</v>
      </c>
      <c r="MO128" s="17" t="n">
        <v>0</v>
      </c>
      <c r="MP128" s="17" t="n">
        <v>0</v>
      </c>
      <c r="NC128" s="15" t="n">
        <v>22.8</v>
      </c>
      <c r="ND128" s="15" t="n">
        <v>1</v>
      </c>
      <c r="NE128" s="15" t="n">
        <v>38</v>
      </c>
      <c r="NF128" s="15" t="n">
        <v>5</v>
      </c>
      <c r="NG128" s="15" t="n">
        <f aca="false">2.45+1.09</f>
        <v>3.54</v>
      </c>
      <c r="NH128" s="15" t="n">
        <v>5</v>
      </c>
      <c r="NI128" s="15" t="n">
        <v>20</v>
      </c>
      <c r="NJ128" s="15" t="n">
        <v>4</v>
      </c>
      <c r="NK128" s="15" t="n">
        <v>0.29</v>
      </c>
      <c r="NL128" s="15" t="n">
        <v>2</v>
      </c>
      <c r="NO128" s="31"/>
      <c r="NS128" s="31"/>
      <c r="NW128" s="31"/>
      <c r="OA128" s="31"/>
      <c r="OE128" s="31"/>
      <c r="OG128" s="15" t="n">
        <v>0</v>
      </c>
      <c r="PR128" s="15" t="n">
        <v>0</v>
      </c>
      <c r="PS128" s="15" t="n">
        <v>0</v>
      </c>
      <c r="QC128" s="15" t="n">
        <v>7.84</v>
      </c>
      <c r="QD128" s="15" t="n">
        <f aca="false">2.45+1.09</f>
        <v>3.54</v>
      </c>
      <c r="QE128" s="15" t="n">
        <v>0</v>
      </c>
      <c r="QF128" s="15" t="n">
        <v>0</v>
      </c>
      <c r="QG128" s="15" t="n">
        <v>0</v>
      </c>
      <c r="QH128" s="15" t="n">
        <v>0</v>
      </c>
      <c r="QI128" s="15" t="n">
        <v>0</v>
      </c>
      <c r="QJ128" s="15" t="n">
        <v>0</v>
      </c>
      <c r="QK128" s="15" t="s">
        <v>387</v>
      </c>
      <c r="QL128" s="15" t="n">
        <v>64</v>
      </c>
      <c r="QM128" s="17" t="n">
        <v>70.6</v>
      </c>
      <c r="QN128" s="17" t="n">
        <v>114</v>
      </c>
      <c r="QO128" s="17" t="n">
        <v>14.9</v>
      </c>
      <c r="QP128" s="17" t="n">
        <v>88.29</v>
      </c>
      <c r="QQ128" s="17" t="n">
        <v>0</v>
      </c>
      <c r="QR128" s="17" t="n">
        <v>9.81</v>
      </c>
      <c r="QS128" s="17" t="n">
        <v>1.64</v>
      </c>
      <c r="QT128" s="17" t="n">
        <v>0.26</v>
      </c>
      <c r="QU128" s="17" t="n">
        <v>0</v>
      </c>
      <c r="QV128" s="17" t="n">
        <v>0</v>
      </c>
      <c r="QW128" s="17" t="n">
        <v>0</v>
      </c>
      <c r="QX128" s="17" t="n">
        <v>0</v>
      </c>
      <c r="QY128" s="17" t="n">
        <v>0</v>
      </c>
      <c r="QZ128" s="17" t="n">
        <v>0</v>
      </c>
      <c r="RA128" s="17" t="n">
        <v>0.55</v>
      </c>
      <c r="RB128" s="17" t="n">
        <v>22.64</v>
      </c>
      <c r="RC128" s="17" t="n">
        <v>2.58</v>
      </c>
      <c r="RD128" s="17" t="n">
        <v>0.13</v>
      </c>
      <c r="RE128" s="17" t="n">
        <v>0</v>
      </c>
      <c r="RF128" s="17" t="n">
        <v>0</v>
      </c>
      <c r="RG128" s="17" t="n">
        <v>0</v>
      </c>
      <c r="RT128" s="15" t="n">
        <v>40.4</v>
      </c>
      <c r="RU128" s="15" t="n">
        <v>1</v>
      </c>
      <c r="RV128" s="15" t="n">
        <v>38</v>
      </c>
      <c r="RW128" s="15" t="n">
        <v>9</v>
      </c>
      <c r="RX128" s="15" t="n">
        <v>5.52</v>
      </c>
      <c r="RY128" s="15" t="n">
        <v>5</v>
      </c>
      <c r="RZ128" s="15" t="n">
        <v>23</v>
      </c>
      <c r="SA128" s="15" t="n">
        <v>1</v>
      </c>
      <c r="SB128" s="15" t="n">
        <v>0.09</v>
      </c>
      <c r="SC128" s="15" t="n">
        <v>3</v>
      </c>
      <c r="SF128" s="31"/>
      <c r="SJ128" s="31"/>
      <c r="SN128" s="31"/>
      <c r="SR128" s="31"/>
      <c r="SV128" s="31"/>
      <c r="SX128" s="15" t="n">
        <v>0</v>
      </c>
      <c r="UI128" s="15" t="n">
        <v>0</v>
      </c>
      <c r="UJ128" s="15" t="n">
        <v>0</v>
      </c>
      <c r="UT128" s="15" t="n">
        <v>8.33</v>
      </c>
      <c r="UU128" s="15" t="n">
        <v>5.52</v>
      </c>
      <c r="UV128" s="15" t="n">
        <v>0</v>
      </c>
      <c r="UW128" s="15" t="n">
        <v>0</v>
      </c>
      <c r="UX128" s="15" t="n">
        <v>0</v>
      </c>
      <c r="UY128" s="15" t="n">
        <v>0</v>
      </c>
      <c r="UZ128" s="15" t="n">
        <v>0</v>
      </c>
      <c r="VA128" s="15" t="n">
        <v>0</v>
      </c>
      <c r="VB128" s="15" t="s">
        <v>388</v>
      </c>
      <c r="VC128" s="15" t="n">
        <v>64</v>
      </c>
      <c r="VD128" s="17" t="n">
        <v>79.5</v>
      </c>
      <c r="VE128" s="17" t="n">
        <v>114</v>
      </c>
      <c r="VF128" s="17" t="n">
        <v>15</v>
      </c>
      <c r="VG128" s="17" t="n">
        <v>88.29</v>
      </c>
      <c r="VH128" s="17" t="n">
        <v>0</v>
      </c>
      <c r="VI128" s="17" t="n">
        <v>9.81</v>
      </c>
      <c r="VJ128" s="17" t="n">
        <v>1.64</v>
      </c>
      <c r="VK128" s="17" t="n">
        <v>0.26</v>
      </c>
      <c r="VL128" s="17" t="n">
        <v>0</v>
      </c>
      <c r="VM128" s="17" t="n">
        <v>0</v>
      </c>
      <c r="VN128" s="17" t="n">
        <v>0</v>
      </c>
      <c r="VO128" s="17" t="n">
        <v>0</v>
      </c>
      <c r="VP128" s="17" t="n">
        <v>0</v>
      </c>
      <c r="VQ128" s="17" t="n">
        <v>0</v>
      </c>
      <c r="VR128" s="17" t="n">
        <v>0.55</v>
      </c>
      <c r="VS128" s="17" t="n">
        <v>24</v>
      </c>
      <c r="VT128" s="17" t="n">
        <v>4.31</v>
      </c>
      <c r="VU128" s="17" t="n">
        <v>0.82</v>
      </c>
      <c r="VV128" s="17" t="n">
        <v>0</v>
      </c>
      <c r="VW128" s="17" t="n">
        <v>0</v>
      </c>
      <c r="VX128" s="17" t="n">
        <v>0</v>
      </c>
      <c r="VY128" s="17"/>
      <c r="WK128" s="15" t="n">
        <v>40.4</v>
      </c>
      <c r="WL128" s="15" t="n">
        <v>1</v>
      </c>
      <c r="WM128" s="15" t="n">
        <v>38</v>
      </c>
      <c r="WN128" s="15" t="n">
        <v>9</v>
      </c>
      <c r="WO128" s="15" t="n">
        <v>5.52</v>
      </c>
      <c r="WP128" s="15" t="n">
        <v>5</v>
      </c>
      <c r="WQ128" s="15" t="n">
        <v>23</v>
      </c>
      <c r="WR128" s="15" t="n">
        <v>1</v>
      </c>
      <c r="WS128" s="15" t="n">
        <v>0.09</v>
      </c>
      <c r="WT128" s="15" t="n">
        <v>3</v>
      </c>
      <c r="WW128" s="31"/>
      <c r="XA128" s="31"/>
      <c r="XE128" s="31"/>
      <c r="XI128" s="31"/>
      <c r="XM128" s="31"/>
      <c r="XO128" s="15" t="n">
        <v>0</v>
      </c>
      <c r="YZ128" s="15" t="n">
        <v>0</v>
      </c>
      <c r="ZA128" s="15" t="n">
        <v>0</v>
      </c>
      <c r="ZK128" s="15" t="n">
        <v>8.33</v>
      </c>
      <c r="ZL128" s="15" t="n">
        <v>5.52</v>
      </c>
      <c r="ZM128" s="15" t="n">
        <v>0</v>
      </c>
      <c r="ZN128" s="15" t="n">
        <v>0</v>
      </c>
      <c r="ZO128" s="15" t="n">
        <v>0</v>
      </c>
      <c r="ZP128" s="15" t="n">
        <v>0</v>
      </c>
      <c r="ZQ128" s="15" t="n">
        <v>0</v>
      </c>
      <c r="ZR128" s="15" t="n">
        <v>0</v>
      </c>
      <c r="ZU128" s="15"/>
      <c r="ZV128" s="15"/>
      <c r="AAC128" s="15"/>
      <c r="AAD128" s="15"/>
      <c r="AAK128" s="15"/>
      <c r="AAL128" s="15"/>
      <c r="AAS128" s="15"/>
      <c r="AAT128" s="15"/>
      <c r="ABA128" s="15"/>
      <c r="ABB128" s="15"/>
      <c r="ABI128" s="15"/>
      <c r="ABJ128" s="15"/>
      <c r="ABQ128" s="15"/>
      <c r="ABR128" s="15"/>
      <c r="ABY128" s="15"/>
      <c r="ABZ128" s="15"/>
      <c r="ACG128" s="15"/>
      <c r="ACH128" s="15"/>
      <c r="ACO128" s="15"/>
      <c r="ACP128" s="15"/>
      <c r="ACW128" s="15"/>
      <c r="ACX128" s="15"/>
      <c r="ADE128" s="15"/>
      <c r="ADF128" s="15"/>
      <c r="ADM128" s="15"/>
      <c r="ADN128" s="15"/>
      <c r="ADU128" s="15"/>
      <c r="ADV128" s="15"/>
      <c r="AEC128" s="15"/>
      <c r="AED128" s="15"/>
      <c r="AEK128" s="15"/>
      <c r="AEL128" s="15"/>
      <c r="AES128" s="15"/>
      <c r="AET128" s="15"/>
      <c r="AFA128" s="15"/>
      <c r="AFB128" s="15"/>
      <c r="AFI128" s="15"/>
      <c r="AFJ128" s="15"/>
      <c r="AFQ128" s="15"/>
      <c r="AFR128" s="15"/>
      <c r="AFY128" s="15"/>
      <c r="AFZ128" s="15"/>
      <c r="AGG128" s="15"/>
      <c r="AGH128" s="15"/>
      <c r="AGO128" s="15"/>
      <c r="AGP128" s="15"/>
      <c r="AGW128" s="15"/>
      <c r="AGX128" s="15"/>
      <c r="AHE128" s="15"/>
      <c r="AHF128" s="15"/>
      <c r="AHM128" s="15"/>
      <c r="AHN128" s="15"/>
      <c r="AHU128" s="15"/>
      <c r="AHV128" s="15"/>
      <c r="AIC128" s="15"/>
      <c r="AID128" s="15"/>
      <c r="AIK128" s="15"/>
      <c r="AIL128" s="15"/>
      <c r="AIS128" s="15"/>
      <c r="AIT128" s="15"/>
      <c r="AJA128" s="15"/>
      <c r="AJB128" s="15"/>
      <c r="AJI128" s="15"/>
      <c r="AJJ128" s="15"/>
      <c r="AJQ128" s="15"/>
      <c r="AJR128" s="15"/>
      <c r="AJY128" s="15"/>
      <c r="AJZ128" s="15"/>
      <c r="AKG128" s="15"/>
      <c r="AKH128" s="15"/>
      <c r="AKO128" s="15"/>
      <c r="AKP128" s="15"/>
      <c r="AKW128" s="15"/>
      <c r="AKX128" s="15"/>
      <c r="ALE128" s="15"/>
      <c r="ALF128" s="15"/>
      <c r="ALM128" s="15"/>
      <c r="ALN128" s="15"/>
      <c r="ALU128" s="15"/>
      <c r="ALV128" s="15"/>
      <c r="AMC128" s="15"/>
      <c r="AMD128" s="15"/>
    </row>
    <row r="129" customFormat="false" ht="13.8" hidden="false" customHeight="false" outlineLevel="0" collapsed="false">
      <c r="A129" s="1" t="s">
        <v>566</v>
      </c>
      <c r="B129" s="12" t="n">
        <v>42894</v>
      </c>
      <c r="C129" s="0" t="n">
        <v>1</v>
      </c>
      <c r="D129" s="13" t="n">
        <v>35618</v>
      </c>
      <c r="E129" s="12" t="n">
        <v>25237</v>
      </c>
      <c r="F129" s="14" t="n">
        <f aca="false">(B129-E129)/365.25</f>
        <v>48.3422313483915</v>
      </c>
      <c r="G129" s="14" t="n">
        <f aca="false">(B129-D129)/365.25</f>
        <v>19.9206023271732</v>
      </c>
      <c r="H129" s="15" t="s">
        <v>183</v>
      </c>
      <c r="I129" s="15" t="s">
        <v>383</v>
      </c>
      <c r="J129" s="15" t="s">
        <v>183</v>
      </c>
      <c r="K129" s="21" t="n">
        <v>8</v>
      </c>
      <c r="L129" s="19" t="n">
        <v>55</v>
      </c>
      <c r="M129" s="0" t="n">
        <v>1.61</v>
      </c>
      <c r="N129" s="16" t="n">
        <f aca="false">L129/(M129*M129)</f>
        <v>21.2183171945527</v>
      </c>
      <c r="O129" s="19" t="n">
        <v>1</v>
      </c>
      <c r="P129" s="19" t="n">
        <v>1</v>
      </c>
      <c r="Q129" s="19" t="s">
        <v>567</v>
      </c>
      <c r="R129" s="19" t="n">
        <v>0</v>
      </c>
      <c r="S129" s="19" t="n">
        <v>0</v>
      </c>
      <c r="T129" s="19" t="n">
        <v>0</v>
      </c>
      <c r="U129" s="19" t="n">
        <v>0</v>
      </c>
      <c r="V129" s="19" t="n">
        <v>0</v>
      </c>
      <c r="W129" s="19" t="n">
        <v>1</v>
      </c>
      <c r="X129" s="19" t="n">
        <v>1</v>
      </c>
      <c r="Y129" s="19" t="n">
        <v>0</v>
      </c>
      <c r="Z129" s="19" t="n">
        <v>0</v>
      </c>
      <c r="AA129" s="19" t="n">
        <v>0</v>
      </c>
      <c r="AB129" s="19" t="n">
        <v>0</v>
      </c>
      <c r="AC129" s="19" t="n">
        <v>1</v>
      </c>
      <c r="AD129" s="19" t="n">
        <v>15</v>
      </c>
      <c r="AE129" s="19" t="n">
        <v>1</v>
      </c>
      <c r="AF129" s="19" t="n">
        <v>1</v>
      </c>
      <c r="AG129" s="19" t="n">
        <v>1</v>
      </c>
      <c r="AH129" s="19" t="n">
        <v>8</v>
      </c>
      <c r="AI129" s="19" t="n">
        <v>3</v>
      </c>
      <c r="AJ129" s="19" t="n">
        <v>3</v>
      </c>
      <c r="AK129" s="19" t="n">
        <v>3</v>
      </c>
      <c r="AL129" s="19"/>
      <c r="AM129" s="19" t="n">
        <v>10</v>
      </c>
      <c r="AN129" s="19" t="n">
        <v>0</v>
      </c>
      <c r="AO129" s="19" t="n">
        <v>0</v>
      </c>
      <c r="AP129" s="19" t="n">
        <v>0</v>
      </c>
      <c r="AQ129" s="19" t="n">
        <v>0</v>
      </c>
      <c r="AR129" s="19" t="n">
        <v>0</v>
      </c>
      <c r="AS129" s="19" t="n">
        <v>3</v>
      </c>
      <c r="AT129" s="19" t="n">
        <v>3</v>
      </c>
      <c r="AU129" s="19" t="n">
        <v>3</v>
      </c>
      <c r="AV129" s="19" t="n">
        <v>7</v>
      </c>
      <c r="AW129" s="19" t="n">
        <v>7</v>
      </c>
      <c r="AX129" s="19" t="n">
        <v>0</v>
      </c>
      <c r="AY129" s="19" t="n">
        <v>0</v>
      </c>
      <c r="AZ129" s="19" t="n">
        <v>0</v>
      </c>
      <c r="BA129" s="19" t="n">
        <v>0</v>
      </c>
      <c r="BB129" s="19" t="n">
        <v>1</v>
      </c>
      <c r="BC129" s="19" t="n">
        <v>1</v>
      </c>
      <c r="BD129" s="19" t="n">
        <v>1</v>
      </c>
      <c r="BE129" s="19" t="n">
        <v>9</v>
      </c>
      <c r="BF129" s="19" t="n">
        <v>1</v>
      </c>
      <c r="BG129" s="19" t="n">
        <v>1</v>
      </c>
      <c r="BH129" s="19" t="n">
        <v>1</v>
      </c>
      <c r="BI129" s="19" t="n">
        <v>7</v>
      </c>
      <c r="BJ129" s="19" t="n">
        <v>0</v>
      </c>
      <c r="BK129" s="19" t="n">
        <v>0</v>
      </c>
      <c r="BL129" s="19" t="n">
        <v>0</v>
      </c>
      <c r="BM129" s="19" t="n">
        <v>0</v>
      </c>
      <c r="BN129" s="19" t="n">
        <v>1</v>
      </c>
      <c r="BO129" s="19" t="n">
        <v>1</v>
      </c>
      <c r="BP129" s="19" t="n">
        <v>1</v>
      </c>
      <c r="BQ129" s="19" t="n">
        <v>8</v>
      </c>
      <c r="BR129" s="19" t="n">
        <v>4</v>
      </c>
      <c r="BS129" s="19" t="n">
        <v>3</v>
      </c>
      <c r="BT129" s="19" t="n">
        <v>4</v>
      </c>
      <c r="BU129" s="19" t="n">
        <v>4</v>
      </c>
      <c r="BV129" s="19" t="n">
        <v>3</v>
      </c>
      <c r="BW129" s="19" t="n">
        <v>3</v>
      </c>
      <c r="BX129" s="19" t="n">
        <v>2</v>
      </c>
      <c r="BY129" s="19" t="n">
        <v>3</v>
      </c>
      <c r="BZ129" s="19" t="n">
        <v>1</v>
      </c>
      <c r="CA129" s="19" t="n">
        <v>1</v>
      </c>
      <c r="CB129" s="19" t="n">
        <v>3</v>
      </c>
      <c r="CC129" s="19" t="n">
        <v>2</v>
      </c>
      <c r="CD129" s="19" t="n">
        <v>3</v>
      </c>
      <c r="CE129" s="19" t="n">
        <v>4</v>
      </c>
      <c r="CF129" s="19" t="n">
        <v>4</v>
      </c>
      <c r="CG129" s="19" t="n">
        <v>4</v>
      </c>
      <c r="CH129" s="19" t="n">
        <v>1</v>
      </c>
      <c r="CI129" s="19" t="n">
        <v>4</v>
      </c>
      <c r="CJ129" s="19" t="n">
        <v>5</v>
      </c>
      <c r="CK129" s="19" t="n">
        <v>6</v>
      </c>
      <c r="CL129" s="30" t="s">
        <v>384</v>
      </c>
      <c r="CM129" s="15" t="n">
        <v>28.5</v>
      </c>
      <c r="CN129" s="17" t="n">
        <v>69.3</v>
      </c>
      <c r="CO129" s="17" t="n">
        <v>114</v>
      </c>
      <c r="CP129" s="17" t="n">
        <v>19.5</v>
      </c>
      <c r="CQ129" s="17" t="n">
        <v>79.15</v>
      </c>
      <c r="CR129" s="17" t="n">
        <v>0</v>
      </c>
      <c r="CS129" s="17" t="n">
        <v>3.87</v>
      </c>
      <c r="CT129" s="17" t="n">
        <v>2.86</v>
      </c>
      <c r="CU129" s="17" t="n">
        <v>14.12</v>
      </c>
      <c r="CV129" s="17" t="n">
        <v>0</v>
      </c>
      <c r="CW129" s="17" t="n">
        <v>0</v>
      </c>
      <c r="CX129" s="17" t="n">
        <v>0</v>
      </c>
      <c r="CY129" s="17" t="n">
        <v>0</v>
      </c>
      <c r="CZ129" s="17" t="n">
        <v>0</v>
      </c>
      <c r="DA129" s="17" t="n">
        <v>0</v>
      </c>
      <c r="DB129" s="17" t="n">
        <v>0.82</v>
      </c>
      <c r="DC129" s="17" t="n">
        <v>11.71</v>
      </c>
      <c r="DD129" s="17" t="n">
        <v>15.43</v>
      </c>
      <c r="DE129" s="17" t="n">
        <v>4.91</v>
      </c>
      <c r="DF129" s="17" t="n">
        <v>0</v>
      </c>
      <c r="DG129" s="17" t="n">
        <v>0</v>
      </c>
      <c r="DH129" s="17" t="n">
        <v>0</v>
      </c>
      <c r="DI129" s="17" t="n">
        <v>0</v>
      </c>
      <c r="DJ129" s="17" t="n">
        <v>0</v>
      </c>
      <c r="DK129" s="17" t="n">
        <v>0</v>
      </c>
      <c r="DL129" s="17" t="n">
        <v>0</v>
      </c>
      <c r="DM129" s="17" t="n">
        <v>0</v>
      </c>
      <c r="DN129" s="17" t="n">
        <v>0</v>
      </c>
      <c r="DO129" s="17" t="n">
        <v>0</v>
      </c>
      <c r="DP129" s="17" t="n">
        <v>0</v>
      </c>
      <c r="DQ129" s="17" t="n">
        <v>0</v>
      </c>
      <c r="DR129" s="17" t="n">
        <v>0</v>
      </c>
      <c r="DS129" s="17" t="n">
        <v>0</v>
      </c>
      <c r="DT129" s="17" t="n">
        <v>0</v>
      </c>
      <c r="DU129" s="17" t="n">
        <v>0</v>
      </c>
      <c r="DV129" s="17" t="n">
        <v>0</v>
      </c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31"/>
      <c r="EH129" s="17"/>
      <c r="EK129" s="31"/>
      <c r="EO129" s="31"/>
      <c r="ES129" s="31"/>
      <c r="EW129" s="31"/>
      <c r="EY129" s="15" t="n">
        <v>0</v>
      </c>
      <c r="GJ129" s="15" t="n">
        <v>0</v>
      </c>
      <c r="GK129" s="15" t="n">
        <v>0</v>
      </c>
      <c r="GU129" s="15" t="n">
        <v>8.7</v>
      </c>
      <c r="GV129" s="15" t="n">
        <f aca="false">3.27*4+1.23+0.08+0.52*2</f>
        <v>15.43</v>
      </c>
      <c r="GW129" s="15" t="n">
        <v>0</v>
      </c>
      <c r="GX129" s="15" t="n">
        <v>0</v>
      </c>
      <c r="GY129" s="15" t="n">
        <v>0</v>
      </c>
      <c r="GZ129" s="15" t="n">
        <v>0</v>
      </c>
      <c r="HA129" s="15" t="n">
        <v>0</v>
      </c>
      <c r="HB129" s="15" t="n">
        <v>0</v>
      </c>
      <c r="HC129" s="15" t="s">
        <v>385</v>
      </c>
      <c r="HD129" s="15" t="n">
        <v>38.5</v>
      </c>
      <c r="HE129" s="17" t="n">
        <v>55</v>
      </c>
      <c r="HF129" s="17" t="n">
        <v>114</v>
      </c>
      <c r="HG129" s="17" t="n">
        <v>7.8</v>
      </c>
      <c r="HH129" s="17" t="n">
        <v>95.15</v>
      </c>
      <c r="HI129" s="17" t="n">
        <v>0</v>
      </c>
      <c r="HJ129" s="17" t="n">
        <v>3.78</v>
      </c>
      <c r="HK129" s="17" t="n">
        <v>0</v>
      </c>
      <c r="HL129" s="17" t="n">
        <v>1.07</v>
      </c>
      <c r="HM129" s="17" t="n">
        <v>0</v>
      </c>
      <c r="HN129" s="17" t="n">
        <v>0</v>
      </c>
      <c r="HO129" s="17" t="n">
        <v>0</v>
      </c>
      <c r="HP129" s="17" t="n">
        <v>0</v>
      </c>
      <c r="HQ129" s="17" t="n">
        <v>0</v>
      </c>
      <c r="HR129" s="17" t="n">
        <v>0</v>
      </c>
      <c r="HS129" s="17" t="n">
        <v>0</v>
      </c>
      <c r="HT129" s="17" t="n">
        <v>15.05</v>
      </c>
      <c r="HU129" s="17" t="n">
        <v>4.58</v>
      </c>
      <c r="HV129" s="17" t="n">
        <v>0.1</v>
      </c>
      <c r="HW129" s="17" t="n">
        <v>0</v>
      </c>
      <c r="HX129" s="17" t="n">
        <v>0</v>
      </c>
      <c r="HY129" s="17" t="n">
        <v>0</v>
      </c>
      <c r="IL129" s="15" t="n">
        <v>22.8</v>
      </c>
      <c r="IM129" s="15" t="n">
        <v>1</v>
      </c>
      <c r="IN129" s="15" t="n">
        <v>38</v>
      </c>
      <c r="IO129" s="15" t="n">
        <v>5</v>
      </c>
      <c r="IP129" s="15" t="n">
        <f aca="false">2.45+1.09</f>
        <v>3.54</v>
      </c>
      <c r="IQ129" s="15" t="n">
        <v>5</v>
      </c>
      <c r="IX129" s="31"/>
      <c r="JB129" s="31"/>
      <c r="JF129" s="31"/>
      <c r="JJ129" s="31"/>
      <c r="JN129" s="31"/>
      <c r="JP129" s="15" t="n">
        <v>0</v>
      </c>
      <c r="LA129" s="15" t="n">
        <v>0</v>
      </c>
      <c r="LB129" s="15" t="n">
        <v>0</v>
      </c>
      <c r="LL129" s="15" t="n">
        <v>7.84</v>
      </c>
      <c r="LM129" s="15" t="n">
        <f aca="false">2.45+1.09</f>
        <v>3.54</v>
      </c>
      <c r="LN129" s="15" t="n">
        <v>0</v>
      </c>
      <c r="LO129" s="15" t="n">
        <v>0</v>
      </c>
      <c r="LP129" s="15" t="n">
        <v>0</v>
      </c>
      <c r="LQ129" s="15" t="n">
        <v>0</v>
      </c>
      <c r="LR129" s="15" t="n">
        <v>0</v>
      </c>
      <c r="LS129" s="15" t="n">
        <v>0</v>
      </c>
      <c r="LT129" s="15" t="s">
        <v>386</v>
      </c>
      <c r="LU129" s="15" t="n">
        <v>38</v>
      </c>
      <c r="LV129" s="17" t="n">
        <v>48.8</v>
      </c>
      <c r="LW129" s="17" t="n">
        <v>114</v>
      </c>
      <c r="LX129" s="17" t="n">
        <v>7.2</v>
      </c>
      <c r="LY129" s="17" t="n">
        <v>96.13</v>
      </c>
      <c r="LZ129" s="17" t="n">
        <v>0</v>
      </c>
      <c r="MA129" s="17" t="n">
        <v>3.78</v>
      </c>
      <c r="MB129" s="17" t="n">
        <v>0</v>
      </c>
      <c r="MC129" s="17" t="n">
        <v>0.1</v>
      </c>
      <c r="MD129" s="17" t="n">
        <v>0</v>
      </c>
      <c r="ME129" s="17" t="n">
        <v>0</v>
      </c>
      <c r="MF129" s="17" t="n">
        <v>0</v>
      </c>
      <c r="MG129" s="17" t="n">
        <v>0</v>
      </c>
      <c r="MH129" s="17" t="n">
        <v>0</v>
      </c>
      <c r="MI129" s="17" t="n">
        <v>0</v>
      </c>
      <c r="MJ129" s="17" t="n">
        <v>0</v>
      </c>
      <c r="MK129" s="17" t="n">
        <v>12.85</v>
      </c>
      <c r="ML129" s="17" t="n">
        <v>4.58</v>
      </c>
      <c r="MM129" s="17" t="n">
        <v>0.1</v>
      </c>
      <c r="MN129" s="17" t="n">
        <v>0</v>
      </c>
      <c r="MO129" s="17" t="n">
        <v>0</v>
      </c>
      <c r="MP129" s="17" t="n">
        <v>0</v>
      </c>
      <c r="NC129" s="15" t="n">
        <v>22.8</v>
      </c>
      <c r="ND129" s="15" t="n">
        <v>1</v>
      </c>
      <c r="NE129" s="15" t="n">
        <v>38</v>
      </c>
      <c r="NF129" s="15" t="n">
        <v>5</v>
      </c>
      <c r="NG129" s="15" t="n">
        <f aca="false">2.45+1.09</f>
        <v>3.54</v>
      </c>
      <c r="NH129" s="15" t="n">
        <v>5</v>
      </c>
      <c r="NI129" s="15" t="n">
        <v>20</v>
      </c>
      <c r="NJ129" s="15" t="n">
        <v>4</v>
      </c>
      <c r="NK129" s="15" t="n">
        <v>0.29</v>
      </c>
      <c r="NL129" s="15" t="n">
        <v>2</v>
      </c>
      <c r="NO129" s="31"/>
      <c r="NS129" s="31"/>
      <c r="NW129" s="31"/>
      <c r="OA129" s="31"/>
      <c r="OE129" s="31"/>
      <c r="OG129" s="15" t="n">
        <v>0</v>
      </c>
      <c r="PR129" s="15" t="n">
        <v>0</v>
      </c>
      <c r="PS129" s="15" t="n">
        <v>0</v>
      </c>
      <c r="QC129" s="15" t="n">
        <v>7.84</v>
      </c>
      <c r="QD129" s="15" t="n">
        <f aca="false">2.45+1.09</f>
        <v>3.54</v>
      </c>
      <c r="QE129" s="15" t="n">
        <v>0</v>
      </c>
      <c r="QF129" s="15" t="n">
        <v>0</v>
      </c>
      <c r="QG129" s="15" t="n">
        <v>0</v>
      </c>
      <c r="QH129" s="15" t="n">
        <v>0</v>
      </c>
      <c r="QI129" s="15" t="n">
        <v>0</v>
      </c>
      <c r="QJ129" s="15" t="n">
        <v>0</v>
      </c>
      <c r="QK129" s="15" t="s">
        <v>387</v>
      </c>
      <c r="QL129" s="15" t="n">
        <v>64</v>
      </c>
      <c r="QM129" s="17" t="n">
        <v>70.6</v>
      </c>
      <c r="QN129" s="17" t="n">
        <v>114</v>
      </c>
      <c r="QO129" s="17" t="n">
        <v>14.9</v>
      </c>
      <c r="QP129" s="17" t="n">
        <v>88.29</v>
      </c>
      <c r="QQ129" s="17" t="n">
        <v>0</v>
      </c>
      <c r="QR129" s="17" t="n">
        <v>9.81</v>
      </c>
      <c r="QS129" s="17" t="n">
        <v>1.64</v>
      </c>
      <c r="QT129" s="17" t="n">
        <v>0.26</v>
      </c>
      <c r="QU129" s="17" t="n">
        <v>0</v>
      </c>
      <c r="QV129" s="17" t="n">
        <v>0</v>
      </c>
      <c r="QW129" s="17" t="n">
        <v>0</v>
      </c>
      <c r="QX129" s="17" t="n">
        <v>0</v>
      </c>
      <c r="QY129" s="17" t="n">
        <v>0</v>
      </c>
      <c r="QZ129" s="17" t="n">
        <v>0</v>
      </c>
      <c r="RA129" s="17" t="n">
        <v>0.55</v>
      </c>
      <c r="RB129" s="17" t="n">
        <v>22.64</v>
      </c>
      <c r="RC129" s="17" t="n">
        <v>2.58</v>
      </c>
      <c r="RD129" s="17" t="n">
        <v>0.13</v>
      </c>
      <c r="RE129" s="17" t="n">
        <v>0</v>
      </c>
      <c r="RF129" s="17" t="n">
        <v>0</v>
      </c>
      <c r="RG129" s="17" t="n">
        <v>0</v>
      </c>
      <c r="RT129" s="15" t="n">
        <v>40.4</v>
      </c>
      <c r="RU129" s="15" t="n">
        <v>1</v>
      </c>
      <c r="RV129" s="15" t="n">
        <v>38</v>
      </c>
      <c r="RW129" s="15" t="n">
        <v>9</v>
      </c>
      <c r="RX129" s="15" t="n">
        <v>5.52</v>
      </c>
      <c r="RY129" s="15" t="n">
        <v>5</v>
      </c>
      <c r="RZ129" s="15" t="n">
        <v>23</v>
      </c>
      <c r="SA129" s="15" t="n">
        <v>1</v>
      </c>
      <c r="SB129" s="15" t="n">
        <v>0.09</v>
      </c>
      <c r="SC129" s="15" t="n">
        <v>3</v>
      </c>
      <c r="SF129" s="31"/>
      <c r="SJ129" s="31"/>
      <c r="SN129" s="31"/>
      <c r="SR129" s="31"/>
      <c r="SV129" s="31"/>
      <c r="SX129" s="15" t="n">
        <v>0</v>
      </c>
      <c r="UI129" s="15" t="n">
        <v>0</v>
      </c>
      <c r="UJ129" s="15" t="n">
        <v>0</v>
      </c>
      <c r="UT129" s="15" t="n">
        <v>8.33</v>
      </c>
      <c r="UU129" s="15" t="n">
        <v>5.52</v>
      </c>
      <c r="UV129" s="15" t="n">
        <v>0</v>
      </c>
      <c r="UW129" s="15" t="n">
        <v>0</v>
      </c>
      <c r="UX129" s="15" t="n">
        <v>0</v>
      </c>
      <c r="UY129" s="15" t="n">
        <v>0</v>
      </c>
      <c r="UZ129" s="15" t="n">
        <v>0</v>
      </c>
      <c r="VA129" s="15" t="n">
        <v>0</v>
      </c>
      <c r="VB129" s="15" t="s">
        <v>388</v>
      </c>
      <c r="VC129" s="15" t="n">
        <v>64</v>
      </c>
      <c r="VD129" s="17" t="n">
        <v>79.5</v>
      </c>
      <c r="VE129" s="17" t="n">
        <v>114</v>
      </c>
      <c r="VF129" s="17" t="n">
        <v>15</v>
      </c>
      <c r="VG129" s="17" t="n">
        <v>88.29</v>
      </c>
      <c r="VH129" s="17" t="n">
        <v>0</v>
      </c>
      <c r="VI129" s="17" t="n">
        <v>9.81</v>
      </c>
      <c r="VJ129" s="17" t="n">
        <v>1.64</v>
      </c>
      <c r="VK129" s="17" t="n">
        <v>0.26</v>
      </c>
      <c r="VL129" s="17" t="n">
        <v>0</v>
      </c>
      <c r="VM129" s="17" t="n">
        <v>0</v>
      </c>
      <c r="VN129" s="17" t="n">
        <v>0</v>
      </c>
      <c r="VO129" s="17" t="n">
        <v>0</v>
      </c>
      <c r="VP129" s="17" t="n">
        <v>0</v>
      </c>
      <c r="VQ129" s="17" t="n">
        <v>0</v>
      </c>
      <c r="VR129" s="17" t="n">
        <v>0.55</v>
      </c>
      <c r="VS129" s="17" t="n">
        <v>24</v>
      </c>
      <c r="VT129" s="17" t="n">
        <v>4.31</v>
      </c>
      <c r="VU129" s="17" t="n">
        <v>0.82</v>
      </c>
      <c r="VV129" s="17" t="n">
        <v>0</v>
      </c>
      <c r="VW129" s="17" t="n">
        <v>0</v>
      </c>
      <c r="VX129" s="17" t="n">
        <v>0</v>
      </c>
      <c r="VY129" s="17"/>
      <c r="WK129" s="15" t="n">
        <v>40.4</v>
      </c>
      <c r="WL129" s="15" t="n">
        <v>1</v>
      </c>
      <c r="WM129" s="15" t="n">
        <v>38</v>
      </c>
      <c r="WN129" s="15" t="n">
        <v>9</v>
      </c>
      <c r="WO129" s="15" t="n">
        <v>5.52</v>
      </c>
      <c r="WP129" s="15" t="n">
        <v>5</v>
      </c>
      <c r="WQ129" s="15" t="n">
        <v>23</v>
      </c>
      <c r="WR129" s="15" t="n">
        <v>1</v>
      </c>
      <c r="WS129" s="15" t="n">
        <v>0.09</v>
      </c>
      <c r="WT129" s="15" t="n">
        <v>3</v>
      </c>
      <c r="WW129" s="31"/>
      <c r="XA129" s="31"/>
      <c r="XE129" s="31"/>
      <c r="XI129" s="31"/>
      <c r="XM129" s="31"/>
      <c r="XO129" s="15" t="n">
        <v>0</v>
      </c>
      <c r="YZ129" s="15" t="n">
        <v>0</v>
      </c>
      <c r="ZA129" s="15" t="n">
        <v>0</v>
      </c>
      <c r="ZK129" s="15" t="n">
        <v>8.33</v>
      </c>
      <c r="ZL129" s="15" t="n">
        <v>5.52</v>
      </c>
      <c r="ZM129" s="15" t="n">
        <v>0</v>
      </c>
      <c r="ZN129" s="15" t="n">
        <v>0</v>
      </c>
      <c r="ZO129" s="15" t="n">
        <v>0</v>
      </c>
      <c r="ZP129" s="15" t="n">
        <v>0</v>
      </c>
      <c r="ZQ129" s="15" t="n">
        <v>0</v>
      </c>
      <c r="ZR129" s="15" t="n">
        <v>0</v>
      </c>
      <c r="ZS129" s="15" t="s">
        <v>196</v>
      </c>
      <c r="ZT129" s="15" t="n">
        <v>24.5</v>
      </c>
      <c r="ZU129" s="17" t="n">
        <v>58.4</v>
      </c>
      <c r="ZV129" s="17" t="n">
        <v>114</v>
      </c>
      <c r="ZW129" s="17" t="n">
        <v>12</v>
      </c>
      <c r="ZX129" s="17" t="n">
        <v>92.09</v>
      </c>
      <c r="ZY129" s="17" t="n">
        <v>0</v>
      </c>
      <c r="ZZ129" s="17" t="n">
        <v>0</v>
      </c>
      <c r="AAA129" s="17" t="n">
        <v>5.57</v>
      </c>
      <c r="AAB129" s="17" t="n">
        <v>2.35</v>
      </c>
      <c r="AAC129" s="17" t="n">
        <v>0</v>
      </c>
      <c r="AAD129" s="17" t="n">
        <v>0</v>
      </c>
      <c r="AAE129" s="17" t="n">
        <v>0</v>
      </c>
      <c r="AAF129" s="17" t="n">
        <v>0</v>
      </c>
      <c r="AAG129" s="17" t="n">
        <v>0</v>
      </c>
      <c r="AAH129" s="17" t="n">
        <v>0</v>
      </c>
      <c r="AAI129" s="17" t="n">
        <v>8.58</v>
      </c>
      <c r="AAJ129" s="17" t="n">
        <v>3.1</v>
      </c>
      <c r="AAK129" s="17" t="n">
        <v>0.55</v>
      </c>
      <c r="AAL129" s="17" t="n">
        <v>0.71</v>
      </c>
      <c r="AAM129" s="17" t="n">
        <v>0</v>
      </c>
      <c r="AAN129" s="17" t="n">
        <v>0</v>
      </c>
      <c r="AAO129" s="17" t="n">
        <v>0</v>
      </c>
      <c r="ABB129" s="15" t="n">
        <v>7.2</v>
      </c>
      <c r="ABC129" s="15" t="n">
        <v>1</v>
      </c>
      <c r="ABD129" s="17" t="n">
        <v>30</v>
      </c>
      <c r="ABE129" s="17" t="n">
        <v>2</v>
      </c>
      <c r="ABF129" s="17" t="n">
        <v>1.09</v>
      </c>
      <c r="ABG129" s="17" t="n">
        <v>4</v>
      </c>
      <c r="ABH129" s="17" t="n">
        <v>30</v>
      </c>
      <c r="ABI129" s="17" t="n">
        <v>2</v>
      </c>
      <c r="ABJ129" s="17" t="n">
        <v>0.27</v>
      </c>
      <c r="ABK129" s="17" t="n">
        <v>2</v>
      </c>
      <c r="ABL129" s="17" t="n">
        <v>34</v>
      </c>
      <c r="ABM129" s="17" t="n">
        <v>1</v>
      </c>
      <c r="ABN129" s="31" t="n">
        <v>1.09</v>
      </c>
      <c r="ABO129" s="17" t="n">
        <v>1</v>
      </c>
      <c r="ABR129" s="31"/>
      <c r="ABV129" s="31"/>
      <c r="ABZ129" s="31"/>
      <c r="ACD129" s="31"/>
      <c r="ACF129" s="15" t="n">
        <v>0</v>
      </c>
      <c r="ADQ129" s="15" t="n">
        <v>0</v>
      </c>
      <c r="ADR129" s="15" t="n">
        <v>0</v>
      </c>
      <c r="AEB129" s="15" t="n">
        <v>5.3</v>
      </c>
      <c r="AEC129" s="15" t="n">
        <f aca="false">0.27+8.58+0.32</f>
        <v>9.17</v>
      </c>
      <c r="AED129" s="15" t="n">
        <v>0</v>
      </c>
      <c r="AEE129" s="15" t="n">
        <v>0</v>
      </c>
      <c r="AEF129" s="15" t="n">
        <v>0</v>
      </c>
      <c r="AEG129" s="15" t="n">
        <v>8.58</v>
      </c>
      <c r="AEH129" s="15" t="n">
        <v>0</v>
      </c>
      <c r="AEI129" s="15" t="n">
        <v>0</v>
      </c>
      <c r="AEJ129" s="15" t="s">
        <v>195</v>
      </c>
      <c r="AEK129" s="15" t="n">
        <v>22</v>
      </c>
      <c r="AEL129" s="17" t="n">
        <v>44.2</v>
      </c>
      <c r="AEM129" s="17" t="n">
        <v>114</v>
      </c>
      <c r="AEN129" s="17" t="n">
        <v>10.9</v>
      </c>
      <c r="AEO129" s="17" t="n">
        <v>92.8</v>
      </c>
      <c r="AEP129" s="17" t="n">
        <v>0</v>
      </c>
      <c r="AEQ129" s="17" t="n">
        <v>0</v>
      </c>
      <c r="AER129" s="17" t="n">
        <v>5.57</v>
      </c>
      <c r="AES129" s="17" t="n">
        <v>1.64</v>
      </c>
      <c r="AET129" s="17" t="n">
        <v>0</v>
      </c>
      <c r="AEU129" s="17" t="n">
        <v>0</v>
      </c>
      <c r="AEV129" s="17" t="n">
        <v>0</v>
      </c>
      <c r="AEW129" s="17" t="n">
        <v>0</v>
      </c>
      <c r="AEX129" s="17" t="n">
        <v>0</v>
      </c>
      <c r="AEY129" s="17" t="n">
        <v>0</v>
      </c>
      <c r="AEZ129" s="17" t="n">
        <v>8.58</v>
      </c>
      <c r="AFA129" s="17" t="n">
        <v>1.57</v>
      </c>
      <c r="AFB129" s="17" t="n">
        <v>0.55</v>
      </c>
      <c r="AFC129" s="17" t="n">
        <v>0</v>
      </c>
      <c r="AFD129" s="17" t="n">
        <v>0</v>
      </c>
      <c r="AFE129" s="17" t="n">
        <v>0</v>
      </c>
      <c r="AFF129" s="17" t="n">
        <v>0</v>
      </c>
      <c r="AFS129" s="15" t="n">
        <v>7.15</v>
      </c>
      <c r="AFT129" s="15" t="n">
        <v>1</v>
      </c>
      <c r="AFU129" s="17" t="n">
        <v>30</v>
      </c>
      <c r="AFV129" s="17" t="n">
        <v>2</v>
      </c>
      <c r="AFW129" s="17" t="n">
        <v>1.09</v>
      </c>
      <c r="AFX129" s="17" t="n">
        <v>4</v>
      </c>
      <c r="AFY129" s="17" t="n">
        <v>30</v>
      </c>
      <c r="AFZ129" s="17" t="n">
        <v>2</v>
      </c>
      <c r="AGA129" s="17" t="n">
        <v>0.27</v>
      </c>
      <c r="AGB129" s="17" t="n">
        <v>2</v>
      </c>
      <c r="AGC129" s="17" t="n">
        <v>34</v>
      </c>
      <c r="AGD129" s="17" t="n">
        <v>1</v>
      </c>
      <c r="AGE129" s="31" t="n">
        <v>1.09</v>
      </c>
      <c r="AGF129" s="17" t="n">
        <v>1</v>
      </c>
      <c r="AGI129" s="31"/>
      <c r="AGM129" s="31"/>
      <c r="AGQ129" s="31"/>
      <c r="AGU129" s="31"/>
      <c r="AIH129" s="15" t="n">
        <v>0</v>
      </c>
      <c r="AII129" s="15" t="n">
        <v>0</v>
      </c>
      <c r="AIS129" s="15" t="n">
        <v>2.59</v>
      </c>
      <c r="AIT129" s="15" t="n">
        <f aca="false">0.27+0.32</f>
        <v>0.59</v>
      </c>
      <c r="AIU129" s="15" t="n">
        <v>0</v>
      </c>
      <c r="AIV129" s="15" t="n">
        <v>0</v>
      </c>
      <c r="AIW129" s="15" t="n">
        <v>0</v>
      </c>
      <c r="AIX129" s="15" t="n">
        <v>0</v>
      </c>
      <c r="AIY129" s="15" t="n">
        <v>1.03</v>
      </c>
      <c r="AIZ129" s="15" t="n">
        <v>0</v>
      </c>
      <c r="AJA129" s="15" t="s">
        <v>389</v>
      </c>
      <c r="AJB129" s="15" t="n">
        <v>10</v>
      </c>
      <c r="AJC129" s="17" t="n">
        <v>46.2</v>
      </c>
      <c r="AJD129" s="17" t="n">
        <v>114</v>
      </c>
      <c r="AJE129" s="17" t="n">
        <v>6.3</v>
      </c>
      <c r="AJF129" s="17" t="n">
        <v>0</v>
      </c>
      <c r="AJG129" s="17" t="n">
        <v>0</v>
      </c>
      <c r="AJH129" s="17" t="n">
        <v>1.91</v>
      </c>
      <c r="AJI129" s="17" t="n">
        <v>0</v>
      </c>
      <c r="AJJ129" s="17" t="n">
        <v>1.91</v>
      </c>
      <c r="AJK129" s="17" t="n">
        <v>0</v>
      </c>
      <c r="AJL129" s="17" t="n">
        <v>0</v>
      </c>
      <c r="AJM129" s="17" t="n">
        <v>0</v>
      </c>
      <c r="AJN129" s="17" t="n">
        <v>0</v>
      </c>
      <c r="AJO129" s="17" t="n">
        <v>0</v>
      </c>
      <c r="AJP129" s="17" t="n">
        <v>0</v>
      </c>
      <c r="AJQ129" s="17" t="n">
        <v>0</v>
      </c>
      <c r="AJR129" s="17" t="n">
        <v>8.85</v>
      </c>
      <c r="AJS129" s="17" t="n">
        <v>4.36</v>
      </c>
      <c r="AJT129" s="17" t="n">
        <v>0</v>
      </c>
      <c r="AJU129" s="17" t="n">
        <v>0</v>
      </c>
      <c r="AJV129" s="17" t="n">
        <v>0</v>
      </c>
      <c r="AKJ129" s="15" t="n">
        <v>0</v>
      </c>
      <c r="AKV129" s="31"/>
      <c r="AKZ129" s="31"/>
      <c r="ALD129" s="31"/>
      <c r="ALH129" s="31"/>
      <c r="ALL129" s="31"/>
      <c r="ALN129" s="15" t="n">
        <v>0</v>
      </c>
    </row>
    <row r="130" customFormat="false" ht="13.8" hidden="false" customHeight="false" outlineLevel="0" collapsed="false">
      <c r="A130" s="1" t="s">
        <v>568</v>
      </c>
      <c r="B130" s="12" t="n">
        <v>42894</v>
      </c>
      <c r="C130" s="0" t="n">
        <v>2</v>
      </c>
      <c r="D130" s="13" t="n">
        <v>36642</v>
      </c>
      <c r="E130" s="12" t="n">
        <v>22783</v>
      </c>
      <c r="F130" s="14" t="n">
        <f aca="false">(B130-E130)/365.25</f>
        <v>55.0609171800137</v>
      </c>
      <c r="G130" s="14" t="n">
        <f aca="false">(B130-D130)/365.25</f>
        <v>17.1170431211499</v>
      </c>
      <c r="H130" s="15" t="s">
        <v>183</v>
      </c>
      <c r="I130" s="15" t="s">
        <v>383</v>
      </c>
      <c r="J130" s="15" t="s">
        <v>183</v>
      </c>
      <c r="K130" s="21" t="n">
        <v>8</v>
      </c>
      <c r="L130" s="19" t="n">
        <v>68</v>
      </c>
      <c r="M130" s="0" t="n">
        <v>1.76</v>
      </c>
      <c r="N130" s="16" t="n">
        <f aca="false">L130/(M130*M130)</f>
        <v>21.952479338843</v>
      </c>
      <c r="O130" s="19" t="n">
        <v>1</v>
      </c>
      <c r="P130" s="19" t="n">
        <v>0</v>
      </c>
      <c r="Q130" s="19" t="n">
        <v>0</v>
      </c>
      <c r="R130" s="19" t="n">
        <v>0</v>
      </c>
      <c r="S130" s="19" t="n">
        <v>0</v>
      </c>
      <c r="T130" s="19" t="n">
        <v>0</v>
      </c>
      <c r="U130" s="19" t="n">
        <v>1</v>
      </c>
      <c r="V130" s="19" t="n">
        <v>5</v>
      </c>
      <c r="W130" s="19" t="n">
        <v>1</v>
      </c>
      <c r="X130" s="19" t="n">
        <v>1</v>
      </c>
      <c r="Y130" s="19" t="n">
        <v>1</v>
      </c>
      <c r="Z130" s="19" t="n">
        <v>2</v>
      </c>
      <c r="AA130" s="19" t="n">
        <v>30</v>
      </c>
      <c r="AB130" s="19" t="s">
        <v>215</v>
      </c>
      <c r="AC130" s="19" t="n">
        <v>1</v>
      </c>
      <c r="AD130" s="19" t="n">
        <v>20</v>
      </c>
      <c r="AE130" s="19" t="n">
        <v>1</v>
      </c>
      <c r="AF130" s="19"/>
      <c r="AG130" s="19"/>
      <c r="AH130" s="19"/>
      <c r="AI130" s="19" t="n">
        <v>3</v>
      </c>
      <c r="AJ130" s="19" t="n">
        <v>2</v>
      </c>
      <c r="AK130" s="19" t="n">
        <v>2</v>
      </c>
      <c r="AL130" s="19" t="n">
        <v>0</v>
      </c>
      <c r="AM130" s="19" t="n">
        <v>4</v>
      </c>
      <c r="AN130" s="19" t="n">
        <v>1</v>
      </c>
      <c r="AO130" s="19"/>
      <c r="AP130" s="19"/>
      <c r="AQ130" s="19"/>
      <c r="AR130" s="19"/>
      <c r="AS130" s="19" t="n">
        <v>3</v>
      </c>
      <c r="AT130" s="19" t="n">
        <v>3</v>
      </c>
      <c r="AU130" s="19" t="n">
        <v>3</v>
      </c>
      <c r="AV130" s="19" t="n">
        <v>5</v>
      </c>
      <c r="AW130" s="19"/>
      <c r="AX130" s="19" t="n">
        <v>0</v>
      </c>
      <c r="AY130" s="19" t="n">
        <v>0</v>
      </c>
      <c r="AZ130" s="19" t="n">
        <v>0</v>
      </c>
      <c r="BA130" s="19" t="n">
        <v>0</v>
      </c>
      <c r="BB130" s="19" t="n">
        <v>1</v>
      </c>
      <c r="BC130" s="19" t="n">
        <v>1</v>
      </c>
      <c r="BD130" s="19" t="n">
        <v>1</v>
      </c>
      <c r="BE130" s="19" t="n">
        <v>3</v>
      </c>
      <c r="BF130" s="19" t="n">
        <v>0</v>
      </c>
      <c r="BG130" s="19" t="n">
        <v>0</v>
      </c>
      <c r="BH130" s="19" t="n">
        <v>0</v>
      </c>
      <c r="BI130" s="19" t="n">
        <v>0</v>
      </c>
      <c r="BJ130" s="19" t="n">
        <v>1</v>
      </c>
      <c r="BK130" s="19" t="n">
        <v>1</v>
      </c>
      <c r="BL130" s="19" t="n">
        <v>1</v>
      </c>
      <c r="BM130" s="19" t="n">
        <v>5</v>
      </c>
      <c r="BN130" s="19" t="n">
        <v>1</v>
      </c>
      <c r="BO130" s="19" t="n">
        <v>1</v>
      </c>
      <c r="BP130" s="19" t="n">
        <v>1</v>
      </c>
      <c r="BQ130" s="19" t="n">
        <v>6</v>
      </c>
      <c r="BR130" s="19" t="n">
        <v>3</v>
      </c>
      <c r="BS130" s="19" t="n">
        <v>5</v>
      </c>
      <c r="BT130" s="19" t="n">
        <v>5</v>
      </c>
      <c r="BU130" s="19" t="n">
        <v>5</v>
      </c>
      <c r="BV130" s="19" t="n">
        <v>5</v>
      </c>
      <c r="BW130" s="19" t="n">
        <v>5</v>
      </c>
      <c r="BX130" s="19" t="n">
        <v>5</v>
      </c>
      <c r="BY130" s="19" t="n">
        <v>5</v>
      </c>
      <c r="BZ130" s="19" t="n">
        <v>2</v>
      </c>
      <c r="CA130" s="19" t="n">
        <v>4</v>
      </c>
      <c r="CB130" s="19" t="n">
        <v>4</v>
      </c>
      <c r="CC130" s="19" t="n">
        <v>5</v>
      </c>
      <c r="CD130" s="19" t="n">
        <v>2</v>
      </c>
      <c r="CE130" s="19" t="n">
        <v>4</v>
      </c>
      <c r="CF130" s="19" t="n">
        <v>5</v>
      </c>
      <c r="CG130" s="19" t="n">
        <v>5</v>
      </c>
      <c r="CH130" s="19" t="n">
        <v>4</v>
      </c>
      <c r="CI130" s="19" t="n">
        <v>5</v>
      </c>
      <c r="CJ130" s="19" t="n">
        <v>3</v>
      </c>
      <c r="CK130" s="19" t="n">
        <v>8</v>
      </c>
      <c r="CL130" s="30" t="s">
        <v>384</v>
      </c>
      <c r="CM130" s="15" t="n">
        <v>28.5</v>
      </c>
      <c r="CN130" s="17" t="n">
        <v>69.3</v>
      </c>
      <c r="CO130" s="17" t="n">
        <v>114</v>
      </c>
      <c r="CP130" s="17" t="n">
        <v>19.5</v>
      </c>
      <c r="CQ130" s="17" t="n">
        <v>79.15</v>
      </c>
      <c r="CR130" s="17" t="n">
        <v>0</v>
      </c>
      <c r="CS130" s="17" t="n">
        <v>3.87</v>
      </c>
      <c r="CT130" s="17" t="n">
        <v>2.86</v>
      </c>
      <c r="CU130" s="17" t="n">
        <v>14.12</v>
      </c>
      <c r="CV130" s="17" t="n">
        <v>0</v>
      </c>
      <c r="CW130" s="17" t="n">
        <v>0</v>
      </c>
      <c r="CX130" s="17" t="n">
        <v>0</v>
      </c>
      <c r="CY130" s="17" t="n">
        <v>0</v>
      </c>
      <c r="CZ130" s="17" t="n">
        <v>0</v>
      </c>
      <c r="DA130" s="17" t="n">
        <v>0</v>
      </c>
      <c r="DB130" s="17" t="n">
        <v>0.82</v>
      </c>
      <c r="DC130" s="17" t="n">
        <v>11.71</v>
      </c>
      <c r="DD130" s="17" t="n">
        <v>15.43</v>
      </c>
      <c r="DE130" s="17" t="n">
        <v>4.91</v>
      </c>
      <c r="DF130" s="17" t="n">
        <v>0</v>
      </c>
      <c r="DG130" s="17" t="n">
        <v>0</v>
      </c>
      <c r="DH130" s="17" t="n">
        <v>0</v>
      </c>
      <c r="DI130" s="17" t="n">
        <v>0</v>
      </c>
      <c r="DJ130" s="17" t="n">
        <v>0</v>
      </c>
      <c r="DK130" s="17" t="n">
        <v>0</v>
      </c>
      <c r="DL130" s="17" t="n">
        <v>0</v>
      </c>
      <c r="DM130" s="17" t="n">
        <v>0</v>
      </c>
      <c r="DN130" s="17" t="n">
        <v>0</v>
      </c>
      <c r="DO130" s="17" t="n">
        <v>0</v>
      </c>
      <c r="DP130" s="17" t="n">
        <v>0</v>
      </c>
      <c r="DQ130" s="17" t="n">
        <v>0</v>
      </c>
      <c r="DR130" s="17" t="n">
        <v>0</v>
      </c>
      <c r="DS130" s="17" t="n">
        <v>0</v>
      </c>
      <c r="DT130" s="17" t="n">
        <v>0</v>
      </c>
      <c r="DU130" s="17" t="n">
        <v>0</v>
      </c>
      <c r="DV130" s="17" t="n">
        <v>0</v>
      </c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31"/>
      <c r="EH130" s="17"/>
      <c r="EK130" s="31"/>
      <c r="EO130" s="31"/>
      <c r="ES130" s="31"/>
      <c r="EW130" s="31"/>
      <c r="EY130" s="15" t="n">
        <v>0</v>
      </c>
      <c r="GJ130" s="15" t="n">
        <v>0</v>
      </c>
      <c r="GK130" s="15" t="n">
        <v>0</v>
      </c>
      <c r="GU130" s="15" t="n">
        <v>8.7</v>
      </c>
      <c r="GV130" s="15" t="n">
        <f aca="false">3.27*4+1.23+0.08+0.52*2</f>
        <v>15.43</v>
      </c>
      <c r="GW130" s="15" t="n">
        <v>0</v>
      </c>
      <c r="GX130" s="15" t="n">
        <v>0</v>
      </c>
      <c r="GY130" s="15" t="n">
        <v>0</v>
      </c>
      <c r="GZ130" s="15" t="n">
        <v>0</v>
      </c>
      <c r="HA130" s="15" t="n">
        <v>0</v>
      </c>
      <c r="HB130" s="15" t="n">
        <v>0</v>
      </c>
      <c r="HC130" s="15" t="s">
        <v>385</v>
      </c>
      <c r="HD130" s="15" t="n">
        <v>38.5</v>
      </c>
      <c r="HE130" s="17" t="n">
        <v>55</v>
      </c>
      <c r="HF130" s="17" t="n">
        <v>114</v>
      </c>
      <c r="HG130" s="17" t="n">
        <v>7.8</v>
      </c>
      <c r="HH130" s="17" t="n">
        <v>95.15</v>
      </c>
      <c r="HI130" s="17" t="n">
        <v>0</v>
      </c>
      <c r="HJ130" s="17" t="n">
        <v>3.78</v>
      </c>
      <c r="HK130" s="17" t="n">
        <v>0</v>
      </c>
      <c r="HL130" s="17" t="n">
        <v>1.07</v>
      </c>
      <c r="HM130" s="17" t="n">
        <v>0</v>
      </c>
      <c r="HN130" s="17" t="n">
        <v>0</v>
      </c>
      <c r="HO130" s="17" t="n">
        <v>0</v>
      </c>
      <c r="HP130" s="17" t="n">
        <v>0</v>
      </c>
      <c r="HQ130" s="17" t="n">
        <v>0</v>
      </c>
      <c r="HR130" s="17" t="n">
        <v>0</v>
      </c>
      <c r="HS130" s="17" t="n">
        <v>0</v>
      </c>
      <c r="HT130" s="17" t="n">
        <v>15.05</v>
      </c>
      <c r="HU130" s="17" t="n">
        <v>4.58</v>
      </c>
      <c r="HV130" s="17" t="n">
        <v>0.1</v>
      </c>
      <c r="HW130" s="17" t="n">
        <v>0</v>
      </c>
      <c r="HX130" s="17" t="n">
        <v>0</v>
      </c>
      <c r="HY130" s="17" t="n">
        <v>0</v>
      </c>
      <c r="IL130" s="15" t="n">
        <v>22.8</v>
      </c>
      <c r="IM130" s="15" t="n">
        <v>1</v>
      </c>
      <c r="IN130" s="15" t="n">
        <v>38</v>
      </c>
      <c r="IO130" s="15" t="n">
        <v>5</v>
      </c>
      <c r="IP130" s="15" t="n">
        <f aca="false">2.45+1.09</f>
        <v>3.54</v>
      </c>
      <c r="IQ130" s="15" t="n">
        <v>5</v>
      </c>
      <c r="IX130" s="31"/>
      <c r="JB130" s="31"/>
      <c r="JF130" s="31"/>
      <c r="JJ130" s="31"/>
      <c r="JN130" s="31"/>
      <c r="JP130" s="15" t="n">
        <v>0</v>
      </c>
      <c r="LA130" s="15" t="n">
        <v>0</v>
      </c>
      <c r="LB130" s="15" t="n">
        <v>0</v>
      </c>
      <c r="LL130" s="15" t="n">
        <v>7.84</v>
      </c>
      <c r="LM130" s="15" t="n">
        <f aca="false">2.45+1.09</f>
        <v>3.54</v>
      </c>
      <c r="LN130" s="15" t="n">
        <v>0</v>
      </c>
      <c r="LO130" s="15" t="n">
        <v>0</v>
      </c>
      <c r="LP130" s="15" t="n">
        <v>0</v>
      </c>
      <c r="LQ130" s="15" t="n">
        <v>0</v>
      </c>
      <c r="LR130" s="15" t="n">
        <v>0</v>
      </c>
      <c r="LS130" s="15" t="n">
        <v>0</v>
      </c>
      <c r="LT130" s="15" t="s">
        <v>386</v>
      </c>
      <c r="LU130" s="15" t="n">
        <v>38</v>
      </c>
      <c r="LV130" s="17" t="n">
        <v>48.8</v>
      </c>
      <c r="LW130" s="17" t="n">
        <v>114</v>
      </c>
      <c r="LX130" s="17" t="n">
        <v>7.2</v>
      </c>
      <c r="LY130" s="17" t="n">
        <v>96.13</v>
      </c>
      <c r="LZ130" s="17" t="n">
        <v>0</v>
      </c>
      <c r="MA130" s="17" t="n">
        <v>3.78</v>
      </c>
      <c r="MB130" s="17" t="n">
        <v>0</v>
      </c>
      <c r="MC130" s="17" t="n">
        <v>0.1</v>
      </c>
      <c r="MD130" s="17" t="n">
        <v>0</v>
      </c>
      <c r="ME130" s="17" t="n">
        <v>0</v>
      </c>
      <c r="MF130" s="17" t="n">
        <v>0</v>
      </c>
      <c r="MG130" s="17" t="n">
        <v>0</v>
      </c>
      <c r="MH130" s="17" t="n">
        <v>0</v>
      </c>
      <c r="MI130" s="17" t="n">
        <v>0</v>
      </c>
      <c r="MJ130" s="17" t="n">
        <v>0</v>
      </c>
      <c r="MK130" s="17" t="n">
        <v>12.85</v>
      </c>
      <c r="ML130" s="17" t="n">
        <v>4.58</v>
      </c>
      <c r="MM130" s="17" t="n">
        <v>0.1</v>
      </c>
      <c r="MN130" s="17" t="n">
        <v>0</v>
      </c>
      <c r="MO130" s="17" t="n">
        <v>0</v>
      </c>
      <c r="MP130" s="17" t="n">
        <v>0</v>
      </c>
      <c r="NC130" s="15" t="n">
        <v>22.8</v>
      </c>
      <c r="ND130" s="15" t="n">
        <v>1</v>
      </c>
      <c r="NE130" s="15" t="n">
        <v>38</v>
      </c>
      <c r="NF130" s="15" t="n">
        <v>5</v>
      </c>
      <c r="NG130" s="15" t="n">
        <f aca="false">2.45+1.09</f>
        <v>3.54</v>
      </c>
      <c r="NH130" s="15" t="n">
        <v>5</v>
      </c>
      <c r="NI130" s="15" t="n">
        <v>20</v>
      </c>
      <c r="NJ130" s="15" t="n">
        <v>4</v>
      </c>
      <c r="NK130" s="15" t="n">
        <v>0.29</v>
      </c>
      <c r="NL130" s="15" t="n">
        <v>2</v>
      </c>
      <c r="NO130" s="31"/>
      <c r="NS130" s="31"/>
      <c r="NW130" s="31"/>
      <c r="OA130" s="31"/>
      <c r="OE130" s="31"/>
      <c r="OG130" s="15" t="n">
        <v>0</v>
      </c>
      <c r="PR130" s="15" t="n">
        <v>0</v>
      </c>
      <c r="PS130" s="15" t="n">
        <v>0</v>
      </c>
      <c r="QC130" s="15" t="n">
        <v>7.84</v>
      </c>
      <c r="QD130" s="15" t="n">
        <f aca="false">2.45+1.09</f>
        <v>3.54</v>
      </c>
      <c r="QE130" s="15" t="n">
        <v>0</v>
      </c>
      <c r="QF130" s="15" t="n">
        <v>0</v>
      </c>
      <c r="QG130" s="15" t="n">
        <v>0</v>
      </c>
      <c r="QH130" s="15" t="n">
        <v>0</v>
      </c>
      <c r="QI130" s="15" t="n">
        <v>0</v>
      </c>
      <c r="QJ130" s="15" t="n">
        <v>0</v>
      </c>
      <c r="QK130" s="15" t="s">
        <v>387</v>
      </c>
      <c r="QL130" s="15" t="n">
        <v>64</v>
      </c>
      <c r="QM130" s="17" t="n">
        <v>70.6</v>
      </c>
      <c r="QN130" s="17" t="n">
        <v>114</v>
      </c>
      <c r="QO130" s="17" t="n">
        <v>14.9</v>
      </c>
      <c r="QP130" s="17" t="n">
        <v>88.29</v>
      </c>
      <c r="QQ130" s="17" t="n">
        <v>0</v>
      </c>
      <c r="QR130" s="17" t="n">
        <v>9.81</v>
      </c>
      <c r="QS130" s="17" t="n">
        <v>1.64</v>
      </c>
      <c r="QT130" s="17" t="n">
        <v>0.26</v>
      </c>
      <c r="QU130" s="17" t="n">
        <v>0</v>
      </c>
      <c r="QV130" s="17" t="n">
        <v>0</v>
      </c>
      <c r="QW130" s="17" t="n">
        <v>0</v>
      </c>
      <c r="QX130" s="17" t="n">
        <v>0</v>
      </c>
      <c r="QY130" s="17" t="n">
        <v>0</v>
      </c>
      <c r="QZ130" s="17" t="n">
        <v>0</v>
      </c>
      <c r="RA130" s="17" t="n">
        <v>0.55</v>
      </c>
      <c r="RB130" s="17" t="n">
        <v>22.64</v>
      </c>
      <c r="RC130" s="17" t="n">
        <v>2.58</v>
      </c>
      <c r="RD130" s="17" t="n">
        <v>0.13</v>
      </c>
      <c r="RE130" s="17" t="n">
        <v>0</v>
      </c>
      <c r="RF130" s="17" t="n">
        <v>0</v>
      </c>
      <c r="RG130" s="17" t="n">
        <v>0</v>
      </c>
      <c r="RT130" s="15" t="n">
        <v>40.4</v>
      </c>
      <c r="RU130" s="15" t="n">
        <v>1</v>
      </c>
      <c r="RV130" s="15" t="n">
        <v>38</v>
      </c>
      <c r="RW130" s="15" t="n">
        <v>9</v>
      </c>
      <c r="RX130" s="15" t="n">
        <v>5.52</v>
      </c>
      <c r="RY130" s="15" t="n">
        <v>5</v>
      </c>
      <c r="RZ130" s="15" t="n">
        <v>23</v>
      </c>
      <c r="SA130" s="15" t="n">
        <v>1</v>
      </c>
      <c r="SB130" s="15" t="n">
        <v>0.09</v>
      </c>
      <c r="SC130" s="15" t="n">
        <v>3</v>
      </c>
      <c r="SF130" s="31"/>
      <c r="SJ130" s="31"/>
      <c r="SN130" s="31"/>
      <c r="SR130" s="31"/>
      <c r="SV130" s="31"/>
      <c r="SX130" s="15" t="n">
        <v>0</v>
      </c>
      <c r="UI130" s="15" t="n">
        <v>0</v>
      </c>
      <c r="UJ130" s="15" t="n">
        <v>0</v>
      </c>
      <c r="UT130" s="15" t="n">
        <v>8.33</v>
      </c>
      <c r="UU130" s="15" t="n">
        <v>5.52</v>
      </c>
      <c r="UV130" s="15" t="n">
        <v>0</v>
      </c>
      <c r="UW130" s="15" t="n">
        <v>0</v>
      </c>
      <c r="UX130" s="15" t="n">
        <v>0</v>
      </c>
      <c r="UY130" s="15" t="n">
        <v>0</v>
      </c>
      <c r="UZ130" s="15" t="n">
        <v>0</v>
      </c>
      <c r="VA130" s="15" t="n">
        <v>0</v>
      </c>
      <c r="VB130" s="15" t="s">
        <v>388</v>
      </c>
      <c r="VC130" s="15" t="n">
        <v>64</v>
      </c>
      <c r="VD130" s="17" t="n">
        <v>79.5</v>
      </c>
      <c r="VE130" s="17" t="n">
        <v>114</v>
      </c>
      <c r="VF130" s="17" t="n">
        <v>15</v>
      </c>
      <c r="VG130" s="17" t="n">
        <v>88.29</v>
      </c>
      <c r="VH130" s="17" t="n">
        <v>0</v>
      </c>
      <c r="VI130" s="17" t="n">
        <v>9.81</v>
      </c>
      <c r="VJ130" s="17" t="n">
        <v>1.64</v>
      </c>
      <c r="VK130" s="17" t="n">
        <v>0.26</v>
      </c>
      <c r="VL130" s="17" t="n">
        <v>0</v>
      </c>
      <c r="VM130" s="17" t="n">
        <v>0</v>
      </c>
      <c r="VN130" s="17" t="n">
        <v>0</v>
      </c>
      <c r="VO130" s="17" t="n">
        <v>0</v>
      </c>
      <c r="VP130" s="17" t="n">
        <v>0</v>
      </c>
      <c r="VQ130" s="17" t="n">
        <v>0</v>
      </c>
      <c r="VR130" s="17" t="n">
        <v>0.55</v>
      </c>
      <c r="VS130" s="17" t="n">
        <v>24</v>
      </c>
      <c r="VT130" s="17" t="n">
        <v>4.31</v>
      </c>
      <c r="VU130" s="17" t="n">
        <v>0.82</v>
      </c>
      <c r="VV130" s="17" t="n">
        <v>0</v>
      </c>
      <c r="VW130" s="17" t="n">
        <v>0</v>
      </c>
      <c r="VX130" s="17" t="n">
        <v>0</v>
      </c>
      <c r="VY130" s="17"/>
      <c r="WK130" s="15" t="n">
        <v>40.4</v>
      </c>
      <c r="WL130" s="15" t="n">
        <v>1</v>
      </c>
      <c r="WM130" s="15" t="n">
        <v>38</v>
      </c>
      <c r="WN130" s="15" t="n">
        <v>9</v>
      </c>
      <c r="WO130" s="15" t="n">
        <v>5.52</v>
      </c>
      <c r="WP130" s="15" t="n">
        <v>5</v>
      </c>
      <c r="WQ130" s="15" t="n">
        <v>23</v>
      </c>
      <c r="WR130" s="15" t="n">
        <v>1</v>
      </c>
      <c r="WS130" s="15" t="n">
        <v>0.09</v>
      </c>
      <c r="WT130" s="15" t="n">
        <v>3</v>
      </c>
      <c r="WW130" s="31"/>
      <c r="XA130" s="31"/>
      <c r="XE130" s="31"/>
      <c r="XI130" s="31"/>
      <c r="XM130" s="31"/>
      <c r="XO130" s="15" t="n">
        <v>0</v>
      </c>
      <c r="YZ130" s="15" t="n">
        <v>0</v>
      </c>
      <c r="ZA130" s="15" t="n">
        <v>0</v>
      </c>
      <c r="ZK130" s="15" t="n">
        <v>8.33</v>
      </c>
      <c r="ZL130" s="15" t="n">
        <v>5.52</v>
      </c>
      <c r="ZM130" s="15" t="n">
        <v>0</v>
      </c>
      <c r="ZN130" s="15" t="n">
        <v>0</v>
      </c>
      <c r="ZO130" s="15" t="n">
        <v>0</v>
      </c>
      <c r="ZP130" s="15" t="n">
        <v>0</v>
      </c>
      <c r="ZQ130" s="15" t="n">
        <v>0</v>
      </c>
      <c r="ZR130" s="15" t="n">
        <v>0</v>
      </c>
      <c r="ZS130" s="15" t="s">
        <v>196</v>
      </c>
      <c r="ZT130" s="15" t="n">
        <v>24.5</v>
      </c>
      <c r="ZU130" s="17" t="n">
        <v>58.4</v>
      </c>
      <c r="ZV130" s="17" t="n">
        <v>114</v>
      </c>
      <c r="ZW130" s="17" t="n">
        <v>12</v>
      </c>
      <c r="ZX130" s="17" t="n">
        <v>92.09</v>
      </c>
      <c r="ZY130" s="17" t="n">
        <v>0</v>
      </c>
      <c r="ZZ130" s="17" t="n">
        <v>0</v>
      </c>
      <c r="AAA130" s="17" t="n">
        <v>5.57</v>
      </c>
      <c r="AAB130" s="17" t="n">
        <v>2.35</v>
      </c>
      <c r="AAC130" s="17" t="n">
        <v>0</v>
      </c>
      <c r="AAD130" s="17" t="n">
        <v>0</v>
      </c>
      <c r="AAE130" s="17" t="n">
        <v>0</v>
      </c>
      <c r="AAF130" s="17" t="n">
        <v>0</v>
      </c>
      <c r="AAG130" s="17" t="n">
        <v>0</v>
      </c>
      <c r="AAH130" s="17" t="n">
        <v>0</v>
      </c>
      <c r="AAI130" s="17" t="n">
        <v>8.58</v>
      </c>
      <c r="AAJ130" s="17" t="n">
        <v>3.1</v>
      </c>
      <c r="AAK130" s="17" t="n">
        <v>0.55</v>
      </c>
      <c r="AAL130" s="17" t="n">
        <v>0.71</v>
      </c>
      <c r="AAM130" s="17" t="n">
        <v>0</v>
      </c>
      <c r="AAN130" s="17" t="n">
        <v>0</v>
      </c>
      <c r="AAO130" s="17" t="n">
        <v>0</v>
      </c>
      <c r="ABB130" s="15" t="n">
        <v>7.2</v>
      </c>
      <c r="ABC130" s="15" t="n">
        <v>1</v>
      </c>
      <c r="ABD130" s="17" t="n">
        <v>30</v>
      </c>
      <c r="ABE130" s="17" t="n">
        <v>2</v>
      </c>
      <c r="ABF130" s="17" t="n">
        <v>1.09</v>
      </c>
      <c r="ABG130" s="17" t="n">
        <v>4</v>
      </c>
      <c r="ABH130" s="17" t="n">
        <v>30</v>
      </c>
      <c r="ABI130" s="17" t="n">
        <v>2</v>
      </c>
      <c r="ABJ130" s="17" t="n">
        <v>0.27</v>
      </c>
      <c r="ABK130" s="17" t="n">
        <v>2</v>
      </c>
      <c r="ABL130" s="17" t="n">
        <v>34</v>
      </c>
      <c r="ABM130" s="17" t="n">
        <v>1</v>
      </c>
      <c r="ABN130" s="31" t="n">
        <v>1.09</v>
      </c>
      <c r="ABO130" s="17" t="n">
        <v>1</v>
      </c>
      <c r="ABR130" s="31"/>
      <c r="ABV130" s="31"/>
      <c r="ABZ130" s="31"/>
      <c r="ACD130" s="31"/>
      <c r="ACF130" s="15" t="n">
        <v>0</v>
      </c>
      <c r="ADQ130" s="15" t="n">
        <v>0</v>
      </c>
      <c r="ADR130" s="15" t="n">
        <v>0</v>
      </c>
      <c r="AEB130" s="15" t="n">
        <v>5.3</v>
      </c>
      <c r="AEC130" s="15" t="n">
        <f aca="false">0.27+8.58+0.32</f>
        <v>9.17</v>
      </c>
      <c r="AED130" s="15" t="n">
        <v>0</v>
      </c>
      <c r="AEE130" s="15" t="n">
        <v>0</v>
      </c>
      <c r="AEF130" s="15" t="n">
        <v>0</v>
      </c>
      <c r="AEG130" s="15" t="n">
        <v>8.58</v>
      </c>
      <c r="AEH130" s="15" t="n">
        <v>0</v>
      </c>
      <c r="AEI130" s="15" t="n">
        <v>0</v>
      </c>
      <c r="AEJ130" s="15" t="s">
        <v>195</v>
      </c>
      <c r="AEK130" s="15" t="n">
        <v>22</v>
      </c>
      <c r="AEL130" s="17" t="n">
        <v>44.2</v>
      </c>
      <c r="AEM130" s="17" t="n">
        <v>114</v>
      </c>
      <c r="AEN130" s="17" t="n">
        <v>10.9</v>
      </c>
      <c r="AEO130" s="17" t="n">
        <v>92.8</v>
      </c>
      <c r="AEP130" s="17" t="n">
        <v>0</v>
      </c>
      <c r="AEQ130" s="17" t="n">
        <v>0</v>
      </c>
      <c r="AER130" s="17" t="n">
        <v>5.57</v>
      </c>
      <c r="AES130" s="17" t="n">
        <v>1.64</v>
      </c>
      <c r="AET130" s="17" t="n">
        <v>0</v>
      </c>
      <c r="AEU130" s="17" t="n">
        <v>0</v>
      </c>
      <c r="AEV130" s="17" t="n">
        <v>0</v>
      </c>
      <c r="AEW130" s="17" t="n">
        <v>0</v>
      </c>
      <c r="AEX130" s="17" t="n">
        <v>0</v>
      </c>
      <c r="AEY130" s="17" t="n">
        <v>0</v>
      </c>
      <c r="AEZ130" s="17" t="n">
        <v>8.58</v>
      </c>
      <c r="AFA130" s="17" t="n">
        <v>1.57</v>
      </c>
      <c r="AFB130" s="17" t="n">
        <v>0.55</v>
      </c>
      <c r="AFC130" s="17" t="n">
        <v>0</v>
      </c>
      <c r="AFD130" s="17" t="n">
        <v>0</v>
      </c>
      <c r="AFE130" s="17" t="n">
        <v>0</v>
      </c>
      <c r="AFF130" s="17" t="n">
        <v>0</v>
      </c>
      <c r="AFS130" s="15" t="n">
        <v>7.15</v>
      </c>
      <c r="AFT130" s="15" t="n">
        <v>1</v>
      </c>
      <c r="AFU130" s="17" t="n">
        <v>30</v>
      </c>
      <c r="AFV130" s="17" t="n">
        <v>2</v>
      </c>
      <c r="AFW130" s="17" t="n">
        <v>1.09</v>
      </c>
      <c r="AFX130" s="17" t="n">
        <v>4</v>
      </c>
      <c r="AFY130" s="17" t="n">
        <v>30</v>
      </c>
      <c r="AFZ130" s="17" t="n">
        <v>2</v>
      </c>
      <c r="AGA130" s="17" t="n">
        <v>0.27</v>
      </c>
      <c r="AGB130" s="17" t="n">
        <v>2</v>
      </c>
      <c r="AGC130" s="17" t="n">
        <v>34</v>
      </c>
      <c r="AGD130" s="17" t="n">
        <v>1</v>
      </c>
      <c r="AGE130" s="31" t="n">
        <v>1.09</v>
      </c>
      <c r="AGF130" s="17" t="n">
        <v>1</v>
      </c>
      <c r="AGI130" s="31"/>
      <c r="AGM130" s="31"/>
      <c r="AGQ130" s="31"/>
      <c r="AGU130" s="31"/>
      <c r="AIH130" s="15" t="n">
        <v>0</v>
      </c>
      <c r="AII130" s="15" t="n">
        <v>0</v>
      </c>
      <c r="AIS130" s="15" t="n">
        <v>2.59</v>
      </c>
      <c r="AIT130" s="15" t="n">
        <f aca="false">0.27+0.32</f>
        <v>0.59</v>
      </c>
      <c r="AIU130" s="15" t="n">
        <v>0</v>
      </c>
      <c r="AIV130" s="15" t="n">
        <v>0</v>
      </c>
      <c r="AIW130" s="15" t="n">
        <v>0</v>
      </c>
      <c r="AIX130" s="15" t="n">
        <v>0</v>
      </c>
      <c r="AIY130" s="15" t="n">
        <v>1.03</v>
      </c>
      <c r="AIZ130" s="15" t="n">
        <v>0</v>
      </c>
      <c r="AJA130" s="15" t="s">
        <v>569</v>
      </c>
      <c r="AJB130" s="15" t="n">
        <v>10</v>
      </c>
      <c r="AJC130" s="17" t="n">
        <v>46.2</v>
      </c>
      <c r="AJD130" s="17" t="n">
        <v>114</v>
      </c>
      <c r="AJE130" s="17" t="n">
        <v>6.3</v>
      </c>
      <c r="AJF130" s="17" t="n">
        <v>0</v>
      </c>
      <c r="AJG130" s="17" t="n">
        <v>0</v>
      </c>
      <c r="AJH130" s="17" t="n">
        <v>1.91</v>
      </c>
      <c r="AJI130" s="17" t="n">
        <v>0</v>
      </c>
      <c r="AJJ130" s="17" t="n">
        <v>1.91</v>
      </c>
      <c r="AJK130" s="17" t="n">
        <v>0</v>
      </c>
      <c r="AJL130" s="17" t="n">
        <v>0</v>
      </c>
      <c r="AJM130" s="17" t="n">
        <v>0</v>
      </c>
      <c r="AJN130" s="17" t="n">
        <v>0</v>
      </c>
      <c r="AJO130" s="17" t="n">
        <v>0</v>
      </c>
      <c r="AJP130" s="17" t="n">
        <v>0</v>
      </c>
      <c r="AJQ130" s="17" t="n">
        <v>0</v>
      </c>
      <c r="AJR130" s="17" t="n">
        <v>8.85</v>
      </c>
      <c r="AJS130" s="17" t="n">
        <v>4.36</v>
      </c>
      <c r="AJT130" s="17" t="n">
        <v>0</v>
      </c>
      <c r="AJU130" s="17" t="n">
        <v>0</v>
      </c>
      <c r="AJV130" s="17" t="n">
        <v>0</v>
      </c>
      <c r="AKJ130" s="15" t="n">
        <v>0</v>
      </c>
      <c r="AKV130" s="31"/>
      <c r="AKZ130" s="31"/>
      <c r="ALD130" s="31"/>
      <c r="ALH130" s="31"/>
      <c r="ALL130" s="31"/>
      <c r="ALN130" s="15" t="n">
        <v>0</v>
      </c>
    </row>
    <row r="131" customFormat="false" ht="13.8" hidden="false" customHeight="false" outlineLevel="0" collapsed="false">
      <c r="A131" s="1" t="s">
        <v>570</v>
      </c>
      <c r="B131" s="12" t="n">
        <v>42894</v>
      </c>
      <c r="C131" s="0" t="n">
        <v>1</v>
      </c>
      <c r="D131" s="13" t="n">
        <v>42783</v>
      </c>
      <c r="E131" s="12" t="n">
        <v>27840</v>
      </c>
      <c r="F131" s="14" t="n">
        <f aca="false">(B131-E131)/365.25</f>
        <v>41.2156057494867</v>
      </c>
      <c r="G131" s="14" t="n">
        <f aca="false">(B131-D131)/365.25</f>
        <v>0.303901437371663</v>
      </c>
      <c r="H131" s="15" t="s">
        <v>183</v>
      </c>
      <c r="I131" s="15" t="s">
        <v>571</v>
      </c>
      <c r="J131" s="15" t="s">
        <v>183</v>
      </c>
      <c r="K131" s="21" t="n">
        <v>8</v>
      </c>
      <c r="L131" s="19" t="n">
        <v>58</v>
      </c>
      <c r="M131" s="0" t="n">
        <v>1.62</v>
      </c>
      <c r="N131" s="16" t="n">
        <f aca="false">L131/(M131*M131)</f>
        <v>22.1002895900015</v>
      </c>
      <c r="O131" s="19" t="n">
        <v>0</v>
      </c>
      <c r="P131" s="19" t="n">
        <v>0</v>
      </c>
      <c r="Q131" s="19" t="n">
        <v>0</v>
      </c>
      <c r="R131" s="19" t="n">
        <v>0</v>
      </c>
      <c r="S131" s="19" t="n">
        <v>0</v>
      </c>
      <c r="T131" s="19" t="n">
        <v>0</v>
      </c>
      <c r="U131" s="19" t="n">
        <v>0</v>
      </c>
      <c r="V131" s="19" t="n">
        <v>0</v>
      </c>
      <c r="W131" s="19" t="n">
        <v>0</v>
      </c>
      <c r="X131" s="19" t="n">
        <v>0</v>
      </c>
      <c r="Y131" s="19" t="n">
        <v>1</v>
      </c>
      <c r="Z131" s="19" t="n">
        <v>2</v>
      </c>
      <c r="AA131" s="19" t="n">
        <v>60</v>
      </c>
      <c r="AB131" s="19" t="s">
        <v>572</v>
      </c>
      <c r="AC131" s="19" t="n">
        <v>1</v>
      </c>
      <c r="AD131" s="19" t="n">
        <v>6</v>
      </c>
      <c r="AE131" s="19" t="n">
        <v>0</v>
      </c>
      <c r="AF131" s="19" t="n">
        <v>0</v>
      </c>
      <c r="AG131" s="19" t="n">
        <v>0</v>
      </c>
      <c r="AH131" s="19" t="n">
        <v>0</v>
      </c>
      <c r="AI131" s="19" t="n">
        <v>0</v>
      </c>
      <c r="AJ131" s="19" t="n">
        <v>0</v>
      </c>
      <c r="AK131" s="19" t="n">
        <v>0</v>
      </c>
      <c r="AL131" s="19" t="n">
        <v>0</v>
      </c>
      <c r="AM131" s="19" t="n">
        <v>0</v>
      </c>
      <c r="AN131" s="19" t="n">
        <v>0</v>
      </c>
      <c r="AO131" s="19" t="n">
        <v>0</v>
      </c>
      <c r="AP131" s="19" t="n">
        <v>0</v>
      </c>
      <c r="AQ131" s="19" t="n">
        <v>0</v>
      </c>
      <c r="AR131" s="19" t="n">
        <v>0</v>
      </c>
      <c r="AS131" s="19" t="n">
        <v>0</v>
      </c>
      <c r="AT131" s="19" t="n">
        <v>0</v>
      </c>
      <c r="AU131" s="19" t="n">
        <v>0</v>
      </c>
      <c r="AV131" s="19" t="n">
        <v>0</v>
      </c>
      <c r="AW131" s="19" t="n">
        <v>0</v>
      </c>
      <c r="AX131" s="19" t="n">
        <v>0</v>
      </c>
      <c r="AY131" s="19" t="n">
        <v>0</v>
      </c>
      <c r="AZ131" s="19" t="n">
        <v>0</v>
      </c>
      <c r="BA131" s="19" t="n">
        <v>0</v>
      </c>
      <c r="BB131" s="19" t="n">
        <v>0</v>
      </c>
      <c r="BC131" s="19" t="n">
        <v>0</v>
      </c>
      <c r="BD131" s="19" t="n">
        <v>0</v>
      </c>
      <c r="BE131" s="19" t="n">
        <v>0</v>
      </c>
      <c r="BF131" s="19" t="n">
        <v>0</v>
      </c>
      <c r="BG131" s="19" t="n">
        <v>0</v>
      </c>
      <c r="BH131" s="19" t="n">
        <v>0</v>
      </c>
      <c r="BI131" s="19" t="n">
        <v>0</v>
      </c>
      <c r="BJ131" s="19" t="n">
        <v>0</v>
      </c>
      <c r="BK131" s="19" t="n">
        <v>0</v>
      </c>
      <c r="BL131" s="19" t="n">
        <v>0</v>
      </c>
      <c r="BM131" s="19" t="n">
        <v>0</v>
      </c>
      <c r="BN131" s="19" t="n">
        <v>0</v>
      </c>
      <c r="BO131" s="19" t="n">
        <v>0</v>
      </c>
      <c r="BP131" s="19" t="n">
        <v>0</v>
      </c>
      <c r="BQ131" s="19" t="n">
        <v>0</v>
      </c>
      <c r="BR131" s="19" t="n">
        <v>2</v>
      </c>
      <c r="BS131" s="19" t="n">
        <v>2</v>
      </c>
      <c r="BT131" s="19" t="n">
        <v>2</v>
      </c>
      <c r="BU131" s="19" t="n">
        <v>5</v>
      </c>
      <c r="BV131" s="19" t="n">
        <v>2</v>
      </c>
      <c r="BW131" s="19" t="n">
        <v>2</v>
      </c>
      <c r="BX131" s="19" t="n">
        <v>3</v>
      </c>
      <c r="BY131" s="19" t="n">
        <v>3</v>
      </c>
      <c r="BZ131" s="19" t="n">
        <v>5</v>
      </c>
      <c r="CA131" s="19" t="n">
        <v>3</v>
      </c>
      <c r="CB131" s="19" t="n">
        <v>5</v>
      </c>
      <c r="CC131" s="19" t="n">
        <v>5</v>
      </c>
      <c r="CD131" s="19" t="n">
        <v>4</v>
      </c>
      <c r="CE131" s="19" t="n">
        <v>5</v>
      </c>
      <c r="CF131" s="19" t="n">
        <v>5</v>
      </c>
      <c r="CG131" s="19" t="n">
        <v>5</v>
      </c>
      <c r="CH131" s="19" t="n">
        <v>4</v>
      </c>
      <c r="CI131" s="19" t="n">
        <v>5</v>
      </c>
      <c r="CJ131" s="19" t="n">
        <v>5</v>
      </c>
      <c r="CK131" s="19" t="n">
        <v>10</v>
      </c>
      <c r="CL131" s="0" t="s">
        <v>540</v>
      </c>
      <c r="CM131" s="0" t="n">
        <v>70.5</v>
      </c>
      <c r="CN131" s="16" t="n">
        <v>88.2</v>
      </c>
      <c r="CO131" s="16" t="n">
        <v>80.4</v>
      </c>
      <c r="CP131" s="16" t="n">
        <v>36.3</v>
      </c>
      <c r="CQ131" s="0" t="n">
        <v>72.69</v>
      </c>
      <c r="CR131" s="17" t="n">
        <v>0</v>
      </c>
      <c r="CS131" s="0" t="n">
        <v>10.32</v>
      </c>
      <c r="CT131" s="0" t="n">
        <v>16.99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36.66</v>
      </c>
      <c r="DD131" s="0" t="n">
        <v>7.54</v>
      </c>
      <c r="DE131" s="0" t="n">
        <v>10.32</v>
      </c>
      <c r="DF131" s="0" t="n">
        <v>0</v>
      </c>
      <c r="DG131" s="0" t="n">
        <v>0</v>
      </c>
      <c r="DH131" s="0" t="n">
        <v>0</v>
      </c>
      <c r="DU131" s="0" t="n">
        <v>21.2</v>
      </c>
      <c r="DV131" s="0" t="n">
        <v>1</v>
      </c>
      <c r="DW131" s="0" t="n">
        <v>35</v>
      </c>
      <c r="DX131" s="0" t="n">
        <v>7</v>
      </c>
      <c r="DY131" s="0" t="n">
        <f aca="false">5.71+0.54</f>
        <v>6.25</v>
      </c>
      <c r="DZ131" s="0" t="n">
        <v>3</v>
      </c>
      <c r="EA131" s="0" t="n">
        <v>47</v>
      </c>
      <c r="EB131" s="0" t="n">
        <v>2</v>
      </c>
      <c r="EC131" s="0" t="n">
        <v>0.4</v>
      </c>
      <c r="ED131" s="0" t="n">
        <v>3</v>
      </c>
      <c r="EG131" s="20"/>
      <c r="EY131" s="0" t="n">
        <v>0</v>
      </c>
      <c r="GJ131" s="16" t="n">
        <v>11.58</v>
      </c>
      <c r="GK131" s="16" t="n">
        <v>1</v>
      </c>
      <c r="GL131" s="16" t="n">
        <v>2</v>
      </c>
      <c r="GM131" s="16"/>
      <c r="GN131" s="16" t="n">
        <f aca="false">0.22+1.95+3.81+0.27+0.32+0.04+0.05</f>
        <v>6.66</v>
      </c>
      <c r="GO131" s="16"/>
      <c r="GP131" s="16"/>
      <c r="GQ131" s="16"/>
      <c r="GR131" s="16"/>
      <c r="GS131" s="16"/>
      <c r="GT131" s="16"/>
      <c r="GU131" s="16" t="n">
        <v>0.27</v>
      </c>
      <c r="GV131" s="16" t="n">
        <v>0.27</v>
      </c>
      <c r="GW131" s="16" t="n">
        <v>0</v>
      </c>
      <c r="GX131" s="16" t="n">
        <v>0</v>
      </c>
      <c r="GY131" s="16" t="n">
        <v>0</v>
      </c>
      <c r="GZ131" s="16" t="n">
        <v>0</v>
      </c>
      <c r="HA131" s="16" t="n">
        <v>0</v>
      </c>
      <c r="HB131" s="0" t="n">
        <v>0</v>
      </c>
      <c r="HC131" s="0" t="s">
        <v>541</v>
      </c>
      <c r="HD131" s="0" t="n">
        <v>94.5</v>
      </c>
      <c r="HE131" s="16" t="n">
        <v>88.2</v>
      </c>
      <c r="HF131" s="16" t="n">
        <v>80.4</v>
      </c>
      <c r="HG131" s="16" t="n">
        <v>73.1</v>
      </c>
      <c r="HH131" s="0" t="n">
        <v>41.34</v>
      </c>
      <c r="HI131" s="17" t="n">
        <v>0</v>
      </c>
      <c r="HJ131" s="0" t="n">
        <v>8.63</v>
      </c>
      <c r="HK131" s="0" t="n">
        <v>0.04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8.06</v>
      </c>
      <c r="HU131" s="0" t="n">
        <v>3.65</v>
      </c>
      <c r="HV131" s="0" t="n">
        <v>7.2</v>
      </c>
      <c r="HW131" s="0" t="n">
        <v>0</v>
      </c>
      <c r="HX131" s="0" t="n">
        <v>0</v>
      </c>
      <c r="HY131" s="0" t="n">
        <v>0</v>
      </c>
      <c r="IL131" s="0" t="n">
        <v>9.4</v>
      </c>
      <c r="IM131" s="0" t="n">
        <v>1</v>
      </c>
      <c r="IN131" s="0" t="n">
        <v>35</v>
      </c>
      <c r="IO131" s="0" t="n">
        <v>2</v>
      </c>
      <c r="IP131" s="0" t="n">
        <f aca="false">0.76+0.45</f>
        <v>1.21</v>
      </c>
      <c r="IQ131" s="0" t="n">
        <v>3</v>
      </c>
      <c r="IX131" s="20"/>
      <c r="JP131" s="0" t="n">
        <v>1</v>
      </c>
      <c r="JQ131" s="0" t="n">
        <v>70</v>
      </c>
      <c r="JR131" s="0" t="n">
        <v>2</v>
      </c>
      <c r="JS131" s="0" t="n">
        <f aca="false">0.75+1.69</f>
        <v>2.44</v>
      </c>
      <c r="JT131" s="0" t="n">
        <v>2</v>
      </c>
      <c r="LA131" s="16" t="n">
        <v>0.84</v>
      </c>
      <c r="LB131" s="16" t="n">
        <v>1</v>
      </c>
      <c r="LC131" s="16" t="n">
        <v>1</v>
      </c>
      <c r="LD131" s="16"/>
      <c r="LE131" s="16" t="n">
        <v>0.6</v>
      </c>
      <c r="LF131" s="16"/>
      <c r="LG131" s="16"/>
      <c r="LH131" s="16"/>
      <c r="LI131" s="16"/>
      <c r="LJ131" s="16"/>
      <c r="LK131" s="16"/>
      <c r="LL131" s="16" t="n">
        <v>10.19</v>
      </c>
      <c r="LM131" s="16" t="n">
        <v>8.46</v>
      </c>
      <c r="LN131" s="16" t="n">
        <v>0</v>
      </c>
      <c r="LO131" s="16" t="n">
        <v>0</v>
      </c>
      <c r="LP131" s="16" t="n">
        <v>0</v>
      </c>
      <c r="LQ131" s="16" t="n">
        <v>0</v>
      </c>
      <c r="LR131" s="16" t="n">
        <v>0</v>
      </c>
      <c r="LS131" s="0" t="n">
        <v>0</v>
      </c>
      <c r="LT131" s="0" t="s">
        <v>542</v>
      </c>
      <c r="LU131" s="0" t="n">
        <v>75</v>
      </c>
      <c r="LV131" s="16" t="n">
        <v>91.2</v>
      </c>
      <c r="LW131" s="16" t="n">
        <v>80.4</v>
      </c>
      <c r="LX131" s="16" t="n">
        <v>61</v>
      </c>
      <c r="LY131" s="0" t="n">
        <v>53.67</v>
      </c>
      <c r="LZ131" s="17" t="n">
        <v>0</v>
      </c>
      <c r="MA131" s="0" t="n">
        <v>16.76</v>
      </c>
      <c r="MB131" s="0" t="n">
        <v>29.58</v>
      </c>
      <c r="MC131" s="0" t="n">
        <v>0</v>
      </c>
      <c r="MD131" s="0" t="n">
        <v>0</v>
      </c>
      <c r="ME131" s="0" t="n">
        <v>0</v>
      </c>
      <c r="MF131" s="0" t="n">
        <v>0</v>
      </c>
      <c r="MG131" s="0" t="n">
        <v>0</v>
      </c>
      <c r="MH131" s="0" t="n">
        <v>0</v>
      </c>
      <c r="MI131" s="0" t="n">
        <v>0</v>
      </c>
      <c r="MJ131" s="0" t="n">
        <v>0</v>
      </c>
      <c r="MK131" s="0" t="n">
        <v>6.79</v>
      </c>
      <c r="ML131" s="0" t="n">
        <v>14.97</v>
      </c>
      <c r="MM131" s="0" t="n">
        <v>18.24</v>
      </c>
      <c r="MN131" s="0" t="n">
        <v>0</v>
      </c>
      <c r="MO131" s="0" t="n">
        <v>0</v>
      </c>
      <c r="MP131" s="0" t="n">
        <v>0</v>
      </c>
      <c r="NC131" s="0" t="n">
        <v>9</v>
      </c>
      <c r="ND131" s="0" t="n">
        <v>1</v>
      </c>
      <c r="NE131" s="0" t="n">
        <v>68</v>
      </c>
      <c r="NF131" s="0" t="n">
        <v>1</v>
      </c>
      <c r="NG131" s="0" t="n">
        <v>0.38</v>
      </c>
      <c r="NH131" s="0" t="n">
        <v>1</v>
      </c>
      <c r="NI131" s="0" t="n">
        <v>47</v>
      </c>
      <c r="NJ131" s="0" t="n">
        <v>1</v>
      </c>
      <c r="NK131" s="0" t="n">
        <v>1.13</v>
      </c>
      <c r="NL131" s="0" t="n">
        <v>3</v>
      </c>
      <c r="NO131" s="20"/>
      <c r="OG131" s="0" t="n">
        <v>1</v>
      </c>
      <c r="OH131" s="0" t="n">
        <v>70</v>
      </c>
      <c r="OI131" s="0" t="n">
        <v>2</v>
      </c>
      <c r="OJ131" s="0" t="n">
        <f aca="false">1.69+0.75</f>
        <v>2.44</v>
      </c>
      <c r="OK131" s="0" t="n">
        <v>2</v>
      </c>
      <c r="PR131" s="16" t="n">
        <v>1.88</v>
      </c>
      <c r="PS131" s="16" t="n">
        <v>1</v>
      </c>
      <c r="PT131" s="16" t="n">
        <v>1</v>
      </c>
      <c r="PU131" s="16"/>
      <c r="PV131" s="16" t="n">
        <f aca="false">1.04+1.04+1.04</f>
        <v>3.12</v>
      </c>
      <c r="PW131" s="16"/>
      <c r="PX131" s="16"/>
      <c r="PY131" s="16"/>
      <c r="PZ131" s="16"/>
      <c r="QA131" s="16"/>
      <c r="QB131" s="16"/>
      <c r="QC131" s="16" t="n">
        <v>1.5</v>
      </c>
      <c r="QD131" s="16" t="n">
        <v>1.5</v>
      </c>
      <c r="QE131" s="16" t="n">
        <v>0</v>
      </c>
      <c r="QF131" s="16" t="n">
        <v>0</v>
      </c>
      <c r="QG131" s="16" t="n">
        <v>0</v>
      </c>
      <c r="QH131" s="16" t="n">
        <v>0</v>
      </c>
      <c r="QI131" s="16" t="n">
        <v>0</v>
      </c>
      <c r="QJ131" s="0" t="n">
        <v>0</v>
      </c>
      <c r="QK131" s="0" t="s">
        <v>543</v>
      </c>
      <c r="QL131" s="0" t="n">
        <v>21</v>
      </c>
      <c r="QM131" s="16" t="n">
        <v>77.9</v>
      </c>
      <c r="QN131" s="16" t="n">
        <v>160.8</v>
      </c>
      <c r="QO131" s="16" t="n">
        <v>14.1</v>
      </c>
      <c r="QP131" s="0" t="n">
        <v>87.99</v>
      </c>
      <c r="QQ131" s="17" t="n">
        <v>0</v>
      </c>
      <c r="QR131" s="0" t="n">
        <v>3.38</v>
      </c>
      <c r="QS131" s="0" t="n">
        <v>0</v>
      </c>
      <c r="QT131" s="0" t="n">
        <v>8.63</v>
      </c>
      <c r="QU131" s="0" t="n">
        <v>0</v>
      </c>
      <c r="QV131" s="0" t="n">
        <v>0</v>
      </c>
      <c r="QW131" s="0" t="n">
        <v>0</v>
      </c>
      <c r="QX131" s="0" t="n">
        <v>0</v>
      </c>
      <c r="QY131" s="0" t="n">
        <v>0</v>
      </c>
      <c r="QZ131" s="0" t="n">
        <v>0</v>
      </c>
      <c r="RA131" s="0" t="n">
        <v>0</v>
      </c>
      <c r="RB131" s="0" t="n">
        <v>0</v>
      </c>
      <c r="RC131" s="0" t="n">
        <v>65.6</v>
      </c>
      <c r="RD131" s="0" t="n">
        <v>0</v>
      </c>
      <c r="RE131" s="0" t="n">
        <v>0</v>
      </c>
      <c r="RF131" s="0" t="n">
        <v>0</v>
      </c>
      <c r="RG131" s="0" t="n">
        <v>0</v>
      </c>
      <c r="RT131" s="0" t="n">
        <v>1.4</v>
      </c>
      <c r="RU131" s="0" t="n">
        <v>1</v>
      </c>
      <c r="RV131" s="0" t="n">
        <v>35</v>
      </c>
      <c r="RW131" s="0" t="n">
        <v>3</v>
      </c>
      <c r="RX131" s="0" t="n">
        <f aca="false">0.38</f>
        <v>0.38</v>
      </c>
      <c r="RY131" s="0" t="n">
        <v>3</v>
      </c>
      <c r="RZ131" s="0" t="n">
        <v>34</v>
      </c>
      <c r="SA131" s="0" t="n">
        <v>27</v>
      </c>
      <c r="SB131" s="0" t="n">
        <f aca="false">0.19+0.19+1.13+3.38+0.56+1.5+1.13+0.38</f>
        <v>8.46</v>
      </c>
      <c r="SC131" s="0" t="n">
        <v>1</v>
      </c>
      <c r="SF131" s="20"/>
      <c r="SX131" s="0" t="n">
        <v>1</v>
      </c>
      <c r="SY131" s="0" t="n">
        <v>40</v>
      </c>
      <c r="SZ131" s="0" t="n">
        <v>9</v>
      </c>
      <c r="TA131" s="0" t="n">
        <f aca="false">0.38+1.13+3+1.88+0.75</f>
        <v>7.14</v>
      </c>
      <c r="TB131" s="0" t="n">
        <v>3</v>
      </c>
      <c r="UI131" s="16" t="n">
        <v>0</v>
      </c>
      <c r="UJ131" s="16" t="n">
        <v>0</v>
      </c>
      <c r="UK131" s="16"/>
      <c r="UL131" s="16"/>
      <c r="UM131" s="16"/>
      <c r="UN131" s="16"/>
      <c r="UO131" s="16"/>
      <c r="UP131" s="16"/>
      <c r="UQ131" s="16"/>
      <c r="UR131" s="16"/>
      <c r="US131" s="16"/>
      <c r="UT131" s="16" t="n">
        <v>5.27</v>
      </c>
      <c r="UU131" s="16" t="n">
        <v>1.5</v>
      </c>
      <c r="UV131" s="16" t="n">
        <v>0</v>
      </c>
      <c r="UW131" s="16" t="n">
        <v>0</v>
      </c>
      <c r="UX131" s="16" t="n">
        <v>0</v>
      </c>
      <c r="UY131" s="16" t="n">
        <v>0</v>
      </c>
      <c r="UZ131" s="16" t="n">
        <v>0</v>
      </c>
      <c r="VA131" s="0" t="n">
        <v>0</v>
      </c>
      <c r="VE131" s="15"/>
      <c r="VF131" s="15"/>
      <c r="VM131" s="15"/>
      <c r="VN131" s="15"/>
      <c r="VU131" s="15"/>
      <c r="VV131" s="15"/>
      <c r="WC131" s="15"/>
      <c r="WD131" s="15"/>
      <c r="WK131" s="15"/>
      <c r="WL131" s="15"/>
      <c r="WS131" s="15"/>
      <c r="WT131" s="15"/>
      <c r="XA131" s="15"/>
      <c r="XB131" s="15"/>
      <c r="XI131" s="15"/>
      <c r="XJ131" s="15"/>
      <c r="XQ131" s="15"/>
      <c r="XR131" s="15"/>
      <c r="XY131" s="15"/>
      <c r="XZ131" s="15"/>
      <c r="YG131" s="15"/>
      <c r="YH131" s="15"/>
      <c r="YO131" s="15"/>
      <c r="YP131" s="15"/>
      <c r="YW131" s="15"/>
      <c r="YX131" s="15"/>
      <c r="ZE131" s="15"/>
      <c r="ZF131" s="15"/>
      <c r="ZM131" s="15"/>
      <c r="ZN131" s="15"/>
      <c r="ZU131" s="15"/>
      <c r="ZV131" s="15"/>
      <c r="AAC131" s="15"/>
      <c r="AAD131" s="15"/>
      <c r="AAK131" s="15"/>
      <c r="AAL131" s="15"/>
      <c r="AAS131" s="15"/>
      <c r="AAT131" s="15"/>
      <c r="ABA131" s="15"/>
      <c r="ABB131" s="15"/>
      <c r="ABI131" s="15"/>
      <c r="ABJ131" s="15"/>
      <c r="ABQ131" s="15"/>
      <c r="ABR131" s="15"/>
      <c r="ABY131" s="15"/>
      <c r="ABZ131" s="15"/>
      <c r="ACG131" s="15"/>
      <c r="ACH131" s="15"/>
      <c r="ACO131" s="15"/>
      <c r="ACP131" s="15"/>
      <c r="ACW131" s="15"/>
      <c r="ACX131" s="15"/>
      <c r="ADE131" s="15"/>
      <c r="ADF131" s="15"/>
      <c r="ADM131" s="15"/>
      <c r="ADN131" s="15"/>
      <c r="ADU131" s="15"/>
      <c r="ADV131" s="15"/>
      <c r="AEC131" s="15"/>
      <c r="AED131" s="15"/>
      <c r="AEK131" s="15"/>
      <c r="AEL131" s="15"/>
      <c r="AES131" s="15"/>
      <c r="AET131" s="15"/>
      <c r="AFA131" s="15"/>
      <c r="AFB131" s="15"/>
      <c r="AFI131" s="15"/>
      <c r="AFJ131" s="15"/>
      <c r="AFQ131" s="15"/>
      <c r="AFR131" s="15"/>
      <c r="AFY131" s="15"/>
      <c r="AFZ131" s="15"/>
      <c r="AGG131" s="15"/>
      <c r="AGH131" s="15"/>
      <c r="AGO131" s="15"/>
      <c r="AGP131" s="15"/>
      <c r="AGW131" s="15"/>
      <c r="AGX131" s="15"/>
      <c r="AHE131" s="15"/>
      <c r="AHF131" s="15"/>
      <c r="AHM131" s="15"/>
      <c r="AHN131" s="15"/>
      <c r="AHU131" s="15"/>
      <c r="AHV131" s="15"/>
      <c r="AIC131" s="15"/>
      <c r="AID131" s="15"/>
      <c r="AIK131" s="15"/>
      <c r="AIL131" s="15"/>
      <c r="AIS131" s="15"/>
      <c r="AIT131" s="15"/>
      <c r="AJA131" s="15"/>
      <c r="AJB131" s="15"/>
      <c r="AJI131" s="15"/>
      <c r="AJJ131" s="15"/>
      <c r="AJQ131" s="15"/>
      <c r="AJR131" s="15"/>
      <c r="AJY131" s="15"/>
      <c r="AJZ131" s="15"/>
      <c r="AKG131" s="15"/>
      <c r="AKH131" s="15"/>
      <c r="AKO131" s="15"/>
      <c r="AKP131" s="15"/>
      <c r="AKW131" s="15"/>
      <c r="AKX131" s="15"/>
      <c r="ALE131" s="15"/>
      <c r="ALF131" s="15"/>
      <c r="ALM131" s="15"/>
      <c r="ALN131" s="15"/>
      <c r="ALU131" s="15"/>
      <c r="ALV131" s="15"/>
      <c r="AMC131" s="15"/>
      <c r="AMD131" s="15"/>
    </row>
    <row r="132" customFormat="false" ht="13.8" hidden="false" customHeight="false" outlineLevel="0" collapsed="false">
      <c r="A132" s="1" t="s">
        <v>573</v>
      </c>
      <c r="B132" s="12" t="n">
        <v>42894</v>
      </c>
      <c r="C132" s="0" t="n">
        <v>2</v>
      </c>
      <c r="D132" s="13" t="n">
        <v>42776</v>
      </c>
      <c r="E132" s="12" t="n">
        <v>42776</v>
      </c>
      <c r="F132" s="14" t="n">
        <f aca="false">(B132-E132)/365.25</f>
        <v>0.323066392881588</v>
      </c>
      <c r="G132" s="14" t="n">
        <f aca="false">(B132-D132)/365.25</f>
        <v>0.323066392881588</v>
      </c>
      <c r="H132" s="15" t="s">
        <v>183</v>
      </c>
      <c r="I132" s="15" t="s">
        <v>571</v>
      </c>
      <c r="J132" s="15" t="s">
        <v>183</v>
      </c>
      <c r="K132" s="21" t="n">
        <v>8</v>
      </c>
      <c r="L132" s="19" t="n">
        <v>98</v>
      </c>
      <c r="M132" s="0" t="n">
        <v>1.83</v>
      </c>
      <c r="N132" s="16" t="n">
        <f aca="false">L132/(M132*M132)</f>
        <v>29.2633402012601</v>
      </c>
      <c r="O132" s="19" t="n">
        <v>0</v>
      </c>
      <c r="P132" s="19" t="n">
        <v>0</v>
      </c>
      <c r="Q132" s="19" t="n">
        <v>0</v>
      </c>
      <c r="R132" s="19" t="n">
        <v>0</v>
      </c>
      <c r="S132" s="19" t="n">
        <v>0</v>
      </c>
      <c r="T132" s="19" t="n">
        <v>0</v>
      </c>
      <c r="U132" s="19" t="n">
        <v>0</v>
      </c>
      <c r="V132" s="19" t="n">
        <v>0</v>
      </c>
      <c r="W132" s="19" t="n">
        <v>0</v>
      </c>
      <c r="X132" s="19" t="n">
        <v>0</v>
      </c>
      <c r="Y132" s="19" t="n">
        <v>0</v>
      </c>
      <c r="Z132" s="19" t="n">
        <v>0</v>
      </c>
      <c r="AA132" s="19" t="n">
        <v>0</v>
      </c>
      <c r="AB132" s="19" t="n">
        <v>0</v>
      </c>
      <c r="AC132" s="19" t="n">
        <v>1</v>
      </c>
      <c r="AD132" s="19" t="n">
        <v>7</v>
      </c>
      <c r="AE132" s="19" t="n">
        <v>0</v>
      </c>
      <c r="AF132" s="19" t="n">
        <v>0</v>
      </c>
      <c r="AG132" s="19" t="n">
        <v>0</v>
      </c>
      <c r="AH132" s="19" t="n">
        <v>0</v>
      </c>
      <c r="AI132" s="19" t="n">
        <v>0</v>
      </c>
      <c r="AJ132" s="19" t="n">
        <v>0</v>
      </c>
      <c r="AK132" s="19" t="n">
        <v>0</v>
      </c>
      <c r="AL132" s="19" t="n">
        <v>0</v>
      </c>
      <c r="AM132" s="19" t="n">
        <v>0</v>
      </c>
      <c r="AN132" s="19" t="n">
        <v>0</v>
      </c>
      <c r="AO132" s="19" t="n">
        <v>0</v>
      </c>
      <c r="AP132" s="19" t="n">
        <v>0</v>
      </c>
      <c r="AQ132" s="19" t="n">
        <v>0</v>
      </c>
      <c r="AR132" s="19" t="n">
        <v>0</v>
      </c>
      <c r="AS132" s="19" t="n">
        <v>0</v>
      </c>
      <c r="AT132" s="19" t="n">
        <v>0</v>
      </c>
      <c r="AU132" s="19" t="n">
        <v>0</v>
      </c>
      <c r="AV132" s="19" t="n">
        <v>0</v>
      </c>
      <c r="AW132" s="19" t="n">
        <v>0</v>
      </c>
      <c r="AX132" s="19" t="n">
        <v>0</v>
      </c>
      <c r="AY132" s="19" t="n">
        <v>0</v>
      </c>
      <c r="AZ132" s="19" t="n">
        <v>0</v>
      </c>
      <c r="BA132" s="19" t="n">
        <v>0</v>
      </c>
      <c r="BB132" s="19" t="n">
        <v>0</v>
      </c>
      <c r="BC132" s="19" t="n">
        <v>0</v>
      </c>
      <c r="BD132" s="19" t="n">
        <v>0</v>
      </c>
      <c r="BE132" s="19" t="n">
        <v>0</v>
      </c>
      <c r="BF132" s="19" t="n">
        <v>0</v>
      </c>
      <c r="BG132" s="19" t="n">
        <v>0</v>
      </c>
      <c r="BH132" s="19" t="n">
        <v>0</v>
      </c>
      <c r="BI132" s="19" t="n">
        <v>0</v>
      </c>
      <c r="BJ132" s="19" t="n">
        <v>0</v>
      </c>
      <c r="BK132" s="19" t="n">
        <v>0</v>
      </c>
      <c r="BL132" s="19" t="n">
        <v>0</v>
      </c>
      <c r="BM132" s="19" t="n">
        <v>0</v>
      </c>
      <c r="BN132" s="19" t="n">
        <v>0</v>
      </c>
      <c r="BO132" s="19" t="n">
        <v>0</v>
      </c>
      <c r="BP132" s="19" t="n">
        <v>0</v>
      </c>
      <c r="BQ132" s="19" t="n">
        <v>0</v>
      </c>
      <c r="BR132" s="19" t="n">
        <v>1</v>
      </c>
      <c r="BS132" s="19" t="n">
        <v>2</v>
      </c>
      <c r="BT132" s="19" t="n">
        <v>2</v>
      </c>
      <c r="BU132" s="19" t="n">
        <v>3</v>
      </c>
      <c r="BV132" s="19" t="n">
        <v>2</v>
      </c>
      <c r="BW132" s="19" t="n">
        <v>1</v>
      </c>
      <c r="BX132" s="19" t="n">
        <v>5</v>
      </c>
      <c r="BY132" s="19" t="n">
        <v>3</v>
      </c>
      <c r="BZ132" s="19" t="n">
        <v>4</v>
      </c>
      <c r="CA132" s="19" t="n">
        <v>4</v>
      </c>
      <c r="CB132" s="19" t="n">
        <v>5</v>
      </c>
      <c r="CC132" s="19" t="n">
        <v>5</v>
      </c>
      <c r="CD132" s="19" t="n">
        <v>3</v>
      </c>
      <c r="CE132" s="19" t="n">
        <v>4</v>
      </c>
      <c r="CF132" s="19" t="n">
        <v>4</v>
      </c>
      <c r="CG132" s="19" t="n">
        <v>4</v>
      </c>
      <c r="CH132" s="19" t="n">
        <v>4</v>
      </c>
      <c r="CI132" s="19" t="n">
        <v>4</v>
      </c>
      <c r="CJ132" s="19" t="n">
        <v>4</v>
      </c>
      <c r="CK132" s="19" t="n">
        <v>10</v>
      </c>
      <c r="CL132" s="0" t="s">
        <v>540</v>
      </c>
      <c r="CM132" s="0" t="n">
        <v>70.5</v>
      </c>
      <c r="CN132" s="16" t="n">
        <v>88.2</v>
      </c>
      <c r="CO132" s="16" t="n">
        <v>80.4</v>
      </c>
      <c r="CP132" s="16" t="n">
        <v>36.3</v>
      </c>
      <c r="CQ132" s="0" t="n">
        <v>72.69</v>
      </c>
      <c r="CR132" s="17" t="n">
        <v>0</v>
      </c>
      <c r="CS132" s="0" t="n">
        <v>10.32</v>
      </c>
      <c r="CT132" s="0" t="n">
        <v>16.99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36.66</v>
      </c>
      <c r="DD132" s="0" t="n">
        <v>7.54</v>
      </c>
      <c r="DE132" s="0" t="n">
        <v>10.32</v>
      </c>
      <c r="DF132" s="0" t="n">
        <v>0</v>
      </c>
      <c r="DG132" s="0" t="n">
        <v>0</v>
      </c>
      <c r="DH132" s="0" t="n">
        <v>0</v>
      </c>
      <c r="DU132" s="0" t="n">
        <v>21.2</v>
      </c>
      <c r="DV132" s="0" t="n">
        <v>1</v>
      </c>
      <c r="DW132" s="0" t="n">
        <v>35</v>
      </c>
      <c r="DX132" s="0" t="n">
        <v>7</v>
      </c>
      <c r="DY132" s="0" t="n">
        <f aca="false">5.71+0.54</f>
        <v>6.25</v>
      </c>
      <c r="DZ132" s="0" t="n">
        <v>3</v>
      </c>
      <c r="EA132" s="0" t="n">
        <v>47</v>
      </c>
      <c r="EB132" s="0" t="n">
        <v>2</v>
      </c>
      <c r="EC132" s="0" t="n">
        <v>0.4</v>
      </c>
      <c r="ED132" s="0" t="n">
        <v>3</v>
      </c>
      <c r="EG132" s="20"/>
      <c r="EY132" s="0" t="n">
        <v>0</v>
      </c>
      <c r="GJ132" s="16" t="n">
        <v>11.58</v>
      </c>
      <c r="GK132" s="16" t="n">
        <v>1</v>
      </c>
      <c r="GL132" s="16" t="n">
        <v>2</v>
      </c>
      <c r="GM132" s="16"/>
      <c r="GN132" s="16" t="n">
        <f aca="false">0.22+1.95+3.81+0.27+0.32+0.04+0.05</f>
        <v>6.66</v>
      </c>
      <c r="GO132" s="16"/>
      <c r="GP132" s="16"/>
      <c r="GQ132" s="16"/>
      <c r="GR132" s="16"/>
      <c r="GS132" s="16"/>
      <c r="GT132" s="16"/>
      <c r="GU132" s="16" t="n">
        <v>0.27</v>
      </c>
      <c r="GV132" s="16" t="n">
        <v>0.27</v>
      </c>
      <c r="GW132" s="16" t="n">
        <v>0</v>
      </c>
      <c r="GX132" s="16" t="n">
        <v>0</v>
      </c>
      <c r="GY132" s="16" t="n">
        <v>0</v>
      </c>
      <c r="GZ132" s="16" t="n">
        <v>0</v>
      </c>
      <c r="HA132" s="16" t="n">
        <v>0</v>
      </c>
      <c r="HB132" s="0" t="n">
        <v>0</v>
      </c>
      <c r="HC132" s="0" t="s">
        <v>541</v>
      </c>
      <c r="HD132" s="0" t="n">
        <v>94.5</v>
      </c>
      <c r="HE132" s="16" t="n">
        <v>88.2</v>
      </c>
      <c r="HF132" s="16" t="n">
        <v>80.4</v>
      </c>
      <c r="HG132" s="16" t="n">
        <v>73.1</v>
      </c>
      <c r="HH132" s="0" t="n">
        <v>41.34</v>
      </c>
      <c r="HI132" s="17" t="n">
        <v>0</v>
      </c>
      <c r="HJ132" s="0" t="n">
        <v>8.63</v>
      </c>
      <c r="HK132" s="0" t="n">
        <v>0.04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  <c r="HT132" s="0" t="n">
        <v>8.06</v>
      </c>
      <c r="HU132" s="0" t="n">
        <v>3.65</v>
      </c>
      <c r="HV132" s="0" t="n">
        <v>7.2</v>
      </c>
      <c r="HW132" s="0" t="n">
        <v>0</v>
      </c>
      <c r="HX132" s="0" t="n">
        <v>0</v>
      </c>
      <c r="HY132" s="0" t="n">
        <v>0</v>
      </c>
      <c r="IL132" s="0" t="n">
        <v>9.4</v>
      </c>
      <c r="IM132" s="0" t="n">
        <v>1</v>
      </c>
      <c r="IN132" s="0" t="n">
        <v>35</v>
      </c>
      <c r="IO132" s="0" t="n">
        <v>2</v>
      </c>
      <c r="IP132" s="0" t="n">
        <f aca="false">0.76+0.45</f>
        <v>1.21</v>
      </c>
      <c r="IQ132" s="0" t="n">
        <v>3</v>
      </c>
      <c r="IX132" s="20"/>
      <c r="JP132" s="0" t="n">
        <v>1</v>
      </c>
      <c r="JQ132" s="0" t="n">
        <v>70</v>
      </c>
      <c r="JR132" s="0" t="n">
        <v>2</v>
      </c>
      <c r="JS132" s="0" t="n">
        <f aca="false">0.75+1.69</f>
        <v>2.44</v>
      </c>
      <c r="JT132" s="0" t="n">
        <v>2</v>
      </c>
      <c r="LA132" s="16" t="n">
        <v>0.84</v>
      </c>
      <c r="LB132" s="16" t="n">
        <v>1</v>
      </c>
      <c r="LC132" s="16" t="n">
        <v>1</v>
      </c>
      <c r="LD132" s="16"/>
      <c r="LE132" s="16" t="n">
        <v>0.6</v>
      </c>
      <c r="LF132" s="16"/>
      <c r="LG132" s="16"/>
      <c r="LH132" s="16"/>
      <c r="LI132" s="16"/>
      <c r="LJ132" s="16"/>
      <c r="LK132" s="16"/>
      <c r="LL132" s="16" t="n">
        <v>10.19</v>
      </c>
      <c r="LM132" s="16" t="n">
        <v>8.46</v>
      </c>
      <c r="LN132" s="16" t="n">
        <v>0</v>
      </c>
      <c r="LO132" s="16" t="n">
        <v>0</v>
      </c>
      <c r="LP132" s="16" t="n">
        <v>0</v>
      </c>
      <c r="LQ132" s="16" t="n">
        <v>0</v>
      </c>
      <c r="LR132" s="16" t="n">
        <v>0</v>
      </c>
      <c r="LS132" s="0" t="n">
        <v>0</v>
      </c>
      <c r="LT132" s="0" t="s">
        <v>542</v>
      </c>
      <c r="LU132" s="0" t="n">
        <v>75</v>
      </c>
      <c r="LV132" s="16" t="n">
        <v>91.2</v>
      </c>
      <c r="LW132" s="16" t="n">
        <v>80.4</v>
      </c>
      <c r="LX132" s="16" t="n">
        <v>61</v>
      </c>
      <c r="LY132" s="0" t="n">
        <v>53.67</v>
      </c>
      <c r="LZ132" s="17" t="n">
        <v>0</v>
      </c>
      <c r="MA132" s="0" t="n">
        <v>16.76</v>
      </c>
      <c r="MB132" s="0" t="n">
        <v>29.58</v>
      </c>
      <c r="MC132" s="0" t="n">
        <v>0</v>
      </c>
      <c r="MD132" s="0" t="n">
        <v>0</v>
      </c>
      <c r="ME132" s="0" t="n">
        <v>0</v>
      </c>
      <c r="MF132" s="0" t="n">
        <v>0</v>
      </c>
      <c r="MG132" s="0" t="n">
        <v>0</v>
      </c>
      <c r="MH132" s="0" t="n">
        <v>0</v>
      </c>
      <c r="MI132" s="0" t="n">
        <v>0</v>
      </c>
      <c r="MJ132" s="0" t="n">
        <v>0</v>
      </c>
      <c r="MK132" s="0" t="n">
        <v>6.79</v>
      </c>
      <c r="ML132" s="0" t="n">
        <v>14.97</v>
      </c>
      <c r="MM132" s="0" t="n">
        <v>18.24</v>
      </c>
      <c r="MN132" s="0" t="n">
        <v>0</v>
      </c>
      <c r="MO132" s="0" t="n">
        <v>0</v>
      </c>
      <c r="MP132" s="0" t="n">
        <v>0</v>
      </c>
      <c r="NC132" s="0" t="n">
        <v>9</v>
      </c>
      <c r="ND132" s="0" t="n">
        <v>1</v>
      </c>
      <c r="NE132" s="0" t="n">
        <v>68</v>
      </c>
      <c r="NF132" s="0" t="n">
        <v>1</v>
      </c>
      <c r="NG132" s="0" t="n">
        <v>0.38</v>
      </c>
      <c r="NH132" s="0" t="n">
        <v>1</v>
      </c>
      <c r="NI132" s="0" t="n">
        <v>47</v>
      </c>
      <c r="NJ132" s="0" t="n">
        <v>1</v>
      </c>
      <c r="NK132" s="0" t="n">
        <v>1.13</v>
      </c>
      <c r="NL132" s="0" t="n">
        <v>3</v>
      </c>
      <c r="NO132" s="20"/>
      <c r="OG132" s="0" t="n">
        <v>1</v>
      </c>
      <c r="OH132" s="0" t="n">
        <v>70</v>
      </c>
      <c r="OI132" s="0" t="n">
        <v>2</v>
      </c>
      <c r="OJ132" s="0" t="n">
        <f aca="false">1.69+0.75</f>
        <v>2.44</v>
      </c>
      <c r="OK132" s="0" t="n">
        <v>2</v>
      </c>
      <c r="PR132" s="16" t="n">
        <v>1.88</v>
      </c>
      <c r="PS132" s="16" t="n">
        <v>1</v>
      </c>
      <c r="PT132" s="16" t="n">
        <v>1</v>
      </c>
      <c r="PU132" s="16"/>
      <c r="PV132" s="16" t="n">
        <f aca="false">1.04+1.04+1.04</f>
        <v>3.12</v>
      </c>
      <c r="PW132" s="16"/>
      <c r="PX132" s="16"/>
      <c r="PY132" s="16"/>
      <c r="PZ132" s="16"/>
      <c r="QA132" s="16"/>
      <c r="QB132" s="16"/>
      <c r="QC132" s="16" t="n">
        <v>1.5</v>
      </c>
      <c r="QD132" s="16" t="n">
        <v>1.5</v>
      </c>
      <c r="QE132" s="16" t="n">
        <v>0</v>
      </c>
      <c r="QF132" s="16" t="n">
        <v>0</v>
      </c>
      <c r="QG132" s="16" t="n">
        <v>0</v>
      </c>
      <c r="QH132" s="16" t="n">
        <v>0</v>
      </c>
      <c r="QI132" s="16" t="n">
        <v>0</v>
      </c>
      <c r="QJ132" s="0" t="n">
        <v>0</v>
      </c>
      <c r="QK132" s="0" t="s">
        <v>543</v>
      </c>
      <c r="QL132" s="0" t="n">
        <v>21</v>
      </c>
      <c r="QM132" s="16" t="n">
        <v>77.9</v>
      </c>
      <c r="QN132" s="16" t="n">
        <v>160.8</v>
      </c>
      <c r="QO132" s="16" t="n">
        <v>14.1</v>
      </c>
      <c r="QP132" s="0" t="n">
        <v>87.99</v>
      </c>
      <c r="QQ132" s="17" t="n">
        <v>0</v>
      </c>
      <c r="QR132" s="0" t="n">
        <v>3.38</v>
      </c>
      <c r="QS132" s="0" t="n">
        <v>0</v>
      </c>
      <c r="QT132" s="0" t="n">
        <v>8.63</v>
      </c>
      <c r="QU132" s="0" t="n">
        <v>0</v>
      </c>
      <c r="QV132" s="0" t="n">
        <v>0</v>
      </c>
      <c r="QW132" s="0" t="n">
        <v>0</v>
      </c>
      <c r="QX132" s="0" t="n">
        <v>0</v>
      </c>
      <c r="QY132" s="0" t="n">
        <v>0</v>
      </c>
      <c r="QZ132" s="0" t="n">
        <v>0</v>
      </c>
      <c r="RA132" s="0" t="n">
        <v>0</v>
      </c>
      <c r="RB132" s="0" t="n">
        <v>0</v>
      </c>
      <c r="RC132" s="0" t="n">
        <v>65.6</v>
      </c>
      <c r="RD132" s="0" t="n">
        <v>0</v>
      </c>
      <c r="RE132" s="0" t="n">
        <v>0</v>
      </c>
      <c r="RF132" s="0" t="n">
        <v>0</v>
      </c>
      <c r="RG132" s="0" t="n">
        <v>0</v>
      </c>
      <c r="RT132" s="0" t="n">
        <v>1.4</v>
      </c>
      <c r="RU132" s="0" t="n">
        <v>1</v>
      </c>
      <c r="RV132" s="0" t="n">
        <v>35</v>
      </c>
      <c r="RW132" s="0" t="n">
        <v>3</v>
      </c>
      <c r="RX132" s="0" t="n">
        <f aca="false">0.38</f>
        <v>0.38</v>
      </c>
      <c r="RY132" s="0" t="n">
        <v>3</v>
      </c>
      <c r="RZ132" s="0" t="n">
        <v>34</v>
      </c>
      <c r="SA132" s="0" t="n">
        <v>27</v>
      </c>
      <c r="SB132" s="0" t="n">
        <f aca="false">0.19+0.19+1.13+3.38+0.56+1.5+1.13+0.38</f>
        <v>8.46</v>
      </c>
      <c r="SC132" s="0" t="n">
        <v>1</v>
      </c>
      <c r="SF132" s="20"/>
      <c r="SX132" s="0" t="n">
        <v>1</v>
      </c>
      <c r="SY132" s="0" t="n">
        <v>40</v>
      </c>
      <c r="SZ132" s="0" t="n">
        <v>9</v>
      </c>
      <c r="TA132" s="0" t="n">
        <f aca="false">0.38+1.13+3+1.88+0.75</f>
        <v>7.14</v>
      </c>
      <c r="TB132" s="0" t="n">
        <v>3</v>
      </c>
      <c r="UI132" s="16" t="n">
        <v>0</v>
      </c>
      <c r="UJ132" s="16" t="n">
        <v>0</v>
      </c>
      <c r="UK132" s="16"/>
      <c r="UL132" s="16"/>
      <c r="UM132" s="16"/>
      <c r="UN132" s="16"/>
      <c r="UO132" s="16"/>
      <c r="UP132" s="16"/>
      <c r="UQ132" s="16"/>
      <c r="UR132" s="16"/>
      <c r="US132" s="16"/>
      <c r="UT132" s="16" t="n">
        <v>5.27</v>
      </c>
      <c r="UU132" s="16" t="n">
        <v>1.5</v>
      </c>
      <c r="UV132" s="16" t="n">
        <v>0</v>
      </c>
      <c r="UW132" s="16" t="n">
        <v>0</v>
      </c>
      <c r="UX132" s="16" t="n">
        <v>0</v>
      </c>
      <c r="UY132" s="16" t="n">
        <v>0</v>
      </c>
      <c r="UZ132" s="16" t="n">
        <v>0</v>
      </c>
      <c r="VA132" s="0" t="n">
        <v>0</v>
      </c>
      <c r="VE132" s="15"/>
      <c r="VF132" s="15"/>
      <c r="VM132" s="15"/>
      <c r="VN132" s="15"/>
      <c r="VU132" s="15"/>
      <c r="VV132" s="15"/>
      <c r="WC132" s="15"/>
      <c r="WD132" s="15"/>
      <c r="WK132" s="15"/>
      <c r="WL132" s="15"/>
      <c r="WS132" s="15"/>
      <c r="WT132" s="15"/>
      <c r="XA132" s="15"/>
      <c r="XB132" s="15"/>
      <c r="XI132" s="15"/>
      <c r="XJ132" s="15"/>
      <c r="XQ132" s="15"/>
      <c r="XR132" s="15"/>
      <c r="XY132" s="15"/>
      <c r="XZ132" s="15"/>
      <c r="YG132" s="15"/>
      <c r="YH132" s="15"/>
      <c r="YO132" s="15"/>
      <c r="YP132" s="15"/>
      <c r="YW132" s="15"/>
      <c r="YX132" s="15"/>
      <c r="ZE132" s="15"/>
      <c r="ZF132" s="15"/>
      <c r="ZM132" s="15"/>
      <c r="ZN132" s="15"/>
      <c r="ZU132" s="15"/>
      <c r="ZV132" s="15"/>
      <c r="AAC132" s="15"/>
      <c r="AAD132" s="15"/>
      <c r="AAK132" s="15"/>
      <c r="AAL132" s="15"/>
      <c r="AAS132" s="15"/>
      <c r="AAT132" s="15"/>
      <c r="ABA132" s="15"/>
      <c r="ABB132" s="15"/>
      <c r="ABI132" s="15"/>
      <c r="ABJ132" s="15"/>
      <c r="ABQ132" s="15"/>
      <c r="ABR132" s="15"/>
      <c r="ABY132" s="15"/>
      <c r="ABZ132" s="15"/>
      <c r="ACG132" s="15"/>
      <c r="ACH132" s="15"/>
      <c r="ACO132" s="15"/>
      <c r="ACP132" s="15"/>
      <c r="ACW132" s="15"/>
      <c r="ACX132" s="15"/>
      <c r="ADE132" s="15"/>
      <c r="ADF132" s="15"/>
      <c r="ADM132" s="15"/>
      <c r="ADN132" s="15"/>
      <c r="ADU132" s="15"/>
      <c r="ADV132" s="15"/>
      <c r="AEC132" s="15"/>
      <c r="AED132" s="15"/>
      <c r="AEK132" s="15"/>
      <c r="AEL132" s="15"/>
      <c r="AES132" s="15"/>
      <c r="AET132" s="15"/>
      <c r="AFA132" s="15"/>
      <c r="AFB132" s="15"/>
      <c r="AFI132" s="15"/>
      <c r="AFJ132" s="15"/>
      <c r="AFQ132" s="15"/>
      <c r="AFR132" s="15"/>
      <c r="AFY132" s="15"/>
      <c r="AFZ132" s="15"/>
      <c r="AGG132" s="15"/>
      <c r="AGH132" s="15"/>
      <c r="AGO132" s="15"/>
      <c r="AGP132" s="15"/>
      <c r="AGW132" s="15"/>
      <c r="AGX132" s="15"/>
      <c r="AHE132" s="15"/>
      <c r="AHF132" s="15"/>
      <c r="AHM132" s="15"/>
      <c r="AHN132" s="15"/>
      <c r="AHU132" s="15"/>
      <c r="AHV132" s="15"/>
      <c r="AIC132" s="15"/>
      <c r="AID132" s="15"/>
      <c r="AIK132" s="15"/>
      <c r="AIL132" s="15"/>
      <c r="AIS132" s="15"/>
      <c r="AIT132" s="15"/>
      <c r="AJA132" s="15"/>
      <c r="AJB132" s="15"/>
      <c r="AJI132" s="15"/>
      <c r="AJJ132" s="15"/>
      <c r="AJQ132" s="15"/>
      <c r="AJR132" s="15"/>
      <c r="AJY132" s="15"/>
      <c r="AJZ132" s="15"/>
      <c r="AKG132" s="15"/>
      <c r="AKH132" s="15"/>
      <c r="AKO132" s="15"/>
      <c r="AKP132" s="15"/>
      <c r="AKW132" s="15"/>
      <c r="AKX132" s="15"/>
      <c r="ALE132" s="15"/>
      <c r="ALF132" s="15"/>
      <c r="ALM132" s="15"/>
      <c r="ALN132" s="15"/>
      <c r="ALU132" s="15"/>
      <c r="ALV132" s="15"/>
      <c r="AMC132" s="15"/>
      <c r="AMD132" s="15"/>
    </row>
    <row r="133" customFormat="false" ht="13.8" hidden="false" customHeight="false" outlineLevel="0" collapsed="false">
      <c r="A133" s="1" t="s">
        <v>574</v>
      </c>
      <c r="B133" s="12" t="n">
        <v>42894</v>
      </c>
      <c r="C133" s="0" t="n">
        <v>2</v>
      </c>
      <c r="D133" s="13" t="n">
        <v>42828</v>
      </c>
      <c r="E133" s="12" t="n">
        <v>35561</v>
      </c>
      <c r="F133" s="14" t="n">
        <f aca="false">(B133-E133)/365.25</f>
        <v>20.0766598220397</v>
      </c>
      <c r="G133" s="14" t="n">
        <f aca="false">(B133-D133)/365.25</f>
        <v>0.180698151950719</v>
      </c>
      <c r="H133" s="15" t="s">
        <v>183</v>
      </c>
      <c r="I133" s="15" t="s">
        <v>571</v>
      </c>
      <c r="J133" s="15" t="s">
        <v>183</v>
      </c>
      <c r="K133" s="21" t="n">
        <v>8</v>
      </c>
      <c r="L133" s="19" t="n">
        <v>76</v>
      </c>
      <c r="M133" s="0" t="n">
        <v>1.82</v>
      </c>
      <c r="N133" s="16" t="n">
        <f aca="false">L133/(M133*M133)</f>
        <v>22.9440888781548</v>
      </c>
      <c r="O133" s="19" t="n">
        <v>0</v>
      </c>
      <c r="P133" s="19" t="n">
        <v>0</v>
      </c>
      <c r="Q133" s="19" t="n">
        <v>0</v>
      </c>
      <c r="R133" s="19" t="n">
        <v>0</v>
      </c>
      <c r="S133" s="19" t="n">
        <v>0</v>
      </c>
      <c r="T133" s="19" t="n">
        <v>0</v>
      </c>
      <c r="U133" s="19" t="n">
        <v>0</v>
      </c>
      <c r="V133" s="19" t="n">
        <v>0</v>
      </c>
      <c r="W133" s="19" t="n">
        <v>1</v>
      </c>
      <c r="X133" s="19" t="n">
        <v>0</v>
      </c>
      <c r="Y133" s="19" t="n">
        <v>1</v>
      </c>
      <c r="Z133" s="19" t="n">
        <v>1</v>
      </c>
      <c r="AA133" s="19" t="n">
        <v>120</v>
      </c>
      <c r="AB133" s="19" t="s">
        <v>349</v>
      </c>
      <c r="AC133" s="19" t="n">
        <v>0</v>
      </c>
      <c r="AD133" s="19" t="n">
        <v>0</v>
      </c>
      <c r="AE133" s="19" t="n">
        <v>1</v>
      </c>
      <c r="AF133" s="19" t="n">
        <v>0</v>
      </c>
      <c r="AG133" s="19" t="n">
        <v>1</v>
      </c>
      <c r="AH133" s="19" t="n">
        <v>8</v>
      </c>
      <c r="AI133" s="19" t="n">
        <v>2</v>
      </c>
      <c r="AJ133" s="19" t="n">
        <v>0</v>
      </c>
      <c r="AK133" s="19" t="n">
        <v>2</v>
      </c>
      <c r="AL133" s="19" t="n">
        <v>0</v>
      </c>
      <c r="AM133" s="19" t="n">
        <v>8</v>
      </c>
      <c r="AN133" s="19" t="n">
        <v>0</v>
      </c>
      <c r="AO133" s="19" t="n">
        <v>0</v>
      </c>
      <c r="AP133" s="19" t="n">
        <v>0</v>
      </c>
      <c r="AQ133" s="19" t="n">
        <v>0</v>
      </c>
      <c r="AR133" s="19" t="n">
        <v>0</v>
      </c>
      <c r="AS133" s="19" t="n">
        <v>3</v>
      </c>
      <c r="AT133" s="19" t="n">
        <v>0</v>
      </c>
      <c r="AU133" s="19" t="n">
        <v>3</v>
      </c>
      <c r="AV133" s="19" t="n">
        <v>6</v>
      </c>
      <c r="AW133" s="19" t="n">
        <v>6</v>
      </c>
      <c r="AX133" s="19" t="n">
        <v>0</v>
      </c>
      <c r="AY133" s="19" t="n">
        <v>0</v>
      </c>
      <c r="AZ133" s="19" t="n">
        <v>0</v>
      </c>
      <c r="BA133" s="19" t="n">
        <v>0</v>
      </c>
      <c r="BB133" s="19" t="n">
        <v>1</v>
      </c>
      <c r="BC133" s="19" t="n">
        <v>0</v>
      </c>
      <c r="BD133" s="19" t="n">
        <v>1</v>
      </c>
      <c r="BE133" s="19" t="n">
        <v>6</v>
      </c>
      <c r="BF133" s="19" t="n">
        <v>0</v>
      </c>
      <c r="BG133" s="19" t="n">
        <v>0</v>
      </c>
      <c r="BH133" s="19" t="n">
        <v>0</v>
      </c>
      <c r="BI133" s="19" t="n">
        <v>0</v>
      </c>
      <c r="BJ133" s="19" t="n">
        <v>1</v>
      </c>
      <c r="BK133" s="19" t="n">
        <v>0</v>
      </c>
      <c r="BL133" s="19" t="n">
        <v>1</v>
      </c>
      <c r="BM133" s="19" t="n">
        <v>6</v>
      </c>
      <c r="BN133" s="19" t="n">
        <v>1</v>
      </c>
      <c r="BO133" s="19" t="n">
        <v>0</v>
      </c>
      <c r="BP133" s="19" t="n">
        <v>1</v>
      </c>
      <c r="BQ133" s="19" t="n">
        <v>6</v>
      </c>
      <c r="BR133" s="19" t="n">
        <v>2</v>
      </c>
      <c r="BS133" s="19" t="n">
        <v>2</v>
      </c>
      <c r="BT133" s="19" t="n">
        <v>3</v>
      </c>
      <c r="BU133" s="19" t="n">
        <v>5</v>
      </c>
      <c r="BV133" s="19" t="n">
        <v>2</v>
      </c>
      <c r="BW133" s="19" t="n">
        <v>2</v>
      </c>
      <c r="BX133" s="19" t="n">
        <v>4</v>
      </c>
      <c r="BY133" s="19" t="n">
        <v>3</v>
      </c>
      <c r="BZ133" s="19" t="n">
        <v>5</v>
      </c>
      <c r="CA133" s="19" t="n">
        <v>4</v>
      </c>
      <c r="CB133" s="19" t="n">
        <v>5</v>
      </c>
      <c r="CC133" s="19" t="n">
        <v>5</v>
      </c>
      <c r="CD133" s="19" t="n">
        <v>3</v>
      </c>
      <c r="CE133" s="19" t="n">
        <v>5</v>
      </c>
      <c r="CF133" s="19" t="n">
        <v>4</v>
      </c>
      <c r="CG133" s="19" t="n">
        <v>5</v>
      </c>
      <c r="CH133" s="19" t="n">
        <v>4</v>
      </c>
      <c r="CI133" s="19" t="n">
        <v>4</v>
      </c>
      <c r="CJ133" s="19" t="n">
        <v>4</v>
      </c>
      <c r="CK133" s="19" t="n">
        <v>9</v>
      </c>
      <c r="CL133" s="0" t="s">
        <v>540</v>
      </c>
      <c r="CM133" s="0" t="n">
        <v>70.5</v>
      </c>
      <c r="CN133" s="16" t="n">
        <v>88.2</v>
      </c>
      <c r="CO133" s="16" t="n">
        <v>80.4</v>
      </c>
      <c r="CP133" s="16" t="n">
        <v>36.3</v>
      </c>
      <c r="CQ133" s="0" t="n">
        <v>72.69</v>
      </c>
      <c r="CR133" s="17" t="n">
        <v>0</v>
      </c>
      <c r="CS133" s="0" t="n">
        <v>10.32</v>
      </c>
      <c r="CT133" s="0" t="n">
        <v>16.99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36.66</v>
      </c>
      <c r="DD133" s="0" t="n">
        <v>7.54</v>
      </c>
      <c r="DE133" s="0" t="n">
        <v>10.32</v>
      </c>
      <c r="DF133" s="0" t="n">
        <v>0</v>
      </c>
      <c r="DG133" s="0" t="n">
        <v>0</v>
      </c>
      <c r="DH133" s="0" t="n">
        <v>0</v>
      </c>
      <c r="DU133" s="0" t="n">
        <v>21.2</v>
      </c>
      <c r="DV133" s="0" t="n">
        <v>1</v>
      </c>
      <c r="DW133" s="0" t="n">
        <v>35</v>
      </c>
      <c r="DX133" s="0" t="n">
        <v>7</v>
      </c>
      <c r="DY133" s="0" t="n">
        <f aca="false">5.71+0.54</f>
        <v>6.25</v>
      </c>
      <c r="DZ133" s="0" t="n">
        <v>3</v>
      </c>
      <c r="EA133" s="0" t="n">
        <v>47</v>
      </c>
      <c r="EB133" s="0" t="n">
        <v>2</v>
      </c>
      <c r="EC133" s="0" t="n">
        <v>0.4</v>
      </c>
      <c r="ED133" s="0" t="n">
        <v>3</v>
      </c>
      <c r="EG133" s="20"/>
      <c r="EY133" s="0" t="n">
        <v>0</v>
      </c>
      <c r="GJ133" s="16" t="n">
        <v>11.58</v>
      </c>
      <c r="GK133" s="16" t="n">
        <v>1</v>
      </c>
      <c r="GL133" s="16" t="n">
        <v>2</v>
      </c>
      <c r="GM133" s="16"/>
      <c r="GN133" s="16" t="n">
        <f aca="false">0.22+1.95+3.81+0.27+0.32+0.04+0.05</f>
        <v>6.66</v>
      </c>
      <c r="GO133" s="16"/>
      <c r="GP133" s="16"/>
      <c r="GQ133" s="16"/>
      <c r="GR133" s="16"/>
      <c r="GS133" s="16"/>
      <c r="GT133" s="16"/>
      <c r="GU133" s="16" t="n">
        <v>0.27</v>
      </c>
      <c r="GV133" s="16" t="n">
        <v>0.27</v>
      </c>
      <c r="GW133" s="16" t="n">
        <v>0</v>
      </c>
      <c r="GX133" s="16" t="n">
        <v>0</v>
      </c>
      <c r="GY133" s="16" t="n">
        <v>0</v>
      </c>
      <c r="GZ133" s="16" t="n">
        <v>0</v>
      </c>
      <c r="HA133" s="16" t="n">
        <v>0</v>
      </c>
      <c r="HB133" s="0" t="n">
        <v>0</v>
      </c>
      <c r="HC133" s="0" t="s">
        <v>541</v>
      </c>
      <c r="HD133" s="0" t="n">
        <v>94.5</v>
      </c>
      <c r="HE133" s="16" t="n">
        <v>88.2</v>
      </c>
      <c r="HF133" s="16" t="n">
        <v>80.4</v>
      </c>
      <c r="HG133" s="16" t="n">
        <v>73.1</v>
      </c>
      <c r="HH133" s="0" t="n">
        <v>41.34</v>
      </c>
      <c r="HI133" s="17" t="n">
        <v>0</v>
      </c>
      <c r="HJ133" s="0" t="n">
        <v>8.63</v>
      </c>
      <c r="HK133" s="0" t="n">
        <v>0.04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  <c r="HT133" s="0" t="n">
        <v>8.06</v>
      </c>
      <c r="HU133" s="0" t="n">
        <v>3.65</v>
      </c>
      <c r="HV133" s="0" t="n">
        <v>7.2</v>
      </c>
      <c r="HW133" s="0" t="n">
        <v>0</v>
      </c>
      <c r="HX133" s="0" t="n">
        <v>0</v>
      </c>
      <c r="HY133" s="0" t="n">
        <v>0</v>
      </c>
      <c r="IL133" s="0" t="n">
        <v>9.4</v>
      </c>
      <c r="IM133" s="0" t="n">
        <v>1</v>
      </c>
      <c r="IN133" s="0" t="n">
        <v>35</v>
      </c>
      <c r="IO133" s="0" t="n">
        <v>2</v>
      </c>
      <c r="IP133" s="0" t="n">
        <f aca="false">0.76+0.45</f>
        <v>1.21</v>
      </c>
      <c r="IQ133" s="0" t="n">
        <v>3</v>
      </c>
      <c r="IX133" s="20"/>
      <c r="JP133" s="0" t="n">
        <v>1</v>
      </c>
      <c r="JQ133" s="0" t="n">
        <v>70</v>
      </c>
      <c r="JR133" s="0" t="n">
        <v>2</v>
      </c>
      <c r="JS133" s="0" t="n">
        <f aca="false">0.75+1.69</f>
        <v>2.44</v>
      </c>
      <c r="JT133" s="0" t="n">
        <v>2</v>
      </c>
      <c r="LA133" s="16" t="n">
        <v>0.84</v>
      </c>
      <c r="LB133" s="16" t="n">
        <v>1</v>
      </c>
      <c r="LC133" s="16" t="n">
        <v>1</v>
      </c>
      <c r="LD133" s="16"/>
      <c r="LE133" s="16" t="n">
        <v>0.6</v>
      </c>
      <c r="LF133" s="16"/>
      <c r="LG133" s="16"/>
      <c r="LH133" s="16"/>
      <c r="LI133" s="16"/>
      <c r="LJ133" s="16"/>
      <c r="LK133" s="16"/>
      <c r="LL133" s="16" t="n">
        <v>10.19</v>
      </c>
      <c r="LM133" s="16" t="n">
        <v>8.46</v>
      </c>
      <c r="LN133" s="16" t="n">
        <v>0</v>
      </c>
      <c r="LO133" s="16" t="n">
        <v>0</v>
      </c>
      <c r="LP133" s="16" t="n">
        <v>0</v>
      </c>
      <c r="LQ133" s="16" t="n">
        <v>0</v>
      </c>
      <c r="LR133" s="16" t="n">
        <v>0</v>
      </c>
      <c r="LS133" s="0" t="n">
        <v>0</v>
      </c>
      <c r="LT133" s="0" t="s">
        <v>542</v>
      </c>
      <c r="LU133" s="0" t="n">
        <v>75</v>
      </c>
      <c r="LV133" s="16" t="n">
        <v>91.2</v>
      </c>
      <c r="LW133" s="16" t="n">
        <v>80.4</v>
      </c>
      <c r="LX133" s="16" t="n">
        <v>61</v>
      </c>
      <c r="LY133" s="0" t="n">
        <v>53.67</v>
      </c>
      <c r="LZ133" s="17" t="n">
        <v>0</v>
      </c>
      <c r="MA133" s="0" t="n">
        <v>16.76</v>
      </c>
      <c r="MB133" s="0" t="n">
        <v>29.58</v>
      </c>
      <c r="MC133" s="0" t="n">
        <v>0</v>
      </c>
      <c r="MD133" s="0" t="n">
        <v>0</v>
      </c>
      <c r="ME133" s="0" t="n">
        <v>0</v>
      </c>
      <c r="MF133" s="0" t="n">
        <v>0</v>
      </c>
      <c r="MG133" s="0" t="n">
        <v>0</v>
      </c>
      <c r="MH133" s="0" t="n">
        <v>0</v>
      </c>
      <c r="MI133" s="0" t="n">
        <v>0</v>
      </c>
      <c r="MJ133" s="0" t="n">
        <v>0</v>
      </c>
      <c r="MK133" s="0" t="n">
        <v>6.79</v>
      </c>
      <c r="ML133" s="0" t="n">
        <v>14.97</v>
      </c>
      <c r="MM133" s="0" t="n">
        <v>18.24</v>
      </c>
      <c r="MN133" s="0" t="n">
        <v>0</v>
      </c>
      <c r="MO133" s="0" t="n">
        <v>0</v>
      </c>
      <c r="MP133" s="0" t="n">
        <v>0</v>
      </c>
      <c r="NC133" s="0" t="n">
        <v>9</v>
      </c>
      <c r="ND133" s="0" t="n">
        <v>1</v>
      </c>
      <c r="NE133" s="0" t="n">
        <v>68</v>
      </c>
      <c r="NF133" s="0" t="n">
        <v>1</v>
      </c>
      <c r="NG133" s="0" t="n">
        <v>0.38</v>
      </c>
      <c r="NH133" s="0" t="n">
        <v>1</v>
      </c>
      <c r="NI133" s="0" t="n">
        <v>47</v>
      </c>
      <c r="NJ133" s="0" t="n">
        <v>1</v>
      </c>
      <c r="NK133" s="0" t="n">
        <v>1.13</v>
      </c>
      <c r="NL133" s="0" t="n">
        <v>3</v>
      </c>
      <c r="NO133" s="20"/>
      <c r="OG133" s="0" t="n">
        <v>1</v>
      </c>
      <c r="OH133" s="0" t="n">
        <v>70</v>
      </c>
      <c r="OI133" s="0" t="n">
        <v>2</v>
      </c>
      <c r="OJ133" s="0" t="n">
        <f aca="false">1.69+0.75</f>
        <v>2.44</v>
      </c>
      <c r="OK133" s="0" t="n">
        <v>2</v>
      </c>
      <c r="PR133" s="16" t="n">
        <v>1.88</v>
      </c>
      <c r="PS133" s="16" t="n">
        <v>1</v>
      </c>
      <c r="PT133" s="16" t="n">
        <v>1</v>
      </c>
      <c r="PU133" s="16"/>
      <c r="PV133" s="16" t="n">
        <f aca="false">1.04+1.04+1.04</f>
        <v>3.12</v>
      </c>
      <c r="PW133" s="16"/>
      <c r="PX133" s="16"/>
      <c r="PY133" s="16"/>
      <c r="PZ133" s="16"/>
      <c r="QA133" s="16"/>
      <c r="QB133" s="16"/>
      <c r="QC133" s="16" t="n">
        <v>1.5</v>
      </c>
      <c r="QD133" s="16" t="n">
        <v>1.5</v>
      </c>
      <c r="QE133" s="16" t="n">
        <v>0</v>
      </c>
      <c r="QF133" s="16" t="n">
        <v>0</v>
      </c>
      <c r="QG133" s="16" t="n">
        <v>0</v>
      </c>
      <c r="QH133" s="16" t="n">
        <v>0</v>
      </c>
      <c r="QI133" s="16" t="n">
        <v>0</v>
      </c>
      <c r="QJ133" s="0" t="n">
        <v>0</v>
      </c>
      <c r="QK133" s="0" t="s">
        <v>543</v>
      </c>
      <c r="QL133" s="0" t="n">
        <v>21</v>
      </c>
      <c r="QM133" s="16" t="n">
        <v>77.9</v>
      </c>
      <c r="QN133" s="16" t="n">
        <v>160.8</v>
      </c>
      <c r="QO133" s="16" t="n">
        <v>14.1</v>
      </c>
      <c r="QP133" s="0" t="n">
        <v>87.99</v>
      </c>
      <c r="QQ133" s="17" t="n">
        <v>0</v>
      </c>
      <c r="QR133" s="0" t="n">
        <v>3.38</v>
      </c>
      <c r="QS133" s="0" t="n">
        <v>0</v>
      </c>
      <c r="QT133" s="0" t="n">
        <v>8.63</v>
      </c>
      <c r="QU133" s="0" t="n">
        <v>0</v>
      </c>
      <c r="QV133" s="0" t="n">
        <v>0</v>
      </c>
      <c r="QW133" s="0" t="n">
        <v>0</v>
      </c>
      <c r="QX133" s="0" t="n">
        <v>0</v>
      </c>
      <c r="QY133" s="0" t="n">
        <v>0</v>
      </c>
      <c r="QZ133" s="0" t="n">
        <v>0</v>
      </c>
      <c r="RA133" s="0" t="n">
        <v>0</v>
      </c>
      <c r="RB133" s="0" t="n">
        <v>0</v>
      </c>
      <c r="RC133" s="0" t="n">
        <v>65.6</v>
      </c>
      <c r="RD133" s="0" t="n">
        <v>0</v>
      </c>
      <c r="RE133" s="0" t="n">
        <v>0</v>
      </c>
      <c r="RF133" s="0" t="n">
        <v>0</v>
      </c>
      <c r="RG133" s="0" t="n">
        <v>0</v>
      </c>
      <c r="RT133" s="0" t="n">
        <v>1.4</v>
      </c>
      <c r="RU133" s="0" t="n">
        <v>1</v>
      </c>
      <c r="RV133" s="0" t="n">
        <v>35</v>
      </c>
      <c r="RW133" s="0" t="n">
        <v>3</v>
      </c>
      <c r="RX133" s="0" t="n">
        <f aca="false">0.38</f>
        <v>0.38</v>
      </c>
      <c r="RY133" s="0" t="n">
        <v>3</v>
      </c>
      <c r="RZ133" s="0" t="n">
        <v>34</v>
      </c>
      <c r="SA133" s="0" t="n">
        <v>27</v>
      </c>
      <c r="SB133" s="0" t="n">
        <f aca="false">0.19+0.19+1.13+3.38+0.56+1.5+1.13+0.38</f>
        <v>8.46</v>
      </c>
      <c r="SC133" s="0" t="n">
        <v>1</v>
      </c>
      <c r="SF133" s="20"/>
      <c r="SX133" s="0" t="n">
        <v>1</v>
      </c>
      <c r="SY133" s="0" t="n">
        <v>40</v>
      </c>
      <c r="SZ133" s="0" t="n">
        <v>9</v>
      </c>
      <c r="TA133" s="0" t="n">
        <f aca="false">0.38+1.13+3+1.88+0.75</f>
        <v>7.14</v>
      </c>
      <c r="TB133" s="0" t="n">
        <v>3</v>
      </c>
      <c r="UI133" s="16" t="n">
        <v>0</v>
      </c>
      <c r="UJ133" s="16" t="n">
        <v>0</v>
      </c>
      <c r="UK133" s="16"/>
      <c r="UL133" s="16"/>
      <c r="UM133" s="16"/>
      <c r="UN133" s="16"/>
      <c r="UO133" s="16"/>
      <c r="UP133" s="16"/>
      <c r="UQ133" s="16"/>
      <c r="UR133" s="16"/>
      <c r="US133" s="16"/>
      <c r="UT133" s="16" t="n">
        <v>5.27</v>
      </c>
      <c r="UU133" s="16" t="n">
        <v>1.5</v>
      </c>
      <c r="UV133" s="16" t="n">
        <v>0</v>
      </c>
      <c r="UW133" s="16" t="n">
        <v>0</v>
      </c>
      <c r="UX133" s="16" t="n">
        <v>0</v>
      </c>
      <c r="UY133" s="16" t="n">
        <v>0</v>
      </c>
      <c r="UZ133" s="16" t="n">
        <v>0</v>
      </c>
      <c r="VA133" s="0" t="n">
        <v>0</v>
      </c>
      <c r="VE133" s="15"/>
      <c r="VF133" s="15"/>
      <c r="VM133" s="15"/>
      <c r="VN133" s="15"/>
      <c r="VU133" s="15"/>
      <c r="VV133" s="15"/>
      <c r="WC133" s="15"/>
      <c r="WD133" s="15"/>
      <c r="WK133" s="15"/>
      <c r="WL133" s="15"/>
      <c r="WS133" s="15"/>
      <c r="WT133" s="15"/>
      <c r="XA133" s="15"/>
      <c r="XB133" s="15"/>
      <c r="XI133" s="15"/>
      <c r="XJ133" s="15"/>
      <c r="XQ133" s="15"/>
      <c r="XR133" s="15"/>
      <c r="XY133" s="15"/>
      <c r="XZ133" s="15"/>
      <c r="YG133" s="15"/>
      <c r="YH133" s="15"/>
      <c r="YO133" s="15"/>
      <c r="YP133" s="15"/>
      <c r="YW133" s="15"/>
      <c r="YX133" s="15"/>
      <c r="ZE133" s="15"/>
      <c r="ZF133" s="15"/>
      <c r="ZM133" s="15"/>
      <c r="ZN133" s="15"/>
      <c r="ZU133" s="15"/>
      <c r="ZV133" s="15"/>
      <c r="AAC133" s="15"/>
      <c r="AAD133" s="15"/>
      <c r="AAK133" s="15"/>
      <c r="AAL133" s="15"/>
      <c r="AAS133" s="15"/>
      <c r="AAT133" s="15"/>
      <c r="ABA133" s="15"/>
      <c r="ABB133" s="15"/>
      <c r="ABI133" s="15"/>
      <c r="ABJ133" s="15"/>
      <c r="ABQ133" s="15"/>
      <c r="ABR133" s="15"/>
      <c r="ABY133" s="15"/>
      <c r="ABZ133" s="15"/>
      <c r="ACG133" s="15"/>
      <c r="ACH133" s="15"/>
      <c r="ACO133" s="15"/>
      <c r="ACP133" s="15"/>
      <c r="ACW133" s="15"/>
      <c r="ACX133" s="15"/>
      <c r="ADE133" s="15"/>
      <c r="ADF133" s="15"/>
      <c r="ADM133" s="15"/>
      <c r="ADN133" s="15"/>
      <c r="ADU133" s="15"/>
      <c r="ADV133" s="15"/>
      <c r="AEC133" s="15"/>
      <c r="AED133" s="15"/>
      <c r="AEK133" s="15"/>
      <c r="AEL133" s="15"/>
      <c r="AES133" s="15"/>
      <c r="AET133" s="15"/>
      <c r="AFA133" s="15"/>
      <c r="AFB133" s="15"/>
      <c r="AFI133" s="15"/>
      <c r="AFJ133" s="15"/>
      <c r="AFQ133" s="15"/>
      <c r="AFR133" s="15"/>
      <c r="AFY133" s="15"/>
      <c r="AFZ133" s="15"/>
      <c r="AGG133" s="15"/>
      <c r="AGH133" s="15"/>
      <c r="AGO133" s="15"/>
      <c r="AGP133" s="15"/>
      <c r="AGW133" s="15"/>
      <c r="AGX133" s="15"/>
      <c r="AHE133" s="15"/>
      <c r="AHF133" s="15"/>
      <c r="AHM133" s="15"/>
      <c r="AHN133" s="15"/>
      <c r="AHU133" s="15"/>
      <c r="AHV133" s="15"/>
      <c r="AIC133" s="15"/>
      <c r="AID133" s="15"/>
      <c r="AIK133" s="15"/>
      <c r="AIL133" s="15"/>
      <c r="AIS133" s="15"/>
      <c r="AIT133" s="15"/>
      <c r="AJA133" s="15"/>
      <c r="AJB133" s="15"/>
      <c r="AJI133" s="15"/>
      <c r="AJJ133" s="15"/>
      <c r="AJQ133" s="15"/>
      <c r="AJR133" s="15"/>
      <c r="AJY133" s="15"/>
      <c r="AJZ133" s="15"/>
      <c r="AKG133" s="15"/>
      <c r="AKH133" s="15"/>
      <c r="AKO133" s="15"/>
      <c r="AKP133" s="15"/>
      <c r="AKW133" s="15"/>
      <c r="AKX133" s="15"/>
      <c r="ALE133" s="15"/>
      <c r="ALF133" s="15"/>
      <c r="ALM133" s="15"/>
      <c r="ALN133" s="15"/>
      <c r="ALU133" s="15"/>
      <c r="ALV133" s="15"/>
      <c r="AMC133" s="15"/>
      <c r="AMD133" s="15"/>
    </row>
    <row r="134" customFormat="false" ht="13.8" hidden="false" customHeight="false" outlineLevel="0" collapsed="false">
      <c r="A134" s="1" t="s">
        <v>575</v>
      </c>
      <c r="B134" s="12" t="n">
        <v>42894</v>
      </c>
      <c r="C134" s="0" t="n">
        <v>2</v>
      </c>
      <c r="D134" s="13" t="n">
        <v>35094</v>
      </c>
      <c r="E134" s="12" t="n">
        <v>24954</v>
      </c>
      <c r="F134" s="14" t="n">
        <f aca="false">(B134-E134)/365.25</f>
        <v>49.1170431211499</v>
      </c>
      <c r="G134" s="14" t="n">
        <f aca="false">(B134-D134)/365.25</f>
        <v>21.3552361396304</v>
      </c>
      <c r="H134" s="15" t="s">
        <v>183</v>
      </c>
      <c r="I134" s="15" t="s">
        <v>571</v>
      </c>
      <c r="J134" s="15" t="s">
        <v>183</v>
      </c>
      <c r="K134" s="21" t="n">
        <v>8</v>
      </c>
      <c r="L134" s="19" t="n">
        <v>77</v>
      </c>
      <c r="M134" s="0" t="n">
        <v>1.8</v>
      </c>
      <c r="N134" s="16" t="n">
        <f aca="false">L134/(M134*M134)</f>
        <v>23.7654320987654</v>
      </c>
      <c r="O134" s="19" t="n">
        <v>0</v>
      </c>
      <c r="P134" s="19" t="n">
        <v>0</v>
      </c>
      <c r="Q134" s="19" t="n">
        <v>0</v>
      </c>
      <c r="R134" s="19" t="n">
        <v>0</v>
      </c>
      <c r="S134" s="19" t="n">
        <v>0</v>
      </c>
      <c r="T134" s="19" t="n">
        <v>0</v>
      </c>
      <c r="U134" s="19" t="n">
        <v>0</v>
      </c>
      <c r="V134" s="19" t="n">
        <v>0</v>
      </c>
      <c r="W134" s="19" t="n">
        <v>0</v>
      </c>
      <c r="X134" s="19" t="n">
        <v>0</v>
      </c>
      <c r="Y134" s="19" t="n">
        <v>1</v>
      </c>
      <c r="Z134" s="19" t="n">
        <v>2</v>
      </c>
      <c r="AA134" s="19" t="n">
        <v>60</v>
      </c>
      <c r="AB134" s="19" t="s">
        <v>478</v>
      </c>
      <c r="AC134" s="19" t="n">
        <v>0</v>
      </c>
      <c r="AD134" s="19" t="n">
        <v>0</v>
      </c>
      <c r="AE134" s="19" t="n">
        <v>1</v>
      </c>
      <c r="AF134" s="19" t="n">
        <v>1</v>
      </c>
      <c r="AG134" s="19" t="n">
        <v>1</v>
      </c>
      <c r="AH134" s="19" t="n">
        <v>9</v>
      </c>
      <c r="AI134" s="19" t="n">
        <v>1</v>
      </c>
      <c r="AJ134" s="19" t="n">
        <v>0</v>
      </c>
      <c r="AK134" s="19" t="n">
        <v>1</v>
      </c>
      <c r="AL134" s="19" t="n">
        <v>8</v>
      </c>
      <c r="AM134" s="19" t="n">
        <v>0</v>
      </c>
      <c r="AN134" s="19" t="n">
        <v>1</v>
      </c>
      <c r="AO134" s="19" t="n">
        <v>0</v>
      </c>
      <c r="AP134" s="19" t="n">
        <v>1</v>
      </c>
      <c r="AQ134" s="19" t="n">
        <v>1</v>
      </c>
      <c r="AR134" s="19" t="n">
        <v>0</v>
      </c>
      <c r="AS134" s="19" t="n">
        <v>0</v>
      </c>
      <c r="AT134" s="19" t="n">
        <v>0</v>
      </c>
      <c r="AU134" s="19" t="n">
        <v>0</v>
      </c>
      <c r="AV134" s="19" t="n">
        <v>0</v>
      </c>
      <c r="AW134" s="19" t="n">
        <v>0</v>
      </c>
      <c r="AX134" s="19" t="n">
        <v>0</v>
      </c>
      <c r="AY134" s="19" t="n">
        <v>0</v>
      </c>
      <c r="AZ134" s="19" t="n">
        <v>0</v>
      </c>
      <c r="BA134" s="19" t="n">
        <v>0</v>
      </c>
      <c r="BB134" s="19" t="n">
        <v>0</v>
      </c>
      <c r="BC134" s="19" t="n">
        <v>0</v>
      </c>
      <c r="BD134" s="19" t="n">
        <v>0</v>
      </c>
      <c r="BE134" s="19" t="n">
        <v>0</v>
      </c>
      <c r="BF134" s="19" t="n">
        <v>0</v>
      </c>
      <c r="BG134" s="19" t="n">
        <v>0</v>
      </c>
      <c r="BH134" s="19" t="n">
        <v>0</v>
      </c>
      <c r="BI134" s="19" t="n">
        <v>0</v>
      </c>
      <c r="BJ134" s="26" t="n">
        <v>0</v>
      </c>
      <c r="BK134" s="26" t="n">
        <v>0</v>
      </c>
      <c r="BL134" s="26" t="n">
        <v>0</v>
      </c>
      <c r="BM134" s="26" t="n">
        <v>0</v>
      </c>
      <c r="BN134" s="19" t="n">
        <v>0</v>
      </c>
      <c r="BO134" s="19" t="n">
        <v>0</v>
      </c>
      <c r="BP134" s="19" t="n">
        <v>0</v>
      </c>
      <c r="BQ134" s="19" t="n">
        <v>0</v>
      </c>
      <c r="BR134" s="19" t="n">
        <v>3</v>
      </c>
      <c r="BS134" s="19" t="n">
        <v>1</v>
      </c>
      <c r="BT134" s="19" t="n">
        <v>4</v>
      </c>
      <c r="BU134" s="19" t="n">
        <v>5</v>
      </c>
      <c r="BV134" s="19" t="n">
        <v>3</v>
      </c>
      <c r="BW134" s="19" t="n">
        <v>3</v>
      </c>
      <c r="BX134" s="19" t="n">
        <v>4</v>
      </c>
      <c r="BY134" s="19" t="n">
        <v>3</v>
      </c>
      <c r="BZ134" s="19" t="n">
        <v>4</v>
      </c>
      <c r="CA134" s="19" t="n">
        <v>4</v>
      </c>
      <c r="CB134" s="19" t="n">
        <v>4</v>
      </c>
      <c r="CC134" s="19" t="n">
        <v>5</v>
      </c>
      <c r="CD134" s="19" t="n">
        <v>3</v>
      </c>
      <c r="CE134" s="19" t="n">
        <v>4</v>
      </c>
      <c r="CF134" s="19" t="n">
        <v>4</v>
      </c>
      <c r="CG134" s="19" t="n">
        <v>4</v>
      </c>
      <c r="CH134" s="19" t="n">
        <v>3</v>
      </c>
      <c r="CI134" s="19" t="n">
        <v>4</v>
      </c>
      <c r="CJ134" s="19" t="n">
        <v>4</v>
      </c>
      <c r="CK134" s="19" t="n">
        <v>6</v>
      </c>
      <c r="CL134" s="0" t="s">
        <v>540</v>
      </c>
      <c r="CM134" s="0" t="n">
        <v>70.5</v>
      </c>
      <c r="CN134" s="16" t="n">
        <v>88.2</v>
      </c>
      <c r="CO134" s="16" t="n">
        <v>80.4</v>
      </c>
      <c r="CP134" s="16" t="n">
        <v>36.3</v>
      </c>
      <c r="CQ134" s="0" t="n">
        <v>72.69</v>
      </c>
      <c r="CR134" s="17" t="n">
        <v>0</v>
      </c>
      <c r="CS134" s="0" t="n">
        <v>10.32</v>
      </c>
      <c r="CT134" s="0" t="n">
        <v>16.99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36.66</v>
      </c>
      <c r="DD134" s="0" t="n">
        <v>7.54</v>
      </c>
      <c r="DE134" s="0" t="n">
        <v>10.32</v>
      </c>
      <c r="DF134" s="0" t="n">
        <v>0</v>
      </c>
      <c r="DG134" s="0" t="n">
        <v>0</v>
      </c>
      <c r="DH134" s="0" t="n">
        <v>0</v>
      </c>
      <c r="DU134" s="0" t="n">
        <v>21.2</v>
      </c>
      <c r="DV134" s="0" t="n">
        <v>1</v>
      </c>
      <c r="DW134" s="0" t="n">
        <v>35</v>
      </c>
      <c r="DX134" s="0" t="n">
        <v>7</v>
      </c>
      <c r="DY134" s="0" t="n">
        <f aca="false">5.71+0.54</f>
        <v>6.25</v>
      </c>
      <c r="DZ134" s="0" t="n">
        <v>3</v>
      </c>
      <c r="EA134" s="0" t="n">
        <v>47</v>
      </c>
      <c r="EB134" s="0" t="n">
        <v>2</v>
      </c>
      <c r="EC134" s="0" t="n">
        <v>0.4</v>
      </c>
      <c r="ED134" s="0" t="n">
        <v>3</v>
      </c>
      <c r="EG134" s="20"/>
      <c r="EY134" s="0" t="n">
        <v>0</v>
      </c>
      <c r="GJ134" s="16" t="n">
        <v>11.58</v>
      </c>
      <c r="GK134" s="16" t="n">
        <v>1</v>
      </c>
      <c r="GL134" s="16" t="n">
        <v>2</v>
      </c>
      <c r="GM134" s="16"/>
      <c r="GN134" s="16" t="n">
        <f aca="false">0.22+1.95+3.81+0.27+0.32+0.04+0.05</f>
        <v>6.66</v>
      </c>
      <c r="GO134" s="16"/>
      <c r="GP134" s="16"/>
      <c r="GQ134" s="16"/>
      <c r="GR134" s="16"/>
      <c r="GS134" s="16"/>
      <c r="GT134" s="16"/>
      <c r="GU134" s="16" t="n">
        <v>0.27</v>
      </c>
      <c r="GV134" s="16" t="n">
        <v>0.27</v>
      </c>
      <c r="GW134" s="16" t="n">
        <v>0</v>
      </c>
      <c r="GX134" s="16" t="n">
        <v>0</v>
      </c>
      <c r="GY134" s="16" t="n">
        <v>0</v>
      </c>
      <c r="GZ134" s="16" t="n">
        <v>0</v>
      </c>
      <c r="HA134" s="16" t="n">
        <v>0</v>
      </c>
      <c r="HB134" s="0" t="n">
        <v>0</v>
      </c>
      <c r="HC134" s="0" t="s">
        <v>541</v>
      </c>
      <c r="HD134" s="0" t="n">
        <v>94.5</v>
      </c>
      <c r="HE134" s="16" t="n">
        <v>88.2</v>
      </c>
      <c r="HF134" s="16" t="n">
        <v>80.4</v>
      </c>
      <c r="HG134" s="16" t="n">
        <v>73.1</v>
      </c>
      <c r="HH134" s="0" t="n">
        <v>41.34</v>
      </c>
      <c r="HI134" s="17" t="n">
        <v>0</v>
      </c>
      <c r="HJ134" s="0" t="n">
        <v>8.63</v>
      </c>
      <c r="HK134" s="0" t="n">
        <v>0.04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  <c r="HT134" s="0" t="n">
        <v>8.06</v>
      </c>
      <c r="HU134" s="0" t="n">
        <v>3.65</v>
      </c>
      <c r="HV134" s="0" t="n">
        <v>7.2</v>
      </c>
      <c r="HW134" s="0" t="n">
        <v>0</v>
      </c>
      <c r="HX134" s="0" t="n">
        <v>0</v>
      </c>
      <c r="HY134" s="0" t="n">
        <v>0</v>
      </c>
      <c r="IL134" s="0" t="n">
        <v>9.4</v>
      </c>
      <c r="IM134" s="0" t="n">
        <v>1</v>
      </c>
      <c r="IN134" s="0" t="n">
        <v>35</v>
      </c>
      <c r="IO134" s="0" t="n">
        <v>2</v>
      </c>
      <c r="IP134" s="0" t="n">
        <f aca="false">0.76+0.45</f>
        <v>1.21</v>
      </c>
      <c r="IQ134" s="0" t="n">
        <v>3</v>
      </c>
      <c r="IX134" s="20"/>
      <c r="JP134" s="0" t="n">
        <v>1</v>
      </c>
      <c r="JQ134" s="0" t="n">
        <v>70</v>
      </c>
      <c r="JR134" s="0" t="n">
        <v>2</v>
      </c>
      <c r="JS134" s="0" t="n">
        <f aca="false">0.75+1.69</f>
        <v>2.44</v>
      </c>
      <c r="JT134" s="0" t="n">
        <v>2</v>
      </c>
      <c r="LA134" s="16" t="n">
        <v>0.84</v>
      </c>
      <c r="LB134" s="16" t="n">
        <v>1</v>
      </c>
      <c r="LC134" s="16" t="n">
        <v>1</v>
      </c>
      <c r="LD134" s="16"/>
      <c r="LE134" s="16" t="n">
        <v>0.6</v>
      </c>
      <c r="LF134" s="16"/>
      <c r="LG134" s="16"/>
      <c r="LH134" s="16"/>
      <c r="LI134" s="16"/>
      <c r="LJ134" s="16"/>
      <c r="LK134" s="16"/>
      <c r="LL134" s="16" t="n">
        <v>10.19</v>
      </c>
      <c r="LM134" s="16" t="n">
        <v>8.46</v>
      </c>
      <c r="LN134" s="16" t="n">
        <v>0</v>
      </c>
      <c r="LO134" s="16" t="n">
        <v>0</v>
      </c>
      <c r="LP134" s="16" t="n">
        <v>0</v>
      </c>
      <c r="LQ134" s="16" t="n">
        <v>0</v>
      </c>
      <c r="LR134" s="16" t="n">
        <v>0</v>
      </c>
      <c r="LS134" s="0" t="n">
        <v>0</v>
      </c>
      <c r="LT134" s="0" t="s">
        <v>542</v>
      </c>
      <c r="LU134" s="0" t="n">
        <v>75</v>
      </c>
      <c r="LV134" s="16" t="n">
        <v>91.2</v>
      </c>
      <c r="LW134" s="16" t="n">
        <v>80.4</v>
      </c>
      <c r="LX134" s="16" t="n">
        <v>61</v>
      </c>
      <c r="LY134" s="0" t="n">
        <v>53.67</v>
      </c>
      <c r="LZ134" s="17" t="n">
        <v>0</v>
      </c>
      <c r="MA134" s="0" t="n">
        <v>16.76</v>
      </c>
      <c r="MB134" s="0" t="n">
        <v>29.58</v>
      </c>
      <c r="MC134" s="0" t="n">
        <v>0</v>
      </c>
      <c r="MD134" s="0" t="n">
        <v>0</v>
      </c>
      <c r="ME134" s="0" t="n">
        <v>0</v>
      </c>
      <c r="MF134" s="0" t="n">
        <v>0</v>
      </c>
      <c r="MG134" s="0" t="n">
        <v>0</v>
      </c>
      <c r="MH134" s="0" t="n">
        <v>0</v>
      </c>
      <c r="MI134" s="0" t="n">
        <v>0</v>
      </c>
      <c r="MJ134" s="0" t="n">
        <v>0</v>
      </c>
      <c r="MK134" s="0" t="n">
        <v>6.79</v>
      </c>
      <c r="ML134" s="0" t="n">
        <v>14.97</v>
      </c>
      <c r="MM134" s="0" t="n">
        <v>18.24</v>
      </c>
      <c r="MN134" s="0" t="n">
        <v>0</v>
      </c>
      <c r="MO134" s="0" t="n">
        <v>0</v>
      </c>
      <c r="MP134" s="0" t="n">
        <v>0</v>
      </c>
      <c r="NC134" s="0" t="n">
        <v>9</v>
      </c>
      <c r="ND134" s="0" t="n">
        <v>1</v>
      </c>
      <c r="NE134" s="0" t="n">
        <v>68</v>
      </c>
      <c r="NF134" s="0" t="n">
        <v>1</v>
      </c>
      <c r="NG134" s="0" t="n">
        <v>0.38</v>
      </c>
      <c r="NH134" s="0" t="n">
        <v>1</v>
      </c>
      <c r="NI134" s="0" t="n">
        <v>47</v>
      </c>
      <c r="NJ134" s="0" t="n">
        <v>1</v>
      </c>
      <c r="NK134" s="0" t="n">
        <v>1.13</v>
      </c>
      <c r="NL134" s="0" t="n">
        <v>3</v>
      </c>
      <c r="NO134" s="20"/>
      <c r="OG134" s="0" t="n">
        <v>1</v>
      </c>
      <c r="OH134" s="0" t="n">
        <v>70</v>
      </c>
      <c r="OI134" s="0" t="n">
        <v>2</v>
      </c>
      <c r="OJ134" s="0" t="n">
        <f aca="false">1.69+0.75</f>
        <v>2.44</v>
      </c>
      <c r="OK134" s="0" t="n">
        <v>2</v>
      </c>
      <c r="PR134" s="16" t="n">
        <v>1.88</v>
      </c>
      <c r="PS134" s="16" t="n">
        <v>1</v>
      </c>
      <c r="PT134" s="16" t="n">
        <v>1</v>
      </c>
      <c r="PU134" s="16"/>
      <c r="PV134" s="16" t="n">
        <f aca="false">1.04+1.04+1.04</f>
        <v>3.12</v>
      </c>
      <c r="PW134" s="16"/>
      <c r="PX134" s="16"/>
      <c r="PY134" s="16"/>
      <c r="PZ134" s="16"/>
      <c r="QA134" s="16"/>
      <c r="QB134" s="16"/>
      <c r="QC134" s="16" t="n">
        <v>1.5</v>
      </c>
      <c r="QD134" s="16" t="n">
        <v>1.5</v>
      </c>
      <c r="QE134" s="16" t="n">
        <v>0</v>
      </c>
      <c r="QF134" s="16" t="n">
        <v>0</v>
      </c>
      <c r="QG134" s="16" t="n">
        <v>0</v>
      </c>
      <c r="QH134" s="16" t="n">
        <v>0</v>
      </c>
      <c r="QI134" s="16" t="n">
        <v>0</v>
      </c>
      <c r="QJ134" s="0" t="n">
        <v>0</v>
      </c>
      <c r="QK134" s="0" t="s">
        <v>543</v>
      </c>
      <c r="QL134" s="0" t="n">
        <v>21</v>
      </c>
      <c r="QM134" s="16" t="n">
        <v>77.9</v>
      </c>
      <c r="QN134" s="16" t="n">
        <v>160.8</v>
      </c>
      <c r="QO134" s="16" t="n">
        <v>14.1</v>
      </c>
      <c r="QP134" s="0" t="n">
        <v>87.99</v>
      </c>
      <c r="QQ134" s="17" t="n">
        <v>0</v>
      </c>
      <c r="QR134" s="0" t="n">
        <v>3.38</v>
      </c>
      <c r="QS134" s="0" t="n">
        <v>0</v>
      </c>
      <c r="QT134" s="0" t="n">
        <v>8.63</v>
      </c>
      <c r="QU134" s="0" t="n">
        <v>0</v>
      </c>
      <c r="QV134" s="0" t="n">
        <v>0</v>
      </c>
      <c r="QW134" s="0" t="n">
        <v>0</v>
      </c>
      <c r="QX134" s="0" t="n">
        <v>0</v>
      </c>
      <c r="QY134" s="0" t="n">
        <v>0</v>
      </c>
      <c r="QZ134" s="0" t="n">
        <v>0</v>
      </c>
      <c r="RA134" s="0" t="n">
        <v>0</v>
      </c>
      <c r="RB134" s="0" t="n">
        <v>0</v>
      </c>
      <c r="RC134" s="0" t="n">
        <v>65.6</v>
      </c>
      <c r="RD134" s="0" t="n">
        <v>0</v>
      </c>
      <c r="RE134" s="0" t="n">
        <v>0</v>
      </c>
      <c r="RF134" s="0" t="n">
        <v>0</v>
      </c>
      <c r="RG134" s="0" t="n">
        <v>0</v>
      </c>
      <c r="RT134" s="0" t="n">
        <v>1.4</v>
      </c>
      <c r="RU134" s="0" t="n">
        <v>1</v>
      </c>
      <c r="RV134" s="0" t="n">
        <v>35</v>
      </c>
      <c r="RW134" s="0" t="n">
        <v>3</v>
      </c>
      <c r="RX134" s="0" t="n">
        <f aca="false">0.38</f>
        <v>0.38</v>
      </c>
      <c r="RY134" s="0" t="n">
        <v>3</v>
      </c>
      <c r="RZ134" s="0" t="n">
        <v>34</v>
      </c>
      <c r="SA134" s="0" t="n">
        <v>27</v>
      </c>
      <c r="SB134" s="0" t="n">
        <f aca="false">0.19+0.19+1.13+3.38+0.56+1.5+1.13+0.38</f>
        <v>8.46</v>
      </c>
      <c r="SC134" s="0" t="n">
        <v>1</v>
      </c>
      <c r="SF134" s="20"/>
      <c r="SX134" s="0" t="n">
        <v>1</v>
      </c>
      <c r="SY134" s="0" t="n">
        <v>40</v>
      </c>
      <c r="SZ134" s="0" t="n">
        <v>9</v>
      </c>
      <c r="TA134" s="0" t="n">
        <f aca="false">0.38+1.13+3+1.88+0.75</f>
        <v>7.14</v>
      </c>
      <c r="TB134" s="0" t="n">
        <v>3</v>
      </c>
      <c r="UI134" s="16" t="n">
        <v>0</v>
      </c>
      <c r="UJ134" s="16" t="n">
        <v>0</v>
      </c>
      <c r="UK134" s="16"/>
      <c r="UL134" s="16"/>
      <c r="UM134" s="16"/>
      <c r="UN134" s="16"/>
      <c r="UO134" s="16"/>
      <c r="UP134" s="16"/>
      <c r="UQ134" s="16"/>
      <c r="UR134" s="16"/>
      <c r="US134" s="16"/>
      <c r="UT134" s="16" t="n">
        <v>5.27</v>
      </c>
      <c r="UU134" s="16" t="n">
        <v>1.5</v>
      </c>
      <c r="UV134" s="16" t="n">
        <v>0</v>
      </c>
      <c r="UW134" s="16" t="n">
        <v>0</v>
      </c>
      <c r="UX134" s="16" t="n">
        <v>0</v>
      </c>
      <c r="UY134" s="16" t="n">
        <v>0</v>
      </c>
      <c r="UZ134" s="16" t="n">
        <v>0</v>
      </c>
      <c r="VA134" s="0" t="n">
        <v>0</v>
      </c>
      <c r="VE134" s="15"/>
      <c r="VF134" s="15"/>
      <c r="VM134" s="15"/>
      <c r="VN134" s="15"/>
      <c r="VU134" s="15"/>
      <c r="VV134" s="15"/>
      <c r="WC134" s="15"/>
      <c r="WD134" s="15"/>
      <c r="WK134" s="15"/>
      <c r="WL134" s="15"/>
      <c r="WS134" s="15"/>
      <c r="WT134" s="15"/>
      <c r="XA134" s="15"/>
      <c r="XB134" s="15"/>
      <c r="XI134" s="15"/>
      <c r="XJ134" s="15"/>
      <c r="XQ134" s="15"/>
      <c r="XR134" s="15"/>
      <c r="XY134" s="15"/>
      <c r="XZ134" s="15"/>
      <c r="YG134" s="15"/>
      <c r="YH134" s="15"/>
      <c r="YO134" s="15"/>
      <c r="YP134" s="15"/>
      <c r="YW134" s="15"/>
      <c r="YX134" s="15"/>
      <c r="ZE134" s="15"/>
      <c r="ZF134" s="15"/>
      <c r="ZM134" s="15"/>
      <c r="ZN134" s="15"/>
      <c r="ZU134" s="15"/>
      <c r="ZV134" s="15"/>
      <c r="AAC134" s="15"/>
      <c r="AAD134" s="15"/>
      <c r="AAK134" s="15"/>
      <c r="AAL134" s="15"/>
      <c r="AAS134" s="15"/>
      <c r="AAT134" s="15"/>
      <c r="ABA134" s="15"/>
      <c r="ABB134" s="15"/>
      <c r="ABI134" s="15"/>
      <c r="ABJ134" s="15"/>
      <c r="ABQ134" s="15"/>
      <c r="ABR134" s="15"/>
      <c r="ABY134" s="15"/>
      <c r="ABZ134" s="15"/>
      <c r="ACG134" s="15"/>
      <c r="ACH134" s="15"/>
      <c r="ACO134" s="15"/>
      <c r="ACP134" s="15"/>
      <c r="ACW134" s="15"/>
      <c r="ACX134" s="15"/>
      <c r="ADE134" s="15"/>
      <c r="ADF134" s="15"/>
      <c r="ADM134" s="15"/>
      <c r="ADN134" s="15"/>
      <c r="ADU134" s="15"/>
      <c r="ADV134" s="15"/>
      <c r="AEC134" s="15"/>
      <c r="AED134" s="15"/>
      <c r="AEK134" s="15"/>
      <c r="AEL134" s="15"/>
      <c r="AES134" s="15"/>
      <c r="AET134" s="15"/>
      <c r="AFA134" s="15"/>
      <c r="AFB134" s="15"/>
      <c r="AFI134" s="15"/>
      <c r="AFJ134" s="15"/>
      <c r="AFQ134" s="15"/>
      <c r="AFR134" s="15"/>
      <c r="AFY134" s="15"/>
      <c r="AFZ134" s="15"/>
      <c r="AGG134" s="15"/>
      <c r="AGH134" s="15"/>
      <c r="AGO134" s="15"/>
      <c r="AGP134" s="15"/>
      <c r="AGW134" s="15"/>
      <c r="AGX134" s="15"/>
      <c r="AHE134" s="15"/>
      <c r="AHF134" s="15"/>
      <c r="AHM134" s="15"/>
      <c r="AHN134" s="15"/>
      <c r="AHU134" s="15"/>
      <c r="AHV134" s="15"/>
      <c r="AIC134" s="15"/>
      <c r="AID134" s="15"/>
      <c r="AIK134" s="15"/>
      <c r="AIL134" s="15"/>
      <c r="AIS134" s="15"/>
      <c r="AIT134" s="15"/>
      <c r="AJA134" s="15"/>
      <c r="AJB134" s="15"/>
      <c r="AJI134" s="15"/>
      <c r="AJJ134" s="15"/>
      <c r="AJQ134" s="15"/>
      <c r="AJR134" s="15"/>
      <c r="AJY134" s="15"/>
      <c r="AJZ134" s="15"/>
      <c r="AKG134" s="15"/>
      <c r="AKH134" s="15"/>
      <c r="AKO134" s="15"/>
      <c r="AKP134" s="15"/>
      <c r="AKW134" s="15"/>
      <c r="AKX134" s="15"/>
      <c r="ALE134" s="15"/>
      <c r="ALF134" s="15"/>
      <c r="ALM134" s="15"/>
      <c r="ALN134" s="15"/>
      <c r="ALU134" s="15"/>
      <c r="ALV134" s="15"/>
      <c r="AMC134" s="15"/>
      <c r="AMD134" s="15"/>
    </row>
    <row r="135" customFormat="false" ht="13.8" hidden="false" customHeight="false" outlineLevel="0" collapsed="false">
      <c r="A135" s="1" t="s">
        <v>576</v>
      </c>
      <c r="B135" s="12" t="n">
        <v>42894</v>
      </c>
      <c r="C135" s="0" t="n">
        <v>2</v>
      </c>
      <c r="D135" s="13" t="n">
        <v>42821</v>
      </c>
      <c r="E135" s="12" t="n">
        <v>33809</v>
      </c>
      <c r="F135" s="14" t="n">
        <f aca="false">(B135-E135)/365.25</f>
        <v>24.8733744010951</v>
      </c>
      <c r="G135" s="14" t="n">
        <f aca="false">(B135-D135)/365.25</f>
        <v>0.199863107460643</v>
      </c>
      <c r="H135" s="15" t="s">
        <v>183</v>
      </c>
      <c r="I135" s="15" t="s">
        <v>571</v>
      </c>
      <c r="J135" s="15" t="s">
        <v>183</v>
      </c>
      <c r="K135" s="21" t="n">
        <v>8</v>
      </c>
      <c r="L135" s="19" t="n">
        <v>90</v>
      </c>
      <c r="M135" s="0" t="n">
        <v>1.89</v>
      </c>
      <c r="N135" s="16" t="n">
        <f aca="false">L135/(M135*M135)</f>
        <v>25.1952632905014</v>
      </c>
      <c r="O135" s="19" t="n">
        <v>0</v>
      </c>
      <c r="P135" s="19" t="n">
        <v>0</v>
      </c>
      <c r="Q135" s="19" t="n">
        <v>0</v>
      </c>
      <c r="R135" s="19" t="n">
        <v>0</v>
      </c>
      <c r="S135" s="19" t="n">
        <v>0</v>
      </c>
      <c r="T135" s="19" t="n">
        <v>0</v>
      </c>
      <c r="U135" s="19" t="n">
        <v>0</v>
      </c>
      <c r="V135" s="19" t="n">
        <v>0</v>
      </c>
      <c r="W135" s="19" t="n">
        <v>1</v>
      </c>
      <c r="X135" s="19" t="n">
        <v>0</v>
      </c>
      <c r="Y135" s="19" t="n">
        <v>1</v>
      </c>
      <c r="Z135" s="19" t="n">
        <v>3</v>
      </c>
      <c r="AA135" s="19" t="n">
        <v>120</v>
      </c>
      <c r="AB135" s="19" t="s">
        <v>184</v>
      </c>
      <c r="AC135" s="19" t="n">
        <v>0</v>
      </c>
      <c r="AD135" s="19" t="n">
        <v>0</v>
      </c>
      <c r="AE135" s="19" t="n">
        <v>1</v>
      </c>
      <c r="AF135" s="19" t="n">
        <v>0</v>
      </c>
      <c r="AG135" s="19" t="n">
        <v>1</v>
      </c>
      <c r="AH135" s="19" t="n">
        <v>2</v>
      </c>
      <c r="AI135" s="19" t="n">
        <v>3</v>
      </c>
      <c r="AJ135" s="19" t="n">
        <v>0</v>
      </c>
      <c r="AK135" s="19" t="n">
        <v>1</v>
      </c>
      <c r="AL135" s="19" t="n">
        <v>2</v>
      </c>
      <c r="AM135" s="19" t="n">
        <v>0</v>
      </c>
      <c r="AN135" s="19" t="n">
        <v>0</v>
      </c>
      <c r="AO135" s="19" t="n">
        <v>0</v>
      </c>
      <c r="AP135" s="19" t="n">
        <v>0</v>
      </c>
      <c r="AQ135" s="19" t="n">
        <v>0</v>
      </c>
      <c r="AR135" s="19" t="n">
        <v>0</v>
      </c>
      <c r="AS135" s="19" t="n">
        <v>3</v>
      </c>
      <c r="AT135" s="19" t="n">
        <v>0</v>
      </c>
      <c r="AU135" s="19" t="n">
        <v>3</v>
      </c>
      <c r="AV135" s="19" t="n">
        <v>3</v>
      </c>
      <c r="AW135" s="19" t="n">
        <v>3</v>
      </c>
      <c r="AX135" s="19" t="n">
        <v>0</v>
      </c>
      <c r="AY135" s="19" t="n">
        <v>0</v>
      </c>
      <c r="AZ135" s="19" t="n">
        <v>0</v>
      </c>
      <c r="BA135" s="19" t="n">
        <v>0</v>
      </c>
      <c r="BB135" s="19" t="n">
        <v>1</v>
      </c>
      <c r="BC135" s="19" t="n">
        <v>0</v>
      </c>
      <c r="BD135" s="19" t="n">
        <v>1</v>
      </c>
      <c r="BE135" s="19" t="n">
        <v>2</v>
      </c>
      <c r="BF135" s="19" t="n">
        <v>0</v>
      </c>
      <c r="BG135" s="19" t="n">
        <v>0</v>
      </c>
      <c r="BH135" s="19" t="n">
        <v>0</v>
      </c>
      <c r="BI135" s="19" t="n">
        <v>0</v>
      </c>
      <c r="BJ135" s="26" t="n">
        <v>0</v>
      </c>
      <c r="BK135" s="26" t="n">
        <v>0</v>
      </c>
      <c r="BL135" s="26" t="n">
        <v>0</v>
      </c>
      <c r="BM135" s="26" t="n">
        <v>0</v>
      </c>
      <c r="BN135" s="19" t="n">
        <v>0</v>
      </c>
      <c r="BO135" s="19" t="n">
        <v>0</v>
      </c>
      <c r="BP135" s="19" t="n">
        <v>0</v>
      </c>
      <c r="BQ135" s="19" t="n">
        <v>0</v>
      </c>
      <c r="BR135" s="19" t="n">
        <v>1</v>
      </c>
      <c r="BS135" s="19" t="n">
        <v>1</v>
      </c>
      <c r="BT135" s="19" t="n">
        <v>3</v>
      </c>
      <c r="BU135" s="19" t="n">
        <v>5</v>
      </c>
      <c r="BV135" s="19" t="n">
        <v>2</v>
      </c>
      <c r="BW135" s="19" t="n">
        <v>1</v>
      </c>
      <c r="BX135" s="19" t="n">
        <v>1</v>
      </c>
      <c r="BY135" s="19" t="n">
        <v>3</v>
      </c>
      <c r="BZ135" s="19" t="n">
        <v>2</v>
      </c>
      <c r="CA135" s="19" t="n">
        <v>5</v>
      </c>
      <c r="CB135" s="19" t="n">
        <v>5</v>
      </c>
      <c r="CC135" s="19" t="n">
        <v>5</v>
      </c>
      <c r="CD135" s="19" t="n">
        <v>3</v>
      </c>
      <c r="CE135" s="19" t="n">
        <v>5</v>
      </c>
      <c r="CF135" s="19" t="n">
        <v>4</v>
      </c>
      <c r="CG135" s="19" t="n">
        <v>5</v>
      </c>
      <c r="CH135" s="19" t="n">
        <v>1</v>
      </c>
      <c r="CI135" s="19" t="n">
        <v>4</v>
      </c>
      <c r="CJ135" s="19" t="n">
        <v>4</v>
      </c>
      <c r="CK135" s="19" t="n">
        <v>10</v>
      </c>
      <c r="CL135" s="0" t="s">
        <v>540</v>
      </c>
      <c r="CM135" s="0" t="n">
        <v>70.5</v>
      </c>
      <c r="CN135" s="16" t="n">
        <v>88.2</v>
      </c>
      <c r="CO135" s="16" t="n">
        <v>80.4</v>
      </c>
      <c r="CP135" s="16" t="n">
        <v>36.3</v>
      </c>
      <c r="CQ135" s="0" t="n">
        <v>72.69</v>
      </c>
      <c r="CR135" s="17" t="n">
        <v>0</v>
      </c>
      <c r="CS135" s="0" t="n">
        <v>10.32</v>
      </c>
      <c r="CT135" s="0" t="n">
        <v>16.99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36.66</v>
      </c>
      <c r="DD135" s="0" t="n">
        <v>7.54</v>
      </c>
      <c r="DE135" s="0" t="n">
        <v>10.32</v>
      </c>
      <c r="DF135" s="0" t="n">
        <v>0</v>
      </c>
      <c r="DG135" s="0" t="n">
        <v>0</v>
      </c>
      <c r="DH135" s="0" t="n">
        <v>0</v>
      </c>
      <c r="DU135" s="0" t="n">
        <v>21.2</v>
      </c>
      <c r="DV135" s="0" t="n">
        <v>1</v>
      </c>
      <c r="DW135" s="0" t="n">
        <v>35</v>
      </c>
      <c r="DX135" s="0" t="n">
        <v>7</v>
      </c>
      <c r="DY135" s="0" t="n">
        <f aca="false">5.71+0.54</f>
        <v>6.25</v>
      </c>
      <c r="DZ135" s="0" t="n">
        <v>3</v>
      </c>
      <c r="EA135" s="0" t="n">
        <v>47</v>
      </c>
      <c r="EB135" s="0" t="n">
        <v>2</v>
      </c>
      <c r="EC135" s="0" t="n">
        <v>0.4</v>
      </c>
      <c r="ED135" s="0" t="n">
        <v>3</v>
      </c>
      <c r="EG135" s="20"/>
      <c r="EY135" s="0" t="n">
        <v>0</v>
      </c>
      <c r="GJ135" s="16" t="n">
        <v>11.58</v>
      </c>
      <c r="GK135" s="16" t="n">
        <v>1</v>
      </c>
      <c r="GL135" s="16" t="n">
        <v>2</v>
      </c>
      <c r="GM135" s="16"/>
      <c r="GN135" s="16" t="n">
        <f aca="false">0.22+1.95+3.81+0.27+0.32+0.04+0.05</f>
        <v>6.66</v>
      </c>
      <c r="GO135" s="16"/>
      <c r="GP135" s="16"/>
      <c r="GQ135" s="16"/>
      <c r="GR135" s="16"/>
      <c r="GS135" s="16"/>
      <c r="GT135" s="16"/>
      <c r="GU135" s="16" t="n">
        <v>0.27</v>
      </c>
      <c r="GV135" s="16" t="n">
        <v>0.27</v>
      </c>
      <c r="GW135" s="16" t="n">
        <v>0</v>
      </c>
      <c r="GX135" s="16" t="n">
        <v>0</v>
      </c>
      <c r="GY135" s="16" t="n">
        <v>0</v>
      </c>
      <c r="GZ135" s="16" t="n">
        <v>0</v>
      </c>
      <c r="HA135" s="16" t="n">
        <v>0</v>
      </c>
      <c r="HB135" s="0" t="n">
        <v>0</v>
      </c>
      <c r="HC135" s="0" t="s">
        <v>541</v>
      </c>
      <c r="HD135" s="0" t="n">
        <v>94.5</v>
      </c>
      <c r="HE135" s="16" t="n">
        <v>88.2</v>
      </c>
      <c r="HF135" s="16" t="n">
        <v>80.4</v>
      </c>
      <c r="HG135" s="16" t="n">
        <v>73.1</v>
      </c>
      <c r="HH135" s="0" t="n">
        <v>41.34</v>
      </c>
      <c r="HI135" s="17" t="n">
        <v>0</v>
      </c>
      <c r="HJ135" s="0" t="n">
        <v>8.63</v>
      </c>
      <c r="HK135" s="0" t="n">
        <v>0.04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  <c r="HT135" s="0" t="n">
        <v>8.06</v>
      </c>
      <c r="HU135" s="0" t="n">
        <v>3.65</v>
      </c>
      <c r="HV135" s="0" t="n">
        <v>7.2</v>
      </c>
      <c r="HW135" s="0" t="n">
        <v>0</v>
      </c>
      <c r="HX135" s="0" t="n">
        <v>0</v>
      </c>
      <c r="HY135" s="0" t="n">
        <v>0</v>
      </c>
      <c r="IL135" s="0" t="n">
        <v>9.4</v>
      </c>
      <c r="IM135" s="0" t="n">
        <v>1</v>
      </c>
      <c r="IN135" s="0" t="n">
        <v>35</v>
      </c>
      <c r="IO135" s="0" t="n">
        <v>2</v>
      </c>
      <c r="IP135" s="0" t="n">
        <f aca="false">0.76+0.45</f>
        <v>1.21</v>
      </c>
      <c r="IQ135" s="0" t="n">
        <v>3</v>
      </c>
      <c r="IX135" s="20"/>
      <c r="JP135" s="0" t="n">
        <v>1</v>
      </c>
      <c r="JQ135" s="0" t="n">
        <v>70</v>
      </c>
      <c r="JR135" s="0" t="n">
        <v>2</v>
      </c>
      <c r="JS135" s="0" t="n">
        <f aca="false">0.75+1.69</f>
        <v>2.44</v>
      </c>
      <c r="JT135" s="0" t="n">
        <v>2</v>
      </c>
      <c r="LA135" s="16" t="n">
        <v>0.84</v>
      </c>
      <c r="LB135" s="16" t="n">
        <v>1</v>
      </c>
      <c r="LC135" s="16" t="n">
        <v>1</v>
      </c>
      <c r="LD135" s="16"/>
      <c r="LE135" s="16" t="n">
        <v>0.6</v>
      </c>
      <c r="LF135" s="16"/>
      <c r="LG135" s="16"/>
      <c r="LH135" s="16"/>
      <c r="LI135" s="16"/>
      <c r="LJ135" s="16"/>
      <c r="LK135" s="16"/>
      <c r="LL135" s="16" t="n">
        <v>10.19</v>
      </c>
      <c r="LM135" s="16" t="n">
        <v>8.46</v>
      </c>
      <c r="LN135" s="16" t="n">
        <v>0</v>
      </c>
      <c r="LO135" s="16" t="n">
        <v>0</v>
      </c>
      <c r="LP135" s="16" t="n">
        <v>0</v>
      </c>
      <c r="LQ135" s="16" t="n">
        <v>0</v>
      </c>
      <c r="LR135" s="16" t="n">
        <v>0</v>
      </c>
      <c r="LS135" s="0" t="n">
        <v>0</v>
      </c>
      <c r="LT135" s="0" t="s">
        <v>542</v>
      </c>
      <c r="LU135" s="0" t="n">
        <v>75</v>
      </c>
      <c r="LV135" s="16" t="n">
        <v>91.2</v>
      </c>
      <c r="LW135" s="16" t="n">
        <v>80.4</v>
      </c>
      <c r="LX135" s="16" t="n">
        <v>61</v>
      </c>
      <c r="LY135" s="0" t="n">
        <v>53.67</v>
      </c>
      <c r="LZ135" s="17" t="n">
        <v>0</v>
      </c>
      <c r="MA135" s="0" t="n">
        <v>16.76</v>
      </c>
      <c r="MB135" s="0" t="n">
        <v>29.58</v>
      </c>
      <c r="MC135" s="0" t="n">
        <v>0</v>
      </c>
      <c r="MD135" s="0" t="n">
        <v>0</v>
      </c>
      <c r="ME135" s="0" t="n">
        <v>0</v>
      </c>
      <c r="MF135" s="0" t="n">
        <v>0</v>
      </c>
      <c r="MG135" s="0" t="n">
        <v>0</v>
      </c>
      <c r="MH135" s="0" t="n">
        <v>0</v>
      </c>
      <c r="MI135" s="0" t="n">
        <v>0</v>
      </c>
      <c r="MJ135" s="0" t="n">
        <v>0</v>
      </c>
      <c r="MK135" s="0" t="n">
        <v>6.79</v>
      </c>
      <c r="ML135" s="0" t="n">
        <v>14.97</v>
      </c>
      <c r="MM135" s="0" t="n">
        <v>18.24</v>
      </c>
      <c r="MN135" s="0" t="n">
        <v>0</v>
      </c>
      <c r="MO135" s="0" t="n">
        <v>0</v>
      </c>
      <c r="MP135" s="0" t="n">
        <v>0</v>
      </c>
      <c r="NC135" s="0" t="n">
        <v>9</v>
      </c>
      <c r="ND135" s="0" t="n">
        <v>1</v>
      </c>
      <c r="NE135" s="0" t="n">
        <v>68</v>
      </c>
      <c r="NF135" s="0" t="n">
        <v>1</v>
      </c>
      <c r="NG135" s="0" t="n">
        <v>0.38</v>
      </c>
      <c r="NH135" s="0" t="n">
        <v>1</v>
      </c>
      <c r="NI135" s="0" t="n">
        <v>47</v>
      </c>
      <c r="NJ135" s="0" t="n">
        <v>1</v>
      </c>
      <c r="NK135" s="0" t="n">
        <v>1.13</v>
      </c>
      <c r="NL135" s="0" t="n">
        <v>3</v>
      </c>
      <c r="NO135" s="20"/>
      <c r="OG135" s="0" t="n">
        <v>1</v>
      </c>
      <c r="OH135" s="0" t="n">
        <v>70</v>
      </c>
      <c r="OI135" s="0" t="n">
        <v>2</v>
      </c>
      <c r="OJ135" s="0" t="n">
        <f aca="false">1.69+0.75</f>
        <v>2.44</v>
      </c>
      <c r="OK135" s="0" t="n">
        <v>2</v>
      </c>
      <c r="PR135" s="16" t="n">
        <v>1.88</v>
      </c>
      <c r="PS135" s="16" t="n">
        <v>1</v>
      </c>
      <c r="PT135" s="16" t="n">
        <v>1</v>
      </c>
      <c r="PU135" s="16"/>
      <c r="PV135" s="16" t="n">
        <f aca="false">1.04+1.04+1.04</f>
        <v>3.12</v>
      </c>
      <c r="PW135" s="16"/>
      <c r="PX135" s="16"/>
      <c r="PY135" s="16"/>
      <c r="PZ135" s="16"/>
      <c r="QA135" s="16"/>
      <c r="QB135" s="16"/>
      <c r="QC135" s="16" t="n">
        <v>1.5</v>
      </c>
      <c r="QD135" s="16" t="n">
        <v>1.5</v>
      </c>
      <c r="QE135" s="16" t="n">
        <v>0</v>
      </c>
      <c r="QF135" s="16" t="n">
        <v>0</v>
      </c>
      <c r="QG135" s="16" t="n">
        <v>0</v>
      </c>
      <c r="QH135" s="16" t="n">
        <v>0</v>
      </c>
      <c r="QI135" s="16" t="n">
        <v>0</v>
      </c>
      <c r="QJ135" s="0" t="n">
        <v>0</v>
      </c>
      <c r="QK135" s="0" t="s">
        <v>543</v>
      </c>
      <c r="QL135" s="0" t="n">
        <v>21</v>
      </c>
      <c r="QM135" s="16" t="n">
        <v>77.9</v>
      </c>
      <c r="QN135" s="16" t="n">
        <v>160.8</v>
      </c>
      <c r="QO135" s="16" t="n">
        <v>14.1</v>
      </c>
      <c r="QP135" s="0" t="n">
        <v>87.99</v>
      </c>
      <c r="QQ135" s="17" t="n">
        <v>0</v>
      </c>
      <c r="QR135" s="0" t="n">
        <v>3.38</v>
      </c>
      <c r="QS135" s="0" t="n">
        <v>0</v>
      </c>
      <c r="QT135" s="0" t="n">
        <v>8.63</v>
      </c>
      <c r="QU135" s="0" t="n">
        <v>0</v>
      </c>
      <c r="QV135" s="0" t="n">
        <v>0</v>
      </c>
      <c r="QW135" s="0" t="n">
        <v>0</v>
      </c>
      <c r="QX135" s="0" t="n">
        <v>0</v>
      </c>
      <c r="QY135" s="0" t="n">
        <v>0</v>
      </c>
      <c r="QZ135" s="0" t="n">
        <v>0</v>
      </c>
      <c r="RA135" s="0" t="n">
        <v>0</v>
      </c>
      <c r="RB135" s="0" t="n">
        <v>0</v>
      </c>
      <c r="RC135" s="0" t="n">
        <v>65.6</v>
      </c>
      <c r="RD135" s="0" t="n">
        <v>0</v>
      </c>
      <c r="RE135" s="0" t="n">
        <v>0</v>
      </c>
      <c r="RF135" s="0" t="n">
        <v>0</v>
      </c>
      <c r="RG135" s="0" t="n">
        <v>0</v>
      </c>
      <c r="RT135" s="0" t="n">
        <v>1.4</v>
      </c>
      <c r="RU135" s="0" t="n">
        <v>1</v>
      </c>
      <c r="RV135" s="0" t="n">
        <v>35</v>
      </c>
      <c r="RW135" s="0" t="n">
        <v>3</v>
      </c>
      <c r="RX135" s="0" t="n">
        <f aca="false">0.38</f>
        <v>0.38</v>
      </c>
      <c r="RY135" s="0" t="n">
        <v>3</v>
      </c>
      <c r="RZ135" s="0" t="n">
        <v>34</v>
      </c>
      <c r="SA135" s="0" t="n">
        <v>27</v>
      </c>
      <c r="SB135" s="0" t="n">
        <f aca="false">0.19+0.19+1.13+3.38+0.56+1.5+1.13+0.38</f>
        <v>8.46</v>
      </c>
      <c r="SC135" s="0" t="n">
        <v>1</v>
      </c>
      <c r="SF135" s="20"/>
      <c r="SX135" s="0" t="n">
        <v>1</v>
      </c>
      <c r="SY135" s="0" t="n">
        <v>40</v>
      </c>
      <c r="SZ135" s="0" t="n">
        <v>9</v>
      </c>
      <c r="TA135" s="0" t="n">
        <f aca="false">0.38+1.13+3+1.88+0.75</f>
        <v>7.14</v>
      </c>
      <c r="TB135" s="0" t="n">
        <v>3</v>
      </c>
      <c r="UI135" s="16" t="n">
        <v>0</v>
      </c>
      <c r="UJ135" s="16" t="n">
        <v>0</v>
      </c>
      <c r="UK135" s="16"/>
      <c r="UL135" s="16"/>
      <c r="UM135" s="16"/>
      <c r="UN135" s="16"/>
      <c r="UO135" s="16"/>
      <c r="UP135" s="16"/>
      <c r="UQ135" s="16"/>
      <c r="UR135" s="16"/>
      <c r="US135" s="16"/>
      <c r="UT135" s="16" t="n">
        <v>5.27</v>
      </c>
      <c r="UU135" s="16" t="n">
        <v>1.5</v>
      </c>
      <c r="UV135" s="16" t="n">
        <v>0</v>
      </c>
      <c r="UW135" s="16" t="n">
        <v>0</v>
      </c>
      <c r="UX135" s="16" t="n">
        <v>0</v>
      </c>
      <c r="UY135" s="16" t="n">
        <v>0</v>
      </c>
      <c r="UZ135" s="16" t="n">
        <v>0</v>
      </c>
      <c r="VA135" s="0" t="n">
        <v>0</v>
      </c>
      <c r="VE135" s="15"/>
      <c r="VF135" s="15"/>
      <c r="VM135" s="15"/>
      <c r="VN135" s="15"/>
      <c r="VU135" s="15"/>
      <c r="VV135" s="15"/>
      <c r="WC135" s="15"/>
      <c r="WD135" s="15"/>
      <c r="WK135" s="15"/>
      <c r="WL135" s="15"/>
      <c r="WS135" s="15"/>
      <c r="WT135" s="15"/>
      <c r="XA135" s="15"/>
      <c r="XB135" s="15"/>
      <c r="XI135" s="15"/>
      <c r="XJ135" s="15"/>
      <c r="XQ135" s="15"/>
      <c r="XR135" s="15"/>
      <c r="XY135" s="15"/>
      <c r="XZ135" s="15"/>
      <c r="YG135" s="15"/>
      <c r="YH135" s="15"/>
      <c r="YO135" s="15"/>
      <c r="YP135" s="15"/>
      <c r="YW135" s="15"/>
      <c r="YX135" s="15"/>
      <c r="ZE135" s="15"/>
      <c r="ZF135" s="15"/>
      <c r="ZM135" s="15"/>
      <c r="ZN135" s="15"/>
      <c r="ZU135" s="15"/>
      <c r="ZV135" s="15"/>
      <c r="AAC135" s="15"/>
      <c r="AAD135" s="15"/>
      <c r="AAK135" s="15"/>
      <c r="AAL135" s="15"/>
      <c r="AAS135" s="15"/>
      <c r="AAT135" s="15"/>
      <c r="ABA135" s="15"/>
      <c r="ABB135" s="15"/>
      <c r="ABI135" s="15"/>
      <c r="ABJ135" s="15"/>
      <c r="ABQ135" s="15"/>
      <c r="ABR135" s="15"/>
      <c r="ABY135" s="15"/>
      <c r="ABZ135" s="15"/>
      <c r="ACG135" s="15"/>
      <c r="ACH135" s="15"/>
      <c r="ACO135" s="15"/>
      <c r="ACP135" s="15"/>
      <c r="ACW135" s="15"/>
      <c r="ACX135" s="15"/>
      <c r="ADE135" s="15"/>
      <c r="ADF135" s="15"/>
      <c r="ADM135" s="15"/>
      <c r="ADN135" s="15"/>
      <c r="ADU135" s="15"/>
      <c r="ADV135" s="15"/>
      <c r="AEC135" s="15"/>
      <c r="AED135" s="15"/>
      <c r="AEK135" s="15"/>
      <c r="AEL135" s="15"/>
      <c r="AES135" s="15"/>
      <c r="AET135" s="15"/>
      <c r="AFA135" s="15"/>
      <c r="AFB135" s="15"/>
      <c r="AFI135" s="15"/>
      <c r="AFJ135" s="15"/>
      <c r="AFQ135" s="15"/>
      <c r="AFR135" s="15"/>
      <c r="AFY135" s="15"/>
      <c r="AFZ135" s="15"/>
      <c r="AGG135" s="15"/>
      <c r="AGH135" s="15"/>
      <c r="AGO135" s="15"/>
      <c r="AGP135" s="15"/>
      <c r="AGW135" s="15"/>
      <c r="AGX135" s="15"/>
      <c r="AHE135" s="15"/>
      <c r="AHF135" s="15"/>
      <c r="AHM135" s="15"/>
      <c r="AHN135" s="15"/>
      <c r="AHU135" s="15"/>
      <c r="AHV135" s="15"/>
      <c r="AIC135" s="15"/>
      <c r="AID135" s="15"/>
      <c r="AIK135" s="15"/>
      <c r="AIL135" s="15"/>
      <c r="AIS135" s="15"/>
      <c r="AIT135" s="15"/>
      <c r="AJA135" s="15"/>
      <c r="AJB135" s="15"/>
      <c r="AJI135" s="15"/>
      <c r="AJJ135" s="15"/>
      <c r="AJQ135" s="15"/>
      <c r="AJR135" s="15"/>
      <c r="AJY135" s="15"/>
      <c r="AJZ135" s="15"/>
      <c r="AKG135" s="15"/>
      <c r="AKH135" s="15"/>
      <c r="AKO135" s="15"/>
      <c r="AKP135" s="15"/>
      <c r="AKW135" s="15"/>
      <c r="AKX135" s="15"/>
      <c r="ALE135" s="15"/>
      <c r="ALF135" s="15"/>
      <c r="ALM135" s="15"/>
      <c r="ALN135" s="15"/>
      <c r="ALU135" s="15"/>
      <c r="ALV135" s="15"/>
      <c r="AMC135" s="15"/>
      <c r="AMD135" s="15"/>
    </row>
    <row r="136" customFormat="false" ht="13.8" hidden="false" customHeight="false" outlineLevel="0" collapsed="false">
      <c r="A136" s="1" t="s">
        <v>577</v>
      </c>
      <c r="B136" s="12" t="n">
        <v>42894</v>
      </c>
      <c r="C136" s="0" t="n">
        <v>2</v>
      </c>
      <c r="D136" s="13" t="n">
        <v>35948</v>
      </c>
      <c r="E136" s="12" t="n">
        <v>23354</v>
      </c>
      <c r="F136" s="14" t="n">
        <f aca="false">(B136-E136)/365.25</f>
        <v>53.4976043805613</v>
      </c>
      <c r="G136" s="14" t="n">
        <f aca="false">(B136-D136)/365.25</f>
        <v>19.0171115674196</v>
      </c>
      <c r="H136" s="15" t="s">
        <v>183</v>
      </c>
      <c r="I136" s="15" t="s">
        <v>571</v>
      </c>
      <c r="J136" s="15" t="s">
        <v>183</v>
      </c>
      <c r="K136" s="21" t="n">
        <v>8</v>
      </c>
      <c r="L136" s="19" t="n">
        <v>66</v>
      </c>
      <c r="M136" s="0" t="n">
        <v>1.68</v>
      </c>
      <c r="N136" s="16" t="n">
        <f aca="false">L136/(M136*M136)</f>
        <v>23.3843537414966</v>
      </c>
      <c r="O136" s="19" t="n">
        <v>0</v>
      </c>
      <c r="P136" s="19" t="n">
        <v>0</v>
      </c>
      <c r="Q136" s="19" t="n">
        <v>0</v>
      </c>
      <c r="R136" s="19" t="n">
        <v>0</v>
      </c>
      <c r="S136" s="19" t="n">
        <v>0</v>
      </c>
      <c r="T136" s="19" t="n">
        <v>0</v>
      </c>
      <c r="U136" s="19" t="n">
        <v>0</v>
      </c>
      <c r="V136" s="19" t="n">
        <v>0</v>
      </c>
      <c r="W136" s="19" t="n">
        <v>0</v>
      </c>
      <c r="X136" s="19" t="n">
        <v>0</v>
      </c>
      <c r="Y136" s="19" t="n">
        <v>1</v>
      </c>
      <c r="Z136" s="19" t="n">
        <v>1</v>
      </c>
      <c r="AA136" s="19" t="n">
        <v>60</v>
      </c>
      <c r="AB136" s="19" t="s">
        <v>578</v>
      </c>
      <c r="AC136" s="19" t="n">
        <v>0</v>
      </c>
      <c r="AD136" s="19" t="n">
        <v>0</v>
      </c>
      <c r="AE136" s="19" t="n">
        <v>1</v>
      </c>
      <c r="AF136" s="19" t="n">
        <v>0</v>
      </c>
      <c r="AG136" s="19" t="n">
        <v>1</v>
      </c>
      <c r="AH136" s="19" t="n">
        <v>3</v>
      </c>
      <c r="AI136" s="19" t="n">
        <v>1</v>
      </c>
      <c r="AJ136" s="19" t="n">
        <v>0</v>
      </c>
      <c r="AK136" s="19" t="n">
        <v>1</v>
      </c>
      <c r="AL136" s="19" t="n">
        <v>5</v>
      </c>
      <c r="AM136" s="19" t="n">
        <v>0</v>
      </c>
      <c r="AN136" s="19" t="n">
        <v>0</v>
      </c>
      <c r="AO136" s="19" t="n">
        <v>0</v>
      </c>
      <c r="AP136" s="19" t="n">
        <v>0</v>
      </c>
      <c r="AQ136" s="19" t="n">
        <v>0</v>
      </c>
      <c r="AR136" s="19" t="n">
        <v>0</v>
      </c>
      <c r="AS136" s="19" t="n">
        <v>1</v>
      </c>
      <c r="AT136" s="19" t="n">
        <v>0</v>
      </c>
      <c r="AU136" s="19" t="n">
        <v>0</v>
      </c>
      <c r="AV136" s="19" t="n">
        <v>0</v>
      </c>
      <c r="AW136" s="19" t="n">
        <v>0</v>
      </c>
      <c r="AX136" s="19" t="n">
        <v>0</v>
      </c>
      <c r="AY136" s="19" t="n">
        <v>0</v>
      </c>
      <c r="AZ136" s="19" t="n">
        <v>0</v>
      </c>
      <c r="BA136" s="19" t="n">
        <v>0</v>
      </c>
      <c r="BB136" s="19" t="n">
        <v>1</v>
      </c>
      <c r="BC136" s="19" t="n">
        <v>0</v>
      </c>
      <c r="BD136" s="19" t="n">
        <v>0</v>
      </c>
      <c r="BE136" s="19" t="n">
        <v>0</v>
      </c>
      <c r="BF136" s="19" t="n">
        <v>0</v>
      </c>
      <c r="BG136" s="19" t="n">
        <v>0</v>
      </c>
      <c r="BH136" s="19" t="n">
        <v>0</v>
      </c>
      <c r="BI136" s="19" t="n">
        <v>0</v>
      </c>
      <c r="BJ136" s="26" t="n">
        <v>0</v>
      </c>
      <c r="BK136" s="26" t="n">
        <v>0</v>
      </c>
      <c r="BL136" s="26" t="n">
        <v>0</v>
      </c>
      <c r="BM136" s="26" t="n">
        <v>0</v>
      </c>
      <c r="BN136" s="19" t="n">
        <v>0</v>
      </c>
      <c r="BO136" s="19" t="n">
        <v>0</v>
      </c>
      <c r="BP136" s="19" t="n">
        <v>0</v>
      </c>
      <c r="BQ136" s="19" t="n">
        <v>0</v>
      </c>
      <c r="BR136" s="19" t="n">
        <v>3</v>
      </c>
      <c r="BS136" s="19" t="n">
        <v>3</v>
      </c>
      <c r="BT136" s="19" t="n">
        <v>3</v>
      </c>
      <c r="BU136" s="19" t="n">
        <v>5</v>
      </c>
      <c r="BV136" s="19" t="n">
        <v>2</v>
      </c>
      <c r="BW136" s="19" t="n">
        <v>3</v>
      </c>
      <c r="BX136" s="19" t="n">
        <v>3</v>
      </c>
      <c r="BY136" s="19" t="n">
        <v>2</v>
      </c>
      <c r="BZ136" s="19" t="n">
        <v>2</v>
      </c>
      <c r="CA136" s="19" t="n">
        <v>4</v>
      </c>
      <c r="CB136" s="19" t="n">
        <v>4</v>
      </c>
      <c r="CC136" s="19" t="n">
        <v>5</v>
      </c>
      <c r="CD136" s="19" t="n">
        <v>3</v>
      </c>
      <c r="CE136" s="19" t="n">
        <v>4</v>
      </c>
      <c r="CF136" s="19" t="n">
        <v>4</v>
      </c>
      <c r="CG136" s="19" t="n">
        <v>5</v>
      </c>
      <c r="CH136" s="19" t="n">
        <v>1</v>
      </c>
      <c r="CI136" s="19" t="n">
        <v>4</v>
      </c>
      <c r="CJ136" s="19" t="n">
        <v>4</v>
      </c>
      <c r="CK136" s="19" t="n">
        <v>10</v>
      </c>
      <c r="CL136" s="0" t="s">
        <v>540</v>
      </c>
      <c r="CM136" s="0" t="n">
        <v>70.5</v>
      </c>
      <c r="CN136" s="16" t="n">
        <v>88.2</v>
      </c>
      <c r="CO136" s="16" t="n">
        <v>80.4</v>
      </c>
      <c r="CP136" s="16" t="n">
        <v>36.3</v>
      </c>
      <c r="CQ136" s="0" t="n">
        <v>72.69</v>
      </c>
      <c r="CR136" s="17" t="n">
        <v>0</v>
      </c>
      <c r="CS136" s="0" t="n">
        <v>10.32</v>
      </c>
      <c r="CT136" s="0" t="n">
        <v>16.99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36.66</v>
      </c>
      <c r="DD136" s="0" t="n">
        <v>7.54</v>
      </c>
      <c r="DE136" s="0" t="n">
        <v>10.32</v>
      </c>
      <c r="DF136" s="0" t="n">
        <v>0</v>
      </c>
      <c r="DG136" s="0" t="n">
        <v>0</v>
      </c>
      <c r="DH136" s="0" t="n">
        <v>0</v>
      </c>
      <c r="DU136" s="0" t="n">
        <v>21.2</v>
      </c>
      <c r="DV136" s="0" t="n">
        <v>1</v>
      </c>
      <c r="DW136" s="0" t="n">
        <v>35</v>
      </c>
      <c r="DX136" s="0" t="n">
        <v>7</v>
      </c>
      <c r="DY136" s="0" t="n">
        <f aca="false">5.71+0.54</f>
        <v>6.25</v>
      </c>
      <c r="DZ136" s="0" t="n">
        <v>3</v>
      </c>
      <c r="EA136" s="0" t="n">
        <v>47</v>
      </c>
      <c r="EB136" s="0" t="n">
        <v>2</v>
      </c>
      <c r="EC136" s="0" t="n">
        <v>0.4</v>
      </c>
      <c r="ED136" s="0" t="n">
        <v>3</v>
      </c>
      <c r="EG136" s="20"/>
      <c r="EY136" s="0" t="n">
        <v>0</v>
      </c>
      <c r="GJ136" s="16" t="n">
        <v>11.58</v>
      </c>
      <c r="GK136" s="16" t="n">
        <v>1</v>
      </c>
      <c r="GL136" s="16" t="n">
        <v>2</v>
      </c>
      <c r="GM136" s="16"/>
      <c r="GN136" s="16" t="n">
        <f aca="false">0.22+1.95+3.81+0.27+0.32+0.04+0.05</f>
        <v>6.66</v>
      </c>
      <c r="GO136" s="16"/>
      <c r="GP136" s="16"/>
      <c r="GQ136" s="16"/>
      <c r="GR136" s="16"/>
      <c r="GS136" s="16"/>
      <c r="GT136" s="16"/>
      <c r="GU136" s="16" t="n">
        <v>0.27</v>
      </c>
      <c r="GV136" s="16" t="n">
        <v>0.27</v>
      </c>
      <c r="GW136" s="16" t="n">
        <v>0</v>
      </c>
      <c r="GX136" s="16" t="n">
        <v>0</v>
      </c>
      <c r="GY136" s="16" t="n">
        <v>0</v>
      </c>
      <c r="GZ136" s="16" t="n">
        <v>0</v>
      </c>
      <c r="HA136" s="16" t="n">
        <v>0</v>
      </c>
      <c r="HB136" s="0" t="n">
        <v>0</v>
      </c>
      <c r="HC136" s="0" t="s">
        <v>541</v>
      </c>
      <c r="HD136" s="0" t="n">
        <v>94.5</v>
      </c>
      <c r="HE136" s="16" t="n">
        <v>88.2</v>
      </c>
      <c r="HF136" s="16" t="n">
        <v>80.4</v>
      </c>
      <c r="HG136" s="16" t="n">
        <v>73.1</v>
      </c>
      <c r="HH136" s="0" t="n">
        <v>41.34</v>
      </c>
      <c r="HI136" s="17" t="n">
        <v>0</v>
      </c>
      <c r="HJ136" s="0" t="n">
        <v>8.63</v>
      </c>
      <c r="HK136" s="0" t="n">
        <v>0.04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  <c r="HT136" s="0" t="n">
        <v>8.06</v>
      </c>
      <c r="HU136" s="0" t="n">
        <v>3.65</v>
      </c>
      <c r="HV136" s="0" t="n">
        <v>7.2</v>
      </c>
      <c r="HW136" s="0" t="n">
        <v>0</v>
      </c>
      <c r="HX136" s="0" t="n">
        <v>0</v>
      </c>
      <c r="HY136" s="0" t="n">
        <v>0</v>
      </c>
      <c r="IL136" s="0" t="n">
        <v>9.4</v>
      </c>
      <c r="IM136" s="0" t="n">
        <v>1</v>
      </c>
      <c r="IN136" s="0" t="n">
        <v>35</v>
      </c>
      <c r="IO136" s="0" t="n">
        <v>2</v>
      </c>
      <c r="IP136" s="0" t="n">
        <f aca="false">0.76+0.45</f>
        <v>1.21</v>
      </c>
      <c r="IQ136" s="0" t="n">
        <v>3</v>
      </c>
      <c r="IX136" s="20"/>
      <c r="JP136" s="0" t="n">
        <v>1</v>
      </c>
      <c r="JQ136" s="0" t="n">
        <v>70</v>
      </c>
      <c r="JR136" s="0" t="n">
        <v>2</v>
      </c>
      <c r="JS136" s="0" t="n">
        <f aca="false">0.75+1.69</f>
        <v>2.44</v>
      </c>
      <c r="JT136" s="0" t="n">
        <v>2</v>
      </c>
      <c r="LA136" s="16" t="n">
        <v>0.84</v>
      </c>
      <c r="LB136" s="16" t="n">
        <v>1</v>
      </c>
      <c r="LC136" s="16" t="n">
        <v>1</v>
      </c>
      <c r="LD136" s="16"/>
      <c r="LE136" s="16" t="n">
        <v>0.6</v>
      </c>
      <c r="LF136" s="16"/>
      <c r="LG136" s="16"/>
      <c r="LH136" s="16"/>
      <c r="LI136" s="16"/>
      <c r="LJ136" s="16"/>
      <c r="LK136" s="16"/>
      <c r="LL136" s="16" t="n">
        <v>10.19</v>
      </c>
      <c r="LM136" s="16" t="n">
        <v>8.46</v>
      </c>
      <c r="LN136" s="16" t="n">
        <v>0</v>
      </c>
      <c r="LO136" s="16" t="n">
        <v>0</v>
      </c>
      <c r="LP136" s="16" t="n">
        <v>0</v>
      </c>
      <c r="LQ136" s="16" t="n">
        <v>0</v>
      </c>
      <c r="LR136" s="16" t="n">
        <v>0</v>
      </c>
      <c r="LS136" s="0" t="n">
        <v>0</v>
      </c>
      <c r="LT136" s="0" t="s">
        <v>542</v>
      </c>
      <c r="LU136" s="0" t="n">
        <v>75</v>
      </c>
      <c r="LV136" s="16" t="n">
        <v>91.2</v>
      </c>
      <c r="LW136" s="16" t="n">
        <v>80.4</v>
      </c>
      <c r="LX136" s="16" t="n">
        <v>61</v>
      </c>
      <c r="LY136" s="0" t="n">
        <v>53.67</v>
      </c>
      <c r="LZ136" s="17" t="n">
        <v>0</v>
      </c>
      <c r="MA136" s="0" t="n">
        <v>16.76</v>
      </c>
      <c r="MB136" s="0" t="n">
        <v>29.58</v>
      </c>
      <c r="MC136" s="0" t="n">
        <v>0</v>
      </c>
      <c r="MD136" s="0" t="n">
        <v>0</v>
      </c>
      <c r="ME136" s="0" t="n">
        <v>0</v>
      </c>
      <c r="MF136" s="0" t="n">
        <v>0</v>
      </c>
      <c r="MG136" s="0" t="n">
        <v>0</v>
      </c>
      <c r="MH136" s="0" t="n">
        <v>0</v>
      </c>
      <c r="MI136" s="0" t="n">
        <v>0</v>
      </c>
      <c r="MJ136" s="0" t="n">
        <v>0</v>
      </c>
      <c r="MK136" s="0" t="n">
        <v>6.79</v>
      </c>
      <c r="ML136" s="0" t="n">
        <v>14.97</v>
      </c>
      <c r="MM136" s="0" t="n">
        <v>18.24</v>
      </c>
      <c r="MN136" s="0" t="n">
        <v>0</v>
      </c>
      <c r="MO136" s="0" t="n">
        <v>0</v>
      </c>
      <c r="MP136" s="0" t="n">
        <v>0</v>
      </c>
      <c r="NC136" s="0" t="n">
        <v>9</v>
      </c>
      <c r="ND136" s="0" t="n">
        <v>1</v>
      </c>
      <c r="NE136" s="0" t="n">
        <v>68</v>
      </c>
      <c r="NF136" s="0" t="n">
        <v>1</v>
      </c>
      <c r="NG136" s="0" t="n">
        <v>0.38</v>
      </c>
      <c r="NH136" s="0" t="n">
        <v>1</v>
      </c>
      <c r="NI136" s="0" t="n">
        <v>47</v>
      </c>
      <c r="NJ136" s="0" t="n">
        <v>1</v>
      </c>
      <c r="NK136" s="0" t="n">
        <v>1.13</v>
      </c>
      <c r="NL136" s="0" t="n">
        <v>3</v>
      </c>
      <c r="NO136" s="20"/>
      <c r="OG136" s="0" t="n">
        <v>1</v>
      </c>
      <c r="OH136" s="0" t="n">
        <v>70</v>
      </c>
      <c r="OI136" s="0" t="n">
        <v>2</v>
      </c>
      <c r="OJ136" s="0" t="n">
        <f aca="false">1.69+0.75</f>
        <v>2.44</v>
      </c>
      <c r="OK136" s="0" t="n">
        <v>2</v>
      </c>
      <c r="PR136" s="16" t="n">
        <v>1.88</v>
      </c>
      <c r="PS136" s="16" t="n">
        <v>1</v>
      </c>
      <c r="PT136" s="16" t="n">
        <v>1</v>
      </c>
      <c r="PU136" s="16"/>
      <c r="PV136" s="16" t="n">
        <f aca="false">1.04+1.04+1.04</f>
        <v>3.12</v>
      </c>
      <c r="PW136" s="16"/>
      <c r="PX136" s="16"/>
      <c r="PY136" s="16"/>
      <c r="PZ136" s="16"/>
      <c r="QA136" s="16"/>
      <c r="QB136" s="16"/>
      <c r="QC136" s="16" t="n">
        <v>1.5</v>
      </c>
      <c r="QD136" s="16" t="n">
        <v>1.5</v>
      </c>
      <c r="QE136" s="16" t="n">
        <v>0</v>
      </c>
      <c r="QF136" s="16" t="n">
        <v>0</v>
      </c>
      <c r="QG136" s="16" t="n">
        <v>0</v>
      </c>
      <c r="QH136" s="16" t="n">
        <v>0</v>
      </c>
      <c r="QI136" s="16" t="n">
        <v>0</v>
      </c>
      <c r="QJ136" s="0" t="n">
        <v>0</v>
      </c>
      <c r="QK136" s="0" t="s">
        <v>543</v>
      </c>
      <c r="QL136" s="0" t="n">
        <v>21</v>
      </c>
      <c r="QM136" s="16" t="n">
        <v>77.9</v>
      </c>
      <c r="QN136" s="16" t="n">
        <v>160.8</v>
      </c>
      <c r="QO136" s="16" t="n">
        <v>14.1</v>
      </c>
      <c r="QP136" s="0" t="n">
        <v>87.99</v>
      </c>
      <c r="QQ136" s="17" t="n">
        <v>0</v>
      </c>
      <c r="QR136" s="0" t="n">
        <v>3.38</v>
      </c>
      <c r="QS136" s="0" t="n">
        <v>0</v>
      </c>
      <c r="QT136" s="0" t="n">
        <v>8.63</v>
      </c>
      <c r="QU136" s="0" t="n">
        <v>0</v>
      </c>
      <c r="QV136" s="0" t="n">
        <v>0</v>
      </c>
      <c r="QW136" s="0" t="n">
        <v>0</v>
      </c>
      <c r="QX136" s="0" t="n">
        <v>0</v>
      </c>
      <c r="QY136" s="0" t="n">
        <v>0</v>
      </c>
      <c r="QZ136" s="0" t="n">
        <v>0</v>
      </c>
      <c r="RA136" s="0" t="n">
        <v>0</v>
      </c>
      <c r="RB136" s="0" t="n">
        <v>0</v>
      </c>
      <c r="RC136" s="0" t="n">
        <v>65.6</v>
      </c>
      <c r="RD136" s="0" t="n">
        <v>0</v>
      </c>
      <c r="RE136" s="0" t="n">
        <v>0</v>
      </c>
      <c r="RF136" s="0" t="n">
        <v>0</v>
      </c>
      <c r="RG136" s="0" t="n">
        <v>0</v>
      </c>
      <c r="RT136" s="0" t="n">
        <v>1.4</v>
      </c>
      <c r="RU136" s="0" t="n">
        <v>1</v>
      </c>
      <c r="RV136" s="0" t="n">
        <v>35</v>
      </c>
      <c r="RW136" s="0" t="n">
        <v>3</v>
      </c>
      <c r="RX136" s="0" t="n">
        <f aca="false">0.38</f>
        <v>0.38</v>
      </c>
      <c r="RY136" s="0" t="n">
        <v>3</v>
      </c>
      <c r="RZ136" s="0" t="n">
        <v>34</v>
      </c>
      <c r="SA136" s="0" t="n">
        <v>27</v>
      </c>
      <c r="SB136" s="0" t="n">
        <f aca="false">0.19+0.19+1.13+3.38+0.56+1.5+1.13+0.38</f>
        <v>8.46</v>
      </c>
      <c r="SC136" s="0" t="n">
        <v>1</v>
      </c>
      <c r="SF136" s="20"/>
      <c r="SX136" s="0" t="n">
        <v>1</v>
      </c>
      <c r="SY136" s="0" t="n">
        <v>40</v>
      </c>
      <c r="SZ136" s="0" t="n">
        <v>9</v>
      </c>
      <c r="TA136" s="0" t="n">
        <f aca="false">0.38+1.13+3+1.88+0.75</f>
        <v>7.14</v>
      </c>
      <c r="TB136" s="0" t="n">
        <v>3</v>
      </c>
      <c r="UI136" s="16" t="n">
        <v>0</v>
      </c>
      <c r="UJ136" s="16" t="n">
        <v>0</v>
      </c>
      <c r="UK136" s="16"/>
      <c r="UL136" s="16"/>
      <c r="UM136" s="16"/>
      <c r="UN136" s="16"/>
      <c r="UO136" s="16"/>
      <c r="UP136" s="16"/>
      <c r="UQ136" s="16"/>
      <c r="UR136" s="16"/>
      <c r="US136" s="16"/>
      <c r="UT136" s="16" t="n">
        <v>5.27</v>
      </c>
      <c r="UU136" s="16" t="n">
        <v>1.5</v>
      </c>
      <c r="UV136" s="16" t="n">
        <v>0</v>
      </c>
      <c r="UW136" s="16" t="n">
        <v>0</v>
      </c>
      <c r="UX136" s="16" t="n">
        <v>0</v>
      </c>
      <c r="UY136" s="16" t="n">
        <v>0</v>
      </c>
      <c r="UZ136" s="16" t="n">
        <v>0</v>
      </c>
      <c r="VA136" s="0" t="n">
        <v>0</v>
      </c>
      <c r="VE136" s="15"/>
      <c r="VF136" s="15"/>
      <c r="VM136" s="15"/>
      <c r="VN136" s="15"/>
      <c r="VU136" s="15"/>
      <c r="VV136" s="15"/>
      <c r="WC136" s="15"/>
      <c r="WD136" s="15"/>
      <c r="WK136" s="15"/>
      <c r="WL136" s="15"/>
      <c r="WS136" s="15"/>
      <c r="WT136" s="15"/>
      <c r="XA136" s="15"/>
      <c r="XB136" s="15"/>
      <c r="XI136" s="15"/>
      <c r="XJ136" s="15"/>
      <c r="XQ136" s="15"/>
      <c r="XR136" s="15"/>
      <c r="XY136" s="15"/>
      <c r="XZ136" s="15"/>
      <c r="YG136" s="15"/>
      <c r="YH136" s="15"/>
      <c r="YO136" s="15"/>
      <c r="YP136" s="15"/>
      <c r="YW136" s="15"/>
      <c r="YX136" s="15"/>
      <c r="ZE136" s="15"/>
      <c r="ZF136" s="15"/>
      <c r="ZM136" s="15"/>
      <c r="ZN136" s="15"/>
      <c r="ZU136" s="15"/>
      <c r="ZV136" s="15"/>
      <c r="AAC136" s="15"/>
      <c r="AAD136" s="15"/>
      <c r="AAK136" s="15"/>
      <c r="AAL136" s="15"/>
      <c r="AAS136" s="15"/>
      <c r="AAT136" s="15"/>
      <c r="ABA136" s="15"/>
      <c r="ABB136" s="15"/>
      <c r="ABI136" s="15"/>
      <c r="ABJ136" s="15"/>
      <c r="ABQ136" s="15"/>
      <c r="ABR136" s="15"/>
      <c r="ABY136" s="15"/>
      <c r="ABZ136" s="15"/>
      <c r="ACG136" s="15"/>
      <c r="ACH136" s="15"/>
      <c r="ACO136" s="15"/>
      <c r="ACP136" s="15"/>
      <c r="ACW136" s="15"/>
      <c r="ACX136" s="15"/>
      <c r="ADE136" s="15"/>
      <c r="ADF136" s="15"/>
      <c r="ADM136" s="15"/>
      <c r="ADN136" s="15"/>
      <c r="ADU136" s="15"/>
      <c r="ADV136" s="15"/>
      <c r="AEC136" s="15"/>
      <c r="AED136" s="15"/>
      <c r="AEK136" s="15"/>
      <c r="AEL136" s="15"/>
      <c r="AES136" s="15"/>
      <c r="AET136" s="15"/>
      <c r="AFA136" s="15"/>
      <c r="AFB136" s="15"/>
      <c r="AFI136" s="15"/>
      <c r="AFJ136" s="15"/>
      <c r="AFQ136" s="15"/>
      <c r="AFR136" s="15"/>
      <c r="AFY136" s="15"/>
      <c r="AFZ136" s="15"/>
      <c r="AGG136" s="15"/>
      <c r="AGH136" s="15"/>
      <c r="AGO136" s="15"/>
      <c r="AGP136" s="15"/>
      <c r="AGW136" s="15"/>
      <c r="AGX136" s="15"/>
      <c r="AHE136" s="15"/>
      <c r="AHF136" s="15"/>
      <c r="AHM136" s="15"/>
      <c r="AHN136" s="15"/>
      <c r="AHU136" s="15"/>
      <c r="AHV136" s="15"/>
      <c r="AIC136" s="15"/>
      <c r="AID136" s="15"/>
      <c r="AIK136" s="15"/>
      <c r="AIL136" s="15"/>
      <c r="AIS136" s="15"/>
      <c r="AIT136" s="15"/>
      <c r="AJA136" s="15"/>
      <c r="AJB136" s="15"/>
      <c r="AJI136" s="15"/>
      <c r="AJJ136" s="15"/>
      <c r="AJQ136" s="15"/>
      <c r="AJR136" s="15"/>
      <c r="AJY136" s="15"/>
      <c r="AJZ136" s="15"/>
      <c r="AKG136" s="15"/>
      <c r="AKH136" s="15"/>
      <c r="AKO136" s="15"/>
      <c r="AKP136" s="15"/>
      <c r="AKW136" s="15"/>
      <c r="AKX136" s="15"/>
      <c r="ALE136" s="15"/>
      <c r="ALF136" s="15"/>
      <c r="ALM136" s="15"/>
      <c r="ALN136" s="15"/>
      <c r="ALU136" s="15"/>
      <c r="ALV136" s="15"/>
      <c r="AMC136" s="15"/>
      <c r="AMD136" s="15"/>
    </row>
    <row r="137" s="24" customFormat="true" ht="13.8" hidden="false" customHeight="false" outlineLevel="0" collapsed="false">
      <c r="A137" s="22" t="s">
        <v>579</v>
      </c>
      <c r="B137" s="23" t="n">
        <v>42901</v>
      </c>
      <c r="C137" s="24" t="n">
        <v>2</v>
      </c>
      <c r="D137" s="13" t="n">
        <v>42793</v>
      </c>
      <c r="E137" s="12" t="n">
        <v>30926</v>
      </c>
      <c r="F137" s="14" t="n">
        <f aca="false">(B137-E137)/365.25</f>
        <v>32.7857631759069</v>
      </c>
      <c r="G137" s="14" t="n">
        <f aca="false">(B137-D137)/365.25</f>
        <v>0.295687885010267</v>
      </c>
      <c r="H137" s="21" t="s">
        <v>183</v>
      </c>
      <c r="I137" s="21" t="s">
        <v>571</v>
      </c>
      <c r="J137" s="21" t="s">
        <v>183</v>
      </c>
      <c r="K137" s="21" t="n">
        <v>4</v>
      </c>
      <c r="L137" s="19" t="n">
        <v>80</v>
      </c>
      <c r="M137" s="0" t="n">
        <v>1.82</v>
      </c>
      <c r="N137" s="16" t="n">
        <f aca="false">L137/(M137*M137)</f>
        <v>24.1516725033209</v>
      </c>
      <c r="O137" s="19" t="n">
        <v>0</v>
      </c>
      <c r="P137" s="19" t="n">
        <v>0</v>
      </c>
      <c r="Q137" s="19" t="n">
        <v>0</v>
      </c>
      <c r="R137" s="19" t="n">
        <v>0</v>
      </c>
      <c r="S137" s="19" t="n">
        <v>0</v>
      </c>
      <c r="T137" s="19" t="n">
        <v>0</v>
      </c>
      <c r="U137" s="19" t="n">
        <v>0</v>
      </c>
      <c r="V137" s="19" t="n">
        <v>0</v>
      </c>
      <c r="W137" s="19" t="n">
        <v>0</v>
      </c>
      <c r="X137" s="19" t="n">
        <v>0</v>
      </c>
      <c r="Y137" s="19" t="n">
        <v>1</v>
      </c>
      <c r="Z137" s="19" t="n">
        <v>2</v>
      </c>
      <c r="AA137" s="19" t="n">
        <v>60</v>
      </c>
      <c r="AB137" s="19" t="s">
        <v>441</v>
      </c>
      <c r="AC137" s="19" t="n">
        <v>1</v>
      </c>
      <c r="AD137" s="19" t="n">
        <v>10</v>
      </c>
      <c r="AE137" s="19" t="n">
        <v>0</v>
      </c>
      <c r="AF137" s="19" t="n">
        <v>0</v>
      </c>
      <c r="AG137" s="19" t="n">
        <v>0</v>
      </c>
      <c r="AH137" s="19" t="n">
        <v>0</v>
      </c>
      <c r="AI137" s="19" t="n">
        <v>0</v>
      </c>
      <c r="AJ137" s="19" t="n">
        <v>0</v>
      </c>
      <c r="AK137" s="19" t="n">
        <v>0</v>
      </c>
      <c r="AL137" s="19" t="n">
        <v>0</v>
      </c>
      <c r="AM137" s="19" t="n">
        <v>0</v>
      </c>
      <c r="AN137" s="19" t="n">
        <v>0</v>
      </c>
      <c r="AO137" s="19" t="n">
        <v>0</v>
      </c>
      <c r="AP137" s="19" t="n">
        <v>0</v>
      </c>
      <c r="AQ137" s="19" t="n">
        <v>0</v>
      </c>
      <c r="AR137" s="19" t="n">
        <v>0</v>
      </c>
      <c r="AS137" s="19" t="n">
        <v>0</v>
      </c>
      <c r="AT137" s="19" t="n">
        <v>0</v>
      </c>
      <c r="AU137" s="19" t="n">
        <v>0</v>
      </c>
      <c r="AV137" s="19" t="n">
        <v>0</v>
      </c>
      <c r="AW137" s="19" t="n">
        <v>0</v>
      </c>
      <c r="AX137" s="19" t="n">
        <v>0</v>
      </c>
      <c r="AY137" s="19" t="n">
        <v>0</v>
      </c>
      <c r="AZ137" s="19" t="n">
        <v>0</v>
      </c>
      <c r="BA137" s="19" t="n">
        <v>0</v>
      </c>
      <c r="BB137" s="19" t="n">
        <v>0</v>
      </c>
      <c r="BC137" s="19" t="n">
        <v>0</v>
      </c>
      <c r="BD137" s="19" t="n">
        <v>0</v>
      </c>
      <c r="BE137" s="19" t="n">
        <v>0</v>
      </c>
      <c r="BF137" s="19" t="n">
        <v>0</v>
      </c>
      <c r="BG137" s="19" t="n">
        <v>0</v>
      </c>
      <c r="BH137" s="19" t="n">
        <v>0</v>
      </c>
      <c r="BI137" s="19" t="n">
        <v>0</v>
      </c>
      <c r="BJ137" s="26" t="n">
        <v>0</v>
      </c>
      <c r="BK137" s="26" t="n">
        <v>0</v>
      </c>
      <c r="BL137" s="26" t="n">
        <v>0</v>
      </c>
      <c r="BM137" s="26" t="n">
        <v>0</v>
      </c>
      <c r="BN137" s="19" t="n">
        <v>0</v>
      </c>
      <c r="BO137" s="19" t="n">
        <v>0</v>
      </c>
      <c r="BP137" s="19" t="n">
        <v>0</v>
      </c>
      <c r="BQ137" s="19" t="n">
        <v>0</v>
      </c>
      <c r="BR137" s="19" t="n">
        <v>1</v>
      </c>
      <c r="BS137" s="19" t="n">
        <v>1</v>
      </c>
      <c r="BT137" s="19" t="n">
        <v>1</v>
      </c>
      <c r="BU137" s="19" t="n">
        <v>5</v>
      </c>
      <c r="BV137" s="19" t="n">
        <v>1</v>
      </c>
      <c r="BW137" s="19" t="n">
        <v>1</v>
      </c>
      <c r="BX137" s="19" t="n">
        <v>5</v>
      </c>
      <c r="BY137" s="19" t="n">
        <v>5</v>
      </c>
      <c r="BZ137" s="19" t="n">
        <v>3</v>
      </c>
      <c r="CA137" s="19" t="n">
        <v>5</v>
      </c>
      <c r="CB137" s="19" t="n">
        <v>5</v>
      </c>
      <c r="CC137" s="19" t="n">
        <v>5</v>
      </c>
      <c r="CD137" s="19" t="n">
        <v>4</v>
      </c>
      <c r="CE137" s="19" t="n">
        <v>5</v>
      </c>
      <c r="CF137" s="19" t="n">
        <v>5</v>
      </c>
      <c r="CG137" s="19" t="n">
        <v>5</v>
      </c>
      <c r="CH137" s="19" t="n">
        <v>5</v>
      </c>
      <c r="CI137" s="19" t="n">
        <v>5</v>
      </c>
      <c r="CJ137" s="19" t="n">
        <v>5</v>
      </c>
      <c r="CK137" s="19" t="n">
        <v>10</v>
      </c>
      <c r="CL137" s="24" t="s">
        <v>540</v>
      </c>
      <c r="CM137" s="24" t="n">
        <v>70.5</v>
      </c>
      <c r="CN137" s="27" t="n">
        <v>88.2</v>
      </c>
      <c r="CO137" s="27" t="n">
        <v>80.4</v>
      </c>
      <c r="CP137" s="27" t="n">
        <v>36.3</v>
      </c>
      <c r="CQ137" s="24" t="n">
        <v>72.69</v>
      </c>
      <c r="CR137" s="29" t="n">
        <v>0</v>
      </c>
      <c r="CS137" s="24" t="n">
        <v>10.32</v>
      </c>
      <c r="CT137" s="24" t="n">
        <v>16.99</v>
      </c>
      <c r="CU137" s="24" t="n">
        <v>0</v>
      </c>
      <c r="CV137" s="24" t="n">
        <v>0</v>
      </c>
      <c r="CW137" s="24" t="n">
        <v>0</v>
      </c>
      <c r="CX137" s="24" t="n">
        <v>0</v>
      </c>
      <c r="CY137" s="24" t="n">
        <v>0</v>
      </c>
      <c r="CZ137" s="24" t="n">
        <v>0</v>
      </c>
      <c r="DA137" s="24" t="n">
        <v>0</v>
      </c>
      <c r="DB137" s="24" t="n">
        <v>0</v>
      </c>
      <c r="DC137" s="24" t="n">
        <v>36.66</v>
      </c>
      <c r="DD137" s="24" t="n">
        <v>7.54</v>
      </c>
      <c r="DE137" s="24" t="n">
        <v>10.32</v>
      </c>
      <c r="DF137" s="24" t="n">
        <v>0</v>
      </c>
      <c r="DG137" s="24" t="n">
        <v>0</v>
      </c>
      <c r="DH137" s="24" t="n">
        <v>0</v>
      </c>
      <c r="DU137" s="24" t="n">
        <v>21.2</v>
      </c>
      <c r="DV137" s="24" t="n">
        <v>1</v>
      </c>
      <c r="DW137" s="24" t="n">
        <v>35</v>
      </c>
      <c r="DX137" s="24" t="n">
        <v>7</v>
      </c>
      <c r="DY137" s="24" t="n">
        <f aca="false">5.71+0.54</f>
        <v>6.25</v>
      </c>
      <c r="DZ137" s="24" t="n">
        <v>3</v>
      </c>
      <c r="EA137" s="24" t="n">
        <v>47</v>
      </c>
      <c r="EB137" s="24" t="n">
        <v>2</v>
      </c>
      <c r="EC137" s="24" t="n">
        <v>0.4</v>
      </c>
      <c r="ED137" s="24" t="n">
        <v>3</v>
      </c>
      <c r="EG137" s="32"/>
      <c r="EY137" s="24" t="n">
        <v>0</v>
      </c>
      <c r="GJ137" s="27" t="n">
        <v>11.58</v>
      </c>
      <c r="GK137" s="27" t="n">
        <v>1</v>
      </c>
      <c r="GL137" s="27" t="n">
        <v>2</v>
      </c>
      <c r="GM137" s="27"/>
      <c r="GN137" s="27" t="n">
        <f aca="false">0.22+1.95+3.81+0.27+0.32+0.04+0.05</f>
        <v>6.66</v>
      </c>
      <c r="GO137" s="27"/>
      <c r="GP137" s="27"/>
      <c r="GQ137" s="27"/>
      <c r="GR137" s="27"/>
      <c r="GS137" s="27"/>
      <c r="GT137" s="27"/>
      <c r="GU137" s="27" t="n">
        <v>0.27</v>
      </c>
      <c r="GV137" s="27" t="n">
        <v>0.27</v>
      </c>
      <c r="GW137" s="27" t="n">
        <v>0</v>
      </c>
      <c r="GX137" s="27" t="n">
        <v>0</v>
      </c>
      <c r="GY137" s="27" t="n">
        <v>0</v>
      </c>
      <c r="GZ137" s="27" t="n">
        <v>0</v>
      </c>
      <c r="HA137" s="27" t="n">
        <v>0</v>
      </c>
      <c r="HB137" s="24" t="n">
        <v>0</v>
      </c>
      <c r="HC137" s="24" t="s">
        <v>541</v>
      </c>
      <c r="HD137" s="24" t="n">
        <v>94.5</v>
      </c>
      <c r="HE137" s="27" t="n">
        <v>88.2</v>
      </c>
      <c r="HF137" s="27" t="n">
        <v>80.4</v>
      </c>
      <c r="HG137" s="27" t="n">
        <v>73.1</v>
      </c>
      <c r="HH137" s="24" t="n">
        <v>41.34</v>
      </c>
      <c r="HI137" s="29" t="n">
        <v>0</v>
      </c>
      <c r="HJ137" s="24" t="n">
        <v>8.63</v>
      </c>
      <c r="HK137" s="24" t="n">
        <v>0.04</v>
      </c>
      <c r="HL137" s="24" t="n">
        <v>0</v>
      </c>
      <c r="HM137" s="24" t="n">
        <v>0</v>
      </c>
      <c r="HN137" s="24" t="n">
        <v>0</v>
      </c>
      <c r="HO137" s="24" t="n">
        <v>0</v>
      </c>
      <c r="HP137" s="24" t="n">
        <v>0</v>
      </c>
      <c r="HQ137" s="24" t="n">
        <v>0</v>
      </c>
      <c r="HR137" s="24" t="n">
        <v>0</v>
      </c>
      <c r="HS137" s="24" t="n">
        <v>0</v>
      </c>
      <c r="HT137" s="24" t="n">
        <v>8.06</v>
      </c>
      <c r="HU137" s="24" t="n">
        <v>3.65</v>
      </c>
      <c r="HV137" s="24" t="n">
        <v>7.2</v>
      </c>
      <c r="HW137" s="24" t="n">
        <v>0</v>
      </c>
      <c r="HX137" s="24" t="n">
        <v>0</v>
      </c>
      <c r="HY137" s="24" t="n">
        <v>0</v>
      </c>
      <c r="IL137" s="24" t="n">
        <v>9.4</v>
      </c>
      <c r="IM137" s="24" t="n">
        <v>1</v>
      </c>
      <c r="IN137" s="24" t="n">
        <v>35</v>
      </c>
      <c r="IO137" s="24" t="n">
        <v>2</v>
      </c>
      <c r="IP137" s="24" t="n">
        <f aca="false">0.76+0.45</f>
        <v>1.21</v>
      </c>
      <c r="IQ137" s="24" t="n">
        <v>3</v>
      </c>
      <c r="IX137" s="32"/>
      <c r="JP137" s="24" t="n">
        <v>1</v>
      </c>
      <c r="JQ137" s="24" t="n">
        <v>70</v>
      </c>
      <c r="JR137" s="24" t="n">
        <v>2</v>
      </c>
      <c r="JS137" s="24" t="n">
        <f aca="false">0.75+1.69</f>
        <v>2.44</v>
      </c>
      <c r="JT137" s="24" t="n">
        <v>2</v>
      </c>
      <c r="LA137" s="27" t="n">
        <v>0.84</v>
      </c>
      <c r="LB137" s="27" t="n">
        <v>1</v>
      </c>
      <c r="LC137" s="27" t="n">
        <v>1</v>
      </c>
      <c r="LD137" s="27"/>
      <c r="LE137" s="27" t="n">
        <v>0.6</v>
      </c>
      <c r="LF137" s="27"/>
      <c r="LG137" s="27"/>
      <c r="LH137" s="27"/>
      <c r="LI137" s="27"/>
      <c r="LJ137" s="27"/>
      <c r="LK137" s="27"/>
      <c r="LL137" s="27" t="n">
        <v>10.19</v>
      </c>
      <c r="LM137" s="27" t="n">
        <v>8.46</v>
      </c>
      <c r="LN137" s="27" t="n">
        <v>0</v>
      </c>
      <c r="LO137" s="27" t="n">
        <v>0</v>
      </c>
      <c r="LP137" s="27" t="n">
        <v>0</v>
      </c>
      <c r="LQ137" s="27" t="n">
        <v>0</v>
      </c>
      <c r="LR137" s="27" t="n">
        <v>0</v>
      </c>
      <c r="LS137" s="24" t="n">
        <v>0</v>
      </c>
      <c r="LT137" s="24" t="s">
        <v>542</v>
      </c>
      <c r="LU137" s="24" t="n">
        <v>75</v>
      </c>
      <c r="LV137" s="27" t="n">
        <v>91.2</v>
      </c>
      <c r="LW137" s="27" t="n">
        <v>80.4</v>
      </c>
      <c r="LX137" s="27" t="n">
        <v>61</v>
      </c>
      <c r="LY137" s="24" t="n">
        <v>53.67</v>
      </c>
      <c r="LZ137" s="29" t="n">
        <v>0</v>
      </c>
      <c r="MA137" s="24" t="n">
        <v>16.76</v>
      </c>
      <c r="MB137" s="24" t="n">
        <v>29.58</v>
      </c>
      <c r="MC137" s="24" t="n">
        <v>0</v>
      </c>
      <c r="MD137" s="24" t="n">
        <v>0</v>
      </c>
      <c r="ME137" s="24" t="n">
        <v>0</v>
      </c>
      <c r="MF137" s="24" t="n">
        <v>0</v>
      </c>
      <c r="MG137" s="24" t="n">
        <v>0</v>
      </c>
      <c r="MH137" s="24" t="n">
        <v>0</v>
      </c>
      <c r="MI137" s="24" t="n">
        <v>0</v>
      </c>
      <c r="MJ137" s="24" t="n">
        <v>0</v>
      </c>
      <c r="MK137" s="24" t="n">
        <v>6.79</v>
      </c>
      <c r="ML137" s="24" t="n">
        <v>14.97</v>
      </c>
      <c r="MM137" s="24" t="n">
        <v>18.24</v>
      </c>
      <c r="MN137" s="24" t="n">
        <v>0</v>
      </c>
      <c r="MO137" s="24" t="n">
        <v>0</v>
      </c>
      <c r="MP137" s="24" t="n">
        <v>0</v>
      </c>
      <c r="NC137" s="24" t="n">
        <v>9</v>
      </c>
      <c r="ND137" s="24" t="n">
        <v>1</v>
      </c>
      <c r="NE137" s="24" t="n">
        <v>68</v>
      </c>
      <c r="NF137" s="24" t="n">
        <v>1</v>
      </c>
      <c r="NG137" s="24" t="n">
        <v>0.38</v>
      </c>
      <c r="NH137" s="24" t="n">
        <v>1</v>
      </c>
      <c r="NI137" s="24" t="n">
        <v>47</v>
      </c>
      <c r="NJ137" s="24" t="n">
        <v>1</v>
      </c>
      <c r="NK137" s="24" t="n">
        <v>1.13</v>
      </c>
      <c r="NL137" s="24" t="n">
        <v>3</v>
      </c>
      <c r="NO137" s="32"/>
      <c r="OG137" s="24" t="n">
        <v>1</v>
      </c>
      <c r="OH137" s="24" t="n">
        <v>70</v>
      </c>
      <c r="OI137" s="24" t="n">
        <v>2</v>
      </c>
      <c r="OJ137" s="24" t="n">
        <f aca="false">1.69+0.75</f>
        <v>2.44</v>
      </c>
      <c r="OK137" s="24" t="n">
        <v>2</v>
      </c>
      <c r="PR137" s="27" t="n">
        <v>1.88</v>
      </c>
      <c r="PS137" s="27" t="n">
        <v>1</v>
      </c>
      <c r="PT137" s="27" t="n">
        <v>1</v>
      </c>
      <c r="PU137" s="27"/>
      <c r="PV137" s="27" t="n">
        <f aca="false">1.04+1.04+1.04</f>
        <v>3.12</v>
      </c>
      <c r="PW137" s="27"/>
      <c r="PX137" s="27"/>
      <c r="PY137" s="27"/>
      <c r="PZ137" s="27"/>
      <c r="QA137" s="27"/>
      <c r="QB137" s="27"/>
      <c r="QC137" s="27" t="n">
        <v>1.5</v>
      </c>
      <c r="QD137" s="27" t="n">
        <v>1.5</v>
      </c>
      <c r="QE137" s="27" t="n">
        <v>0</v>
      </c>
      <c r="QF137" s="27" t="n">
        <v>0</v>
      </c>
      <c r="QG137" s="27" t="n">
        <v>0</v>
      </c>
      <c r="QH137" s="27" t="n">
        <v>0</v>
      </c>
      <c r="QI137" s="27" t="n">
        <v>0</v>
      </c>
      <c r="QJ137" s="24" t="n">
        <v>0</v>
      </c>
      <c r="QK137" s="24" t="s">
        <v>543</v>
      </c>
      <c r="QL137" s="24" t="n">
        <v>21</v>
      </c>
      <c r="QM137" s="27" t="n">
        <v>77.9</v>
      </c>
      <c r="QN137" s="27" t="n">
        <v>160.8</v>
      </c>
      <c r="QO137" s="27" t="n">
        <v>14.1</v>
      </c>
      <c r="QP137" s="24" t="n">
        <v>87.99</v>
      </c>
      <c r="QQ137" s="29" t="n">
        <v>0</v>
      </c>
      <c r="QR137" s="24" t="n">
        <v>3.38</v>
      </c>
      <c r="QS137" s="24" t="n">
        <v>0</v>
      </c>
      <c r="QT137" s="24" t="n">
        <v>8.63</v>
      </c>
      <c r="QU137" s="24" t="n">
        <v>0</v>
      </c>
      <c r="QV137" s="24" t="n">
        <v>0</v>
      </c>
      <c r="QW137" s="24" t="n">
        <v>0</v>
      </c>
      <c r="QX137" s="24" t="n">
        <v>0</v>
      </c>
      <c r="QY137" s="24" t="n">
        <v>0</v>
      </c>
      <c r="QZ137" s="24" t="n">
        <v>0</v>
      </c>
      <c r="RA137" s="24" t="n">
        <v>0</v>
      </c>
      <c r="RB137" s="24" t="n">
        <v>0</v>
      </c>
      <c r="RC137" s="24" t="n">
        <v>65.6</v>
      </c>
      <c r="RD137" s="24" t="n">
        <v>0</v>
      </c>
      <c r="RE137" s="24" t="n">
        <v>0</v>
      </c>
      <c r="RF137" s="24" t="n">
        <v>0</v>
      </c>
      <c r="RG137" s="24" t="n">
        <v>0</v>
      </c>
      <c r="RT137" s="24" t="n">
        <v>1.4</v>
      </c>
      <c r="RU137" s="24" t="n">
        <v>1</v>
      </c>
      <c r="RV137" s="24" t="n">
        <v>35</v>
      </c>
      <c r="RW137" s="24" t="n">
        <v>3</v>
      </c>
      <c r="RX137" s="24" t="n">
        <f aca="false">0.38</f>
        <v>0.38</v>
      </c>
      <c r="RY137" s="24" t="n">
        <v>3</v>
      </c>
      <c r="RZ137" s="24" t="n">
        <v>34</v>
      </c>
      <c r="SA137" s="24" t="n">
        <v>27</v>
      </c>
      <c r="SB137" s="24" t="n">
        <f aca="false">0.19+0.19+1.13+3.38+0.56+1.5+1.13+0.38</f>
        <v>8.46</v>
      </c>
      <c r="SC137" s="24" t="n">
        <v>1</v>
      </c>
      <c r="SF137" s="32"/>
      <c r="SX137" s="24" t="n">
        <v>1</v>
      </c>
      <c r="SY137" s="24" t="n">
        <v>40</v>
      </c>
      <c r="SZ137" s="24" t="n">
        <v>9</v>
      </c>
      <c r="TA137" s="24" t="n">
        <f aca="false">0.38+1.13+3+1.88+0.75</f>
        <v>7.14</v>
      </c>
      <c r="TB137" s="24" t="n">
        <v>3</v>
      </c>
      <c r="UI137" s="27" t="n">
        <v>0</v>
      </c>
      <c r="UJ137" s="27" t="n">
        <v>0</v>
      </c>
      <c r="UK137" s="27"/>
      <c r="UL137" s="27"/>
      <c r="UM137" s="27"/>
      <c r="UN137" s="27"/>
      <c r="UO137" s="27"/>
      <c r="UP137" s="27"/>
      <c r="UQ137" s="27"/>
      <c r="UR137" s="27"/>
      <c r="US137" s="27"/>
      <c r="UT137" s="27" t="n">
        <v>5.27</v>
      </c>
      <c r="UU137" s="27" t="n">
        <v>1.5</v>
      </c>
      <c r="UV137" s="27" t="n">
        <v>0</v>
      </c>
      <c r="UW137" s="27" t="n">
        <v>0</v>
      </c>
      <c r="UX137" s="27" t="n">
        <v>0</v>
      </c>
      <c r="UY137" s="27" t="n">
        <v>0</v>
      </c>
      <c r="UZ137" s="27" t="n">
        <v>0</v>
      </c>
      <c r="VA137" s="24" t="n">
        <v>0</v>
      </c>
      <c r="VD137" s="33"/>
      <c r="VE137" s="21"/>
      <c r="VF137" s="21"/>
      <c r="VH137" s="33"/>
      <c r="VI137" s="33"/>
      <c r="VL137" s="33"/>
      <c r="VM137" s="21"/>
      <c r="VN137" s="21"/>
      <c r="VP137" s="33"/>
      <c r="VQ137" s="33"/>
      <c r="VT137" s="33"/>
      <c r="VU137" s="21"/>
      <c r="VV137" s="21"/>
      <c r="VX137" s="33"/>
      <c r="VY137" s="33"/>
      <c r="WB137" s="33"/>
      <c r="WC137" s="21"/>
      <c r="WD137" s="21"/>
      <c r="WF137" s="33"/>
      <c r="WG137" s="33"/>
      <c r="WJ137" s="33"/>
      <c r="WK137" s="21"/>
      <c r="WL137" s="21"/>
      <c r="WN137" s="33"/>
      <c r="WO137" s="33"/>
      <c r="WR137" s="33"/>
      <c r="WS137" s="21"/>
      <c r="WT137" s="21"/>
      <c r="WV137" s="33"/>
      <c r="WW137" s="33"/>
      <c r="WZ137" s="33"/>
      <c r="XA137" s="21"/>
      <c r="XB137" s="21"/>
      <c r="XD137" s="33"/>
      <c r="XE137" s="33"/>
      <c r="XH137" s="33"/>
      <c r="XI137" s="21"/>
      <c r="XJ137" s="21"/>
      <c r="XL137" s="33"/>
      <c r="XM137" s="33"/>
      <c r="XP137" s="33"/>
      <c r="XQ137" s="21"/>
      <c r="XR137" s="21"/>
      <c r="XT137" s="33"/>
      <c r="XU137" s="33"/>
      <c r="XX137" s="33"/>
      <c r="XY137" s="21"/>
      <c r="XZ137" s="21"/>
      <c r="YB137" s="33"/>
      <c r="YC137" s="33"/>
      <c r="YF137" s="33"/>
      <c r="YG137" s="21"/>
      <c r="YH137" s="21"/>
      <c r="YJ137" s="33"/>
      <c r="YK137" s="33"/>
      <c r="YN137" s="33"/>
      <c r="YO137" s="21"/>
      <c r="YP137" s="21"/>
      <c r="YR137" s="33"/>
      <c r="YS137" s="33"/>
      <c r="YV137" s="33"/>
      <c r="YW137" s="21"/>
      <c r="YX137" s="21"/>
      <c r="YZ137" s="33"/>
      <c r="ZA137" s="33"/>
      <c r="ZD137" s="33"/>
      <c r="ZE137" s="21"/>
      <c r="ZF137" s="21"/>
      <c r="ZH137" s="33"/>
      <c r="ZI137" s="33"/>
      <c r="ZL137" s="33"/>
      <c r="ZM137" s="21"/>
      <c r="ZN137" s="21"/>
      <c r="ZP137" s="33"/>
      <c r="ZQ137" s="33"/>
      <c r="ZT137" s="33"/>
      <c r="ZU137" s="21"/>
      <c r="ZV137" s="21"/>
      <c r="ZX137" s="33"/>
      <c r="ZY137" s="33"/>
      <c r="AAB137" s="33"/>
      <c r="AAC137" s="21"/>
      <c r="AAD137" s="21"/>
      <c r="AAF137" s="33"/>
      <c r="AAG137" s="33"/>
      <c r="AAJ137" s="33"/>
      <c r="AAK137" s="21"/>
      <c r="AAL137" s="21"/>
      <c r="AAN137" s="33"/>
      <c r="AAO137" s="33"/>
      <c r="AAR137" s="33"/>
      <c r="AAS137" s="21"/>
      <c r="AAT137" s="21"/>
      <c r="AAV137" s="33"/>
      <c r="AAW137" s="33"/>
      <c r="AAZ137" s="33"/>
      <c r="ABA137" s="21"/>
      <c r="ABB137" s="21"/>
      <c r="ABD137" s="33"/>
      <c r="ABE137" s="33"/>
      <c r="ABH137" s="33"/>
      <c r="ABI137" s="21"/>
      <c r="ABJ137" s="21"/>
      <c r="ABL137" s="33"/>
      <c r="ABM137" s="33"/>
      <c r="ABP137" s="33"/>
      <c r="ABQ137" s="21"/>
      <c r="ABR137" s="21"/>
      <c r="ABT137" s="33"/>
      <c r="ABU137" s="33"/>
      <c r="ABX137" s="33"/>
      <c r="ABY137" s="21"/>
      <c r="ABZ137" s="21"/>
      <c r="ACB137" s="33"/>
      <c r="ACC137" s="33"/>
      <c r="ACF137" s="33"/>
      <c r="ACG137" s="21"/>
      <c r="ACH137" s="21"/>
      <c r="ACJ137" s="33"/>
      <c r="ACK137" s="33"/>
      <c r="ACN137" s="33"/>
      <c r="ACO137" s="21"/>
      <c r="ACP137" s="21"/>
      <c r="ACR137" s="33"/>
      <c r="ACS137" s="33"/>
      <c r="ACV137" s="33"/>
      <c r="ACW137" s="21"/>
      <c r="ACX137" s="21"/>
      <c r="ACZ137" s="33"/>
      <c r="ADA137" s="33"/>
      <c r="ADD137" s="33"/>
      <c r="ADE137" s="21"/>
      <c r="ADF137" s="21"/>
      <c r="ADH137" s="33"/>
      <c r="ADI137" s="33"/>
      <c r="ADL137" s="33"/>
      <c r="ADM137" s="21"/>
      <c r="ADN137" s="21"/>
      <c r="ADP137" s="33"/>
      <c r="ADQ137" s="33"/>
      <c r="ADT137" s="33"/>
      <c r="ADU137" s="21"/>
      <c r="ADV137" s="21"/>
      <c r="ADX137" s="33"/>
      <c r="ADY137" s="33"/>
      <c r="AEB137" s="33"/>
      <c r="AEC137" s="21"/>
      <c r="AED137" s="21"/>
      <c r="AEF137" s="33"/>
      <c r="AEG137" s="33"/>
      <c r="AEJ137" s="33"/>
      <c r="AEK137" s="21"/>
      <c r="AEL137" s="21"/>
      <c r="AEN137" s="33"/>
      <c r="AEO137" s="33"/>
      <c r="AER137" s="33"/>
      <c r="AES137" s="21"/>
      <c r="AET137" s="21"/>
      <c r="AEV137" s="33"/>
      <c r="AEW137" s="33"/>
      <c r="AEZ137" s="33"/>
      <c r="AFA137" s="21"/>
      <c r="AFB137" s="21"/>
      <c r="AFD137" s="33"/>
      <c r="AFE137" s="33"/>
      <c r="AFH137" s="33"/>
      <c r="AFI137" s="21"/>
      <c r="AFJ137" s="21"/>
      <c r="AFL137" s="33"/>
      <c r="AFM137" s="33"/>
      <c r="AFP137" s="33"/>
      <c r="AFQ137" s="21"/>
      <c r="AFR137" s="21"/>
      <c r="AFT137" s="33"/>
      <c r="AFU137" s="33"/>
      <c r="AFX137" s="33"/>
      <c r="AFY137" s="21"/>
      <c r="AFZ137" s="21"/>
      <c r="AGB137" s="33"/>
      <c r="AGC137" s="33"/>
      <c r="AGF137" s="33"/>
      <c r="AGG137" s="21"/>
      <c r="AGH137" s="21"/>
      <c r="AGJ137" s="33"/>
      <c r="AGK137" s="33"/>
      <c r="AGN137" s="33"/>
      <c r="AGO137" s="21"/>
      <c r="AGP137" s="21"/>
      <c r="AGR137" s="33"/>
      <c r="AGS137" s="33"/>
      <c r="AGV137" s="33"/>
      <c r="AGW137" s="21"/>
      <c r="AGX137" s="21"/>
      <c r="AGZ137" s="33"/>
      <c r="AHA137" s="33"/>
      <c r="AHD137" s="33"/>
      <c r="AHE137" s="21"/>
      <c r="AHF137" s="21"/>
      <c r="AHH137" s="33"/>
      <c r="AHI137" s="33"/>
      <c r="AHL137" s="33"/>
      <c r="AHM137" s="21"/>
      <c r="AHN137" s="21"/>
      <c r="AHP137" s="33"/>
      <c r="AHQ137" s="33"/>
      <c r="AHT137" s="33"/>
      <c r="AHU137" s="21"/>
      <c r="AHV137" s="21"/>
      <c r="AHX137" s="33"/>
      <c r="AHY137" s="33"/>
      <c r="AIB137" s="33"/>
      <c r="AIC137" s="21"/>
      <c r="AID137" s="21"/>
      <c r="AIF137" s="33"/>
      <c r="AIG137" s="33"/>
      <c r="AIJ137" s="33"/>
      <c r="AIK137" s="21"/>
      <c r="AIL137" s="21"/>
      <c r="AIN137" s="33"/>
      <c r="AIO137" s="33"/>
      <c r="AIR137" s="33"/>
      <c r="AIS137" s="21"/>
      <c r="AIT137" s="21"/>
      <c r="AIV137" s="33"/>
      <c r="AIW137" s="33"/>
      <c r="AIZ137" s="33"/>
      <c r="AJA137" s="21"/>
      <c r="AJB137" s="21"/>
      <c r="AJD137" s="33"/>
      <c r="AJE137" s="33"/>
      <c r="AJH137" s="33"/>
      <c r="AJI137" s="21"/>
      <c r="AJJ137" s="21"/>
      <c r="AJL137" s="33"/>
      <c r="AJM137" s="33"/>
      <c r="AJP137" s="33"/>
      <c r="AJQ137" s="21"/>
      <c r="AJR137" s="21"/>
      <c r="AJT137" s="33"/>
      <c r="AJU137" s="33"/>
      <c r="AJX137" s="33"/>
      <c r="AJY137" s="21"/>
      <c r="AJZ137" s="21"/>
      <c r="AKB137" s="33"/>
      <c r="AKC137" s="33"/>
      <c r="AKF137" s="33"/>
      <c r="AKG137" s="21"/>
      <c r="AKH137" s="21"/>
      <c r="AKJ137" s="33"/>
      <c r="AKK137" s="33"/>
      <c r="AKN137" s="33"/>
      <c r="AKO137" s="21"/>
      <c r="AKP137" s="21"/>
      <c r="AKR137" s="33"/>
      <c r="AKS137" s="33"/>
      <c r="AKV137" s="33"/>
      <c r="AKW137" s="21"/>
      <c r="AKX137" s="21"/>
      <c r="AKZ137" s="33"/>
      <c r="ALA137" s="33"/>
      <c r="ALD137" s="33"/>
      <c r="ALE137" s="21"/>
      <c r="ALF137" s="21"/>
      <c r="ALH137" s="33"/>
      <c r="ALI137" s="33"/>
      <c r="ALL137" s="33"/>
      <c r="ALM137" s="21"/>
      <c r="ALN137" s="21"/>
      <c r="ALP137" s="33"/>
      <c r="ALQ137" s="33"/>
      <c r="ALT137" s="33"/>
      <c r="ALU137" s="21"/>
      <c r="ALV137" s="21"/>
      <c r="ALX137" s="33"/>
      <c r="ALY137" s="33"/>
      <c r="AMB137" s="33"/>
      <c r="AMC137" s="21"/>
      <c r="AMD137" s="21"/>
      <c r="AMF137" s="33"/>
      <c r="AMG137" s="33"/>
      <c r="AMJ137" s="33"/>
    </row>
    <row r="138" customFormat="false" ht="13.8" hidden="false" customHeight="false" outlineLevel="0" collapsed="false">
      <c r="A138" s="1" t="s">
        <v>580</v>
      </c>
      <c r="B138" s="12" t="n">
        <v>42894</v>
      </c>
      <c r="C138" s="0" t="n">
        <v>2</v>
      </c>
      <c r="D138" s="13" t="n">
        <v>42801</v>
      </c>
      <c r="E138" s="12" t="n">
        <v>29808</v>
      </c>
      <c r="F138" s="14" t="n">
        <f aca="false">(B138-E138)/365.25</f>
        <v>35.8275154004107</v>
      </c>
      <c r="G138" s="14" t="n">
        <f aca="false">(B138-D138)/365.25</f>
        <v>0.254620123203285</v>
      </c>
      <c r="H138" s="15" t="s">
        <v>183</v>
      </c>
      <c r="I138" s="15" t="s">
        <v>571</v>
      </c>
      <c r="J138" s="15" t="s">
        <v>183</v>
      </c>
      <c r="K138" s="21" t="n">
        <v>8</v>
      </c>
      <c r="L138" s="19" t="n">
        <v>78</v>
      </c>
      <c r="M138" s="0" t="n">
        <v>1.74</v>
      </c>
      <c r="N138" s="16" t="n">
        <f aca="false">L138/(M138*M138)</f>
        <v>25.7629805786762</v>
      </c>
      <c r="O138" s="19" t="n">
        <v>0</v>
      </c>
      <c r="P138" s="19" t="n">
        <v>0</v>
      </c>
      <c r="Q138" s="19" t="n">
        <v>0</v>
      </c>
      <c r="R138" s="19" t="n">
        <v>0</v>
      </c>
      <c r="S138" s="19" t="n">
        <v>0</v>
      </c>
      <c r="T138" s="19" t="n">
        <v>0</v>
      </c>
      <c r="U138" s="19" t="n">
        <v>0</v>
      </c>
      <c r="V138" s="19" t="n">
        <v>0</v>
      </c>
      <c r="W138" s="19" t="n">
        <v>0</v>
      </c>
      <c r="X138" s="19" t="n">
        <v>0</v>
      </c>
      <c r="Y138" s="19" t="n">
        <v>1</v>
      </c>
      <c r="Z138" s="19" t="n">
        <v>1</v>
      </c>
      <c r="AA138" s="19"/>
      <c r="AB138" s="19" t="s">
        <v>349</v>
      </c>
      <c r="AC138" s="19" t="n">
        <v>1</v>
      </c>
      <c r="AD138" s="19" t="n">
        <v>10</v>
      </c>
      <c r="AE138" s="19" t="n">
        <v>0</v>
      </c>
      <c r="AF138" s="19" t="n">
        <v>0</v>
      </c>
      <c r="AG138" s="19" t="n">
        <v>0</v>
      </c>
      <c r="AH138" s="19" t="n">
        <v>0</v>
      </c>
      <c r="AI138" s="19" t="n">
        <v>0</v>
      </c>
      <c r="AJ138" s="19" t="n">
        <v>0</v>
      </c>
      <c r="AK138" s="19" t="n">
        <v>0</v>
      </c>
      <c r="AL138" s="19" t="n">
        <v>0</v>
      </c>
      <c r="AM138" s="19" t="n">
        <v>0</v>
      </c>
      <c r="AN138" s="19" t="n">
        <v>0</v>
      </c>
      <c r="AO138" s="19" t="n">
        <v>0</v>
      </c>
      <c r="AP138" s="19" t="n">
        <v>0</v>
      </c>
      <c r="AQ138" s="19" t="n">
        <v>0</v>
      </c>
      <c r="AR138" s="19" t="n">
        <v>0</v>
      </c>
      <c r="AS138" s="19" t="n">
        <v>0</v>
      </c>
      <c r="AT138" s="19" t="n">
        <v>0</v>
      </c>
      <c r="AU138" s="19" t="n">
        <v>0</v>
      </c>
      <c r="AV138" s="19" t="n">
        <v>0</v>
      </c>
      <c r="AW138" s="19" t="n">
        <v>0</v>
      </c>
      <c r="AX138" s="19" t="n">
        <v>0</v>
      </c>
      <c r="AY138" s="19" t="n">
        <v>0</v>
      </c>
      <c r="AZ138" s="19" t="n">
        <v>0</v>
      </c>
      <c r="BA138" s="19" t="n">
        <v>0</v>
      </c>
      <c r="BB138" s="19" t="n">
        <v>0</v>
      </c>
      <c r="BC138" s="19" t="n">
        <v>0</v>
      </c>
      <c r="BD138" s="19" t="n">
        <v>0</v>
      </c>
      <c r="BE138" s="19" t="n">
        <v>0</v>
      </c>
      <c r="BF138" s="19" t="n">
        <v>0</v>
      </c>
      <c r="BG138" s="19" t="n">
        <v>0</v>
      </c>
      <c r="BH138" s="19" t="n">
        <v>0</v>
      </c>
      <c r="BI138" s="19" t="n">
        <v>0</v>
      </c>
      <c r="BJ138" s="26" t="n">
        <v>0</v>
      </c>
      <c r="BK138" s="26" t="n">
        <v>0</v>
      </c>
      <c r="BL138" s="26" t="n">
        <v>0</v>
      </c>
      <c r="BM138" s="26" t="n">
        <v>0</v>
      </c>
      <c r="BN138" s="19" t="n">
        <v>0</v>
      </c>
      <c r="BO138" s="19" t="n">
        <v>0</v>
      </c>
      <c r="BP138" s="19" t="n">
        <v>0</v>
      </c>
      <c r="BQ138" s="19" t="n">
        <v>0</v>
      </c>
      <c r="BR138" s="19" t="n">
        <v>2</v>
      </c>
      <c r="BS138" s="19" t="n">
        <v>2</v>
      </c>
      <c r="BT138" s="19" t="n">
        <v>3</v>
      </c>
      <c r="BU138" s="19" t="n">
        <v>5</v>
      </c>
      <c r="BV138" s="19" t="n">
        <v>3</v>
      </c>
      <c r="BW138" s="19" t="n">
        <v>2</v>
      </c>
      <c r="BX138" s="19" t="n">
        <v>4</v>
      </c>
      <c r="BY138" s="19" t="n">
        <v>4</v>
      </c>
      <c r="BZ138" s="19" t="n">
        <v>4</v>
      </c>
      <c r="CA138" s="19" t="n">
        <v>4</v>
      </c>
      <c r="CB138" s="19" t="n">
        <v>4</v>
      </c>
      <c r="CC138" s="19" t="n">
        <v>5</v>
      </c>
      <c r="CD138" s="19" t="n">
        <v>4</v>
      </c>
      <c r="CE138" s="19" t="n">
        <v>4</v>
      </c>
      <c r="CF138" s="19" t="n">
        <v>3</v>
      </c>
      <c r="CG138" s="19" t="n">
        <v>4</v>
      </c>
      <c r="CH138" s="19" t="n">
        <v>4</v>
      </c>
      <c r="CI138" s="19" t="n">
        <v>3</v>
      </c>
      <c r="CJ138" s="19" t="n">
        <v>4</v>
      </c>
      <c r="CK138" s="19" t="n">
        <v>8</v>
      </c>
      <c r="CL138" s="0" t="s">
        <v>540</v>
      </c>
      <c r="CM138" s="0" t="n">
        <v>70.5</v>
      </c>
      <c r="CN138" s="16" t="n">
        <v>88.2</v>
      </c>
      <c r="CO138" s="16" t="n">
        <v>80.4</v>
      </c>
      <c r="CP138" s="16" t="n">
        <v>36.3</v>
      </c>
      <c r="CQ138" s="0" t="n">
        <v>72.69</v>
      </c>
      <c r="CR138" s="17" t="n">
        <v>0</v>
      </c>
      <c r="CS138" s="0" t="n">
        <v>10.32</v>
      </c>
      <c r="CT138" s="0" t="n">
        <v>16.99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36.66</v>
      </c>
      <c r="DD138" s="0" t="n">
        <v>7.54</v>
      </c>
      <c r="DE138" s="0" t="n">
        <v>10.32</v>
      </c>
      <c r="DF138" s="0" t="n">
        <v>0</v>
      </c>
      <c r="DG138" s="0" t="n">
        <v>0</v>
      </c>
      <c r="DH138" s="0" t="n">
        <v>0</v>
      </c>
      <c r="DU138" s="0" t="n">
        <v>21.2</v>
      </c>
      <c r="DV138" s="0" t="n">
        <v>1</v>
      </c>
      <c r="DW138" s="0" t="n">
        <v>35</v>
      </c>
      <c r="DX138" s="0" t="n">
        <v>7</v>
      </c>
      <c r="DY138" s="0" t="n">
        <f aca="false">5.71+0.54</f>
        <v>6.25</v>
      </c>
      <c r="DZ138" s="0" t="n">
        <v>3</v>
      </c>
      <c r="EA138" s="0" t="n">
        <v>47</v>
      </c>
      <c r="EB138" s="0" t="n">
        <v>2</v>
      </c>
      <c r="EC138" s="0" t="n">
        <v>0.4</v>
      </c>
      <c r="ED138" s="0" t="n">
        <v>3</v>
      </c>
      <c r="EG138" s="20"/>
      <c r="EY138" s="0" t="n">
        <v>0</v>
      </c>
      <c r="GJ138" s="16" t="n">
        <v>11.58</v>
      </c>
      <c r="GK138" s="16" t="n">
        <v>1</v>
      </c>
      <c r="GL138" s="16" t="n">
        <v>2</v>
      </c>
      <c r="GM138" s="16"/>
      <c r="GN138" s="16" t="n">
        <f aca="false">0.22+1.95+3.81+0.27+0.32+0.04+0.05</f>
        <v>6.66</v>
      </c>
      <c r="GO138" s="16"/>
      <c r="GP138" s="16"/>
      <c r="GQ138" s="16"/>
      <c r="GR138" s="16"/>
      <c r="GS138" s="16"/>
      <c r="GT138" s="16"/>
      <c r="GU138" s="16" t="n">
        <v>0.27</v>
      </c>
      <c r="GV138" s="16" t="n">
        <v>0.27</v>
      </c>
      <c r="GW138" s="16" t="n">
        <v>0</v>
      </c>
      <c r="GX138" s="16" t="n">
        <v>0</v>
      </c>
      <c r="GY138" s="16" t="n">
        <v>0</v>
      </c>
      <c r="GZ138" s="16" t="n">
        <v>0</v>
      </c>
      <c r="HA138" s="16" t="n">
        <v>0</v>
      </c>
      <c r="HB138" s="0" t="n">
        <v>0</v>
      </c>
      <c r="HC138" s="0" t="s">
        <v>541</v>
      </c>
      <c r="HD138" s="0" t="n">
        <v>94.5</v>
      </c>
      <c r="HE138" s="16" t="n">
        <v>88.2</v>
      </c>
      <c r="HF138" s="16" t="n">
        <v>80.4</v>
      </c>
      <c r="HG138" s="16" t="n">
        <v>73.1</v>
      </c>
      <c r="HH138" s="0" t="n">
        <v>41.34</v>
      </c>
      <c r="HI138" s="17" t="n">
        <v>0</v>
      </c>
      <c r="HJ138" s="0" t="n">
        <v>8.63</v>
      </c>
      <c r="HK138" s="0" t="n">
        <v>0.04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  <c r="HT138" s="0" t="n">
        <v>8.06</v>
      </c>
      <c r="HU138" s="0" t="n">
        <v>3.65</v>
      </c>
      <c r="HV138" s="0" t="n">
        <v>7.2</v>
      </c>
      <c r="HW138" s="0" t="n">
        <v>0</v>
      </c>
      <c r="HX138" s="0" t="n">
        <v>0</v>
      </c>
      <c r="HY138" s="0" t="n">
        <v>0</v>
      </c>
      <c r="IL138" s="0" t="n">
        <v>9.4</v>
      </c>
      <c r="IM138" s="0" t="n">
        <v>1</v>
      </c>
      <c r="IN138" s="0" t="n">
        <v>35</v>
      </c>
      <c r="IO138" s="0" t="n">
        <v>2</v>
      </c>
      <c r="IP138" s="0" t="n">
        <f aca="false">0.76+0.45</f>
        <v>1.21</v>
      </c>
      <c r="IQ138" s="0" t="n">
        <v>3</v>
      </c>
      <c r="IX138" s="20"/>
      <c r="JP138" s="0" t="n">
        <v>1</v>
      </c>
      <c r="JQ138" s="0" t="n">
        <v>70</v>
      </c>
      <c r="JR138" s="0" t="n">
        <v>2</v>
      </c>
      <c r="JS138" s="0" t="n">
        <f aca="false">0.75+1.69</f>
        <v>2.44</v>
      </c>
      <c r="JT138" s="0" t="n">
        <v>2</v>
      </c>
      <c r="LA138" s="16" t="n">
        <v>0.84</v>
      </c>
      <c r="LB138" s="16" t="n">
        <v>1</v>
      </c>
      <c r="LC138" s="16" t="n">
        <v>1</v>
      </c>
      <c r="LD138" s="16"/>
      <c r="LE138" s="16" t="n">
        <v>0.6</v>
      </c>
      <c r="LF138" s="16"/>
      <c r="LG138" s="16"/>
      <c r="LH138" s="16"/>
      <c r="LI138" s="16"/>
      <c r="LJ138" s="16"/>
      <c r="LK138" s="16"/>
      <c r="LL138" s="16" t="n">
        <v>10.19</v>
      </c>
      <c r="LM138" s="16" t="n">
        <v>8.46</v>
      </c>
      <c r="LN138" s="16" t="n">
        <v>0</v>
      </c>
      <c r="LO138" s="16" t="n">
        <v>0</v>
      </c>
      <c r="LP138" s="16" t="n">
        <v>0</v>
      </c>
      <c r="LQ138" s="16" t="n">
        <v>0</v>
      </c>
      <c r="LR138" s="16" t="n">
        <v>0</v>
      </c>
      <c r="LS138" s="0" t="n">
        <v>0</v>
      </c>
      <c r="LT138" s="0" t="s">
        <v>542</v>
      </c>
      <c r="LU138" s="0" t="n">
        <v>75</v>
      </c>
      <c r="LV138" s="16" t="n">
        <v>91.2</v>
      </c>
      <c r="LW138" s="16" t="n">
        <v>80.4</v>
      </c>
      <c r="LX138" s="16" t="n">
        <v>61</v>
      </c>
      <c r="LY138" s="0" t="n">
        <v>53.67</v>
      </c>
      <c r="LZ138" s="17" t="n">
        <v>0</v>
      </c>
      <c r="MA138" s="0" t="n">
        <v>16.76</v>
      </c>
      <c r="MB138" s="0" t="n">
        <v>29.58</v>
      </c>
      <c r="MC138" s="0" t="n">
        <v>0</v>
      </c>
      <c r="MD138" s="0" t="n">
        <v>0</v>
      </c>
      <c r="ME138" s="0" t="n">
        <v>0</v>
      </c>
      <c r="MF138" s="0" t="n">
        <v>0</v>
      </c>
      <c r="MG138" s="0" t="n">
        <v>0</v>
      </c>
      <c r="MH138" s="0" t="n">
        <v>0</v>
      </c>
      <c r="MI138" s="0" t="n">
        <v>0</v>
      </c>
      <c r="MJ138" s="0" t="n">
        <v>0</v>
      </c>
      <c r="MK138" s="0" t="n">
        <v>6.79</v>
      </c>
      <c r="ML138" s="0" t="n">
        <v>14.97</v>
      </c>
      <c r="MM138" s="0" t="n">
        <v>18.24</v>
      </c>
      <c r="MN138" s="0" t="n">
        <v>0</v>
      </c>
      <c r="MO138" s="0" t="n">
        <v>0</v>
      </c>
      <c r="MP138" s="0" t="n">
        <v>0</v>
      </c>
      <c r="NC138" s="0" t="n">
        <v>9</v>
      </c>
      <c r="ND138" s="0" t="n">
        <v>1</v>
      </c>
      <c r="NE138" s="0" t="n">
        <v>68</v>
      </c>
      <c r="NF138" s="0" t="n">
        <v>1</v>
      </c>
      <c r="NG138" s="0" t="n">
        <v>0.38</v>
      </c>
      <c r="NH138" s="0" t="n">
        <v>1</v>
      </c>
      <c r="NI138" s="0" t="n">
        <v>47</v>
      </c>
      <c r="NJ138" s="0" t="n">
        <v>1</v>
      </c>
      <c r="NK138" s="0" t="n">
        <v>1.13</v>
      </c>
      <c r="NL138" s="0" t="n">
        <v>3</v>
      </c>
      <c r="NO138" s="20"/>
      <c r="OG138" s="0" t="n">
        <v>1</v>
      </c>
      <c r="OH138" s="0" t="n">
        <v>70</v>
      </c>
      <c r="OI138" s="0" t="n">
        <v>2</v>
      </c>
      <c r="OJ138" s="0" t="n">
        <f aca="false">1.69+0.75</f>
        <v>2.44</v>
      </c>
      <c r="OK138" s="0" t="n">
        <v>2</v>
      </c>
      <c r="PR138" s="16" t="n">
        <v>1.88</v>
      </c>
      <c r="PS138" s="16" t="n">
        <v>1</v>
      </c>
      <c r="PT138" s="16" t="n">
        <v>1</v>
      </c>
      <c r="PU138" s="16"/>
      <c r="PV138" s="16" t="n">
        <f aca="false">1.04+1.04+1.04</f>
        <v>3.12</v>
      </c>
      <c r="PW138" s="16"/>
      <c r="PX138" s="16"/>
      <c r="PY138" s="16"/>
      <c r="PZ138" s="16"/>
      <c r="QA138" s="16"/>
      <c r="QB138" s="16"/>
      <c r="QC138" s="16" t="n">
        <v>1.5</v>
      </c>
      <c r="QD138" s="16" t="n">
        <v>1.5</v>
      </c>
      <c r="QE138" s="16" t="n">
        <v>0</v>
      </c>
      <c r="QF138" s="16" t="n">
        <v>0</v>
      </c>
      <c r="QG138" s="16" t="n">
        <v>0</v>
      </c>
      <c r="QH138" s="16" t="n">
        <v>0</v>
      </c>
      <c r="QI138" s="16" t="n">
        <v>0</v>
      </c>
      <c r="QJ138" s="0" t="n">
        <v>0</v>
      </c>
      <c r="QK138" s="0" t="s">
        <v>543</v>
      </c>
      <c r="QL138" s="0" t="n">
        <v>21</v>
      </c>
      <c r="QM138" s="16" t="n">
        <v>77.9</v>
      </c>
      <c r="QN138" s="16" t="n">
        <v>160.8</v>
      </c>
      <c r="QO138" s="16" t="n">
        <v>14.1</v>
      </c>
      <c r="QP138" s="0" t="n">
        <v>87.99</v>
      </c>
      <c r="QQ138" s="17" t="n">
        <v>0</v>
      </c>
      <c r="QR138" s="0" t="n">
        <v>3.38</v>
      </c>
      <c r="QS138" s="0" t="n">
        <v>0</v>
      </c>
      <c r="QT138" s="0" t="n">
        <v>8.63</v>
      </c>
      <c r="QU138" s="0" t="n">
        <v>0</v>
      </c>
      <c r="QV138" s="0" t="n">
        <v>0</v>
      </c>
      <c r="QW138" s="0" t="n">
        <v>0</v>
      </c>
      <c r="QX138" s="0" t="n">
        <v>0</v>
      </c>
      <c r="QY138" s="0" t="n">
        <v>0</v>
      </c>
      <c r="QZ138" s="0" t="n">
        <v>0</v>
      </c>
      <c r="RA138" s="0" t="n">
        <v>0</v>
      </c>
      <c r="RB138" s="0" t="n">
        <v>0</v>
      </c>
      <c r="RC138" s="0" t="n">
        <v>65.6</v>
      </c>
      <c r="RD138" s="0" t="n">
        <v>0</v>
      </c>
      <c r="RE138" s="0" t="n">
        <v>0</v>
      </c>
      <c r="RF138" s="0" t="n">
        <v>0</v>
      </c>
      <c r="RG138" s="0" t="n">
        <v>0</v>
      </c>
      <c r="RT138" s="0" t="n">
        <v>1.4</v>
      </c>
      <c r="RU138" s="0" t="n">
        <v>1</v>
      </c>
      <c r="RV138" s="0" t="n">
        <v>35</v>
      </c>
      <c r="RW138" s="0" t="n">
        <v>3</v>
      </c>
      <c r="RX138" s="0" t="n">
        <f aca="false">0.38</f>
        <v>0.38</v>
      </c>
      <c r="RY138" s="0" t="n">
        <v>3</v>
      </c>
      <c r="RZ138" s="0" t="n">
        <v>34</v>
      </c>
      <c r="SA138" s="0" t="n">
        <v>27</v>
      </c>
      <c r="SB138" s="0" t="n">
        <f aca="false">0.19+0.19+1.13+3.38+0.56+1.5+1.13+0.38</f>
        <v>8.46</v>
      </c>
      <c r="SC138" s="0" t="n">
        <v>1</v>
      </c>
      <c r="SF138" s="20"/>
      <c r="SX138" s="0" t="n">
        <v>1</v>
      </c>
      <c r="SY138" s="0" t="n">
        <v>40</v>
      </c>
      <c r="SZ138" s="0" t="n">
        <v>9</v>
      </c>
      <c r="TA138" s="0" t="n">
        <f aca="false">0.38+1.13+3+1.88+0.75</f>
        <v>7.14</v>
      </c>
      <c r="TB138" s="0" t="n">
        <v>3</v>
      </c>
      <c r="UI138" s="16" t="n">
        <v>0</v>
      </c>
      <c r="UJ138" s="16" t="n">
        <v>0</v>
      </c>
      <c r="UK138" s="16"/>
      <c r="UL138" s="16"/>
      <c r="UM138" s="16"/>
      <c r="UN138" s="16"/>
      <c r="UO138" s="16"/>
      <c r="UP138" s="16"/>
      <c r="UQ138" s="16"/>
      <c r="UR138" s="16"/>
      <c r="US138" s="16"/>
      <c r="UT138" s="16" t="n">
        <v>5.27</v>
      </c>
      <c r="UU138" s="16" t="n">
        <v>1.5</v>
      </c>
      <c r="UV138" s="16" t="n">
        <v>0</v>
      </c>
      <c r="UW138" s="16" t="n">
        <v>0</v>
      </c>
      <c r="UX138" s="16" t="n">
        <v>0</v>
      </c>
      <c r="UY138" s="16" t="n">
        <v>0</v>
      </c>
      <c r="UZ138" s="16" t="n">
        <v>0</v>
      </c>
      <c r="VA138" s="0" t="n">
        <v>0</v>
      </c>
      <c r="VE138" s="15"/>
      <c r="VF138" s="15"/>
      <c r="VM138" s="15"/>
      <c r="VN138" s="15"/>
      <c r="VU138" s="15"/>
      <c r="VV138" s="15"/>
      <c r="WC138" s="15"/>
      <c r="WD138" s="15"/>
      <c r="WK138" s="15"/>
      <c r="WL138" s="15"/>
      <c r="WS138" s="15"/>
      <c r="WT138" s="15"/>
      <c r="XA138" s="15"/>
      <c r="XB138" s="15"/>
      <c r="XI138" s="15"/>
      <c r="XJ138" s="15"/>
      <c r="XQ138" s="15"/>
      <c r="XR138" s="15"/>
      <c r="XY138" s="15"/>
      <c r="XZ138" s="15"/>
      <c r="YG138" s="15"/>
      <c r="YH138" s="15"/>
      <c r="YO138" s="15"/>
      <c r="YP138" s="15"/>
      <c r="YW138" s="15"/>
      <c r="YX138" s="15"/>
      <c r="ZE138" s="15"/>
      <c r="ZF138" s="15"/>
      <c r="ZM138" s="15"/>
      <c r="ZN138" s="15"/>
      <c r="ZU138" s="15"/>
      <c r="ZV138" s="15"/>
      <c r="AAC138" s="15"/>
      <c r="AAD138" s="15"/>
      <c r="AAK138" s="15"/>
      <c r="AAL138" s="15"/>
      <c r="AAS138" s="15"/>
      <c r="AAT138" s="15"/>
      <c r="ABA138" s="15"/>
      <c r="ABB138" s="15"/>
      <c r="ABI138" s="15"/>
      <c r="ABJ138" s="15"/>
      <c r="ABQ138" s="15"/>
      <c r="ABR138" s="15"/>
      <c r="ABY138" s="15"/>
      <c r="ABZ138" s="15"/>
      <c r="ACG138" s="15"/>
      <c r="ACH138" s="15"/>
      <c r="ACO138" s="15"/>
      <c r="ACP138" s="15"/>
      <c r="ACW138" s="15"/>
      <c r="ACX138" s="15"/>
      <c r="ADE138" s="15"/>
      <c r="ADF138" s="15"/>
      <c r="ADM138" s="15"/>
      <c r="ADN138" s="15"/>
      <c r="ADU138" s="15"/>
      <c r="ADV138" s="15"/>
      <c r="AEC138" s="15"/>
      <c r="AED138" s="15"/>
      <c r="AEK138" s="15"/>
      <c r="AEL138" s="15"/>
      <c r="AES138" s="15"/>
      <c r="AET138" s="15"/>
      <c r="AFA138" s="15"/>
      <c r="AFB138" s="15"/>
      <c r="AFI138" s="15"/>
      <c r="AFJ138" s="15"/>
      <c r="AFQ138" s="15"/>
      <c r="AFR138" s="15"/>
      <c r="AFY138" s="15"/>
      <c r="AFZ138" s="15"/>
      <c r="AGG138" s="15"/>
      <c r="AGH138" s="15"/>
      <c r="AGO138" s="15"/>
      <c r="AGP138" s="15"/>
      <c r="AGW138" s="15"/>
      <c r="AGX138" s="15"/>
      <c r="AHE138" s="15"/>
      <c r="AHF138" s="15"/>
      <c r="AHM138" s="15"/>
      <c r="AHN138" s="15"/>
      <c r="AHU138" s="15"/>
      <c r="AHV138" s="15"/>
      <c r="AIC138" s="15"/>
      <c r="AID138" s="15"/>
      <c r="AIK138" s="15"/>
      <c r="AIL138" s="15"/>
      <c r="AIS138" s="15"/>
      <c r="AIT138" s="15"/>
      <c r="AJA138" s="15"/>
      <c r="AJB138" s="15"/>
      <c r="AJI138" s="15"/>
      <c r="AJJ138" s="15"/>
      <c r="AJQ138" s="15"/>
      <c r="AJR138" s="15"/>
      <c r="AJY138" s="15"/>
      <c r="AJZ138" s="15"/>
      <c r="AKG138" s="15"/>
      <c r="AKH138" s="15"/>
      <c r="AKO138" s="15"/>
      <c r="AKP138" s="15"/>
      <c r="AKW138" s="15"/>
      <c r="AKX138" s="15"/>
      <c r="ALE138" s="15"/>
      <c r="ALF138" s="15"/>
      <c r="ALM138" s="15"/>
      <c r="ALN138" s="15"/>
      <c r="ALU138" s="15"/>
      <c r="ALV138" s="15"/>
      <c r="AMC138" s="15"/>
      <c r="AMD138" s="15"/>
    </row>
    <row r="139" s="24" customFormat="true" ht="13.8" hidden="false" customHeight="false" outlineLevel="0" collapsed="false">
      <c r="A139" s="22" t="s">
        <v>581</v>
      </c>
      <c r="B139" s="23" t="n">
        <v>42900</v>
      </c>
      <c r="C139" s="24" t="n">
        <v>2</v>
      </c>
      <c r="D139" s="25" t="n">
        <v>40513</v>
      </c>
      <c r="E139" s="23" t="n">
        <v>33249</v>
      </c>
      <c r="F139" s="14" t="n">
        <f aca="false">(B139-E139)/365.25</f>
        <v>26.4229979466119</v>
      </c>
      <c r="G139" s="14" t="n">
        <f aca="false">(B139-D139)/365.25</f>
        <v>6.53524982888433</v>
      </c>
      <c r="H139" s="21" t="s">
        <v>228</v>
      </c>
      <c r="I139" s="21" t="s">
        <v>240</v>
      </c>
      <c r="J139" s="21" t="s">
        <v>183</v>
      </c>
      <c r="K139" s="21" t="n">
        <v>8</v>
      </c>
      <c r="L139" s="26" t="n">
        <v>65</v>
      </c>
      <c r="M139" s="24" t="n">
        <v>1.91</v>
      </c>
      <c r="N139" s="27" t="n">
        <f aca="false">L139/(M139*M139)</f>
        <v>17.8174940379924</v>
      </c>
      <c r="O139" s="26" t="n">
        <v>0</v>
      </c>
      <c r="P139" s="26" t="n">
        <v>0</v>
      </c>
      <c r="Q139" s="26" t="n">
        <v>0</v>
      </c>
      <c r="R139" s="26" t="n">
        <v>0</v>
      </c>
      <c r="S139" s="26" t="n">
        <v>0</v>
      </c>
      <c r="T139" s="26" t="n">
        <v>0</v>
      </c>
      <c r="U139" s="19" t="n">
        <v>0</v>
      </c>
      <c r="V139" s="19" t="n">
        <v>0</v>
      </c>
      <c r="W139" s="26" t="n">
        <v>0</v>
      </c>
      <c r="X139" s="26" t="n">
        <v>0</v>
      </c>
      <c r="Y139" s="26" t="n">
        <v>1</v>
      </c>
      <c r="Z139" s="26" t="n">
        <v>3</v>
      </c>
      <c r="AA139" s="26" t="n">
        <v>30</v>
      </c>
      <c r="AB139" s="26" t="s">
        <v>184</v>
      </c>
      <c r="AC139" s="26" t="n">
        <v>1</v>
      </c>
      <c r="AD139" s="26" t="n">
        <v>6</v>
      </c>
      <c r="AE139" s="26" t="n">
        <v>1</v>
      </c>
      <c r="AF139" s="26" t="n">
        <v>0</v>
      </c>
      <c r="AG139" s="26" t="n">
        <v>0</v>
      </c>
      <c r="AH139" s="26" t="n">
        <v>0</v>
      </c>
      <c r="AI139" s="26" t="n">
        <v>3</v>
      </c>
      <c r="AJ139" s="26" t="n">
        <v>0</v>
      </c>
      <c r="AK139" s="26" t="n">
        <v>0</v>
      </c>
      <c r="AL139" s="26" t="n">
        <v>0</v>
      </c>
      <c r="AM139" s="26" t="n">
        <v>0</v>
      </c>
      <c r="AN139" s="26" t="n">
        <v>0</v>
      </c>
      <c r="AO139" s="26" t="n">
        <v>0</v>
      </c>
      <c r="AP139" s="26" t="n">
        <v>0</v>
      </c>
      <c r="AQ139" s="26" t="n">
        <v>0</v>
      </c>
      <c r="AR139" s="26" t="n">
        <v>0</v>
      </c>
      <c r="AS139" s="26" t="n">
        <v>0</v>
      </c>
      <c r="AT139" s="26" t="n">
        <v>0</v>
      </c>
      <c r="AU139" s="26" t="n">
        <v>0</v>
      </c>
      <c r="AV139" s="26" t="n">
        <v>0</v>
      </c>
      <c r="AW139" s="26" t="n">
        <v>0</v>
      </c>
      <c r="AX139" s="26" t="n">
        <v>0</v>
      </c>
      <c r="AY139" s="26" t="n">
        <v>0</v>
      </c>
      <c r="AZ139" s="26" t="n">
        <v>0</v>
      </c>
      <c r="BA139" s="26" t="n">
        <v>0</v>
      </c>
      <c r="BB139" s="26" t="n">
        <v>0</v>
      </c>
      <c r="BC139" s="26" t="n">
        <v>0</v>
      </c>
      <c r="BD139" s="26" t="n">
        <v>0</v>
      </c>
      <c r="BE139" s="26" t="n">
        <v>0</v>
      </c>
      <c r="BF139" s="26" t="n">
        <v>0</v>
      </c>
      <c r="BG139" s="26" t="n">
        <v>0</v>
      </c>
      <c r="BH139" s="26" t="n">
        <v>0</v>
      </c>
      <c r="BI139" s="26" t="n">
        <v>0</v>
      </c>
      <c r="BJ139" s="26" t="n">
        <v>0</v>
      </c>
      <c r="BK139" s="26" t="n">
        <v>0</v>
      </c>
      <c r="BL139" s="26" t="n">
        <v>0</v>
      </c>
      <c r="BM139" s="26" t="n">
        <v>0</v>
      </c>
      <c r="BN139" s="26" t="n">
        <v>0</v>
      </c>
      <c r="BO139" s="26" t="n">
        <v>0</v>
      </c>
      <c r="BP139" s="26" t="n">
        <v>0</v>
      </c>
      <c r="BQ139" s="26" t="n">
        <v>0</v>
      </c>
      <c r="BR139" s="26" t="n">
        <v>2</v>
      </c>
      <c r="BS139" s="26" t="n">
        <v>2</v>
      </c>
      <c r="BT139" s="26" t="n">
        <v>5</v>
      </c>
      <c r="BU139" s="26" t="n">
        <v>5</v>
      </c>
      <c r="BV139" s="26" t="n">
        <v>4</v>
      </c>
      <c r="BW139" s="26" t="n">
        <v>4</v>
      </c>
      <c r="BX139" s="26" t="n">
        <v>4</v>
      </c>
      <c r="BY139" s="26" t="n">
        <v>4</v>
      </c>
      <c r="BZ139" s="26" t="n">
        <v>5</v>
      </c>
      <c r="CA139" s="26" t="n">
        <v>4</v>
      </c>
      <c r="CB139" s="26" t="n">
        <v>4</v>
      </c>
      <c r="CC139" s="26" t="n">
        <v>5</v>
      </c>
      <c r="CD139" s="26" t="n">
        <v>5</v>
      </c>
      <c r="CE139" s="26" t="n">
        <v>5</v>
      </c>
      <c r="CF139" s="26" t="n">
        <v>5</v>
      </c>
      <c r="CG139" s="26" t="n">
        <v>5</v>
      </c>
      <c r="CH139" s="26" t="n">
        <v>5</v>
      </c>
      <c r="CI139" s="26" t="n">
        <v>4</v>
      </c>
      <c r="CJ139" s="26" t="n">
        <v>4</v>
      </c>
      <c r="CK139" s="26" t="n">
        <v>7</v>
      </c>
      <c r="CL139" s="24" t="s">
        <v>242</v>
      </c>
      <c r="CM139" s="24" t="n">
        <v>36.5</v>
      </c>
      <c r="CN139" s="27" t="n">
        <v>88.3</v>
      </c>
      <c r="CO139" s="27" t="n">
        <v>80.4</v>
      </c>
      <c r="CP139" s="27" t="n">
        <v>28.2</v>
      </c>
      <c r="CQ139" s="24" t="n">
        <v>73.82</v>
      </c>
      <c r="CR139" s="24" t="n">
        <v>0</v>
      </c>
      <c r="CS139" s="24" t="n">
        <v>25.61</v>
      </c>
      <c r="CT139" s="24" t="n">
        <v>0</v>
      </c>
      <c r="CU139" s="24" t="n">
        <v>0.57</v>
      </c>
      <c r="CV139" s="24" t="n">
        <v>0</v>
      </c>
      <c r="CW139" s="24" t="n">
        <v>0</v>
      </c>
      <c r="CX139" s="24" t="n">
        <v>0</v>
      </c>
      <c r="CY139" s="24" t="n">
        <v>0</v>
      </c>
      <c r="CZ139" s="24" t="n">
        <v>0</v>
      </c>
      <c r="DA139" s="24" t="n">
        <v>0</v>
      </c>
      <c r="DB139" s="24" t="n">
        <v>1.17</v>
      </c>
      <c r="DC139" s="24" t="n">
        <v>31.76</v>
      </c>
      <c r="DD139" s="24" t="n">
        <v>23.3</v>
      </c>
      <c r="DE139" s="24" t="n">
        <v>26.08</v>
      </c>
      <c r="DF139" s="24" t="n">
        <v>0</v>
      </c>
      <c r="DG139" s="24" t="n">
        <v>0</v>
      </c>
      <c r="DH139" s="24" t="n">
        <v>0</v>
      </c>
      <c r="DU139" s="24" t="n">
        <v>2.1</v>
      </c>
      <c r="DV139" s="24" t="n">
        <v>1</v>
      </c>
      <c r="DW139" s="24" t="n">
        <v>47</v>
      </c>
      <c r="DX139" s="24" t="n">
        <v>2</v>
      </c>
      <c r="DY139" s="24" t="n">
        <v>0.27</v>
      </c>
      <c r="DZ139" s="24" t="n">
        <v>3</v>
      </c>
      <c r="EG139" s="28"/>
      <c r="EY139" s="24" t="n">
        <v>0</v>
      </c>
      <c r="GJ139" s="27" t="n">
        <v>1.9</v>
      </c>
      <c r="GK139" s="27" t="n">
        <v>1</v>
      </c>
      <c r="GL139" s="27" t="n">
        <v>1</v>
      </c>
      <c r="GM139" s="27"/>
      <c r="GN139" s="27" t="n">
        <f aca="false">5.29*3</f>
        <v>15.87</v>
      </c>
      <c r="GO139" s="27"/>
      <c r="GP139" s="27"/>
      <c r="GQ139" s="27"/>
      <c r="GR139" s="27"/>
      <c r="GS139" s="27"/>
      <c r="GT139" s="27"/>
      <c r="GU139" s="27" t="n">
        <v>0.57</v>
      </c>
      <c r="GV139" s="27" t="n">
        <v>0.56</v>
      </c>
      <c r="GW139" s="27"/>
      <c r="GX139" s="27"/>
      <c r="GY139" s="27" t="n">
        <v>0</v>
      </c>
      <c r="GZ139" s="27" t="n">
        <v>0</v>
      </c>
      <c r="HA139" s="27" t="n">
        <v>0</v>
      </c>
      <c r="HB139" s="24" t="n">
        <v>0</v>
      </c>
      <c r="HC139" s="24" t="s">
        <v>243</v>
      </c>
      <c r="HD139" s="24" t="n">
        <v>38</v>
      </c>
      <c r="HE139" s="27" t="n">
        <v>87.8</v>
      </c>
      <c r="HF139" s="27" t="n">
        <v>80.4</v>
      </c>
      <c r="HG139" s="27" t="n">
        <v>29.1</v>
      </c>
      <c r="HH139" s="24" t="n">
        <v>71.17</v>
      </c>
      <c r="HI139" s="24" t="n">
        <v>0</v>
      </c>
      <c r="HJ139" s="24" t="n">
        <v>25.61</v>
      </c>
      <c r="HK139" s="24" t="n">
        <v>0</v>
      </c>
      <c r="HL139" s="24" t="n">
        <v>3.22</v>
      </c>
      <c r="HM139" s="24" t="n">
        <v>0</v>
      </c>
      <c r="HN139" s="24" t="n">
        <v>0</v>
      </c>
      <c r="HO139" s="24" t="n">
        <v>0</v>
      </c>
      <c r="HP139" s="24" t="n">
        <v>0</v>
      </c>
      <c r="HQ139" s="24" t="n">
        <v>0</v>
      </c>
      <c r="HR139" s="24" t="n">
        <v>0</v>
      </c>
      <c r="HS139" s="24" t="n">
        <v>1.08</v>
      </c>
      <c r="HT139" s="24" t="n">
        <v>31.76</v>
      </c>
      <c r="HU139" s="24" t="n">
        <v>22.19</v>
      </c>
      <c r="HV139" s="24" t="n">
        <v>26.38</v>
      </c>
      <c r="HW139" s="24" t="n">
        <v>0</v>
      </c>
      <c r="HX139" s="24" t="n">
        <v>0</v>
      </c>
      <c r="HY139" s="24" t="n">
        <v>0</v>
      </c>
      <c r="IL139" s="24" t="n">
        <v>2.1</v>
      </c>
      <c r="IM139" s="24" t="n">
        <v>1</v>
      </c>
      <c r="IN139" s="24" t="n">
        <v>47</v>
      </c>
      <c r="IO139" s="24" t="n">
        <v>2</v>
      </c>
      <c r="IP139" s="24" t="n">
        <v>0.27</v>
      </c>
      <c r="IQ139" s="24" t="n">
        <v>3</v>
      </c>
      <c r="IX139" s="28"/>
      <c r="JP139" s="24" t="n">
        <v>0</v>
      </c>
      <c r="LA139" s="27" t="n">
        <v>1.9</v>
      </c>
      <c r="LB139" s="27" t="n">
        <v>1</v>
      </c>
      <c r="LC139" s="27" t="n">
        <v>1</v>
      </c>
      <c r="LD139" s="27"/>
      <c r="LE139" s="27" t="n">
        <f aca="false">5.29*3</f>
        <v>15.87</v>
      </c>
      <c r="LF139" s="27"/>
      <c r="LG139" s="27"/>
      <c r="LH139" s="27"/>
      <c r="LI139" s="27"/>
      <c r="LJ139" s="27"/>
      <c r="LK139" s="27"/>
      <c r="LL139" s="27" t="n">
        <v>1.12</v>
      </c>
      <c r="LM139" s="27" t="n">
        <v>0.27</v>
      </c>
      <c r="LN139" s="27"/>
      <c r="LO139" s="27"/>
      <c r="LP139" s="27" t="n">
        <v>0</v>
      </c>
      <c r="LQ139" s="27" t="n">
        <v>0</v>
      </c>
      <c r="LR139" s="27" t="n">
        <v>0</v>
      </c>
      <c r="LS139" s="24" t="n">
        <v>0</v>
      </c>
      <c r="LT139" s="24" t="s">
        <v>246</v>
      </c>
      <c r="LU139" s="24" t="n">
        <v>27</v>
      </c>
      <c r="LV139" s="27" t="n">
        <v>72</v>
      </c>
      <c r="LW139" s="27" t="n">
        <v>80.4</v>
      </c>
      <c r="LX139" s="27" t="n">
        <v>19.2</v>
      </c>
      <c r="LY139" s="24" t="n">
        <v>86.83</v>
      </c>
      <c r="LZ139" s="24" t="n">
        <v>0</v>
      </c>
      <c r="MA139" s="24" t="n">
        <v>0</v>
      </c>
      <c r="MB139" s="24" t="n">
        <v>0</v>
      </c>
      <c r="MC139" s="24" t="n">
        <v>13.17</v>
      </c>
      <c r="MD139" s="24" t="n">
        <v>0</v>
      </c>
      <c r="ME139" s="24" t="n">
        <v>0</v>
      </c>
      <c r="MF139" s="24" t="n">
        <v>0</v>
      </c>
      <c r="MG139" s="24" t="n">
        <v>0</v>
      </c>
      <c r="MH139" s="24" t="n">
        <v>0</v>
      </c>
      <c r="MI139" s="24" t="n">
        <v>0</v>
      </c>
      <c r="MJ139" s="24" t="n">
        <v>18.28</v>
      </c>
      <c r="MK139" s="24" t="n">
        <v>16.81</v>
      </c>
      <c r="ML139" s="24" t="n">
        <v>9.64</v>
      </c>
      <c r="MM139" s="24" t="n">
        <v>19.74</v>
      </c>
      <c r="MN139" s="24" t="n">
        <v>0</v>
      </c>
      <c r="MO139" s="24" t="n">
        <v>0</v>
      </c>
      <c r="MP139" s="24" t="n">
        <v>0</v>
      </c>
      <c r="NC139" s="24" t="n">
        <v>0</v>
      </c>
      <c r="ND139" s="24" t="n">
        <v>0</v>
      </c>
      <c r="NO139" s="28"/>
      <c r="OG139" s="24" t="n">
        <v>0</v>
      </c>
      <c r="PR139" s="27" t="n">
        <v>1.43</v>
      </c>
      <c r="PS139" s="27" t="n">
        <v>1</v>
      </c>
      <c r="PT139" s="27" t="n">
        <v>1</v>
      </c>
      <c r="PU139" s="27"/>
      <c r="PV139" s="27" t="n">
        <f aca="false">6.34+2.11+0.08+0.37</f>
        <v>8.9</v>
      </c>
      <c r="PW139" s="27"/>
      <c r="PX139" s="27"/>
      <c r="PY139" s="27"/>
      <c r="PZ139" s="27"/>
      <c r="QA139" s="27"/>
      <c r="QB139" s="27"/>
      <c r="QC139" s="27" t="n">
        <v>3.5</v>
      </c>
      <c r="QD139" s="27" t="n">
        <v>3.5</v>
      </c>
      <c r="QE139" s="27"/>
      <c r="QF139" s="27"/>
      <c r="QG139" s="27" t="n">
        <v>0</v>
      </c>
      <c r="QH139" s="27" t="n">
        <v>0</v>
      </c>
      <c r="QI139" s="27" t="n">
        <v>0</v>
      </c>
      <c r="QJ139" s="24" t="n">
        <v>0</v>
      </c>
      <c r="QK139" s="24" t="s">
        <v>247</v>
      </c>
      <c r="QL139" s="24" t="n">
        <v>37</v>
      </c>
      <c r="QM139" s="27" t="n">
        <v>79.2</v>
      </c>
      <c r="QN139" s="27" t="n">
        <v>80.4</v>
      </c>
      <c r="QO139" s="27" t="n">
        <v>12.1</v>
      </c>
      <c r="QP139" s="24" t="n">
        <v>96.75</v>
      </c>
      <c r="QQ139" s="24" t="n">
        <v>0</v>
      </c>
      <c r="QR139" s="24" t="n">
        <v>0</v>
      </c>
      <c r="QS139" s="24" t="n">
        <v>0</v>
      </c>
      <c r="QT139" s="24" t="n">
        <v>3.25</v>
      </c>
      <c r="QU139" s="24" t="n">
        <v>0</v>
      </c>
      <c r="QV139" s="24" t="n">
        <v>0</v>
      </c>
      <c r="QW139" s="24" t="n">
        <v>0</v>
      </c>
      <c r="QX139" s="24" t="n">
        <v>0</v>
      </c>
      <c r="QY139" s="24" t="n">
        <v>0</v>
      </c>
      <c r="QZ139" s="24" t="n">
        <v>0</v>
      </c>
      <c r="RA139" s="24" t="n">
        <v>9.06</v>
      </c>
      <c r="RB139" s="24" t="n">
        <v>18.15</v>
      </c>
      <c r="RC139" s="24" t="n">
        <v>25.66</v>
      </c>
      <c r="RD139" s="24" t="n">
        <v>15.61</v>
      </c>
      <c r="RE139" s="24" t="n">
        <v>0</v>
      </c>
      <c r="RF139" s="24" t="n">
        <v>0</v>
      </c>
      <c r="RG139" s="24" t="n">
        <v>0</v>
      </c>
      <c r="RT139" s="24" t="n">
        <v>17.8</v>
      </c>
      <c r="RU139" s="24" t="n">
        <v>1</v>
      </c>
      <c r="RV139" s="24" t="n">
        <v>47</v>
      </c>
      <c r="RW139" s="24" t="n">
        <v>3</v>
      </c>
      <c r="RX139" s="24" t="n">
        <v>2.28</v>
      </c>
      <c r="RY139" s="24" t="n">
        <v>3</v>
      </c>
      <c r="RZ139" s="24" t="n">
        <v>26</v>
      </c>
      <c r="SA139" s="24" t="n">
        <v>1</v>
      </c>
      <c r="SB139" s="24" t="n">
        <v>0.76</v>
      </c>
      <c r="SC139" s="24" t="n">
        <v>2</v>
      </c>
      <c r="SF139" s="28"/>
      <c r="SX139" s="24" t="n">
        <v>0</v>
      </c>
      <c r="UI139" s="27" t="n">
        <v>1.27</v>
      </c>
      <c r="UJ139" s="27" t="n">
        <v>1</v>
      </c>
      <c r="UK139" s="27" t="n">
        <v>1</v>
      </c>
      <c r="UL139" s="27"/>
      <c r="UM139" s="27" t="n">
        <f aca="false">6.34+1.06</f>
        <v>7.4</v>
      </c>
      <c r="UN139" s="27"/>
      <c r="UO139" s="27"/>
      <c r="UP139" s="27"/>
      <c r="UQ139" s="27"/>
      <c r="UR139" s="27"/>
      <c r="US139" s="27"/>
      <c r="UT139" s="27" t="n">
        <v>2.86</v>
      </c>
      <c r="UU139" s="27" t="n">
        <v>2.86</v>
      </c>
      <c r="UV139" s="27"/>
      <c r="UW139" s="27"/>
      <c r="UX139" s="27" t="n">
        <v>0</v>
      </c>
      <c r="UY139" s="27" t="n">
        <v>0</v>
      </c>
      <c r="UZ139" s="27" t="n">
        <v>0</v>
      </c>
      <c r="VA139" s="24" t="n">
        <v>0</v>
      </c>
      <c r="VB139" s="24" t="s">
        <v>248</v>
      </c>
      <c r="VC139" s="24" t="n">
        <v>33</v>
      </c>
      <c r="VD139" s="27" t="n">
        <v>122.1</v>
      </c>
      <c r="VE139" s="27" t="n">
        <v>80.4</v>
      </c>
      <c r="VF139" s="27" t="n">
        <v>14.1</v>
      </c>
      <c r="VG139" s="24" t="n">
        <v>91.87</v>
      </c>
      <c r="VH139" s="24" t="n">
        <v>0</v>
      </c>
      <c r="VI139" s="24" t="n">
        <v>5.85</v>
      </c>
      <c r="VJ139" s="24" t="n">
        <v>0</v>
      </c>
      <c r="VK139" s="24" t="n">
        <v>2.28</v>
      </c>
      <c r="VL139" s="24" t="n">
        <v>0</v>
      </c>
      <c r="VM139" s="24" t="n">
        <v>0</v>
      </c>
      <c r="VN139" s="24" t="n">
        <v>0</v>
      </c>
      <c r="VO139" s="24" t="n">
        <v>0</v>
      </c>
      <c r="VP139" s="24" t="n">
        <v>0</v>
      </c>
      <c r="VQ139" s="24" t="n">
        <v>0</v>
      </c>
      <c r="VR139" s="24" t="n">
        <v>0</v>
      </c>
      <c r="VS139" s="24" t="n">
        <v>23.39</v>
      </c>
      <c r="VT139" s="24" t="n">
        <v>10.3</v>
      </c>
      <c r="VU139" s="24" t="n">
        <v>49.9</v>
      </c>
      <c r="VV139" s="24" t="n">
        <v>0</v>
      </c>
      <c r="VW139" s="24" t="n">
        <v>0</v>
      </c>
      <c r="VX139" s="24" t="n">
        <v>0</v>
      </c>
      <c r="WK139" s="24" t="n">
        <v>0</v>
      </c>
      <c r="WL139" s="24" t="n">
        <v>1</v>
      </c>
      <c r="WM139" s="24" t="n">
        <v>34</v>
      </c>
      <c r="WN139" s="24" t="n">
        <v>1</v>
      </c>
      <c r="WO139" s="24" t="n">
        <v>1.14</v>
      </c>
      <c r="WP139" s="24" t="n">
        <v>1</v>
      </c>
      <c r="WW139" s="28"/>
      <c r="XO139" s="24" t="n">
        <v>0</v>
      </c>
      <c r="YZ139" s="27" t="n">
        <v>4.78</v>
      </c>
      <c r="ZA139" s="27" t="n">
        <v>1</v>
      </c>
      <c r="ZB139" s="27" t="n">
        <v>1</v>
      </c>
      <c r="ZC139" s="27"/>
      <c r="ZD139" s="27" t="n">
        <v>4.23</v>
      </c>
      <c r="ZE139" s="27" t="n">
        <v>2</v>
      </c>
      <c r="ZF139" s="27"/>
      <c r="ZG139" s="27" t="n">
        <f aca="false">1.14+9.52+1.68</f>
        <v>12.34</v>
      </c>
      <c r="ZH139" s="27"/>
      <c r="ZI139" s="27"/>
      <c r="ZJ139" s="27"/>
      <c r="ZK139" s="27" t="n">
        <v>10.43</v>
      </c>
      <c r="ZL139" s="27" t="n">
        <v>22.43</v>
      </c>
      <c r="ZM139" s="27"/>
      <c r="ZN139" s="27"/>
      <c r="ZO139" s="27" t="n">
        <v>0</v>
      </c>
      <c r="ZP139" s="27" t="n">
        <v>0</v>
      </c>
      <c r="ZQ139" s="27" t="n">
        <v>0</v>
      </c>
      <c r="ZR139" s="24" t="n">
        <v>0</v>
      </c>
      <c r="ZS139" s="24" t="s">
        <v>249</v>
      </c>
      <c r="ZT139" s="24" t="n">
        <v>25</v>
      </c>
      <c r="ZU139" s="27" t="n">
        <v>87.3</v>
      </c>
      <c r="ZV139" s="27" t="n">
        <v>80.4</v>
      </c>
      <c r="ZW139" s="27" t="n">
        <v>8.8</v>
      </c>
      <c r="ZX139" s="24" t="n">
        <v>100</v>
      </c>
      <c r="ZY139" s="24" t="n">
        <v>0</v>
      </c>
      <c r="ZZ139" s="24" t="n">
        <v>0</v>
      </c>
      <c r="AAA139" s="24" t="n">
        <v>0</v>
      </c>
      <c r="AAB139" s="24" t="n">
        <v>0</v>
      </c>
      <c r="AAC139" s="24" t="n">
        <v>0</v>
      </c>
      <c r="AAD139" s="24" t="n">
        <v>0</v>
      </c>
      <c r="AAE139" s="24" t="n">
        <v>0</v>
      </c>
      <c r="AAF139" s="24" t="n">
        <v>0</v>
      </c>
      <c r="AAG139" s="24" t="n">
        <v>0</v>
      </c>
      <c r="AAH139" s="24" t="n">
        <v>0</v>
      </c>
      <c r="AAI139" s="24" t="n">
        <v>0</v>
      </c>
      <c r="AAJ139" s="24" t="n">
        <v>11.94</v>
      </c>
      <c r="AAK139" s="24" t="n">
        <v>34.17</v>
      </c>
      <c r="AAL139" s="24" t="n">
        <v>24.72</v>
      </c>
      <c r="AAM139" s="24" t="n">
        <v>0</v>
      </c>
      <c r="AAN139" s="24" t="n">
        <v>6.9</v>
      </c>
      <c r="AAO139" s="24" t="n">
        <v>3</v>
      </c>
      <c r="AAP139" s="24" t="n">
        <v>50</v>
      </c>
      <c r="AAR139" s="24" t="n">
        <v>2</v>
      </c>
      <c r="AAV139" s="24" t="n">
        <v>50</v>
      </c>
      <c r="AAX139" s="24" t="n">
        <v>2</v>
      </c>
      <c r="ABB139" s="24" t="n">
        <v>0</v>
      </c>
      <c r="ABC139" s="24" t="n">
        <v>0</v>
      </c>
      <c r="ABN139" s="28"/>
      <c r="ACF139" s="24" t="n">
        <v>1</v>
      </c>
      <c r="ACG139" s="24" t="n">
        <v>50</v>
      </c>
      <c r="ACH139" s="24" t="n">
        <v>1</v>
      </c>
      <c r="ACI139" s="24" t="n">
        <v>1.86</v>
      </c>
      <c r="ACJ139" s="24" t="n">
        <v>3</v>
      </c>
      <c r="ADQ139" s="27" t="n">
        <v>0.75</v>
      </c>
      <c r="ADR139" s="27" t="n">
        <v>1</v>
      </c>
      <c r="ADS139" s="27" t="n">
        <v>1</v>
      </c>
      <c r="ADT139" s="27"/>
      <c r="ADU139" s="27" t="n">
        <f aca="false">12.69+1.68</f>
        <v>14.37</v>
      </c>
      <c r="ADV139" s="27"/>
      <c r="ADW139" s="27"/>
      <c r="ADX139" s="27"/>
      <c r="ADY139" s="27"/>
      <c r="ADZ139" s="27"/>
      <c r="AEA139" s="27"/>
      <c r="AEB139" s="27" t="n">
        <v>5.16</v>
      </c>
      <c r="AEC139" s="27" t="n">
        <v>2.28</v>
      </c>
      <c r="AED139" s="27"/>
      <c r="AEE139" s="27"/>
      <c r="AEF139" s="27" t="n">
        <v>0</v>
      </c>
      <c r="AEG139" s="27" t="n">
        <v>0</v>
      </c>
      <c r="AEH139" s="27" t="n">
        <v>0</v>
      </c>
      <c r="AEI139" s="24" t="n">
        <v>0</v>
      </c>
      <c r="AEJ139" s="24" t="s">
        <v>582</v>
      </c>
      <c r="AEK139" s="24" t="n">
        <v>31.5</v>
      </c>
      <c r="AEL139" s="27" t="n">
        <v>78.3</v>
      </c>
      <c r="AEM139" s="27" t="n">
        <v>80.4</v>
      </c>
      <c r="AEN139" s="27" t="n">
        <v>15.4</v>
      </c>
      <c r="AEO139" s="24" t="n">
        <v>93.39</v>
      </c>
      <c r="AEP139" s="24" t="n">
        <v>0.76</v>
      </c>
      <c r="AEQ139" s="24" t="n">
        <v>5.85</v>
      </c>
      <c r="AER139" s="24" t="n">
        <v>0</v>
      </c>
      <c r="AES139" s="24" t="n">
        <v>0</v>
      </c>
      <c r="AET139" s="24" t="n">
        <v>0</v>
      </c>
      <c r="AEU139" s="24" t="n">
        <v>0</v>
      </c>
      <c r="AEV139" s="24" t="n">
        <v>0</v>
      </c>
      <c r="AEW139" s="24" t="n">
        <v>0</v>
      </c>
      <c r="AEX139" s="24" t="n">
        <v>0</v>
      </c>
      <c r="AEY139" s="24" t="n">
        <v>0</v>
      </c>
      <c r="AEZ139" s="24" t="n">
        <v>0</v>
      </c>
      <c r="AFA139" s="24" t="n">
        <v>0</v>
      </c>
      <c r="AFB139" s="24" t="n">
        <v>18.87</v>
      </c>
      <c r="AFC139" s="24" t="n">
        <v>44.71</v>
      </c>
      <c r="AFD139" s="24" t="n">
        <v>0</v>
      </c>
      <c r="AFE139" s="24" t="n">
        <v>0</v>
      </c>
      <c r="AFF139" s="24" t="n">
        <v>0</v>
      </c>
      <c r="AFS139" s="24" t="n">
        <v>0</v>
      </c>
      <c r="AFT139" s="24" t="n">
        <v>0</v>
      </c>
      <c r="AGE139" s="28"/>
      <c r="AGW139" s="24" t="n">
        <v>0</v>
      </c>
      <c r="AIH139" s="27" t="n">
        <v>4.48</v>
      </c>
      <c r="AII139" s="27" t="n">
        <v>1</v>
      </c>
      <c r="AIJ139" s="27" t="n">
        <v>2</v>
      </c>
      <c r="AIK139" s="27"/>
      <c r="AIL139" s="27" t="n">
        <f aca="false">6.34+1.12</f>
        <v>7.46</v>
      </c>
      <c r="AIM139" s="27"/>
      <c r="AIN139" s="27"/>
      <c r="AIO139" s="27"/>
      <c r="AIP139" s="27"/>
      <c r="AIQ139" s="27"/>
      <c r="AIR139" s="27"/>
      <c r="AIS139" s="27" t="n">
        <v>8.48</v>
      </c>
      <c r="AIT139" s="27" t="n">
        <v>26.48</v>
      </c>
      <c r="AIU139" s="27"/>
      <c r="AIV139" s="27"/>
      <c r="AIW139" s="27" t="n">
        <v>0</v>
      </c>
      <c r="AIX139" s="27" t="n">
        <v>0</v>
      </c>
      <c r="AIY139" s="27" t="n">
        <v>0</v>
      </c>
      <c r="AIZ139" s="24" t="n">
        <v>0</v>
      </c>
      <c r="AJA139" s="24" t="s">
        <v>583</v>
      </c>
      <c r="AJB139" s="24" t="n">
        <v>38.5</v>
      </c>
      <c r="AJC139" s="27" t="n">
        <v>82.7</v>
      </c>
      <c r="AJD139" s="27" t="n">
        <v>80.4</v>
      </c>
      <c r="AJE139" s="27" t="n">
        <v>9.7</v>
      </c>
      <c r="AJF139" s="24" t="n">
        <v>98.84</v>
      </c>
      <c r="AJG139" s="24" t="n">
        <v>0</v>
      </c>
      <c r="AJH139" s="24" t="n">
        <v>0.57</v>
      </c>
      <c r="AJI139" s="24" t="n">
        <v>0.58</v>
      </c>
      <c r="AJJ139" s="24" t="n">
        <v>0</v>
      </c>
      <c r="AJK139" s="24" t="n">
        <v>0</v>
      </c>
      <c r="AJL139" s="24" t="n">
        <v>0</v>
      </c>
      <c r="AJM139" s="24" t="n">
        <v>0</v>
      </c>
      <c r="AJN139" s="24" t="n">
        <v>0</v>
      </c>
      <c r="AJO139" s="24" t="n">
        <v>0</v>
      </c>
      <c r="AJP139" s="24" t="n">
        <v>0</v>
      </c>
      <c r="AJQ139" s="24" t="n">
        <v>0</v>
      </c>
      <c r="AJR139" s="24" t="n">
        <v>1.21</v>
      </c>
      <c r="AJS139" s="24" t="n">
        <v>39.05</v>
      </c>
      <c r="AJT139" s="24" t="n">
        <v>9.85</v>
      </c>
      <c r="AJU139" s="24" t="n">
        <v>0</v>
      </c>
      <c r="AJV139" s="24" t="n">
        <v>15.8</v>
      </c>
      <c r="AJW139" s="24" t="n">
        <v>1</v>
      </c>
      <c r="AJX139" s="24" t="n">
        <v>3</v>
      </c>
      <c r="AJZ139" s="24" t="n">
        <v>1</v>
      </c>
      <c r="AKD139" s="24" t="n">
        <v>3</v>
      </c>
      <c r="AKF139" s="24" t="n">
        <v>1</v>
      </c>
      <c r="AKJ139" s="24" t="n">
        <v>0.9</v>
      </c>
      <c r="AKK139" s="24" t="n">
        <v>1</v>
      </c>
      <c r="AKL139" s="24" t="n">
        <v>23</v>
      </c>
      <c r="AKM139" s="24" t="n">
        <v>1</v>
      </c>
      <c r="AKN139" s="24" t="n">
        <v>0.05</v>
      </c>
      <c r="AKO139" s="24" t="n">
        <v>3</v>
      </c>
      <c r="AKP139" s="24" t="n">
        <v>35</v>
      </c>
      <c r="AKQ139" s="24" t="n">
        <v>2</v>
      </c>
      <c r="AKR139" s="24" t="n">
        <v>0.18</v>
      </c>
      <c r="AKS139" s="24" t="n">
        <v>3</v>
      </c>
      <c r="AKV139" s="28"/>
      <c r="ALN139" s="24" t="n">
        <v>0</v>
      </c>
    </row>
    <row r="140" customFormat="false" ht="13.8" hidden="false" customHeight="false" outlineLevel="0" collapsed="false">
      <c r="A140" s="22" t="s">
        <v>584</v>
      </c>
      <c r="B140" s="23" t="n">
        <v>42899</v>
      </c>
      <c r="C140" s="24" t="n">
        <v>2</v>
      </c>
      <c r="D140" s="25" t="n">
        <v>38961</v>
      </c>
      <c r="E140" s="23" t="n">
        <v>27080</v>
      </c>
      <c r="F140" s="14" t="n">
        <f aca="false">(B140-E140)/365.25</f>
        <v>43.3100616016427</v>
      </c>
      <c r="G140" s="14" t="n">
        <f aca="false">(B140-D140)/365.25</f>
        <v>10.7816563997262</v>
      </c>
      <c r="H140" s="21" t="s">
        <v>228</v>
      </c>
      <c r="I140" s="21" t="s">
        <v>240</v>
      </c>
      <c r="J140" s="21" t="s">
        <v>183</v>
      </c>
      <c r="K140" s="21" t="n">
        <v>8</v>
      </c>
      <c r="L140" s="26" t="n">
        <v>73</v>
      </c>
      <c r="M140" s="24" t="n">
        <v>1.74</v>
      </c>
      <c r="N140" s="27" t="n">
        <f aca="false">L140/(M140*M140)</f>
        <v>24.1115074646585</v>
      </c>
      <c r="O140" s="26" t="n">
        <v>0</v>
      </c>
      <c r="P140" s="26" t="n">
        <v>0</v>
      </c>
      <c r="Q140" s="26" t="n">
        <v>0</v>
      </c>
      <c r="R140" s="26" t="n">
        <v>0</v>
      </c>
      <c r="S140" s="26" t="n">
        <v>0</v>
      </c>
      <c r="T140" s="26" t="n">
        <v>0</v>
      </c>
      <c r="U140" s="19" t="n">
        <v>0</v>
      </c>
      <c r="V140" s="19" t="n">
        <v>0</v>
      </c>
      <c r="W140" s="26" t="n">
        <v>0</v>
      </c>
      <c r="X140" s="26" t="n">
        <v>0</v>
      </c>
      <c r="Y140" s="26" t="n">
        <v>1</v>
      </c>
      <c r="Z140" s="26" t="n">
        <v>1</v>
      </c>
      <c r="AA140" s="26" t="n">
        <v>300</v>
      </c>
      <c r="AB140" s="26" t="s">
        <v>585</v>
      </c>
      <c r="AC140" s="26" t="n">
        <v>1</v>
      </c>
      <c r="AD140" s="26" t="n">
        <v>6</v>
      </c>
      <c r="AE140" s="26"/>
      <c r="AF140" s="26"/>
      <c r="AG140" s="26"/>
      <c r="AH140" s="26"/>
      <c r="AI140" s="26" t="n">
        <v>1</v>
      </c>
      <c r="AJ140" s="26" t="n">
        <v>1</v>
      </c>
      <c r="AK140" s="26" t="n">
        <v>0</v>
      </c>
      <c r="AL140" s="26" t="n">
        <v>0</v>
      </c>
      <c r="AM140" s="26" t="n">
        <v>0</v>
      </c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 t="n">
        <v>3</v>
      </c>
      <c r="BS140" s="26" t="n">
        <v>3</v>
      </c>
      <c r="BT140" s="26" t="n">
        <v>4</v>
      </c>
      <c r="BU140" s="26" t="n">
        <v>5</v>
      </c>
      <c r="BV140" s="26" t="n">
        <v>3</v>
      </c>
      <c r="BW140" s="26" t="n">
        <v>5</v>
      </c>
      <c r="BX140" s="26" t="n">
        <v>3</v>
      </c>
      <c r="BY140" s="26" t="n">
        <v>3</v>
      </c>
      <c r="BZ140" s="26" t="n">
        <v>5</v>
      </c>
      <c r="CA140" s="26" t="n">
        <v>3</v>
      </c>
      <c r="CB140" s="26" t="n">
        <v>3</v>
      </c>
      <c r="CC140" s="26" t="n">
        <v>5</v>
      </c>
      <c r="CD140" s="26" t="n">
        <v>3</v>
      </c>
      <c r="CE140" s="26" t="n">
        <v>3</v>
      </c>
      <c r="CF140" s="26" t="n">
        <v>3</v>
      </c>
      <c r="CG140" s="26" t="n">
        <v>5</v>
      </c>
      <c r="CH140" s="26" t="n">
        <v>5</v>
      </c>
      <c r="CI140" s="26" t="n">
        <v>5</v>
      </c>
      <c r="CJ140" s="26" t="n">
        <v>4</v>
      </c>
      <c r="CK140" s="26" t="n">
        <v>10</v>
      </c>
      <c r="CL140" s="24" t="s">
        <v>242</v>
      </c>
      <c r="CM140" s="24" t="n">
        <v>36.5</v>
      </c>
      <c r="CN140" s="27" t="n">
        <v>88.3</v>
      </c>
      <c r="CO140" s="27" t="n">
        <v>80.4</v>
      </c>
      <c r="CP140" s="27" t="n">
        <v>28.2</v>
      </c>
      <c r="CQ140" s="24" t="n">
        <v>73.82</v>
      </c>
      <c r="CR140" s="24" t="n">
        <v>0</v>
      </c>
      <c r="CS140" s="24" t="n">
        <v>25.61</v>
      </c>
      <c r="CT140" s="24" t="n">
        <v>0</v>
      </c>
      <c r="CU140" s="24" t="n">
        <v>0.57</v>
      </c>
      <c r="CV140" s="24" t="n">
        <v>0</v>
      </c>
      <c r="CW140" s="24" t="n">
        <v>0</v>
      </c>
      <c r="CX140" s="24" t="n">
        <v>0</v>
      </c>
      <c r="CY140" s="24" t="n">
        <v>0</v>
      </c>
      <c r="CZ140" s="24" t="n">
        <v>0</v>
      </c>
      <c r="DA140" s="24" t="n">
        <v>0</v>
      </c>
      <c r="DB140" s="24" t="n">
        <v>1.17</v>
      </c>
      <c r="DC140" s="24" t="n">
        <v>31.76</v>
      </c>
      <c r="DD140" s="24" t="n">
        <v>23.3</v>
      </c>
      <c r="DE140" s="24" t="n">
        <v>26.08</v>
      </c>
      <c r="DF140" s="24" t="n">
        <v>0</v>
      </c>
      <c r="DG140" s="24" t="n">
        <v>0</v>
      </c>
      <c r="DH140" s="24" t="n">
        <v>0</v>
      </c>
      <c r="DI140" s="24"/>
      <c r="DJ140" s="24"/>
      <c r="DK140" s="24"/>
      <c r="DL140" s="24"/>
      <c r="DM140" s="24"/>
      <c r="DN140" s="24"/>
      <c r="DO140" s="24"/>
      <c r="DP140" s="24"/>
      <c r="DQ140" s="24"/>
      <c r="DR140" s="24"/>
      <c r="DS140" s="24"/>
      <c r="DT140" s="24"/>
      <c r="DU140" s="24" t="n">
        <v>2.1</v>
      </c>
      <c r="DV140" s="24" t="n">
        <v>1</v>
      </c>
      <c r="DW140" s="24" t="n">
        <v>47</v>
      </c>
      <c r="DX140" s="24" t="n">
        <v>2</v>
      </c>
      <c r="DY140" s="24" t="n">
        <v>0.27</v>
      </c>
      <c r="DZ140" s="24" t="n">
        <v>3</v>
      </c>
      <c r="EA140" s="24"/>
      <c r="EB140" s="24"/>
      <c r="EC140" s="24"/>
      <c r="ED140" s="24"/>
      <c r="EE140" s="24"/>
      <c r="EF140" s="24"/>
      <c r="EG140" s="28"/>
      <c r="EH140" s="24"/>
      <c r="EI140" s="24"/>
      <c r="EJ140" s="24"/>
      <c r="EK140" s="24"/>
      <c r="EL140" s="24"/>
      <c r="EM140" s="24"/>
      <c r="EN140" s="24"/>
      <c r="EO140" s="24"/>
      <c r="EP140" s="24"/>
      <c r="EQ140" s="24"/>
      <c r="ER140" s="24"/>
      <c r="ES140" s="24"/>
      <c r="ET140" s="24"/>
      <c r="EU140" s="24"/>
      <c r="EV140" s="24"/>
      <c r="EW140" s="24"/>
      <c r="EX140" s="24"/>
      <c r="EY140" s="24" t="n">
        <v>0</v>
      </c>
      <c r="EZ140" s="24"/>
      <c r="FA140" s="24"/>
      <c r="FB140" s="24"/>
      <c r="FC140" s="24"/>
      <c r="FD140" s="24"/>
      <c r="FE140" s="24"/>
      <c r="FF140" s="24"/>
      <c r="FG140" s="24"/>
      <c r="FH140" s="24"/>
      <c r="FI140" s="24"/>
      <c r="FJ140" s="24"/>
      <c r="FK140" s="24"/>
      <c r="FL140" s="24"/>
      <c r="FM140" s="24"/>
      <c r="FN140" s="24"/>
      <c r="FO140" s="24"/>
      <c r="FP140" s="24"/>
      <c r="FQ140" s="24"/>
      <c r="FR140" s="24"/>
      <c r="FS140" s="24"/>
      <c r="FT140" s="24"/>
      <c r="FU140" s="24"/>
      <c r="FV140" s="24"/>
      <c r="FW140" s="24"/>
      <c r="FX140" s="24"/>
      <c r="FY140" s="24"/>
      <c r="FZ140" s="24"/>
      <c r="GA140" s="24"/>
      <c r="GB140" s="24"/>
      <c r="GC140" s="24"/>
      <c r="GD140" s="24"/>
      <c r="GE140" s="24"/>
      <c r="GF140" s="24"/>
      <c r="GG140" s="24"/>
      <c r="GH140" s="24"/>
      <c r="GI140" s="24"/>
      <c r="GJ140" s="27" t="n">
        <v>1.9</v>
      </c>
      <c r="GK140" s="27" t="n">
        <v>1</v>
      </c>
      <c r="GL140" s="27" t="n">
        <v>1</v>
      </c>
      <c r="GM140" s="27"/>
      <c r="GN140" s="27" t="n">
        <f aca="false">5.29*3</f>
        <v>15.87</v>
      </c>
      <c r="GO140" s="27"/>
      <c r="GP140" s="27"/>
      <c r="GQ140" s="27"/>
      <c r="GR140" s="27"/>
      <c r="GS140" s="27"/>
      <c r="GT140" s="27"/>
      <c r="GU140" s="27" t="n">
        <v>0.57</v>
      </c>
      <c r="GV140" s="27" t="n">
        <v>0.56</v>
      </c>
      <c r="GW140" s="27"/>
      <c r="GX140" s="27"/>
      <c r="GY140" s="27" t="n">
        <v>0</v>
      </c>
      <c r="GZ140" s="27" t="n">
        <v>0</v>
      </c>
      <c r="HA140" s="27" t="n">
        <v>0</v>
      </c>
      <c r="HB140" s="24" t="n">
        <v>0</v>
      </c>
      <c r="HC140" s="24" t="s">
        <v>243</v>
      </c>
      <c r="HD140" s="24" t="n">
        <v>38</v>
      </c>
      <c r="HE140" s="27" t="n">
        <v>87.8</v>
      </c>
      <c r="HF140" s="27" t="n">
        <v>80.4</v>
      </c>
      <c r="HG140" s="27" t="n">
        <v>29.1</v>
      </c>
      <c r="HH140" s="24" t="n">
        <v>71.17</v>
      </c>
      <c r="HI140" s="24" t="n">
        <v>0</v>
      </c>
      <c r="HJ140" s="24" t="n">
        <v>25.61</v>
      </c>
      <c r="HK140" s="24" t="n">
        <v>0</v>
      </c>
      <c r="HL140" s="24" t="n">
        <v>3.22</v>
      </c>
      <c r="HM140" s="24" t="n">
        <v>0</v>
      </c>
      <c r="HN140" s="24" t="n">
        <v>0</v>
      </c>
      <c r="HO140" s="24" t="n">
        <v>0</v>
      </c>
      <c r="HP140" s="24" t="n">
        <v>0</v>
      </c>
      <c r="HQ140" s="24" t="n">
        <v>0</v>
      </c>
      <c r="HR140" s="24" t="n">
        <v>0</v>
      </c>
      <c r="HS140" s="24" t="n">
        <v>1.08</v>
      </c>
      <c r="HT140" s="24" t="n">
        <v>31.76</v>
      </c>
      <c r="HU140" s="24" t="n">
        <v>22.19</v>
      </c>
      <c r="HV140" s="24" t="n">
        <v>26.38</v>
      </c>
      <c r="HW140" s="24" t="n">
        <v>0</v>
      </c>
      <c r="HX140" s="24" t="n">
        <v>0</v>
      </c>
      <c r="HY140" s="24" t="n">
        <v>0</v>
      </c>
      <c r="HZ140" s="24"/>
      <c r="IA140" s="24"/>
      <c r="IB140" s="24"/>
      <c r="IC140" s="24"/>
      <c r="ID140" s="24"/>
      <c r="IE140" s="24"/>
      <c r="IF140" s="24"/>
      <c r="IG140" s="24"/>
      <c r="IH140" s="24"/>
      <c r="II140" s="24"/>
      <c r="IJ140" s="24"/>
      <c r="IK140" s="24"/>
      <c r="IL140" s="24" t="n">
        <v>2.1</v>
      </c>
      <c r="IM140" s="24" t="n">
        <v>1</v>
      </c>
      <c r="IN140" s="24" t="n">
        <v>47</v>
      </c>
      <c r="IO140" s="24" t="n">
        <v>2</v>
      </c>
      <c r="IP140" s="24" t="n">
        <v>0.27</v>
      </c>
      <c r="IQ140" s="24" t="n">
        <v>3</v>
      </c>
      <c r="IR140" s="24"/>
      <c r="IS140" s="24"/>
      <c r="IT140" s="24"/>
      <c r="IU140" s="24"/>
      <c r="IV140" s="24"/>
      <c r="IW140" s="24"/>
      <c r="IX140" s="28"/>
      <c r="IY140" s="24"/>
      <c r="IZ140" s="24"/>
      <c r="JA140" s="24"/>
      <c r="JB140" s="24"/>
      <c r="JC140" s="24"/>
      <c r="JD140" s="24"/>
      <c r="JE140" s="24"/>
      <c r="JF140" s="24"/>
      <c r="JG140" s="24"/>
      <c r="JH140" s="24"/>
      <c r="JI140" s="24"/>
      <c r="JJ140" s="24"/>
      <c r="JK140" s="24"/>
      <c r="JL140" s="24"/>
      <c r="JM140" s="24"/>
      <c r="JN140" s="24"/>
      <c r="JO140" s="24"/>
      <c r="JP140" s="24" t="n">
        <v>0</v>
      </c>
      <c r="JQ140" s="24"/>
      <c r="JR140" s="24"/>
      <c r="JS140" s="24"/>
      <c r="JT140" s="24"/>
      <c r="JU140" s="24"/>
      <c r="JV140" s="24"/>
      <c r="JW140" s="24"/>
      <c r="JX140" s="24"/>
      <c r="JY140" s="24"/>
      <c r="JZ140" s="24"/>
      <c r="KA140" s="24"/>
      <c r="KB140" s="24"/>
      <c r="KC140" s="24"/>
      <c r="KD140" s="24"/>
      <c r="KE140" s="24"/>
      <c r="KF140" s="24"/>
      <c r="KG140" s="24"/>
      <c r="KH140" s="24"/>
      <c r="KI140" s="24"/>
      <c r="KJ140" s="24"/>
      <c r="KK140" s="24"/>
      <c r="KL140" s="24"/>
      <c r="KM140" s="24"/>
      <c r="KN140" s="24"/>
      <c r="KO140" s="24"/>
      <c r="KP140" s="24"/>
      <c r="KQ140" s="24"/>
      <c r="KR140" s="24"/>
      <c r="KS140" s="24"/>
      <c r="KT140" s="24"/>
      <c r="KU140" s="24"/>
      <c r="KV140" s="24"/>
      <c r="KW140" s="24"/>
      <c r="KX140" s="24"/>
      <c r="KY140" s="24"/>
      <c r="KZ140" s="24"/>
      <c r="LA140" s="27" t="n">
        <v>1.9</v>
      </c>
      <c r="LB140" s="27" t="n">
        <v>1</v>
      </c>
      <c r="LC140" s="27" t="n">
        <v>1</v>
      </c>
      <c r="LD140" s="27"/>
      <c r="LE140" s="27" t="n">
        <f aca="false">5.29*3</f>
        <v>15.87</v>
      </c>
      <c r="LF140" s="27"/>
      <c r="LG140" s="27"/>
      <c r="LH140" s="27"/>
      <c r="LI140" s="27"/>
      <c r="LJ140" s="27"/>
      <c r="LK140" s="27"/>
      <c r="LL140" s="27" t="n">
        <v>1.12</v>
      </c>
      <c r="LM140" s="27" t="n">
        <v>0.27</v>
      </c>
      <c r="LN140" s="27"/>
      <c r="LO140" s="27"/>
      <c r="LP140" s="27" t="n">
        <v>0</v>
      </c>
      <c r="LQ140" s="27" t="n">
        <v>0</v>
      </c>
      <c r="LR140" s="27" t="n">
        <v>0</v>
      </c>
      <c r="LS140" s="24" t="n">
        <v>0</v>
      </c>
      <c r="LT140" s="24" t="s">
        <v>244</v>
      </c>
      <c r="LU140" s="24" t="n">
        <v>24.5</v>
      </c>
      <c r="LV140" s="27" t="n">
        <v>84.2</v>
      </c>
      <c r="LW140" s="27" t="n">
        <v>80.4</v>
      </c>
      <c r="LX140" s="27" t="n">
        <v>11.9</v>
      </c>
      <c r="LY140" s="24" t="n">
        <v>97.51</v>
      </c>
      <c r="LZ140" s="24" t="n">
        <v>0</v>
      </c>
      <c r="MA140" s="24" t="n">
        <v>2.49</v>
      </c>
      <c r="MB140" s="24" t="n">
        <v>0</v>
      </c>
      <c r="MC140" s="24" t="n">
        <v>0</v>
      </c>
      <c r="MD140" s="24" t="n">
        <v>0</v>
      </c>
      <c r="ME140" s="24" t="n">
        <v>0</v>
      </c>
      <c r="MF140" s="24" t="n">
        <v>0</v>
      </c>
      <c r="MG140" s="24" t="n">
        <v>0</v>
      </c>
      <c r="MH140" s="24" t="n">
        <v>0</v>
      </c>
      <c r="MI140" s="24" t="n">
        <v>0</v>
      </c>
      <c r="MJ140" s="24" t="n">
        <v>0</v>
      </c>
      <c r="MK140" s="24" t="n">
        <v>3.13</v>
      </c>
      <c r="ML140" s="24" t="n">
        <v>26.34</v>
      </c>
      <c r="MM140" s="24" t="n">
        <v>45.74</v>
      </c>
      <c r="MN140" s="24" t="n">
        <v>0</v>
      </c>
      <c r="MO140" s="24" t="n">
        <v>0</v>
      </c>
      <c r="MP140" s="24" t="n">
        <v>0</v>
      </c>
      <c r="MQ140" s="24"/>
      <c r="MR140" s="24"/>
      <c r="MS140" s="24"/>
      <c r="MT140" s="24"/>
      <c r="MU140" s="24"/>
      <c r="MV140" s="24"/>
      <c r="MW140" s="24"/>
      <c r="MX140" s="24"/>
      <c r="MY140" s="24"/>
      <c r="MZ140" s="24"/>
      <c r="NA140" s="24"/>
      <c r="NB140" s="24"/>
      <c r="NC140" s="24" t="n">
        <v>0</v>
      </c>
      <c r="ND140" s="24" t="n">
        <v>0</v>
      </c>
      <c r="NE140" s="24"/>
      <c r="NF140" s="24"/>
      <c r="NG140" s="24"/>
      <c r="NH140" s="24"/>
      <c r="NI140" s="24"/>
      <c r="NJ140" s="24"/>
      <c r="NK140" s="24"/>
      <c r="NL140" s="24"/>
      <c r="NM140" s="24"/>
      <c r="NN140" s="24"/>
      <c r="NO140" s="28"/>
      <c r="NP140" s="24"/>
      <c r="NQ140" s="24"/>
      <c r="NR140" s="24"/>
      <c r="NS140" s="24"/>
      <c r="NT140" s="24"/>
      <c r="NU140" s="24"/>
      <c r="NV140" s="24"/>
      <c r="NW140" s="24"/>
      <c r="NX140" s="24"/>
      <c r="NY140" s="24"/>
      <c r="NZ140" s="24"/>
      <c r="OA140" s="24"/>
      <c r="OB140" s="24"/>
      <c r="OC140" s="24"/>
      <c r="OD140" s="24"/>
      <c r="OE140" s="24"/>
      <c r="OF140" s="24"/>
      <c r="OG140" s="24" t="n">
        <v>0</v>
      </c>
      <c r="OH140" s="24"/>
      <c r="OI140" s="24"/>
      <c r="OJ140" s="24"/>
      <c r="OK140" s="24"/>
      <c r="OL140" s="24"/>
      <c r="OM140" s="24"/>
      <c r="ON140" s="24"/>
      <c r="OO140" s="24"/>
      <c r="OP140" s="24"/>
      <c r="OQ140" s="24"/>
      <c r="OR140" s="24"/>
      <c r="OS140" s="24"/>
      <c r="OT140" s="24"/>
      <c r="OU140" s="24"/>
      <c r="OV140" s="24"/>
      <c r="OW140" s="24"/>
      <c r="OX140" s="24"/>
      <c r="OY140" s="24"/>
      <c r="OZ140" s="24"/>
      <c r="PA140" s="24"/>
      <c r="PB140" s="24"/>
      <c r="PC140" s="24"/>
      <c r="PD140" s="24"/>
      <c r="PE140" s="24"/>
      <c r="PF140" s="24"/>
      <c r="PG140" s="24"/>
      <c r="PH140" s="24"/>
      <c r="PI140" s="24"/>
      <c r="PJ140" s="24"/>
      <c r="PK140" s="24"/>
      <c r="PL140" s="24"/>
      <c r="PM140" s="24"/>
      <c r="PN140" s="24"/>
      <c r="PO140" s="24"/>
      <c r="PP140" s="24"/>
      <c r="PQ140" s="24"/>
      <c r="PR140" s="27" t="n">
        <v>6.4</v>
      </c>
      <c r="PS140" s="27" t="n">
        <v>1</v>
      </c>
      <c r="PT140" s="27" t="n">
        <v>2</v>
      </c>
      <c r="PU140" s="27"/>
      <c r="PV140" s="27" t="n">
        <f aca="false">1.24*2</f>
        <v>2.48</v>
      </c>
      <c r="PW140" s="27" t="n">
        <v>1</v>
      </c>
      <c r="PX140" s="27"/>
      <c r="PY140" s="27" t="n">
        <f aca="false">1.24*3+0.62+0.93+3.18+1.59+3.73+7.46</f>
        <v>21.23</v>
      </c>
      <c r="PZ140" s="27"/>
      <c r="QA140" s="27"/>
      <c r="QB140" s="27"/>
      <c r="QC140" s="27" t="n">
        <v>1.61</v>
      </c>
      <c r="QD140" s="27" t="n">
        <v>1.46</v>
      </c>
      <c r="QE140" s="27"/>
      <c r="QF140" s="27"/>
      <c r="QG140" s="27" t="n">
        <v>0</v>
      </c>
      <c r="QH140" s="27" t="n">
        <v>0</v>
      </c>
      <c r="QI140" s="27" t="n">
        <v>0</v>
      </c>
      <c r="QJ140" s="24" t="n">
        <v>0</v>
      </c>
      <c r="QK140" s="24" t="s">
        <v>246</v>
      </c>
      <c r="QL140" s="24" t="n">
        <v>27</v>
      </c>
      <c r="QM140" s="27" t="n">
        <v>72</v>
      </c>
      <c r="QN140" s="27" t="n">
        <v>80.4</v>
      </c>
      <c r="QO140" s="27" t="n">
        <v>19.2</v>
      </c>
      <c r="QP140" s="24" t="n">
        <v>86.83</v>
      </c>
      <c r="QQ140" s="24" t="n">
        <v>0</v>
      </c>
      <c r="QR140" s="24" t="n">
        <v>0</v>
      </c>
      <c r="QS140" s="24" t="n">
        <v>0</v>
      </c>
      <c r="QT140" s="24" t="n">
        <v>13.17</v>
      </c>
      <c r="QU140" s="24" t="n">
        <v>0</v>
      </c>
      <c r="QV140" s="24" t="n">
        <v>0</v>
      </c>
      <c r="QW140" s="24" t="n">
        <v>0</v>
      </c>
      <c r="QX140" s="24" t="n">
        <v>0</v>
      </c>
      <c r="QY140" s="24" t="n">
        <v>0</v>
      </c>
      <c r="QZ140" s="24" t="n">
        <v>0</v>
      </c>
      <c r="RA140" s="24" t="n">
        <v>18.28</v>
      </c>
      <c r="RB140" s="24" t="n">
        <v>16.81</v>
      </c>
      <c r="RC140" s="24" t="n">
        <v>9.64</v>
      </c>
      <c r="RD140" s="24" t="n">
        <v>19.74</v>
      </c>
      <c r="RE140" s="24" t="n">
        <v>0</v>
      </c>
      <c r="RF140" s="24" t="n">
        <v>0</v>
      </c>
      <c r="RG140" s="24" t="n">
        <v>0</v>
      </c>
      <c r="RH140" s="24"/>
      <c r="RI140" s="24"/>
      <c r="RJ140" s="24"/>
      <c r="RK140" s="24"/>
      <c r="RL140" s="24"/>
      <c r="RM140" s="24"/>
      <c r="RN140" s="24"/>
      <c r="RO140" s="24"/>
      <c r="RP140" s="24"/>
      <c r="RQ140" s="24"/>
      <c r="RR140" s="24"/>
      <c r="RS140" s="24"/>
      <c r="RT140" s="24" t="n">
        <v>0</v>
      </c>
      <c r="RU140" s="24" t="n">
        <v>0</v>
      </c>
      <c r="SF140" s="28"/>
      <c r="SX140" s="24" t="n">
        <v>0</v>
      </c>
      <c r="UI140" s="27" t="n">
        <v>1.43</v>
      </c>
      <c r="UJ140" s="27" t="n">
        <v>1</v>
      </c>
      <c r="UK140" s="27" t="n">
        <v>1</v>
      </c>
      <c r="UL140" s="27"/>
      <c r="UM140" s="27" t="n">
        <f aca="false">6.34+2.11+0.08+0.37</f>
        <v>8.9</v>
      </c>
      <c r="UN140" s="27"/>
      <c r="UO140" s="27"/>
      <c r="UP140" s="27"/>
      <c r="UQ140" s="27"/>
      <c r="UR140" s="27"/>
      <c r="US140" s="27"/>
      <c r="UT140" s="27" t="n">
        <v>3.5</v>
      </c>
      <c r="UU140" s="27" t="n">
        <v>3.5</v>
      </c>
      <c r="UV140" s="27"/>
      <c r="UW140" s="27"/>
      <c r="UX140" s="27" t="n">
        <v>0</v>
      </c>
      <c r="UY140" s="27" t="n">
        <v>0</v>
      </c>
      <c r="UZ140" s="27" t="n">
        <v>0</v>
      </c>
      <c r="VA140" s="24" t="n">
        <v>0</v>
      </c>
      <c r="VB140" s="24" t="s">
        <v>247</v>
      </c>
      <c r="VC140" s="24" t="n">
        <v>37</v>
      </c>
      <c r="VD140" s="27" t="n">
        <v>79.2</v>
      </c>
      <c r="VE140" s="27" t="n">
        <v>80.4</v>
      </c>
      <c r="VF140" s="27" t="n">
        <v>12.1</v>
      </c>
      <c r="VG140" s="24" t="n">
        <v>96.75</v>
      </c>
      <c r="VH140" s="24" t="n">
        <v>0</v>
      </c>
      <c r="VI140" s="24" t="n">
        <v>0</v>
      </c>
      <c r="VJ140" s="24" t="n">
        <v>0</v>
      </c>
      <c r="VK140" s="24" t="n">
        <v>3.25</v>
      </c>
      <c r="VL140" s="24" t="n">
        <v>0</v>
      </c>
      <c r="VM140" s="24" t="n">
        <v>0</v>
      </c>
      <c r="VN140" s="24" t="n">
        <v>0</v>
      </c>
      <c r="VO140" s="24" t="n">
        <v>0</v>
      </c>
      <c r="VP140" s="24" t="n">
        <v>0</v>
      </c>
      <c r="VQ140" s="24" t="n">
        <v>0</v>
      </c>
      <c r="VR140" s="24" t="n">
        <v>9.06</v>
      </c>
      <c r="VS140" s="24" t="n">
        <v>18.15</v>
      </c>
      <c r="VT140" s="24" t="n">
        <v>25.66</v>
      </c>
      <c r="VU140" s="24" t="n">
        <v>15.61</v>
      </c>
      <c r="VV140" s="24" t="n">
        <v>0</v>
      </c>
      <c r="VW140" s="24" t="n">
        <v>0</v>
      </c>
      <c r="VX140" s="24" t="n">
        <v>0</v>
      </c>
      <c r="WK140" s="24" t="n">
        <v>17.8</v>
      </c>
      <c r="WL140" s="24" t="n">
        <v>1</v>
      </c>
      <c r="WM140" s="24" t="n">
        <v>47</v>
      </c>
      <c r="WN140" s="24" t="n">
        <v>3</v>
      </c>
      <c r="WO140" s="24" t="n">
        <v>2.28</v>
      </c>
      <c r="WP140" s="24" t="n">
        <v>3</v>
      </c>
      <c r="WQ140" s="24" t="n">
        <v>26</v>
      </c>
      <c r="WR140" s="24" t="n">
        <v>1</v>
      </c>
      <c r="WS140" s="24" t="n">
        <v>0.76</v>
      </c>
      <c r="WT140" s="24" t="n">
        <v>2</v>
      </c>
      <c r="WW140" s="28"/>
      <c r="XO140" s="24" t="n">
        <v>0</v>
      </c>
      <c r="YZ140" s="27" t="n">
        <v>1.27</v>
      </c>
      <c r="ZA140" s="27" t="n">
        <v>1</v>
      </c>
      <c r="ZB140" s="27" t="n">
        <v>1</v>
      </c>
      <c r="ZC140" s="27"/>
      <c r="ZD140" s="27" t="n">
        <f aca="false">6.34+1.06</f>
        <v>7.4</v>
      </c>
      <c r="ZE140" s="27"/>
      <c r="ZF140" s="27"/>
      <c r="ZG140" s="27"/>
      <c r="ZH140" s="27"/>
      <c r="ZI140" s="27"/>
      <c r="ZJ140" s="27"/>
      <c r="ZK140" s="27" t="n">
        <v>2.86</v>
      </c>
      <c r="ZL140" s="27" t="n">
        <v>2.86</v>
      </c>
      <c r="ZM140" s="27"/>
      <c r="ZN140" s="27"/>
      <c r="ZO140" s="27" t="n">
        <v>0</v>
      </c>
      <c r="ZP140" s="27" t="n">
        <v>0</v>
      </c>
      <c r="ZQ140" s="27" t="n">
        <v>0</v>
      </c>
      <c r="ZR140" s="24" t="n">
        <v>0</v>
      </c>
      <c r="ZS140" s="24" t="s">
        <v>248</v>
      </c>
      <c r="ZT140" s="24" t="n">
        <v>33</v>
      </c>
      <c r="ZU140" s="27" t="n">
        <v>122.1</v>
      </c>
      <c r="ZV140" s="27" t="n">
        <v>80.4</v>
      </c>
      <c r="ZW140" s="27" t="n">
        <v>14.1</v>
      </c>
      <c r="ZX140" s="24" t="n">
        <v>91.87</v>
      </c>
      <c r="ZY140" s="24" t="n">
        <v>0</v>
      </c>
      <c r="ZZ140" s="24" t="n">
        <v>5.85</v>
      </c>
      <c r="AAA140" s="24" t="n">
        <v>0</v>
      </c>
      <c r="AAB140" s="24" t="n">
        <v>2.28</v>
      </c>
      <c r="AAC140" s="24" t="n">
        <v>0</v>
      </c>
      <c r="AAD140" s="24" t="n">
        <v>0</v>
      </c>
      <c r="AAE140" s="24" t="n">
        <v>0</v>
      </c>
      <c r="AAF140" s="24" t="n">
        <v>0</v>
      </c>
      <c r="AAG140" s="24" t="n">
        <v>0</v>
      </c>
      <c r="AAH140" s="24" t="n">
        <v>0</v>
      </c>
      <c r="AAI140" s="24" t="n">
        <v>0</v>
      </c>
      <c r="AAJ140" s="24" t="n">
        <v>23.39</v>
      </c>
      <c r="AAK140" s="24" t="n">
        <v>10.3</v>
      </c>
      <c r="AAL140" s="24" t="n">
        <v>49.9</v>
      </c>
      <c r="AAM140" s="24" t="n">
        <v>0</v>
      </c>
      <c r="AAN140" s="24" t="n">
        <v>0</v>
      </c>
      <c r="AAO140" s="24" t="n">
        <v>0</v>
      </c>
      <c r="ABB140" s="24" t="n">
        <v>0</v>
      </c>
      <c r="ABC140" s="24" t="n">
        <v>1</v>
      </c>
      <c r="ABD140" s="24" t="n">
        <v>34</v>
      </c>
      <c r="ABE140" s="24" t="n">
        <v>1</v>
      </c>
      <c r="ABF140" s="24" t="n">
        <v>1.14</v>
      </c>
      <c r="ABG140" s="24" t="n">
        <v>1</v>
      </c>
      <c r="ABN140" s="28"/>
      <c r="ACF140" s="24" t="n">
        <v>0</v>
      </c>
      <c r="ADQ140" s="27" t="n">
        <v>4.78</v>
      </c>
      <c r="ADR140" s="27" t="n">
        <v>1</v>
      </c>
      <c r="ADS140" s="27" t="n">
        <v>1</v>
      </c>
      <c r="ADT140" s="27"/>
      <c r="ADU140" s="27" t="n">
        <v>4.23</v>
      </c>
      <c r="ADV140" s="27" t="n">
        <v>2</v>
      </c>
      <c r="ADW140" s="27"/>
      <c r="ADX140" s="27" t="n">
        <f aca="false">1.14+9.52+1.68</f>
        <v>12.34</v>
      </c>
      <c r="ADY140" s="27"/>
      <c r="ADZ140" s="27"/>
      <c r="AEA140" s="27"/>
      <c r="AEB140" s="27" t="n">
        <v>10.43</v>
      </c>
      <c r="AEC140" s="27" t="n">
        <v>22.43</v>
      </c>
      <c r="AED140" s="27"/>
      <c r="AEE140" s="27"/>
      <c r="AEF140" s="27" t="n">
        <v>0</v>
      </c>
      <c r="AEG140" s="27" t="n">
        <v>0</v>
      </c>
      <c r="AEH140" s="27" t="n">
        <v>0</v>
      </c>
      <c r="AEI140" s="24" t="n">
        <v>0</v>
      </c>
      <c r="AEJ140" s="24" t="s">
        <v>249</v>
      </c>
      <c r="AEK140" s="24" t="n">
        <v>25</v>
      </c>
      <c r="AEL140" s="27" t="n">
        <v>87.3</v>
      </c>
      <c r="AEM140" s="27" t="n">
        <v>80.4</v>
      </c>
      <c r="AEN140" s="27" t="n">
        <v>8.8</v>
      </c>
      <c r="AEO140" s="24" t="n">
        <v>100</v>
      </c>
      <c r="AEP140" s="24" t="n">
        <v>0</v>
      </c>
      <c r="AEQ140" s="24" t="n">
        <v>0</v>
      </c>
      <c r="AER140" s="24" t="n">
        <v>0</v>
      </c>
      <c r="AES140" s="24" t="n">
        <v>0</v>
      </c>
      <c r="AET140" s="24" t="n">
        <v>0</v>
      </c>
      <c r="AEU140" s="24" t="n">
        <v>0</v>
      </c>
      <c r="AEV140" s="24" t="n">
        <v>0</v>
      </c>
      <c r="AEW140" s="24" t="n">
        <v>0</v>
      </c>
      <c r="AEX140" s="24" t="n">
        <v>0</v>
      </c>
      <c r="AEY140" s="24" t="n">
        <v>0</v>
      </c>
      <c r="AEZ140" s="24" t="n">
        <v>0</v>
      </c>
      <c r="AFA140" s="24" t="n">
        <v>11.94</v>
      </c>
      <c r="AFB140" s="24" t="n">
        <v>34.17</v>
      </c>
      <c r="AFC140" s="24" t="n">
        <v>24.72</v>
      </c>
      <c r="AFD140" s="24" t="n">
        <v>0</v>
      </c>
      <c r="AFE140" s="24" t="n">
        <v>6.9</v>
      </c>
      <c r="AFF140" s="24" t="n">
        <v>3</v>
      </c>
      <c r="AFG140" s="24" t="n">
        <v>50</v>
      </c>
      <c r="AFI140" s="24" t="n">
        <v>2</v>
      </c>
      <c r="AFM140" s="24" t="n">
        <v>50</v>
      </c>
      <c r="AFO140" s="24" t="n">
        <v>2</v>
      </c>
      <c r="AFS140" s="24" t="n">
        <v>0</v>
      </c>
      <c r="AFT140" s="24" t="n">
        <v>0</v>
      </c>
      <c r="AGE140" s="28"/>
      <c r="AGW140" s="24" t="n">
        <v>1</v>
      </c>
      <c r="AGX140" s="24" t="n">
        <v>50</v>
      </c>
      <c r="AGY140" s="24" t="n">
        <v>1</v>
      </c>
      <c r="AGZ140" s="24" t="n">
        <v>1.86</v>
      </c>
      <c r="AHA140" s="24" t="n">
        <v>3</v>
      </c>
      <c r="AIH140" s="27" t="n">
        <v>0.75</v>
      </c>
      <c r="AII140" s="27" t="n">
        <v>1</v>
      </c>
      <c r="AIJ140" s="27" t="n">
        <v>1</v>
      </c>
      <c r="AIK140" s="27"/>
      <c r="AIL140" s="27" t="n">
        <f aca="false">12.69+1.68</f>
        <v>14.37</v>
      </c>
      <c r="AIM140" s="27"/>
      <c r="AIN140" s="27"/>
      <c r="AIO140" s="27"/>
      <c r="AIP140" s="27"/>
      <c r="AIQ140" s="27"/>
      <c r="AIR140" s="27"/>
      <c r="AIS140" s="27" t="n">
        <v>5.16</v>
      </c>
      <c r="AIT140" s="27" t="n">
        <v>2.28</v>
      </c>
      <c r="AIU140" s="27"/>
      <c r="AIV140" s="27"/>
      <c r="AIW140" s="27" t="n">
        <v>0</v>
      </c>
      <c r="AIX140" s="27" t="n">
        <v>0</v>
      </c>
      <c r="AIY140" s="27" t="n">
        <v>0</v>
      </c>
      <c r="AIZ140" s="24" t="n">
        <v>0</v>
      </c>
      <c r="AJA140" s="24" t="s">
        <v>582</v>
      </c>
      <c r="AJB140" s="24" t="n">
        <v>31.5</v>
      </c>
      <c r="AJC140" s="27" t="n">
        <v>78.3</v>
      </c>
      <c r="AJD140" s="27" t="n">
        <v>80.4</v>
      </c>
      <c r="AJE140" s="27" t="n">
        <v>15.4</v>
      </c>
      <c r="AJF140" s="24" t="n">
        <v>93.39</v>
      </c>
      <c r="AJG140" s="24" t="n">
        <v>0.76</v>
      </c>
      <c r="AJH140" s="24" t="n">
        <v>5.85</v>
      </c>
      <c r="AJI140" s="24" t="n">
        <v>0</v>
      </c>
      <c r="AJJ140" s="24" t="n">
        <v>0</v>
      </c>
      <c r="AJK140" s="24" t="n">
        <v>0</v>
      </c>
      <c r="AJL140" s="24" t="n">
        <v>0</v>
      </c>
      <c r="AJM140" s="24" t="n">
        <v>0</v>
      </c>
      <c r="AJN140" s="24" t="n">
        <v>0</v>
      </c>
      <c r="AJO140" s="24" t="n">
        <v>0</v>
      </c>
      <c r="AJP140" s="24" t="n">
        <v>0</v>
      </c>
      <c r="AJQ140" s="24" t="n">
        <v>0</v>
      </c>
      <c r="AJR140" s="24" t="n">
        <v>0</v>
      </c>
      <c r="AJS140" s="24" t="n">
        <v>18.87</v>
      </c>
      <c r="AJT140" s="24" t="n">
        <v>44.71</v>
      </c>
      <c r="AJU140" s="24" t="n">
        <v>0</v>
      </c>
      <c r="AJV140" s="24" t="n">
        <v>0</v>
      </c>
      <c r="AJW140" s="24" t="n">
        <v>0</v>
      </c>
      <c r="AKJ140" s="24" t="n">
        <v>0</v>
      </c>
      <c r="AKK140" s="24" t="n">
        <v>0</v>
      </c>
      <c r="AKV140" s="28"/>
      <c r="ALN140" s="24" t="n">
        <v>0</v>
      </c>
    </row>
    <row r="141" customFormat="false" ht="13.8" hidden="false" customHeight="false" outlineLevel="0" collapsed="false">
      <c r="A141" s="1" t="s">
        <v>586</v>
      </c>
      <c r="B141" s="12" t="n">
        <v>42900</v>
      </c>
      <c r="C141" s="0" t="n">
        <v>2</v>
      </c>
      <c r="D141" s="13" t="n">
        <v>42790</v>
      </c>
      <c r="E141" s="12" t="n">
        <v>33906</v>
      </c>
      <c r="F141" s="14" t="n">
        <f aca="false">(B141-E141)/365.25</f>
        <v>24.6242299794661</v>
      </c>
      <c r="G141" s="14" t="n">
        <f aca="false">(B141-D141)/365.25</f>
        <v>0.301163586584531</v>
      </c>
      <c r="H141" s="15" t="s">
        <v>228</v>
      </c>
      <c r="I141" s="15" t="s">
        <v>251</v>
      </c>
      <c r="J141" s="15" t="s">
        <v>183</v>
      </c>
      <c r="K141" s="21" t="n">
        <v>8</v>
      </c>
      <c r="L141" s="19" t="n">
        <v>65</v>
      </c>
      <c r="M141" s="0" t="n">
        <v>1.72</v>
      </c>
      <c r="N141" s="16" t="n">
        <f aca="false">L141/(M141*M141)</f>
        <v>21.9713358572201</v>
      </c>
      <c r="O141" s="19" t="n">
        <v>0</v>
      </c>
      <c r="P141" s="19" t="n">
        <v>0</v>
      </c>
      <c r="Q141" s="19" t="n">
        <v>0</v>
      </c>
      <c r="R141" s="19" t="n">
        <v>0</v>
      </c>
      <c r="S141" s="19" t="n">
        <v>0</v>
      </c>
      <c r="T141" s="19" t="n">
        <v>0</v>
      </c>
      <c r="U141" s="19" t="n">
        <v>0</v>
      </c>
      <c r="V141" s="19" t="n">
        <v>0</v>
      </c>
      <c r="W141" s="19" t="n">
        <v>0</v>
      </c>
      <c r="X141" s="19" t="n">
        <v>0</v>
      </c>
      <c r="Y141" s="19" t="n">
        <v>0</v>
      </c>
      <c r="Z141" s="19" t="n">
        <v>0</v>
      </c>
      <c r="AA141" s="19" t="n">
        <v>0</v>
      </c>
      <c r="AB141" s="19" t="n">
        <v>0</v>
      </c>
      <c r="AC141" s="19" t="n">
        <v>1</v>
      </c>
      <c r="AD141" s="19" t="n">
        <v>15</v>
      </c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 t="n">
        <v>2</v>
      </c>
      <c r="BS141" s="19" t="n">
        <v>2</v>
      </c>
      <c r="BT141" s="19" t="n">
        <v>3</v>
      </c>
      <c r="BU141" s="19" t="n">
        <v>4</v>
      </c>
      <c r="BV141" s="19" t="n">
        <v>2</v>
      </c>
      <c r="BW141" s="19" t="n">
        <v>1</v>
      </c>
      <c r="BX141" s="19" t="n">
        <v>1</v>
      </c>
      <c r="BY141" s="19" t="n">
        <v>5</v>
      </c>
      <c r="BZ141" s="19" t="n">
        <v>3</v>
      </c>
      <c r="CA141" s="19" t="n">
        <v>5</v>
      </c>
      <c r="CB141" s="19" t="n">
        <v>3</v>
      </c>
      <c r="CC141" s="19" t="n">
        <v>4</v>
      </c>
      <c r="CD141" s="19" t="n">
        <v>4</v>
      </c>
      <c r="CE141" s="19" t="n">
        <v>5</v>
      </c>
      <c r="CF141" s="19" t="n">
        <v>4</v>
      </c>
      <c r="CG141" s="19" t="n">
        <v>5</v>
      </c>
      <c r="CH141" s="19" t="n">
        <v>4</v>
      </c>
      <c r="CI141" s="19" t="n">
        <v>4</v>
      </c>
      <c r="CJ141" s="19" t="n">
        <v>4</v>
      </c>
      <c r="CK141" s="19" t="n">
        <v>8</v>
      </c>
      <c r="CL141" s="0" t="s">
        <v>253</v>
      </c>
      <c r="CM141" s="0" t="n">
        <v>30</v>
      </c>
      <c r="CN141" s="16" t="n">
        <v>85.5</v>
      </c>
      <c r="CO141" s="16" t="n">
        <v>81</v>
      </c>
      <c r="CP141" s="16" t="n">
        <v>15.2</v>
      </c>
      <c r="CQ141" s="0" t="n">
        <v>87.44</v>
      </c>
      <c r="CR141" s="0" t="n">
        <v>0</v>
      </c>
      <c r="CS141" s="0" t="n">
        <v>0.94</v>
      </c>
      <c r="CT141" s="0" t="n">
        <v>1.97</v>
      </c>
      <c r="CU141" s="0" t="n">
        <v>9.65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2.71</v>
      </c>
      <c r="DC141" s="0" t="n">
        <v>0.6</v>
      </c>
      <c r="DD141" s="0" t="n">
        <v>2.17</v>
      </c>
      <c r="DE141" s="0" t="n">
        <v>5.97</v>
      </c>
      <c r="DF141" s="0" t="n">
        <v>2.65</v>
      </c>
      <c r="DG141" s="0" t="n">
        <v>0</v>
      </c>
      <c r="DH141" s="0" t="n">
        <v>0</v>
      </c>
      <c r="DU141" s="0" t="n">
        <v>10.6</v>
      </c>
      <c r="DV141" s="0" t="n">
        <v>1</v>
      </c>
      <c r="DW141" s="0" t="n">
        <v>60</v>
      </c>
      <c r="DX141" s="0" t="n">
        <v>2</v>
      </c>
      <c r="DY141" s="0" t="n">
        <f aca="false">0.38+0.07</f>
        <v>0.45</v>
      </c>
      <c r="DZ141" s="0" t="n">
        <v>1</v>
      </c>
      <c r="EA141" s="0" t="n">
        <v>68</v>
      </c>
      <c r="EB141" s="0" t="n">
        <v>1</v>
      </c>
      <c r="EC141" s="16" t="n">
        <v>0.31</v>
      </c>
      <c r="ED141" s="0" t="n">
        <v>1</v>
      </c>
      <c r="EE141" s="0" t="n">
        <v>85</v>
      </c>
      <c r="EF141" s="0" t="n">
        <v>2</v>
      </c>
      <c r="EG141" s="18" t="n">
        <f aca="false">1.89+0.94</f>
        <v>2.83</v>
      </c>
      <c r="EH141" s="0" t="n">
        <v>2</v>
      </c>
      <c r="EI141" s="0" t="n">
        <v>25</v>
      </c>
      <c r="EJ141" s="0" t="n">
        <v>1</v>
      </c>
      <c r="EK141" s="16" t="n">
        <v>0.27</v>
      </c>
      <c r="EL141" s="0" t="n">
        <v>2</v>
      </c>
      <c r="EY141" s="0" t="n">
        <v>0</v>
      </c>
      <c r="GJ141" s="16" t="n">
        <v>0</v>
      </c>
      <c r="GK141" s="16" t="n">
        <v>0</v>
      </c>
      <c r="GL141" s="16"/>
      <c r="GM141" s="16"/>
      <c r="GN141" s="16"/>
      <c r="GO141" s="16"/>
      <c r="GP141" s="16"/>
      <c r="GQ141" s="16"/>
      <c r="GR141" s="16"/>
      <c r="GS141" s="16"/>
      <c r="GT141" s="16"/>
      <c r="GU141" s="16" t="n">
        <v>4.17</v>
      </c>
      <c r="GV141" s="16" t="n">
        <v>2.54</v>
      </c>
      <c r="GW141" s="16"/>
      <c r="GX141" s="16"/>
      <c r="GY141" s="16" t="n">
        <v>0</v>
      </c>
      <c r="GZ141" s="16" t="n">
        <v>0</v>
      </c>
      <c r="HA141" s="16" t="n">
        <v>0</v>
      </c>
      <c r="HB141" s="0" t="n">
        <v>0</v>
      </c>
      <c r="HC141" s="0" t="s">
        <v>256</v>
      </c>
      <c r="HD141" s="0" t="n">
        <v>40</v>
      </c>
      <c r="HE141" s="16" t="n">
        <v>89.1</v>
      </c>
      <c r="HF141" s="16" t="n">
        <v>81</v>
      </c>
      <c r="HG141" s="16" t="n">
        <v>5.4</v>
      </c>
      <c r="HH141" s="0" t="n">
        <v>99.83</v>
      </c>
      <c r="HI141" s="0" t="n">
        <v>0</v>
      </c>
      <c r="HJ141" s="0" t="n">
        <v>0</v>
      </c>
      <c r="HK141" s="0" t="n">
        <v>0.17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  <c r="HT141" s="0" t="n">
        <v>19.8</v>
      </c>
      <c r="HU141" s="0" t="n">
        <v>8.95</v>
      </c>
      <c r="HV141" s="0" t="n">
        <v>0</v>
      </c>
      <c r="HW141" s="0" t="n">
        <v>0</v>
      </c>
      <c r="HX141" s="0" t="n">
        <v>22.5</v>
      </c>
      <c r="HY141" s="0" t="n">
        <v>1</v>
      </c>
      <c r="HZ141" s="0" t="n">
        <v>5</v>
      </c>
      <c r="IB141" s="0" t="n">
        <v>8</v>
      </c>
      <c r="IL141" s="0" t="n">
        <v>0</v>
      </c>
      <c r="IM141" s="0" t="n">
        <v>0</v>
      </c>
      <c r="IX141" s="18"/>
      <c r="JP141" s="0" t="n">
        <v>1</v>
      </c>
      <c r="JQ141" s="0" t="n">
        <v>50</v>
      </c>
      <c r="JR141" s="0" t="n">
        <v>4</v>
      </c>
      <c r="JS141" s="0" t="n">
        <f aca="false">0.73*2+0.13*2</f>
        <v>1.72</v>
      </c>
      <c r="JT141" s="0" t="n">
        <v>3</v>
      </c>
      <c r="LA141" s="16" t="n">
        <v>1.48</v>
      </c>
      <c r="LB141" s="16" t="n">
        <v>1</v>
      </c>
      <c r="LC141" s="16" t="n">
        <v>1</v>
      </c>
      <c r="LD141" s="16"/>
      <c r="LE141" s="16" t="n">
        <f aca="false">2.1*2+0.37*2</f>
        <v>4.94</v>
      </c>
      <c r="LF141" s="16"/>
      <c r="LG141" s="16"/>
      <c r="LH141" s="16"/>
      <c r="LI141" s="16"/>
      <c r="LJ141" s="16"/>
      <c r="LK141" s="16"/>
      <c r="LL141" s="16" t="n">
        <v>7.71</v>
      </c>
      <c r="LM141" s="16" t="n">
        <v>4.35</v>
      </c>
      <c r="LN141" s="16"/>
      <c r="LO141" s="16"/>
      <c r="LP141" s="16" t="n">
        <v>0</v>
      </c>
      <c r="LQ141" s="16" t="n">
        <v>0</v>
      </c>
      <c r="LR141" s="16" t="n">
        <v>0</v>
      </c>
      <c r="LS141" s="0" t="n">
        <v>0</v>
      </c>
      <c r="LT141" s="0" t="s">
        <v>257</v>
      </c>
      <c r="LU141" s="0" t="n">
        <v>43</v>
      </c>
      <c r="LV141" s="16" t="n">
        <v>93.3</v>
      </c>
      <c r="LW141" s="16" t="n">
        <v>81</v>
      </c>
      <c r="LX141" s="16" t="n">
        <v>6.4</v>
      </c>
      <c r="LY141" s="0" t="n">
        <v>100</v>
      </c>
      <c r="LZ141" s="0" t="n">
        <v>0</v>
      </c>
      <c r="MA141" s="0" t="n">
        <v>0</v>
      </c>
      <c r="MB141" s="0" t="n">
        <v>0</v>
      </c>
      <c r="MC141" s="0" t="n">
        <v>0</v>
      </c>
      <c r="MD141" s="0" t="n">
        <v>0</v>
      </c>
      <c r="ME141" s="0" t="n">
        <v>0</v>
      </c>
      <c r="MF141" s="0" t="n">
        <v>0</v>
      </c>
      <c r="MG141" s="0" t="n">
        <v>0</v>
      </c>
      <c r="MH141" s="0" t="n">
        <v>0</v>
      </c>
      <c r="MI141" s="0" t="n">
        <v>0</v>
      </c>
      <c r="MJ141" s="0" t="n">
        <v>0</v>
      </c>
      <c r="MK141" s="0" t="n">
        <v>18.51</v>
      </c>
      <c r="ML141" s="0" t="n">
        <v>28.46</v>
      </c>
      <c r="MM141" s="0" t="n">
        <v>0</v>
      </c>
      <c r="MN141" s="0" t="n">
        <v>0</v>
      </c>
      <c r="MO141" s="0" t="n">
        <v>0</v>
      </c>
      <c r="MP141" s="0" t="n">
        <v>0</v>
      </c>
      <c r="NC141" s="0" t="n">
        <v>33</v>
      </c>
      <c r="ND141" s="0" t="n">
        <v>0</v>
      </c>
      <c r="NO141" s="18"/>
      <c r="OG141" s="0" t="n">
        <v>1</v>
      </c>
      <c r="OH141" s="0" t="n">
        <v>40</v>
      </c>
      <c r="OI141" s="0" t="n">
        <v>8</v>
      </c>
      <c r="OJ141" s="0" t="n">
        <f aca="false">1.51*2+3.02+0.27*2</f>
        <v>6.58</v>
      </c>
      <c r="OK141" s="0" t="n">
        <v>3</v>
      </c>
      <c r="OL141" s="0" t="n">
        <v>60</v>
      </c>
      <c r="OM141" s="0" t="n">
        <v>20</v>
      </c>
      <c r="ON141" s="0" t="n">
        <f aca="false">3.65*2+0.67*2</f>
        <v>8.64</v>
      </c>
      <c r="OO141" s="0" t="n">
        <v>3</v>
      </c>
      <c r="PR141" s="16" t="n">
        <v>0</v>
      </c>
      <c r="PS141" s="16" t="n">
        <v>0</v>
      </c>
      <c r="PT141" s="16"/>
      <c r="PU141" s="16"/>
      <c r="PV141" s="16"/>
      <c r="PW141" s="16"/>
      <c r="PX141" s="16"/>
      <c r="PY141" s="16"/>
      <c r="PZ141" s="16"/>
      <c r="QA141" s="16"/>
      <c r="QB141" s="16"/>
      <c r="QC141" s="16" t="n">
        <v>0</v>
      </c>
      <c r="QD141" s="16" t="n">
        <v>0</v>
      </c>
      <c r="QE141" s="16"/>
      <c r="QF141" s="16"/>
      <c r="QG141" s="16" t="n">
        <v>0</v>
      </c>
      <c r="QH141" s="16" t="n">
        <v>0</v>
      </c>
      <c r="QI141" s="16" t="n">
        <v>0</v>
      </c>
      <c r="QJ141" s="0" t="n">
        <v>0</v>
      </c>
      <c r="QK141" s="0" t="s">
        <v>258</v>
      </c>
      <c r="QL141" s="0" t="n">
        <v>40</v>
      </c>
      <c r="QM141" s="16" t="n">
        <v>90.1</v>
      </c>
      <c r="QN141" s="16" t="n">
        <v>81</v>
      </c>
      <c r="QO141" s="16" t="n">
        <v>5.9</v>
      </c>
      <c r="QP141" s="0" t="n">
        <v>99.34</v>
      </c>
      <c r="QQ141" s="0" t="n">
        <v>0</v>
      </c>
      <c r="QR141" s="0" t="n">
        <v>0</v>
      </c>
      <c r="QS141" s="0" t="n">
        <v>0.66</v>
      </c>
      <c r="QT141" s="0" t="n">
        <v>0</v>
      </c>
      <c r="QU141" s="0" t="n">
        <v>0</v>
      </c>
      <c r="QV141" s="0" t="n">
        <v>0</v>
      </c>
      <c r="QW141" s="0" t="n">
        <v>0</v>
      </c>
      <c r="QX141" s="0" t="n">
        <v>0</v>
      </c>
      <c r="QY141" s="0" t="n">
        <v>0</v>
      </c>
      <c r="QZ141" s="0" t="n">
        <v>0</v>
      </c>
      <c r="RA141" s="0" t="n">
        <v>0</v>
      </c>
      <c r="RB141" s="0" t="n">
        <v>19.8</v>
      </c>
      <c r="RC141" s="0" t="n">
        <v>8.95</v>
      </c>
      <c r="RD141" s="0" t="n">
        <v>0</v>
      </c>
      <c r="RE141" s="0" t="n">
        <v>0</v>
      </c>
      <c r="RF141" s="0" t="n">
        <v>22.3</v>
      </c>
      <c r="RG141" s="0" t="n">
        <v>1</v>
      </c>
      <c r="RH141" s="0" t="n">
        <v>5</v>
      </c>
      <c r="RJ141" s="0" t="n">
        <v>8</v>
      </c>
      <c r="RT141" s="0" t="n">
        <v>0</v>
      </c>
      <c r="RU141" s="0" t="n">
        <v>0</v>
      </c>
      <c r="SF141" s="18"/>
      <c r="SX141" s="0" t="n">
        <v>1</v>
      </c>
      <c r="SY141" s="0" t="n">
        <v>50</v>
      </c>
      <c r="SZ141" s="0" t="n">
        <v>4</v>
      </c>
      <c r="TA141" s="0" t="n">
        <f aca="false">0.73*2+0.13*2</f>
        <v>1.72</v>
      </c>
      <c r="TB141" s="0" t="n">
        <v>3</v>
      </c>
      <c r="UI141" s="16" t="n">
        <v>1.48</v>
      </c>
      <c r="UJ141" s="16" t="n">
        <v>1</v>
      </c>
      <c r="UK141" s="16" t="n">
        <v>1</v>
      </c>
      <c r="UL141" s="16"/>
      <c r="UM141" s="16" t="n">
        <f aca="false">2.1*2+0.37*2</f>
        <v>4.94</v>
      </c>
      <c r="UN141" s="16"/>
      <c r="UO141" s="16"/>
      <c r="UP141" s="16"/>
      <c r="UQ141" s="16"/>
      <c r="UR141" s="16"/>
      <c r="US141" s="16"/>
      <c r="UT141" s="16" t="n">
        <v>7.71</v>
      </c>
      <c r="UU141" s="16" t="n">
        <v>4.35</v>
      </c>
      <c r="UV141" s="16"/>
      <c r="UW141" s="16"/>
      <c r="UX141" s="16" t="n">
        <v>0</v>
      </c>
      <c r="UY141" s="16" t="n">
        <v>0</v>
      </c>
      <c r="UZ141" s="16" t="n">
        <v>0</v>
      </c>
      <c r="VA141" s="0" t="n">
        <v>0</v>
      </c>
      <c r="VB141" s="0" t="s">
        <v>259</v>
      </c>
      <c r="VC141" s="0" t="n">
        <v>43</v>
      </c>
      <c r="VD141" s="16" t="n">
        <v>93.3</v>
      </c>
      <c r="VE141" s="16" t="n">
        <v>81</v>
      </c>
      <c r="VF141" s="16" t="n">
        <v>6.4</v>
      </c>
      <c r="VG141" s="0" t="n">
        <v>100</v>
      </c>
      <c r="VH141" s="0" t="n">
        <v>0</v>
      </c>
      <c r="VI141" s="0" t="n">
        <v>0</v>
      </c>
      <c r="VJ141" s="0" t="n">
        <v>0</v>
      </c>
      <c r="VK141" s="0" t="n">
        <v>0</v>
      </c>
      <c r="VL141" s="0" t="n">
        <v>0</v>
      </c>
      <c r="VM141" s="0" t="n">
        <v>0</v>
      </c>
      <c r="VN141" s="0" t="n">
        <v>0</v>
      </c>
      <c r="VO141" s="0" t="n">
        <v>0</v>
      </c>
      <c r="VP141" s="0" t="n">
        <v>0</v>
      </c>
      <c r="VQ141" s="0" t="n">
        <v>0</v>
      </c>
      <c r="VR141" s="0" t="n">
        <v>0</v>
      </c>
      <c r="VS141" s="0" t="n">
        <v>18.51</v>
      </c>
      <c r="VT141" s="0" t="n">
        <v>28.46</v>
      </c>
      <c r="VU141" s="0" t="n">
        <v>0</v>
      </c>
      <c r="VV141" s="0" t="n">
        <v>0</v>
      </c>
      <c r="VW141" s="0" t="n">
        <v>0</v>
      </c>
      <c r="VX141" s="0" t="n">
        <v>0</v>
      </c>
      <c r="WK141" s="0" t="n">
        <v>33</v>
      </c>
      <c r="WL141" s="0" t="n">
        <v>0</v>
      </c>
      <c r="WW141" s="18"/>
      <c r="XO141" s="0" t="n">
        <v>1</v>
      </c>
      <c r="XP141" s="0" t="n">
        <v>40</v>
      </c>
      <c r="XQ141" s="0" t="n">
        <v>8</v>
      </c>
      <c r="XR141" s="0" t="n">
        <f aca="false">1.51*2+0.27*2+3.02</f>
        <v>6.58</v>
      </c>
      <c r="XS141" s="0" t="n">
        <v>3</v>
      </c>
      <c r="XT141" s="0" t="n">
        <v>60</v>
      </c>
      <c r="XU141" s="0" t="n">
        <v>20</v>
      </c>
      <c r="XV141" s="0" t="n">
        <f aca="false">3.65*2+0.67*2</f>
        <v>8.64</v>
      </c>
      <c r="XW141" s="0" t="n">
        <v>3</v>
      </c>
      <c r="YZ141" s="16" t="n">
        <v>0</v>
      </c>
      <c r="ZA141" s="16" t="n">
        <v>0</v>
      </c>
      <c r="ZB141" s="16"/>
      <c r="ZC141" s="16"/>
      <c r="ZD141" s="16"/>
      <c r="ZE141" s="16"/>
      <c r="ZF141" s="16"/>
      <c r="ZG141" s="16"/>
      <c r="ZH141" s="16"/>
      <c r="ZI141" s="16"/>
      <c r="ZJ141" s="16"/>
      <c r="ZK141" s="16" t="n">
        <v>0</v>
      </c>
      <c r="ZL141" s="16" t="n">
        <v>0</v>
      </c>
      <c r="ZM141" s="16"/>
      <c r="ZN141" s="16"/>
      <c r="ZO141" s="16" t="n">
        <v>0</v>
      </c>
      <c r="ZP141" s="16" t="n">
        <v>0</v>
      </c>
      <c r="ZQ141" s="16" t="n">
        <v>0</v>
      </c>
      <c r="ZR141" s="0" t="n">
        <v>0</v>
      </c>
      <c r="ZS141" s="0" t="s">
        <v>587</v>
      </c>
      <c r="ZT141" s="0" t="n">
        <v>62</v>
      </c>
      <c r="ZU141" s="16" t="n">
        <v>90.3</v>
      </c>
      <c r="ZV141" s="16" t="n">
        <v>81</v>
      </c>
      <c r="ZW141" s="16" t="n">
        <v>56.4</v>
      </c>
      <c r="ZX141" s="0" t="n">
        <v>56.67</v>
      </c>
      <c r="ZY141" s="0" t="n">
        <v>0</v>
      </c>
      <c r="ZZ141" s="0" t="n">
        <v>0</v>
      </c>
      <c r="AAA141" s="0" t="n">
        <v>43.33</v>
      </c>
      <c r="AAB141" s="0" t="n">
        <v>0</v>
      </c>
      <c r="AAC141" s="0" t="n">
        <v>0</v>
      </c>
      <c r="AAD141" s="0" t="n">
        <v>0</v>
      </c>
      <c r="AAE141" s="0" t="n">
        <v>0</v>
      </c>
      <c r="AAF141" s="0" t="n">
        <v>0</v>
      </c>
      <c r="AAG141" s="0" t="n">
        <v>0</v>
      </c>
      <c r="AAH141" s="0" t="n">
        <v>0</v>
      </c>
      <c r="AAI141" s="0" t="n">
        <v>0</v>
      </c>
      <c r="AAJ141" s="0" t="n">
        <v>0</v>
      </c>
      <c r="AAK141" s="0" t="n">
        <v>0.55</v>
      </c>
      <c r="AAL141" s="0" t="n">
        <v>0</v>
      </c>
      <c r="AAM141" s="0" t="n">
        <v>0</v>
      </c>
      <c r="AAN141" s="0" t="n">
        <v>0</v>
      </c>
      <c r="AAO141" s="0" t="n">
        <v>0</v>
      </c>
      <c r="ABB141" s="0" t="n">
        <v>0</v>
      </c>
      <c r="ABC141" s="0" t="n">
        <v>0</v>
      </c>
      <c r="ABN141" s="18"/>
      <c r="ACF141" s="0" t="n">
        <v>0</v>
      </c>
      <c r="ADQ141" s="16" t="n">
        <v>3.58</v>
      </c>
      <c r="ADR141" s="16" t="n">
        <v>1</v>
      </c>
      <c r="ADS141" s="16" t="n">
        <v>1</v>
      </c>
      <c r="ADT141" s="16"/>
      <c r="ADU141" s="16" t="n">
        <f aca="false">10.5+5.57+3.88+6.19+1.33+1.67+0.4+0.65</f>
        <v>30.19</v>
      </c>
      <c r="ADV141" s="16"/>
      <c r="ADW141" s="16"/>
      <c r="ADX141" s="16"/>
      <c r="ADY141" s="16"/>
      <c r="ADZ141" s="16"/>
      <c r="AEA141" s="16"/>
      <c r="AEB141" s="16" t="n">
        <v>1.71</v>
      </c>
      <c r="AEC141" s="16" t="n">
        <v>1.58</v>
      </c>
      <c r="AED141" s="16"/>
      <c r="AEE141" s="16"/>
      <c r="AEF141" s="16" t="n">
        <v>0</v>
      </c>
      <c r="AEG141" s="16" t="n">
        <v>0</v>
      </c>
      <c r="AEH141" s="16" t="n">
        <v>0</v>
      </c>
      <c r="AEI141" s="0" t="n">
        <v>0</v>
      </c>
      <c r="AEK141" s="15"/>
      <c r="AEL141" s="15"/>
      <c r="AES141" s="15"/>
      <c r="AET141" s="15"/>
      <c r="AFA141" s="15"/>
      <c r="AFB141" s="15"/>
      <c r="AFI141" s="15"/>
      <c r="AFJ141" s="15"/>
      <c r="AFQ141" s="15"/>
      <c r="AFR141" s="15"/>
      <c r="AFY141" s="15"/>
      <c r="AFZ141" s="15"/>
      <c r="AGG141" s="15"/>
      <c r="AGH141" s="15"/>
      <c r="AGO141" s="15"/>
      <c r="AGP141" s="15"/>
      <c r="AGW141" s="15"/>
      <c r="AGX141" s="15"/>
      <c r="AHE141" s="15"/>
      <c r="AHF141" s="15"/>
      <c r="AHM141" s="15"/>
      <c r="AHN141" s="15"/>
      <c r="AHU141" s="15"/>
      <c r="AHV141" s="15"/>
      <c r="AIC141" s="15"/>
      <c r="AID141" s="15"/>
      <c r="AIK141" s="15"/>
      <c r="AIL141" s="15"/>
      <c r="AIS141" s="15"/>
      <c r="AIT141" s="15"/>
      <c r="AJA141" s="15"/>
      <c r="AJB141" s="15"/>
      <c r="AJI141" s="15"/>
      <c r="AJJ141" s="15"/>
      <c r="AJQ141" s="15"/>
      <c r="AJR141" s="15"/>
      <c r="AJY141" s="15"/>
      <c r="AJZ141" s="15"/>
      <c r="AKG141" s="15"/>
      <c r="AKH141" s="15"/>
      <c r="AKO141" s="15"/>
      <c r="AKP141" s="15"/>
      <c r="AKW141" s="15"/>
      <c r="AKX141" s="15"/>
      <c r="ALE141" s="15"/>
      <c r="ALF141" s="15"/>
      <c r="ALM141" s="15"/>
      <c r="ALN141" s="15"/>
      <c r="ALU141" s="15"/>
      <c r="ALV141" s="15"/>
      <c r="AMC141" s="15"/>
      <c r="AMD141" s="15"/>
    </row>
    <row r="142" customFormat="false" ht="13.8" hidden="false" customHeight="false" outlineLevel="0" collapsed="false">
      <c r="A142" s="1" t="s">
        <v>588</v>
      </c>
      <c r="B142" s="12" t="n">
        <v>42899</v>
      </c>
      <c r="C142" s="0" t="n">
        <v>2</v>
      </c>
      <c r="D142" s="13" t="n">
        <v>42821</v>
      </c>
      <c r="E142" s="12" t="n">
        <v>35500</v>
      </c>
      <c r="F142" s="14" t="n">
        <f aca="false">(B142-E142)/365.25</f>
        <v>20.2573579739904</v>
      </c>
      <c r="G142" s="14" t="n">
        <f aca="false">(B142-D142)/365.25</f>
        <v>0.213552361396304</v>
      </c>
      <c r="H142" s="15" t="s">
        <v>228</v>
      </c>
      <c r="I142" s="15" t="s">
        <v>251</v>
      </c>
      <c r="J142" s="15" t="s">
        <v>183</v>
      </c>
      <c r="K142" s="21" t="n">
        <v>8</v>
      </c>
      <c r="L142" s="19" t="n">
        <v>70</v>
      </c>
      <c r="M142" s="0" t="n">
        <v>1.78</v>
      </c>
      <c r="N142" s="16" t="n">
        <f aca="false">L142/(M142*M142)</f>
        <v>22.0931700542861</v>
      </c>
      <c r="O142" s="19" t="n">
        <v>0</v>
      </c>
      <c r="P142" s="19" t="n">
        <v>0</v>
      </c>
      <c r="Q142" s="19" t="n">
        <v>0</v>
      </c>
      <c r="R142" s="19" t="n">
        <v>0</v>
      </c>
      <c r="S142" s="19" t="n">
        <v>0</v>
      </c>
      <c r="T142" s="19" t="n">
        <v>0</v>
      </c>
      <c r="U142" s="19" t="n">
        <v>0</v>
      </c>
      <c r="V142" s="19" t="n">
        <v>0</v>
      </c>
      <c r="W142" s="19" t="n">
        <v>0</v>
      </c>
      <c r="X142" s="19" t="n">
        <v>0</v>
      </c>
      <c r="Y142" s="19" t="n">
        <v>1</v>
      </c>
      <c r="Z142" s="19" t="n">
        <v>2</v>
      </c>
      <c r="AA142" s="19" t="n">
        <v>30</v>
      </c>
      <c r="AB142" s="19" t="s">
        <v>578</v>
      </c>
      <c r="AC142" s="19" t="n">
        <v>0</v>
      </c>
      <c r="AD142" s="19" t="n">
        <v>0</v>
      </c>
      <c r="AE142" s="19" t="n">
        <v>1</v>
      </c>
      <c r="AF142" s="19"/>
      <c r="AG142" s="19"/>
      <c r="AH142" s="19"/>
      <c r="AI142" s="19" t="n">
        <v>3</v>
      </c>
      <c r="AJ142" s="19"/>
      <c r="AK142" s="19"/>
      <c r="AL142" s="19"/>
      <c r="AM142" s="19"/>
      <c r="AN142" s="19"/>
      <c r="AO142" s="19"/>
      <c r="AP142" s="19"/>
      <c r="AQ142" s="19"/>
      <c r="AR142" s="19"/>
      <c r="AS142" s="19" t="n">
        <v>0</v>
      </c>
      <c r="AT142" s="19" t="n">
        <v>0</v>
      </c>
      <c r="AU142" s="19" t="n">
        <v>0</v>
      </c>
      <c r="AV142" s="19" t="n">
        <v>0</v>
      </c>
      <c r="AW142" s="19" t="n">
        <v>0</v>
      </c>
      <c r="AX142" s="19" t="n">
        <v>0</v>
      </c>
      <c r="AY142" s="19" t="n">
        <v>0</v>
      </c>
      <c r="AZ142" s="19" t="n">
        <v>0</v>
      </c>
      <c r="BA142" s="19" t="n">
        <v>0</v>
      </c>
      <c r="BB142" s="19" t="n">
        <v>0</v>
      </c>
      <c r="BC142" s="19" t="n">
        <v>0</v>
      </c>
      <c r="BD142" s="19" t="n">
        <v>0</v>
      </c>
      <c r="BE142" s="19" t="n">
        <v>0</v>
      </c>
      <c r="BF142" s="19" t="n">
        <v>0</v>
      </c>
      <c r="BG142" s="19" t="n">
        <v>0</v>
      </c>
      <c r="BH142" s="19" t="n">
        <v>0</v>
      </c>
      <c r="BI142" s="19" t="n">
        <v>0</v>
      </c>
      <c r="BJ142" s="19" t="n">
        <v>0</v>
      </c>
      <c r="BK142" s="19" t="n">
        <v>0</v>
      </c>
      <c r="BL142" s="19" t="n">
        <v>0</v>
      </c>
      <c r="BM142" s="19" t="n">
        <v>0</v>
      </c>
      <c r="BN142" s="19" t="n">
        <v>0</v>
      </c>
      <c r="BO142" s="19" t="n">
        <v>0</v>
      </c>
      <c r="BP142" s="19" t="n">
        <v>0</v>
      </c>
      <c r="BQ142" s="19" t="n">
        <v>0</v>
      </c>
      <c r="BR142" s="19" t="n">
        <v>2</v>
      </c>
      <c r="BS142" s="19" t="n">
        <v>3</v>
      </c>
      <c r="BT142" s="19" t="n">
        <v>1</v>
      </c>
      <c r="BU142" s="19" t="n">
        <v>5</v>
      </c>
      <c r="BV142" s="19" t="n">
        <v>1</v>
      </c>
      <c r="BW142" s="19" t="n">
        <v>5</v>
      </c>
      <c r="BX142" s="19" t="n">
        <v>1</v>
      </c>
      <c r="BY142" s="19" t="n">
        <v>5</v>
      </c>
      <c r="BZ142" s="19" t="n">
        <v>4</v>
      </c>
      <c r="CA142" s="19" t="n">
        <v>5</v>
      </c>
      <c r="CB142" s="19" t="n">
        <v>5</v>
      </c>
      <c r="CC142" s="19" t="n">
        <v>5</v>
      </c>
      <c r="CD142" s="19" t="n">
        <v>3</v>
      </c>
      <c r="CE142" s="19" t="n">
        <v>5</v>
      </c>
      <c r="CF142" s="19" t="n">
        <v>5</v>
      </c>
      <c r="CG142" s="19" t="n">
        <v>5</v>
      </c>
      <c r="CH142" s="19" t="n">
        <v>4</v>
      </c>
      <c r="CI142" s="19" t="n">
        <v>5</v>
      </c>
      <c r="CJ142" s="19" t="n">
        <v>4</v>
      </c>
      <c r="CK142" s="19" t="n">
        <v>7</v>
      </c>
      <c r="CL142" s="0" t="s">
        <v>253</v>
      </c>
      <c r="CM142" s="0" t="n">
        <v>30</v>
      </c>
      <c r="CN142" s="16" t="n">
        <v>85.5</v>
      </c>
      <c r="CO142" s="16" t="n">
        <v>81</v>
      </c>
      <c r="CP142" s="16" t="n">
        <v>15.2</v>
      </c>
      <c r="CQ142" s="0" t="n">
        <v>87.44</v>
      </c>
      <c r="CR142" s="0" t="n">
        <v>0</v>
      </c>
      <c r="CS142" s="0" t="n">
        <v>0.94</v>
      </c>
      <c r="CT142" s="0" t="n">
        <v>1.97</v>
      </c>
      <c r="CU142" s="0" t="n">
        <v>9.65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2.71</v>
      </c>
      <c r="DC142" s="0" t="n">
        <v>0.6</v>
      </c>
      <c r="DD142" s="0" t="n">
        <v>2.17</v>
      </c>
      <c r="DE142" s="0" t="n">
        <v>5.97</v>
      </c>
      <c r="DF142" s="0" t="n">
        <v>2.65</v>
      </c>
      <c r="DG142" s="0" t="n">
        <v>0</v>
      </c>
      <c r="DH142" s="0" t="n">
        <v>0</v>
      </c>
      <c r="DU142" s="0" t="n">
        <v>10.6</v>
      </c>
      <c r="DV142" s="0" t="n">
        <v>1</v>
      </c>
      <c r="DW142" s="0" t="n">
        <v>60</v>
      </c>
      <c r="DX142" s="0" t="n">
        <v>2</v>
      </c>
      <c r="DY142" s="0" t="n">
        <f aca="false">0.38+0.07</f>
        <v>0.45</v>
      </c>
      <c r="DZ142" s="0" t="n">
        <v>1</v>
      </c>
      <c r="EA142" s="0" t="n">
        <v>68</v>
      </c>
      <c r="EB142" s="0" t="n">
        <v>1</v>
      </c>
      <c r="EC142" s="16" t="n">
        <v>0.31</v>
      </c>
      <c r="ED142" s="0" t="n">
        <v>1</v>
      </c>
      <c r="EE142" s="0" t="n">
        <v>85</v>
      </c>
      <c r="EF142" s="0" t="n">
        <v>2</v>
      </c>
      <c r="EG142" s="18" t="n">
        <f aca="false">1.89+0.94</f>
        <v>2.83</v>
      </c>
      <c r="EH142" s="0" t="n">
        <v>2</v>
      </c>
      <c r="EI142" s="0" t="n">
        <v>25</v>
      </c>
      <c r="EJ142" s="0" t="n">
        <v>1</v>
      </c>
      <c r="EK142" s="16" t="n">
        <v>0.27</v>
      </c>
      <c r="EL142" s="0" t="n">
        <v>2</v>
      </c>
      <c r="EY142" s="0" t="n">
        <v>0</v>
      </c>
      <c r="GJ142" s="16" t="n">
        <v>0</v>
      </c>
      <c r="GK142" s="16" t="n">
        <v>0</v>
      </c>
      <c r="GL142" s="16"/>
      <c r="GM142" s="16"/>
      <c r="GN142" s="16"/>
      <c r="GO142" s="16"/>
      <c r="GP142" s="16"/>
      <c r="GQ142" s="16"/>
      <c r="GR142" s="16"/>
      <c r="GS142" s="16"/>
      <c r="GT142" s="16"/>
      <c r="GU142" s="16" t="n">
        <v>4.17</v>
      </c>
      <c r="GV142" s="16" t="n">
        <v>2.54</v>
      </c>
      <c r="GW142" s="16"/>
      <c r="GX142" s="16"/>
      <c r="GY142" s="16" t="n">
        <v>0</v>
      </c>
      <c r="GZ142" s="16" t="n">
        <v>0</v>
      </c>
      <c r="HA142" s="16" t="n">
        <v>0</v>
      </c>
      <c r="HB142" s="0" t="n">
        <v>0</v>
      </c>
      <c r="HC142" s="0" t="s">
        <v>254</v>
      </c>
      <c r="HD142" s="0" t="n">
        <v>53</v>
      </c>
      <c r="HE142" s="16" t="n">
        <v>81.5</v>
      </c>
      <c r="HF142" s="16" t="n">
        <v>81</v>
      </c>
      <c r="HG142" s="16" t="n">
        <v>36.4</v>
      </c>
      <c r="HH142" s="0" t="n">
        <v>56.99</v>
      </c>
      <c r="HI142" s="0" t="n">
        <v>0</v>
      </c>
      <c r="HJ142" s="0" t="n">
        <v>0</v>
      </c>
      <c r="HK142" s="0" t="n">
        <v>0.12</v>
      </c>
      <c r="HL142" s="0" t="n">
        <v>42.89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25.37</v>
      </c>
      <c r="HT142" s="0" t="n">
        <v>0</v>
      </c>
      <c r="HU142" s="0" t="n">
        <v>42.65</v>
      </c>
      <c r="HV142" s="0" t="n">
        <v>6.3</v>
      </c>
      <c r="HW142" s="0" t="n">
        <v>0</v>
      </c>
      <c r="HX142" s="0" t="n">
        <v>0</v>
      </c>
      <c r="HY142" s="0" t="n">
        <v>0</v>
      </c>
      <c r="IL142" s="0" t="n">
        <v>8.7</v>
      </c>
      <c r="IM142" s="0" t="n">
        <v>1</v>
      </c>
      <c r="IN142" s="0" t="n">
        <v>137</v>
      </c>
      <c r="IO142" s="0" t="n">
        <v>2</v>
      </c>
      <c r="IP142" s="0" t="n">
        <f aca="false">0.65+0.05</f>
        <v>0.7</v>
      </c>
      <c r="IQ142" s="0" t="n">
        <v>1</v>
      </c>
      <c r="IR142" s="0" t="n">
        <v>103</v>
      </c>
      <c r="IS142" s="0" t="n">
        <v>2</v>
      </c>
      <c r="IT142" s="16" t="n">
        <f aca="false">0.65+0.05</f>
        <v>0.7</v>
      </c>
      <c r="IU142" s="0" t="n">
        <v>1</v>
      </c>
      <c r="IX142" s="18"/>
      <c r="JP142" s="0" t="n">
        <v>0</v>
      </c>
      <c r="LA142" s="16" t="n">
        <v>2.28</v>
      </c>
      <c r="LB142" s="16" t="n">
        <v>1</v>
      </c>
      <c r="LC142" s="16" t="n">
        <v>3</v>
      </c>
      <c r="LD142" s="16"/>
      <c r="LE142" s="16" t="n">
        <f aca="false">2.69+0.37+0.74</f>
        <v>3.8</v>
      </c>
      <c r="LF142" s="16"/>
      <c r="LG142" s="16"/>
      <c r="LH142" s="16"/>
      <c r="LI142" s="16"/>
      <c r="LJ142" s="16"/>
      <c r="LK142" s="16"/>
      <c r="LL142" s="16" t="n">
        <v>0.48</v>
      </c>
      <c r="LM142" s="16" t="n">
        <v>0.48</v>
      </c>
      <c r="LN142" s="16"/>
      <c r="LO142" s="16"/>
      <c r="LP142" s="16" t="n">
        <v>2.22</v>
      </c>
      <c r="LQ142" s="16" t="n">
        <v>23.08</v>
      </c>
      <c r="LR142" s="16" t="n">
        <v>0</v>
      </c>
      <c r="LS142" s="0" t="n">
        <v>0</v>
      </c>
      <c r="LT142" s="0" t="s">
        <v>255</v>
      </c>
      <c r="LU142" s="0" t="n">
        <v>41</v>
      </c>
      <c r="LV142" s="16" t="n">
        <v>48.6</v>
      </c>
      <c r="LW142" s="16" t="n">
        <v>81</v>
      </c>
      <c r="LX142" s="16" t="n">
        <v>21.6</v>
      </c>
      <c r="LY142" s="0" t="n">
        <v>76.16</v>
      </c>
      <c r="LZ142" s="0" t="n">
        <v>0</v>
      </c>
      <c r="MA142" s="0" t="n">
        <v>0.07</v>
      </c>
      <c r="MB142" s="0" t="n">
        <v>0.13</v>
      </c>
      <c r="MC142" s="0" t="n">
        <v>23.64</v>
      </c>
      <c r="MD142" s="0" t="n">
        <v>0</v>
      </c>
      <c r="ME142" s="0" t="n">
        <v>0</v>
      </c>
      <c r="MF142" s="0" t="n">
        <v>0</v>
      </c>
      <c r="MG142" s="0" t="n">
        <v>0</v>
      </c>
      <c r="MH142" s="0" t="n">
        <v>0</v>
      </c>
      <c r="MI142" s="0" t="n">
        <v>0</v>
      </c>
      <c r="MJ142" s="0" t="n">
        <v>6.53</v>
      </c>
      <c r="MK142" s="0" t="n">
        <v>0.2</v>
      </c>
      <c r="ML142" s="0" t="n">
        <v>27.15</v>
      </c>
      <c r="MM142" s="0" t="n">
        <v>4.11</v>
      </c>
      <c r="MN142" s="0" t="n">
        <v>0</v>
      </c>
      <c r="MO142" s="0" t="n">
        <v>3.9</v>
      </c>
      <c r="MP142" s="0" t="n">
        <v>1</v>
      </c>
      <c r="MQ142" s="0" t="n">
        <v>10</v>
      </c>
      <c r="MS142" s="0" t="n">
        <v>1</v>
      </c>
      <c r="NC142" s="0" t="n">
        <v>0.6</v>
      </c>
      <c r="ND142" s="0" t="n">
        <v>1</v>
      </c>
      <c r="NE142" s="0" t="n">
        <v>52</v>
      </c>
      <c r="NF142" s="0" t="n">
        <v>3</v>
      </c>
      <c r="NG142" s="16" t="n">
        <f aca="false">0.16+0.13</f>
        <v>0.29</v>
      </c>
      <c r="NH142" s="0" t="n">
        <v>2</v>
      </c>
      <c r="NO142" s="18"/>
      <c r="OG142" s="0" t="n">
        <v>0</v>
      </c>
      <c r="PR142" s="16" t="n">
        <v>0.57</v>
      </c>
      <c r="PS142" s="16" t="n">
        <v>1</v>
      </c>
      <c r="PT142" s="16" t="n">
        <v>1</v>
      </c>
      <c r="PU142" s="16"/>
      <c r="PV142" s="16" t="n">
        <f aca="false">0.93</f>
        <v>0.93</v>
      </c>
      <c r="PW142" s="16" t="n">
        <v>2</v>
      </c>
      <c r="PX142" s="16"/>
      <c r="PY142" s="16" t="n">
        <f aca="false">0.31+0.22</f>
        <v>0.53</v>
      </c>
      <c r="PZ142" s="16"/>
      <c r="QA142" s="16"/>
      <c r="QB142" s="16"/>
      <c r="QC142" s="16" t="n">
        <v>5.72</v>
      </c>
      <c r="QD142" s="16" t="n">
        <v>5.75</v>
      </c>
      <c r="QE142" s="16"/>
      <c r="QF142" s="16"/>
      <c r="QG142" s="16" t="n">
        <v>7.41</v>
      </c>
      <c r="QH142" s="16" t="n">
        <v>0</v>
      </c>
      <c r="QI142" s="16" t="n">
        <v>0.22</v>
      </c>
      <c r="QJ142" s="0" t="n">
        <v>5</v>
      </c>
      <c r="QK142" s="0" t="s">
        <v>256</v>
      </c>
      <c r="QL142" s="0" t="n">
        <v>40</v>
      </c>
      <c r="QM142" s="16" t="n">
        <v>89.1</v>
      </c>
      <c r="QN142" s="16" t="n">
        <v>81</v>
      </c>
      <c r="QO142" s="16" t="n">
        <v>5.4</v>
      </c>
      <c r="QP142" s="0" t="n">
        <v>99.83</v>
      </c>
      <c r="QQ142" s="0" t="n">
        <v>0</v>
      </c>
      <c r="QR142" s="0" t="n">
        <v>0</v>
      </c>
      <c r="QS142" s="0" t="n">
        <v>0.17</v>
      </c>
      <c r="QT142" s="0" t="n">
        <v>0</v>
      </c>
      <c r="QU142" s="0" t="n">
        <v>0</v>
      </c>
      <c r="QV142" s="0" t="n">
        <v>0</v>
      </c>
      <c r="QW142" s="0" t="n">
        <v>0</v>
      </c>
      <c r="QX142" s="0" t="n">
        <v>0</v>
      </c>
      <c r="QY142" s="0" t="n">
        <v>0</v>
      </c>
      <c r="QZ142" s="0" t="n">
        <v>0</v>
      </c>
      <c r="RA142" s="0" t="n">
        <v>0</v>
      </c>
      <c r="RB142" s="0" t="n">
        <v>19.8</v>
      </c>
      <c r="RC142" s="0" t="n">
        <v>8.95</v>
      </c>
      <c r="RD142" s="0" t="n">
        <v>0</v>
      </c>
      <c r="RE142" s="0" t="n">
        <v>0</v>
      </c>
      <c r="RF142" s="0" t="n">
        <v>22.5</v>
      </c>
      <c r="RG142" s="0" t="n">
        <v>1</v>
      </c>
      <c r="RH142" s="0" t="n">
        <v>5</v>
      </c>
      <c r="RJ142" s="0" t="n">
        <v>8</v>
      </c>
      <c r="RT142" s="0" t="n">
        <v>0</v>
      </c>
      <c r="RU142" s="0" t="n">
        <v>0</v>
      </c>
      <c r="SF142" s="18"/>
      <c r="SX142" s="0" t="n">
        <v>1</v>
      </c>
      <c r="SY142" s="0" t="n">
        <v>50</v>
      </c>
      <c r="SZ142" s="0" t="n">
        <v>4</v>
      </c>
      <c r="TA142" s="0" t="n">
        <f aca="false">0.73*2+0.13*2</f>
        <v>1.72</v>
      </c>
      <c r="TB142" s="0" t="n">
        <v>3</v>
      </c>
      <c r="UI142" s="16" t="n">
        <v>1.48</v>
      </c>
      <c r="UJ142" s="16" t="n">
        <v>1</v>
      </c>
      <c r="UK142" s="16" t="n">
        <v>1</v>
      </c>
      <c r="UL142" s="16"/>
      <c r="UM142" s="16" t="n">
        <f aca="false">2.1*2+0.37*2</f>
        <v>4.94</v>
      </c>
      <c r="UN142" s="16"/>
      <c r="UO142" s="16"/>
      <c r="UP142" s="16"/>
      <c r="UQ142" s="16"/>
      <c r="UR142" s="16"/>
      <c r="US142" s="16"/>
      <c r="UT142" s="16" t="n">
        <v>7.71</v>
      </c>
      <c r="UU142" s="16" t="n">
        <v>4.35</v>
      </c>
      <c r="UV142" s="16"/>
      <c r="UW142" s="16"/>
      <c r="UX142" s="16" t="n">
        <v>0</v>
      </c>
      <c r="UY142" s="16" t="n">
        <v>0</v>
      </c>
      <c r="UZ142" s="16" t="n">
        <v>0</v>
      </c>
      <c r="VA142" s="0" t="n">
        <v>0</v>
      </c>
      <c r="VB142" s="0" t="s">
        <v>257</v>
      </c>
      <c r="VC142" s="0" t="n">
        <v>43</v>
      </c>
      <c r="VD142" s="16" t="n">
        <v>93.3</v>
      </c>
      <c r="VE142" s="16" t="n">
        <v>81</v>
      </c>
      <c r="VF142" s="16" t="n">
        <v>6.4</v>
      </c>
      <c r="VG142" s="0" t="n">
        <v>100</v>
      </c>
      <c r="VH142" s="0" t="n">
        <v>0</v>
      </c>
      <c r="VI142" s="0" t="n">
        <v>0</v>
      </c>
      <c r="VJ142" s="0" t="n">
        <v>0</v>
      </c>
      <c r="VK142" s="0" t="n">
        <v>0</v>
      </c>
      <c r="VL142" s="0" t="n">
        <v>0</v>
      </c>
      <c r="VM142" s="0" t="n">
        <v>0</v>
      </c>
      <c r="VN142" s="0" t="n">
        <v>0</v>
      </c>
      <c r="VO142" s="0" t="n">
        <v>0</v>
      </c>
      <c r="VP142" s="0" t="n">
        <v>0</v>
      </c>
      <c r="VQ142" s="0" t="n">
        <v>0</v>
      </c>
      <c r="VR142" s="0" t="n">
        <v>0</v>
      </c>
      <c r="VS142" s="0" t="n">
        <v>18.51</v>
      </c>
      <c r="VT142" s="0" t="n">
        <v>28.46</v>
      </c>
      <c r="VU142" s="0" t="n">
        <v>0</v>
      </c>
      <c r="VV142" s="0" t="n">
        <v>0</v>
      </c>
      <c r="VW142" s="0" t="n">
        <v>0</v>
      </c>
      <c r="VX142" s="0" t="n">
        <v>0</v>
      </c>
      <c r="WK142" s="0" t="n">
        <v>33</v>
      </c>
      <c r="WL142" s="0" t="n">
        <v>0</v>
      </c>
      <c r="WW142" s="18"/>
      <c r="XO142" s="0" t="n">
        <v>1</v>
      </c>
      <c r="XP142" s="0" t="n">
        <v>40</v>
      </c>
      <c r="XQ142" s="0" t="n">
        <v>8</v>
      </c>
      <c r="XR142" s="0" t="n">
        <f aca="false">1.51*2+3.02+0.27*2</f>
        <v>6.58</v>
      </c>
      <c r="XS142" s="0" t="n">
        <v>3</v>
      </c>
      <c r="XT142" s="0" t="n">
        <v>60</v>
      </c>
      <c r="XU142" s="0" t="n">
        <v>20</v>
      </c>
      <c r="XV142" s="0" t="n">
        <f aca="false">3.65*2+0.67*2</f>
        <v>8.64</v>
      </c>
      <c r="XW142" s="0" t="n">
        <v>3</v>
      </c>
      <c r="YZ142" s="16" t="n">
        <v>0</v>
      </c>
      <c r="ZA142" s="16" t="n">
        <v>0</v>
      </c>
      <c r="ZB142" s="16"/>
      <c r="ZC142" s="16"/>
      <c r="ZD142" s="16"/>
      <c r="ZE142" s="16"/>
      <c r="ZF142" s="16"/>
      <c r="ZG142" s="16"/>
      <c r="ZH142" s="16"/>
      <c r="ZI142" s="16"/>
      <c r="ZJ142" s="16"/>
      <c r="ZK142" s="16" t="n">
        <v>0</v>
      </c>
      <c r="ZL142" s="16" t="n">
        <v>0</v>
      </c>
      <c r="ZM142" s="16"/>
      <c r="ZN142" s="16"/>
      <c r="ZO142" s="16" t="n">
        <v>0</v>
      </c>
      <c r="ZP142" s="16" t="n">
        <v>0</v>
      </c>
      <c r="ZQ142" s="16" t="n">
        <v>0</v>
      </c>
      <c r="ZR142" s="0" t="n">
        <v>0</v>
      </c>
      <c r="ZS142" s="0" t="s">
        <v>258</v>
      </c>
      <c r="ZT142" s="0" t="n">
        <v>40</v>
      </c>
      <c r="ZU142" s="16" t="n">
        <v>90.1</v>
      </c>
      <c r="ZV142" s="16" t="n">
        <v>81</v>
      </c>
      <c r="ZW142" s="16" t="n">
        <v>5.9</v>
      </c>
      <c r="ZX142" s="0" t="n">
        <v>99.34</v>
      </c>
      <c r="ZY142" s="0" t="n">
        <v>0</v>
      </c>
      <c r="ZZ142" s="0" t="n">
        <v>0</v>
      </c>
      <c r="AAA142" s="0" t="n">
        <v>0.66</v>
      </c>
      <c r="AAB142" s="0" t="n">
        <v>0</v>
      </c>
      <c r="AAC142" s="0" t="n">
        <v>0</v>
      </c>
      <c r="AAD142" s="0" t="n">
        <v>0</v>
      </c>
      <c r="AAE142" s="0" t="n">
        <v>0</v>
      </c>
      <c r="AAF142" s="0" t="n">
        <v>0</v>
      </c>
      <c r="AAG142" s="0" t="n">
        <v>0</v>
      </c>
      <c r="AAH142" s="0" t="n">
        <v>0</v>
      </c>
      <c r="AAI142" s="0" t="n">
        <v>0</v>
      </c>
      <c r="AAJ142" s="0" t="n">
        <v>19.8</v>
      </c>
      <c r="AAK142" s="0" t="n">
        <v>8.95</v>
      </c>
      <c r="AAL142" s="0" t="n">
        <v>0</v>
      </c>
      <c r="AAM142" s="0" t="n">
        <v>0</v>
      </c>
      <c r="AAN142" s="0" t="n">
        <v>22.3</v>
      </c>
      <c r="AAO142" s="0" t="n">
        <v>1</v>
      </c>
      <c r="AAP142" s="0" t="n">
        <v>5</v>
      </c>
      <c r="AAR142" s="0" t="n">
        <v>8</v>
      </c>
      <c r="ABB142" s="0" t="n">
        <v>0</v>
      </c>
      <c r="ABC142" s="0" t="n">
        <v>0</v>
      </c>
      <c r="ABN142" s="18"/>
      <c r="ACF142" s="0" t="n">
        <v>1</v>
      </c>
      <c r="ACG142" s="0" t="n">
        <v>50</v>
      </c>
      <c r="ACH142" s="0" t="n">
        <v>4</v>
      </c>
      <c r="ACI142" s="0" t="n">
        <f aca="false">0.73*2+0.13*2</f>
        <v>1.72</v>
      </c>
      <c r="ACJ142" s="0" t="n">
        <v>3</v>
      </c>
      <c r="ADQ142" s="16" t="n">
        <v>1.48</v>
      </c>
      <c r="ADR142" s="16" t="n">
        <v>1</v>
      </c>
      <c r="ADS142" s="16" t="n">
        <v>1</v>
      </c>
      <c r="ADT142" s="16"/>
      <c r="ADU142" s="16" t="n">
        <f aca="false">2.1*2+0.37*2</f>
        <v>4.94</v>
      </c>
      <c r="ADV142" s="16"/>
      <c r="ADW142" s="16"/>
      <c r="ADX142" s="16"/>
      <c r="ADY142" s="16"/>
      <c r="ADZ142" s="16"/>
      <c r="AEA142" s="16"/>
      <c r="AEB142" s="16" t="n">
        <v>7.71</v>
      </c>
      <c r="AEC142" s="16" t="n">
        <v>4.35</v>
      </c>
      <c r="AED142" s="16"/>
      <c r="AEE142" s="16"/>
      <c r="AEF142" s="16" t="n">
        <v>0</v>
      </c>
      <c r="AEG142" s="16" t="n">
        <v>0</v>
      </c>
      <c r="AEH142" s="16" t="n">
        <v>0</v>
      </c>
      <c r="AEI142" s="0" t="n">
        <v>0</v>
      </c>
      <c r="AEJ142" s="0" t="s">
        <v>259</v>
      </c>
      <c r="AEK142" s="0" t="n">
        <v>43</v>
      </c>
      <c r="AEL142" s="16" t="n">
        <v>93.3</v>
      </c>
      <c r="AEM142" s="16" t="n">
        <v>81</v>
      </c>
      <c r="AEN142" s="16" t="n">
        <v>6.4</v>
      </c>
      <c r="AEO142" s="0" t="n">
        <v>100</v>
      </c>
      <c r="AEP142" s="0" t="n">
        <v>0</v>
      </c>
      <c r="AEQ142" s="0" t="n">
        <v>0</v>
      </c>
      <c r="AER142" s="0" t="n">
        <v>0</v>
      </c>
      <c r="AES142" s="0" t="n">
        <v>0</v>
      </c>
      <c r="AET142" s="0" t="n">
        <v>0</v>
      </c>
      <c r="AEU142" s="0" t="n">
        <v>0</v>
      </c>
      <c r="AEV142" s="0" t="n">
        <v>0</v>
      </c>
      <c r="AEW142" s="0" t="n">
        <v>0</v>
      </c>
      <c r="AEX142" s="0" t="n">
        <v>0</v>
      </c>
      <c r="AEY142" s="0" t="n">
        <v>0</v>
      </c>
      <c r="AEZ142" s="0" t="n">
        <v>0</v>
      </c>
      <c r="AFA142" s="0" t="n">
        <v>18.51</v>
      </c>
      <c r="AFB142" s="0" t="n">
        <v>28.46</v>
      </c>
      <c r="AFC142" s="0" t="n">
        <v>0</v>
      </c>
      <c r="AFD142" s="0" t="n">
        <v>0</v>
      </c>
      <c r="AFE142" s="0" t="n">
        <v>0</v>
      </c>
      <c r="AFF142" s="0" t="n">
        <v>0</v>
      </c>
      <c r="AFS142" s="0" t="n">
        <v>33</v>
      </c>
      <c r="AFT142" s="0" t="n">
        <v>0</v>
      </c>
      <c r="AGE142" s="18"/>
      <c r="AGW142" s="0" t="n">
        <v>1</v>
      </c>
      <c r="AGX142" s="0" t="n">
        <v>40</v>
      </c>
      <c r="AGY142" s="0" t="n">
        <v>8</v>
      </c>
      <c r="AGZ142" s="0" t="n">
        <f aca="false">1.51*2+0.27*2+3.02</f>
        <v>6.58</v>
      </c>
      <c r="AHA142" s="0" t="n">
        <v>3</v>
      </c>
      <c r="AHB142" s="0" t="n">
        <v>60</v>
      </c>
      <c r="AHC142" s="0" t="n">
        <v>20</v>
      </c>
      <c r="AHD142" s="0" t="n">
        <f aca="false">3.65*2+0.67*2</f>
        <v>8.64</v>
      </c>
      <c r="AHE142" s="0" t="n">
        <v>3</v>
      </c>
      <c r="AIH142" s="16" t="n">
        <v>0</v>
      </c>
      <c r="AII142" s="16" t="n">
        <v>0</v>
      </c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 t="n">
        <v>0</v>
      </c>
      <c r="AIT142" s="16" t="n">
        <v>0</v>
      </c>
      <c r="AIU142" s="16"/>
      <c r="AIV142" s="16"/>
      <c r="AIW142" s="16" t="n">
        <v>0</v>
      </c>
      <c r="AIX142" s="16" t="n">
        <v>0</v>
      </c>
      <c r="AIY142" s="16" t="n">
        <v>0</v>
      </c>
      <c r="AIZ142" s="0" t="n">
        <v>0</v>
      </c>
      <c r="AJA142" s="15"/>
      <c r="AJB142" s="15"/>
      <c r="AJI142" s="15"/>
      <c r="AJJ142" s="15"/>
      <c r="AJQ142" s="15"/>
      <c r="AJR142" s="15"/>
      <c r="AJY142" s="15"/>
      <c r="AJZ142" s="15"/>
      <c r="AKG142" s="15"/>
      <c r="AKH142" s="15"/>
      <c r="AKO142" s="15"/>
      <c r="AKP142" s="15"/>
      <c r="AKW142" s="15"/>
      <c r="AKX142" s="15"/>
      <c r="ALE142" s="15"/>
      <c r="ALF142" s="15"/>
      <c r="ALM142" s="15"/>
      <c r="ALN142" s="15"/>
      <c r="ALU142" s="15"/>
      <c r="ALV142" s="15"/>
      <c r="AMC142" s="15"/>
      <c r="AMD142" s="15"/>
    </row>
    <row r="143" customFormat="false" ht="13.8" hidden="false" customHeight="false" outlineLevel="0" collapsed="false">
      <c r="A143" s="1" t="s">
        <v>589</v>
      </c>
      <c r="B143" s="12" t="n">
        <v>42900</v>
      </c>
      <c r="C143" s="0" t="n">
        <v>2</v>
      </c>
      <c r="D143" s="13" t="n">
        <v>42797</v>
      </c>
      <c r="E143" s="12" t="n">
        <v>27018</v>
      </c>
      <c r="F143" s="14" t="n">
        <f aca="false">(B143-E143)/365.25</f>
        <v>43.482546201232</v>
      </c>
      <c r="G143" s="14" t="n">
        <f aca="false">(B143-D143)/365.25</f>
        <v>0.281998631074606</v>
      </c>
      <c r="H143" s="15" t="s">
        <v>228</v>
      </c>
      <c r="I143" s="15" t="s">
        <v>251</v>
      </c>
      <c r="J143" s="15" t="s">
        <v>183</v>
      </c>
      <c r="K143" s="21" t="n">
        <v>8</v>
      </c>
      <c r="L143" s="19" t="n">
        <v>69</v>
      </c>
      <c r="M143" s="0" t="n">
        <v>1.75</v>
      </c>
      <c r="N143" s="16" t="n">
        <f aca="false">L143/(M143*M143)</f>
        <v>22.530612244898</v>
      </c>
      <c r="O143" s="19" t="n">
        <v>0</v>
      </c>
      <c r="P143" s="19" t="n">
        <v>0</v>
      </c>
      <c r="Q143" s="19" t="n">
        <v>0</v>
      </c>
      <c r="R143" s="19" t="n">
        <v>0</v>
      </c>
      <c r="S143" s="19" t="n">
        <v>0</v>
      </c>
      <c r="T143" s="19" t="n">
        <v>0</v>
      </c>
      <c r="U143" s="19" t="n">
        <v>0</v>
      </c>
      <c r="V143" s="19" t="n">
        <v>0</v>
      </c>
      <c r="W143" s="19" t="n">
        <v>1</v>
      </c>
      <c r="X143" s="19" t="n">
        <v>0</v>
      </c>
      <c r="Y143" s="19" t="n">
        <v>0</v>
      </c>
      <c r="Z143" s="19" t="n">
        <v>0</v>
      </c>
      <c r="AA143" s="19" t="n">
        <v>0</v>
      </c>
      <c r="AB143" s="19" t="n">
        <v>0</v>
      </c>
      <c r="AC143" s="19" t="n">
        <v>1</v>
      </c>
      <c r="AD143" s="19" t="n">
        <v>20</v>
      </c>
      <c r="AE143" s="19"/>
      <c r="AF143" s="19"/>
      <c r="AG143" s="19"/>
      <c r="AH143" s="19"/>
      <c r="AI143" s="19" t="n">
        <v>0</v>
      </c>
      <c r="AJ143" s="19" t="n">
        <v>0</v>
      </c>
      <c r="AK143" s="19" t="n">
        <v>0</v>
      </c>
      <c r="AL143" s="19" t="n">
        <v>0</v>
      </c>
      <c r="AM143" s="19" t="n">
        <v>0</v>
      </c>
      <c r="AN143" s="19" t="n">
        <v>0</v>
      </c>
      <c r="AO143" s="19" t="n">
        <v>0</v>
      </c>
      <c r="AP143" s="19" t="n">
        <v>0</v>
      </c>
      <c r="AQ143" s="19" t="n">
        <v>0</v>
      </c>
      <c r="AR143" s="19" t="n">
        <v>0</v>
      </c>
      <c r="AS143" s="19" t="n">
        <v>1</v>
      </c>
      <c r="AT143" s="19" t="n">
        <v>0</v>
      </c>
      <c r="AU143" s="19" t="n">
        <v>3</v>
      </c>
      <c r="AV143" s="19" t="n">
        <v>7</v>
      </c>
      <c r="AW143" s="19" t="n">
        <v>7</v>
      </c>
      <c r="AX143" s="19" t="n">
        <v>0</v>
      </c>
      <c r="AY143" s="19" t="n">
        <v>0</v>
      </c>
      <c r="AZ143" s="19" t="n">
        <v>0</v>
      </c>
      <c r="BA143" s="19" t="n">
        <v>0</v>
      </c>
      <c r="BB143" s="19" t="n">
        <v>0</v>
      </c>
      <c r="BC143" s="19" t="n">
        <v>0</v>
      </c>
      <c r="BD143" s="19" t="n">
        <v>0</v>
      </c>
      <c r="BE143" s="19" t="n">
        <v>0</v>
      </c>
      <c r="BF143" s="19" t="n">
        <v>0</v>
      </c>
      <c r="BG143" s="19" t="n">
        <v>0</v>
      </c>
      <c r="BH143" s="19" t="n">
        <v>0</v>
      </c>
      <c r="BI143" s="19" t="n">
        <v>0</v>
      </c>
      <c r="BJ143" s="19" t="n">
        <v>0</v>
      </c>
      <c r="BK143" s="19" t="n">
        <v>0</v>
      </c>
      <c r="BL143" s="19" t="n">
        <v>0</v>
      </c>
      <c r="BM143" s="19" t="n">
        <v>0</v>
      </c>
      <c r="BN143" s="19" t="n">
        <v>1</v>
      </c>
      <c r="BO143" s="19" t="n">
        <v>0</v>
      </c>
      <c r="BP143" s="19" t="n">
        <v>1</v>
      </c>
      <c r="BQ143" s="19" t="n">
        <v>5</v>
      </c>
      <c r="BR143" s="19" t="n">
        <v>1</v>
      </c>
      <c r="BS143" s="19" t="n">
        <v>1</v>
      </c>
      <c r="BT143" s="19" t="n">
        <v>2</v>
      </c>
      <c r="BU143" s="19" t="n">
        <v>5</v>
      </c>
      <c r="BV143" s="19" t="n">
        <v>1</v>
      </c>
      <c r="BW143" s="19" t="n">
        <v>1</v>
      </c>
      <c r="BX143" s="19" t="n">
        <v>1</v>
      </c>
      <c r="BY143" s="19" t="n">
        <v>3</v>
      </c>
      <c r="BZ143" s="19" t="n">
        <v>5</v>
      </c>
      <c r="CA143" s="19" t="n">
        <v>3</v>
      </c>
      <c r="CB143" s="19" t="n">
        <v>5</v>
      </c>
      <c r="CC143" s="19" t="n">
        <v>5</v>
      </c>
      <c r="CD143" s="19" t="n">
        <v>3</v>
      </c>
      <c r="CE143" s="19" t="n">
        <v>3</v>
      </c>
      <c r="CF143" s="19" t="n">
        <v>3</v>
      </c>
      <c r="CG143" s="19" t="n">
        <v>5</v>
      </c>
      <c r="CH143" s="19" t="n">
        <v>2</v>
      </c>
      <c r="CI143" s="19" t="n">
        <v>3</v>
      </c>
      <c r="CJ143" s="19" t="n">
        <v>4</v>
      </c>
      <c r="CK143" s="19" t="n">
        <v>8</v>
      </c>
      <c r="CL143" s="0" t="s">
        <v>253</v>
      </c>
      <c r="CM143" s="0" t="n">
        <v>30</v>
      </c>
      <c r="CN143" s="16" t="n">
        <v>85.5</v>
      </c>
      <c r="CO143" s="16" t="n">
        <v>81</v>
      </c>
      <c r="CP143" s="16" t="n">
        <v>15.2</v>
      </c>
      <c r="CQ143" s="0" t="n">
        <v>87.44</v>
      </c>
      <c r="CR143" s="0" t="n">
        <v>0</v>
      </c>
      <c r="CS143" s="0" t="n">
        <v>0.94</v>
      </c>
      <c r="CT143" s="0" t="n">
        <v>1.97</v>
      </c>
      <c r="CU143" s="0" t="n">
        <v>9.65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2.71</v>
      </c>
      <c r="DC143" s="0" t="n">
        <v>0.6</v>
      </c>
      <c r="DD143" s="0" t="n">
        <v>2.17</v>
      </c>
      <c r="DE143" s="0" t="n">
        <v>5.97</v>
      </c>
      <c r="DF143" s="0" t="n">
        <v>2.65</v>
      </c>
      <c r="DG143" s="0" t="n">
        <v>0</v>
      </c>
      <c r="DH143" s="0" t="n">
        <v>0</v>
      </c>
      <c r="DU143" s="0" t="n">
        <v>10.6</v>
      </c>
      <c r="DV143" s="0" t="n">
        <v>1</v>
      </c>
      <c r="DW143" s="0" t="n">
        <v>60</v>
      </c>
      <c r="DX143" s="0" t="n">
        <v>2</v>
      </c>
      <c r="DY143" s="0" t="n">
        <f aca="false">0.38+0.07</f>
        <v>0.45</v>
      </c>
      <c r="DZ143" s="0" t="n">
        <v>1</v>
      </c>
      <c r="EA143" s="0" t="n">
        <v>68</v>
      </c>
      <c r="EB143" s="0" t="n">
        <v>1</v>
      </c>
      <c r="EC143" s="16" t="n">
        <v>0.31</v>
      </c>
      <c r="ED143" s="0" t="n">
        <v>1</v>
      </c>
      <c r="EE143" s="0" t="n">
        <v>85</v>
      </c>
      <c r="EF143" s="0" t="n">
        <v>2</v>
      </c>
      <c r="EG143" s="18" t="n">
        <f aca="false">1.89+0.94</f>
        <v>2.83</v>
      </c>
      <c r="EH143" s="0" t="n">
        <v>2</v>
      </c>
      <c r="EI143" s="0" t="n">
        <v>25</v>
      </c>
      <c r="EJ143" s="0" t="n">
        <v>1</v>
      </c>
      <c r="EK143" s="16" t="n">
        <v>0.27</v>
      </c>
      <c r="EL143" s="0" t="n">
        <v>2</v>
      </c>
      <c r="EY143" s="0" t="n">
        <v>0</v>
      </c>
      <c r="GJ143" s="16" t="n">
        <v>0</v>
      </c>
      <c r="GK143" s="16" t="n">
        <v>0</v>
      </c>
      <c r="GL143" s="16"/>
      <c r="GM143" s="16"/>
      <c r="GN143" s="16"/>
      <c r="GO143" s="16"/>
      <c r="GP143" s="16"/>
      <c r="GQ143" s="16"/>
      <c r="GR143" s="16"/>
      <c r="GS143" s="16"/>
      <c r="GT143" s="16"/>
      <c r="GU143" s="16" t="n">
        <v>4.17</v>
      </c>
      <c r="GV143" s="16" t="n">
        <v>2.54</v>
      </c>
      <c r="GW143" s="16"/>
      <c r="GX143" s="16"/>
      <c r="GY143" s="16" t="n">
        <v>0</v>
      </c>
      <c r="GZ143" s="16" t="n">
        <v>0</v>
      </c>
      <c r="HA143" s="16" t="n">
        <v>0</v>
      </c>
      <c r="HB143" s="0" t="n">
        <v>0</v>
      </c>
      <c r="HC143" s="0" t="s">
        <v>254</v>
      </c>
      <c r="HD143" s="0" t="n">
        <v>53</v>
      </c>
      <c r="HE143" s="16" t="n">
        <v>81.5</v>
      </c>
      <c r="HF143" s="16" t="n">
        <v>81</v>
      </c>
      <c r="HG143" s="16" t="n">
        <v>36.4</v>
      </c>
      <c r="HH143" s="0" t="n">
        <v>56.99</v>
      </c>
      <c r="HI143" s="0" t="n">
        <v>0</v>
      </c>
      <c r="HJ143" s="0" t="n">
        <v>0</v>
      </c>
      <c r="HK143" s="0" t="n">
        <v>0.12</v>
      </c>
      <c r="HL143" s="0" t="n">
        <v>42.89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25.37</v>
      </c>
      <c r="HT143" s="0" t="n">
        <v>0</v>
      </c>
      <c r="HU143" s="0" t="n">
        <v>42.65</v>
      </c>
      <c r="HV143" s="0" t="n">
        <v>6.3</v>
      </c>
      <c r="HW143" s="0" t="n">
        <v>0</v>
      </c>
      <c r="HX143" s="0" t="n">
        <v>0</v>
      </c>
      <c r="HY143" s="0" t="n">
        <v>0</v>
      </c>
      <c r="IL143" s="0" t="n">
        <v>8.7</v>
      </c>
      <c r="IM143" s="0" t="n">
        <v>1</v>
      </c>
      <c r="IN143" s="0" t="n">
        <v>137</v>
      </c>
      <c r="IO143" s="0" t="n">
        <v>2</v>
      </c>
      <c r="IP143" s="0" t="n">
        <f aca="false">0.65+0.05</f>
        <v>0.7</v>
      </c>
      <c r="IQ143" s="0" t="n">
        <v>1</v>
      </c>
      <c r="IR143" s="0" t="n">
        <v>103</v>
      </c>
      <c r="IS143" s="0" t="n">
        <v>2</v>
      </c>
      <c r="IT143" s="16" t="n">
        <f aca="false">0.65+0.05</f>
        <v>0.7</v>
      </c>
      <c r="IU143" s="0" t="n">
        <v>1</v>
      </c>
      <c r="IX143" s="18"/>
      <c r="JP143" s="0" t="n">
        <v>0</v>
      </c>
      <c r="LA143" s="16" t="n">
        <v>2.28</v>
      </c>
      <c r="LB143" s="16" t="n">
        <v>1</v>
      </c>
      <c r="LC143" s="16" t="n">
        <v>3</v>
      </c>
      <c r="LD143" s="16"/>
      <c r="LE143" s="16" t="n">
        <f aca="false">2.69+0.37+0.74</f>
        <v>3.8</v>
      </c>
      <c r="LF143" s="16"/>
      <c r="LG143" s="16"/>
      <c r="LH143" s="16"/>
      <c r="LI143" s="16"/>
      <c r="LJ143" s="16"/>
      <c r="LK143" s="16"/>
      <c r="LL143" s="16" t="n">
        <v>0.48</v>
      </c>
      <c r="LM143" s="16" t="n">
        <v>0.48</v>
      </c>
      <c r="LN143" s="16"/>
      <c r="LO143" s="16"/>
      <c r="LP143" s="16" t="n">
        <v>2.22</v>
      </c>
      <c r="LQ143" s="16" t="n">
        <v>23.08</v>
      </c>
      <c r="LR143" s="16" t="n">
        <v>0</v>
      </c>
      <c r="LS143" s="0" t="n">
        <v>0</v>
      </c>
      <c r="LT143" s="0" t="s">
        <v>255</v>
      </c>
      <c r="LU143" s="0" t="n">
        <v>41</v>
      </c>
      <c r="LV143" s="16" t="n">
        <v>48.6</v>
      </c>
      <c r="LW143" s="16" t="n">
        <v>81</v>
      </c>
      <c r="LX143" s="16" t="n">
        <v>21.6</v>
      </c>
      <c r="LY143" s="0" t="n">
        <v>76.16</v>
      </c>
      <c r="LZ143" s="0" t="n">
        <v>0</v>
      </c>
      <c r="MA143" s="0" t="n">
        <v>0.07</v>
      </c>
      <c r="MB143" s="0" t="n">
        <v>0.13</v>
      </c>
      <c r="MC143" s="0" t="n">
        <v>23.64</v>
      </c>
      <c r="MD143" s="0" t="n">
        <v>0</v>
      </c>
      <c r="ME143" s="0" t="n">
        <v>0</v>
      </c>
      <c r="MF143" s="0" t="n">
        <v>0</v>
      </c>
      <c r="MG143" s="0" t="n">
        <v>0</v>
      </c>
      <c r="MH143" s="0" t="n">
        <v>0</v>
      </c>
      <c r="MI143" s="0" t="n">
        <v>0</v>
      </c>
      <c r="MJ143" s="0" t="n">
        <v>6.53</v>
      </c>
      <c r="MK143" s="0" t="n">
        <v>0.2</v>
      </c>
      <c r="ML143" s="0" t="n">
        <v>27.15</v>
      </c>
      <c r="MM143" s="0" t="n">
        <v>4.11</v>
      </c>
      <c r="MN143" s="0" t="n">
        <v>0</v>
      </c>
      <c r="MO143" s="0" t="n">
        <v>3.9</v>
      </c>
      <c r="MP143" s="0" t="n">
        <v>1</v>
      </c>
      <c r="MQ143" s="0" t="n">
        <v>10</v>
      </c>
      <c r="MS143" s="0" t="n">
        <v>1</v>
      </c>
      <c r="NC143" s="0" t="n">
        <v>0.6</v>
      </c>
      <c r="ND143" s="0" t="n">
        <v>1</v>
      </c>
      <c r="NE143" s="0" t="n">
        <v>52</v>
      </c>
      <c r="NF143" s="0" t="n">
        <v>3</v>
      </c>
      <c r="NG143" s="16" t="n">
        <f aca="false">0.16+0.13</f>
        <v>0.29</v>
      </c>
      <c r="NH143" s="0" t="n">
        <v>2</v>
      </c>
      <c r="NO143" s="18"/>
      <c r="OG143" s="0" t="n">
        <v>0</v>
      </c>
      <c r="PR143" s="16" t="n">
        <v>0.57</v>
      </c>
      <c r="PS143" s="16" t="n">
        <v>1</v>
      </c>
      <c r="PT143" s="16" t="n">
        <v>1</v>
      </c>
      <c r="PU143" s="16"/>
      <c r="PV143" s="16" t="n">
        <f aca="false">0.93</f>
        <v>0.93</v>
      </c>
      <c r="PW143" s="16" t="n">
        <v>2</v>
      </c>
      <c r="PX143" s="16"/>
      <c r="PY143" s="16" t="n">
        <f aca="false">0.31+0.22</f>
        <v>0.53</v>
      </c>
      <c r="PZ143" s="16"/>
      <c r="QA143" s="16"/>
      <c r="QB143" s="16"/>
      <c r="QC143" s="16" t="n">
        <v>5.72</v>
      </c>
      <c r="QD143" s="16" t="n">
        <v>5.75</v>
      </c>
      <c r="QE143" s="16"/>
      <c r="QF143" s="16"/>
      <c r="QG143" s="16" t="n">
        <v>7.41</v>
      </c>
      <c r="QH143" s="16" t="n">
        <v>0</v>
      </c>
      <c r="QI143" s="16" t="n">
        <v>0.22</v>
      </c>
      <c r="QJ143" s="0" t="n">
        <v>5</v>
      </c>
      <c r="QK143" s="0" t="s">
        <v>256</v>
      </c>
      <c r="QL143" s="0" t="n">
        <v>40</v>
      </c>
      <c r="QM143" s="16" t="n">
        <v>89.1</v>
      </c>
      <c r="QN143" s="16" t="n">
        <v>81</v>
      </c>
      <c r="QO143" s="16" t="n">
        <v>5.4</v>
      </c>
      <c r="QP143" s="0" t="n">
        <v>99.83</v>
      </c>
      <c r="QQ143" s="0" t="n">
        <v>0</v>
      </c>
      <c r="QR143" s="0" t="n">
        <v>0</v>
      </c>
      <c r="QS143" s="0" t="n">
        <v>0.17</v>
      </c>
      <c r="QT143" s="0" t="n">
        <v>0</v>
      </c>
      <c r="QU143" s="0" t="n">
        <v>0</v>
      </c>
      <c r="QV143" s="0" t="n">
        <v>0</v>
      </c>
      <c r="QW143" s="0" t="n">
        <v>0</v>
      </c>
      <c r="QX143" s="0" t="n">
        <v>0</v>
      </c>
      <c r="QY143" s="0" t="n">
        <v>0</v>
      </c>
      <c r="QZ143" s="0" t="n">
        <v>0</v>
      </c>
      <c r="RA143" s="0" t="n">
        <v>0</v>
      </c>
      <c r="RB143" s="0" t="n">
        <v>19.8</v>
      </c>
      <c r="RC143" s="0" t="n">
        <v>8.95</v>
      </c>
      <c r="RD143" s="0" t="n">
        <v>0</v>
      </c>
      <c r="RE143" s="0" t="n">
        <v>0</v>
      </c>
      <c r="RF143" s="0" t="n">
        <v>22.5</v>
      </c>
      <c r="RG143" s="0" t="n">
        <v>1</v>
      </c>
      <c r="RH143" s="0" t="n">
        <v>5</v>
      </c>
      <c r="RJ143" s="0" t="n">
        <v>8</v>
      </c>
      <c r="RT143" s="0" t="n">
        <v>0</v>
      </c>
      <c r="RU143" s="0" t="n">
        <v>0</v>
      </c>
      <c r="SF143" s="18"/>
      <c r="SX143" s="0" t="n">
        <v>1</v>
      </c>
      <c r="SY143" s="0" t="n">
        <v>50</v>
      </c>
      <c r="SZ143" s="0" t="n">
        <v>4</v>
      </c>
      <c r="TA143" s="0" t="n">
        <f aca="false">0.73*2+0.13*2</f>
        <v>1.72</v>
      </c>
      <c r="TB143" s="0" t="n">
        <v>3</v>
      </c>
      <c r="UI143" s="16" t="n">
        <v>1.48</v>
      </c>
      <c r="UJ143" s="16" t="n">
        <v>1</v>
      </c>
      <c r="UK143" s="16" t="n">
        <v>1</v>
      </c>
      <c r="UL143" s="16"/>
      <c r="UM143" s="16" t="n">
        <f aca="false">2.1*2+0.37*2</f>
        <v>4.94</v>
      </c>
      <c r="UN143" s="16"/>
      <c r="UO143" s="16"/>
      <c r="UP143" s="16"/>
      <c r="UQ143" s="16"/>
      <c r="UR143" s="16"/>
      <c r="US143" s="16"/>
      <c r="UT143" s="16" t="n">
        <v>7.71</v>
      </c>
      <c r="UU143" s="16" t="n">
        <v>4.35</v>
      </c>
      <c r="UV143" s="16"/>
      <c r="UW143" s="16"/>
      <c r="UX143" s="16" t="n">
        <v>0</v>
      </c>
      <c r="UY143" s="16" t="n">
        <v>0</v>
      </c>
      <c r="UZ143" s="16" t="n">
        <v>0</v>
      </c>
      <c r="VA143" s="0" t="n">
        <v>0</v>
      </c>
      <c r="VB143" s="0" t="s">
        <v>257</v>
      </c>
      <c r="VC143" s="0" t="n">
        <v>43</v>
      </c>
      <c r="VD143" s="16" t="n">
        <v>93.3</v>
      </c>
      <c r="VE143" s="16" t="n">
        <v>81</v>
      </c>
      <c r="VF143" s="16" t="n">
        <v>6.4</v>
      </c>
      <c r="VG143" s="0" t="n">
        <v>100</v>
      </c>
      <c r="VH143" s="0" t="n">
        <v>0</v>
      </c>
      <c r="VI143" s="0" t="n">
        <v>0</v>
      </c>
      <c r="VJ143" s="0" t="n">
        <v>0</v>
      </c>
      <c r="VK143" s="0" t="n">
        <v>0</v>
      </c>
      <c r="VL143" s="0" t="n">
        <v>0</v>
      </c>
      <c r="VM143" s="0" t="n">
        <v>0</v>
      </c>
      <c r="VN143" s="0" t="n">
        <v>0</v>
      </c>
      <c r="VO143" s="0" t="n">
        <v>0</v>
      </c>
      <c r="VP143" s="0" t="n">
        <v>0</v>
      </c>
      <c r="VQ143" s="0" t="n">
        <v>0</v>
      </c>
      <c r="VR143" s="0" t="n">
        <v>0</v>
      </c>
      <c r="VS143" s="0" t="n">
        <v>18.51</v>
      </c>
      <c r="VT143" s="0" t="n">
        <v>28.46</v>
      </c>
      <c r="VU143" s="0" t="n">
        <v>0</v>
      </c>
      <c r="VV143" s="0" t="n">
        <v>0</v>
      </c>
      <c r="VW143" s="0" t="n">
        <v>0</v>
      </c>
      <c r="VX143" s="0" t="n">
        <v>0</v>
      </c>
      <c r="WK143" s="0" t="n">
        <v>33</v>
      </c>
      <c r="WL143" s="0" t="n">
        <v>0</v>
      </c>
      <c r="WW143" s="18"/>
      <c r="XO143" s="0" t="n">
        <v>1</v>
      </c>
      <c r="XP143" s="0" t="n">
        <v>40</v>
      </c>
      <c r="XQ143" s="0" t="n">
        <v>8</v>
      </c>
      <c r="XR143" s="0" t="n">
        <f aca="false">1.51*2+3.02+0.27*2</f>
        <v>6.58</v>
      </c>
      <c r="XS143" s="0" t="n">
        <v>3</v>
      </c>
      <c r="XT143" s="0" t="n">
        <v>60</v>
      </c>
      <c r="XU143" s="0" t="n">
        <v>20</v>
      </c>
      <c r="XV143" s="0" t="n">
        <f aca="false">3.65*2+0.67*2</f>
        <v>8.64</v>
      </c>
      <c r="XW143" s="0" t="n">
        <v>3</v>
      </c>
      <c r="YZ143" s="16" t="n">
        <v>0</v>
      </c>
      <c r="ZA143" s="16" t="n">
        <v>0</v>
      </c>
      <c r="ZB143" s="16"/>
      <c r="ZC143" s="16"/>
      <c r="ZD143" s="16"/>
      <c r="ZE143" s="16"/>
      <c r="ZF143" s="16"/>
      <c r="ZG143" s="16"/>
      <c r="ZH143" s="16"/>
      <c r="ZI143" s="16"/>
      <c r="ZJ143" s="16"/>
      <c r="ZK143" s="16" t="n">
        <v>0</v>
      </c>
      <c r="ZL143" s="16" t="n">
        <v>0</v>
      </c>
      <c r="ZM143" s="16"/>
      <c r="ZN143" s="16"/>
      <c r="ZO143" s="16" t="n">
        <v>0</v>
      </c>
      <c r="ZP143" s="16" t="n">
        <v>0</v>
      </c>
      <c r="ZQ143" s="16" t="n">
        <v>0</v>
      </c>
      <c r="ZR143" s="0" t="n">
        <v>0</v>
      </c>
      <c r="ZS143" s="0" t="s">
        <v>258</v>
      </c>
      <c r="ZT143" s="0" t="n">
        <v>40</v>
      </c>
      <c r="ZU143" s="16" t="n">
        <v>90.1</v>
      </c>
      <c r="ZV143" s="16" t="n">
        <v>81</v>
      </c>
      <c r="ZW143" s="16" t="n">
        <v>5.9</v>
      </c>
      <c r="ZX143" s="0" t="n">
        <v>99.34</v>
      </c>
      <c r="ZY143" s="0" t="n">
        <v>0</v>
      </c>
      <c r="ZZ143" s="0" t="n">
        <v>0</v>
      </c>
      <c r="AAA143" s="0" t="n">
        <v>0.66</v>
      </c>
      <c r="AAB143" s="0" t="n">
        <v>0</v>
      </c>
      <c r="AAC143" s="0" t="n">
        <v>0</v>
      </c>
      <c r="AAD143" s="0" t="n">
        <v>0</v>
      </c>
      <c r="AAE143" s="0" t="n">
        <v>0</v>
      </c>
      <c r="AAF143" s="0" t="n">
        <v>0</v>
      </c>
      <c r="AAG143" s="0" t="n">
        <v>0</v>
      </c>
      <c r="AAH143" s="0" t="n">
        <v>0</v>
      </c>
      <c r="AAI143" s="0" t="n">
        <v>0</v>
      </c>
      <c r="AAJ143" s="0" t="n">
        <v>19.8</v>
      </c>
      <c r="AAK143" s="0" t="n">
        <v>8.95</v>
      </c>
      <c r="AAL143" s="0" t="n">
        <v>0</v>
      </c>
      <c r="AAM143" s="0" t="n">
        <v>0</v>
      </c>
      <c r="AAN143" s="0" t="n">
        <v>22.3</v>
      </c>
      <c r="AAO143" s="0" t="n">
        <v>1</v>
      </c>
      <c r="AAP143" s="0" t="n">
        <v>5</v>
      </c>
      <c r="AAR143" s="0" t="n">
        <v>8</v>
      </c>
      <c r="ABB143" s="0" t="n">
        <v>0</v>
      </c>
      <c r="ABC143" s="0" t="n">
        <v>0</v>
      </c>
      <c r="ABN143" s="18"/>
      <c r="ACF143" s="0" t="n">
        <v>1</v>
      </c>
      <c r="ACG143" s="0" t="n">
        <v>50</v>
      </c>
      <c r="ACH143" s="0" t="n">
        <v>4</v>
      </c>
      <c r="ACI143" s="0" t="n">
        <f aca="false">0.73*2+0.13*2</f>
        <v>1.72</v>
      </c>
      <c r="ACJ143" s="0" t="n">
        <v>3</v>
      </c>
      <c r="ADQ143" s="16" t="n">
        <v>1.48</v>
      </c>
      <c r="ADR143" s="16" t="n">
        <v>1</v>
      </c>
      <c r="ADS143" s="16" t="n">
        <v>1</v>
      </c>
      <c r="ADT143" s="16"/>
      <c r="ADU143" s="16" t="n">
        <f aca="false">2.1*2+0.37*2</f>
        <v>4.94</v>
      </c>
      <c r="ADV143" s="16"/>
      <c r="ADW143" s="16"/>
      <c r="ADX143" s="16"/>
      <c r="ADY143" s="16"/>
      <c r="ADZ143" s="16"/>
      <c r="AEA143" s="16"/>
      <c r="AEB143" s="16" t="n">
        <v>7.71</v>
      </c>
      <c r="AEC143" s="16" t="n">
        <v>4.35</v>
      </c>
      <c r="AED143" s="16"/>
      <c r="AEE143" s="16"/>
      <c r="AEF143" s="16" t="n">
        <v>0</v>
      </c>
      <c r="AEG143" s="16" t="n">
        <v>0</v>
      </c>
      <c r="AEH143" s="16" t="n">
        <v>0</v>
      </c>
      <c r="AEI143" s="0" t="n">
        <v>0</v>
      </c>
      <c r="AEJ143" s="0" t="s">
        <v>259</v>
      </c>
      <c r="AEK143" s="0" t="n">
        <v>43</v>
      </c>
      <c r="AEL143" s="16" t="n">
        <v>93.3</v>
      </c>
      <c r="AEM143" s="16" t="n">
        <v>81</v>
      </c>
      <c r="AEN143" s="16" t="n">
        <v>6.4</v>
      </c>
      <c r="AEO143" s="0" t="n">
        <v>100</v>
      </c>
      <c r="AEP143" s="0" t="n">
        <v>0</v>
      </c>
      <c r="AEQ143" s="0" t="n">
        <v>0</v>
      </c>
      <c r="AER143" s="0" t="n">
        <v>0</v>
      </c>
      <c r="AES143" s="0" t="n">
        <v>0</v>
      </c>
      <c r="AET143" s="0" t="n">
        <v>0</v>
      </c>
      <c r="AEU143" s="0" t="n">
        <v>0</v>
      </c>
      <c r="AEV143" s="0" t="n">
        <v>0</v>
      </c>
      <c r="AEW143" s="0" t="n">
        <v>0</v>
      </c>
      <c r="AEX143" s="0" t="n">
        <v>0</v>
      </c>
      <c r="AEY143" s="0" t="n">
        <v>0</v>
      </c>
      <c r="AEZ143" s="0" t="n">
        <v>0</v>
      </c>
      <c r="AFA143" s="0" t="n">
        <v>18.51</v>
      </c>
      <c r="AFB143" s="0" t="n">
        <v>28.46</v>
      </c>
      <c r="AFC143" s="0" t="n">
        <v>0</v>
      </c>
      <c r="AFD143" s="0" t="n">
        <v>0</v>
      </c>
      <c r="AFE143" s="0" t="n">
        <v>0</v>
      </c>
      <c r="AFF143" s="0" t="n">
        <v>0</v>
      </c>
      <c r="AFS143" s="0" t="n">
        <v>33</v>
      </c>
      <c r="AFT143" s="0" t="n">
        <v>0</v>
      </c>
      <c r="AGE143" s="18"/>
      <c r="AGW143" s="0" t="n">
        <v>1</v>
      </c>
      <c r="AGX143" s="0" t="n">
        <v>40</v>
      </c>
      <c r="AGY143" s="0" t="n">
        <v>8</v>
      </c>
      <c r="AGZ143" s="0" t="n">
        <f aca="false">1.51*2+0.27*2+3.02</f>
        <v>6.58</v>
      </c>
      <c r="AHA143" s="0" t="n">
        <v>3</v>
      </c>
      <c r="AHB143" s="0" t="n">
        <v>60</v>
      </c>
      <c r="AHC143" s="0" t="n">
        <v>20</v>
      </c>
      <c r="AHD143" s="0" t="n">
        <f aca="false">3.65*2+0.67*2</f>
        <v>8.64</v>
      </c>
      <c r="AHE143" s="0" t="n">
        <v>3</v>
      </c>
      <c r="AIH143" s="16" t="n">
        <v>0</v>
      </c>
      <c r="AII143" s="16" t="n">
        <v>0</v>
      </c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 t="n">
        <v>0</v>
      </c>
      <c r="AIT143" s="16" t="n">
        <v>0</v>
      </c>
      <c r="AIU143" s="16"/>
      <c r="AIV143" s="16"/>
      <c r="AIW143" s="16" t="n">
        <v>0</v>
      </c>
      <c r="AIX143" s="16" t="n">
        <v>0</v>
      </c>
      <c r="AIY143" s="16" t="n">
        <v>0</v>
      </c>
      <c r="AIZ143" s="0" t="n">
        <v>0</v>
      </c>
      <c r="AJA143" s="0" t="s">
        <v>435</v>
      </c>
      <c r="AJB143" s="0" t="n">
        <v>52.5</v>
      </c>
      <c r="AJC143" s="16" t="n">
        <v>71.2</v>
      </c>
      <c r="AJD143" s="16" t="n">
        <v>81</v>
      </c>
      <c r="AJE143" s="16" t="n">
        <v>44.8</v>
      </c>
      <c r="AJF143" s="0" t="n">
        <v>59.03</v>
      </c>
      <c r="AJG143" s="0" t="n">
        <v>0</v>
      </c>
      <c r="AJH143" s="0" t="n">
        <v>22.52</v>
      </c>
      <c r="AJI143" s="0" t="n">
        <v>17.8</v>
      </c>
      <c r="AJJ143" s="0" t="n">
        <v>0.65</v>
      </c>
      <c r="AJK143" s="0" t="n">
        <v>0</v>
      </c>
      <c r="AJL143" s="0" t="n">
        <v>0</v>
      </c>
      <c r="AJM143" s="0" t="n">
        <v>0</v>
      </c>
      <c r="AJN143" s="0" t="n">
        <v>0</v>
      </c>
      <c r="AJO143" s="0" t="n">
        <v>0</v>
      </c>
      <c r="AJP143" s="0" t="n">
        <v>0</v>
      </c>
      <c r="AJQ143" s="0" t="n">
        <v>0</v>
      </c>
      <c r="AJR143" s="0" t="n">
        <v>3.42</v>
      </c>
      <c r="AJS143" s="0" t="n">
        <v>2.94</v>
      </c>
      <c r="AJT143" s="0" t="n">
        <v>0</v>
      </c>
      <c r="AJU143" s="0" t="n">
        <v>0</v>
      </c>
      <c r="AJV143" s="0" t="n">
        <v>0</v>
      </c>
      <c r="AJW143" s="0" t="n">
        <v>0</v>
      </c>
      <c r="AKJ143" s="0" t="n">
        <v>0</v>
      </c>
      <c r="AKK143" s="0" t="n">
        <v>1</v>
      </c>
      <c r="AKL143" s="0" t="n">
        <v>34</v>
      </c>
      <c r="AKM143" s="0" t="n">
        <v>8</v>
      </c>
      <c r="AKN143" s="0" t="n">
        <v>5.35</v>
      </c>
      <c r="AKO143" s="0" t="n">
        <v>1</v>
      </c>
      <c r="AKV143" s="18"/>
      <c r="ALN143" s="0" t="n">
        <v>0</v>
      </c>
    </row>
    <row r="144" customFormat="false" ht="13.8" hidden="false" customHeight="false" outlineLevel="0" collapsed="false">
      <c r="A144" s="1" t="s">
        <v>590</v>
      </c>
      <c r="B144" s="12" t="n">
        <v>42900</v>
      </c>
      <c r="C144" s="0" t="n">
        <v>2</v>
      </c>
      <c r="D144" s="13" t="n">
        <v>42793</v>
      </c>
      <c r="E144" s="12" t="n">
        <v>33788</v>
      </c>
      <c r="F144" s="14" t="n">
        <f aca="false">(B144-E144)/365.25</f>
        <v>24.9472963723477</v>
      </c>
      <c r="G144" s="14" t="n">
        <f aca="false">(B144-D144)/365.25</f>
        <v>0.292950034223135</v>
      </c>
      <c r="H144" s="15" t="s">
        <v>228</v>
      </c>
      <c r="I144" s="15" t="s">
        <v>251</v>
      </c>
      <c r="J144" s="15" t="s">
        <v>183</v>
      </c>
      <c r="K144" s="21" t="n">
        <v>8</v>
      </c>
      <c r="L144" s="19" t="n">
        <v>64</v>
      </c>
      <c r="M144" s="0" t="n">
        <v>1.75</v>
      </c>
      <c r="N144" s="16" t="n">
        <f aca="false">L144/(M144*M144)</f>
        <v>20.8979591836735</v>
      </c>
      <c r="O144" s="19" t="n">
        <v>0</v>
      </c>
      <c r="P144" s="19" t="n">
        <v>0</v>
      </c>
      <c r="Q144" s="19" t="n">
        <v>0</v>
      </c>
      <c r="R144" s="19" t="n">
        <v>0</v>
      </c>
      <c r="S144" s="19" t="n">
        <v>0</v>
      </c>
      <c r="T144" s="19" t="n">
        <v>0</v>
      </c>
      <c r="U144" s="19" t="n">
        <v>0</v>
      </c>
      <c r="V144" s="19" t="n">
        <v>0</v>
      </c>
      <c r="W144" s="19" t="n">
        <v>0</v>
      </c>
      <c r="X144" s="19" t="n">
        <v>0</v>
      </c>
      <c r="Y144" s="19" t="n">
        <v>1</v>
      </c>
      <c r="Z144" s="19" t="n">
        <v>2</v>
      </c>
      <c r="AA144" s="19" t="n">
        <v>90</v>
      </c>
      <c r="AB144" s="19" t="s">
        <v>591</v>
      </c>
      <c r="AC144" s="19" t="n">
        <v>1</v>
      </c>
      <c r="AD144" s="19" t="n">
        <v>10</v>
      </c>
      <c r="AE144" s="19" t="n">
        <v>0</v>
      </c>
      <c r="AF144" s="19" t="n">
        <v>0</v>
      </c>
      <c r="AG144" s="19" t="n">
        <v>0</v>
      </c>
      <c r="AH144" s="19" t="n">
        <v>0</v>
      </c>
      <c r="AI144" s="19" t="n">
        <v>2</v>
      </c>
      <c r="AJ144" s="19" t="n">
        <v>2</v>
      </c>
      <c r="AK144" s="19" t="n">
        <v>0</v>
      </c>
      <c r="AL144" s="19" t="n">
        <v>0</v>
      </c>
      <c r="AM144" s="19" t="n">
        <v>0</v>
      </c>
      <c r="AN144" s="19" t="n">
        <v>0</v>
      </c>
      <c r="AO144" s="19" t="n">
        <v>0</v>
      </c>
      <c r="AP144" s="19" t="n">
        <v>0</v>
      </c>
      <c r="AQ144" s="19" t="n">
        <v>0</v>
      </c>
      <c r="AR144" s="19" t="n">
        <v>0</v>
      </c>
      <c r="AS144" s="19" t="n">
        <v>1</v>
      </c>
      <c r="AT144" s="19" t="n">
        <v>1</v>
      </c>
      <c r="AU144" s="19" t="n">
        <v>1</v>
      </c>
      <c r="AV144" s="19" t="n">
        <v>3</v>
      </c>
      <c r="AW144" s="19" t="n">
        <v>0</v>
      </c>
      <c r="AX144" s="19" t="n">
        <v>0</v>
      </c>
      <c r="AY144" s="19" t="n">
        <v>0</v>
      </c>
      <c r="AZ144" s="19" t="n">
        <v>0</v>
      </c>
      <c r="BA144" s="19" t="n">
        <v>0</v>
      </c>
      <c r="BB144" s="19" t="n">
        <v>0</v>
      </c>
      <c r="BC144" s="19" t="n">
        <v>0</v>
      </c>
      <c r="BD144" s="19" t="n">
        <v>0</v>
      </c>
      <c r="BE144" s="19" t="n">
        <v>0</v>
      </c>
      <c r="BF144" s="19" t="n">
        <v>0</v>
      </c>
      <c r="BG144" s="19" t="n">
        <v>0</v>
      </c>
      <c r="BH144" s="19" t="n">
        <v>0</v>
      </c>
      <c r="BI144" s="19" t="n">
        <v>0</v>
      </c>
      <c r="BJ144" s="19" t="n">
        <v>0</v>
      </c>
      <c r="BK144" s="19" t="n">
        <v>0</v>
      </c>
      <c r="BL144" s="19" t="n">
        <v>0</v>
      </c>
      <c r="BM144" s="19" t="n">
        <v>0</v>
      </c>
      <c r="BN144" s="19" t="n">
        <v>0</v>
      </c>
      <c r="BO144" s="19" t="n">
        <v>0</v>
      </c>
      <c r="BP144" s="19" t="n">
        <v>0</v>
      </c>
      <c r="BQ144" s="19" t="n">
        <v>0</v>
      </c>
      <c r="BR144" s="19" t="n">
        <v>2</v>
      </c>
      <c r="BS144" s="19" t="n">
        <v>2</v>
      </c>
      <c r="BT144" s="19" t="n">
        <v>2</v>
      </c>
      <c r="BU144" s="19" t="n">
        <v>2</v>
      </c>
      <c r="BV144" s="19" t="n">
        <v>2</v>
      </c>
      <c r="BW144" s="19" t="n">
        <v>2</v>
      </c>
      <c r="BX144" s="19" t="n">
        <v>2</v>
      </c>
      <c r="BY144" s="19" t="n">
        <v>4</v>
      </c>
      <c r="BZ144" s="19" t="n">
        <v>4</v>
      </c>
      <c r="CA144" s="19" t="n">
        <v>5</v>
      </c>
      <c r="CB144" s="19" t="n">
        <v>5</v>
      </c>
      <c r="CC144" s="19" t="n">
        <v>5</v>
      </c>
      <c r="CD144" s="19" t="n">
        <v>5</v>
      </c>
      <c r="CE144" s="19" t="n">
        <v>4</v>
      </c>
      <c r="CF144" s="19" t="n">
        <v>4</v>
      </c>
      <c r="CG144" s="19" t="n">
        <v>5</v>
      </c>
      <c r="CH144" s="19" t="n">
        <v>5</v>
      </c>
      <c r="CI144" s="19" t="n">
        <v>4</v>
      </c>
      <c r="CJ144" s="19" t="n">
        <v>5</v>
      </c>
      <c r="CK144" s="19" t="n">
        <v>7</v>
      </c>
      <c r="CL144" s="0" t="s">
        <v>253</v>
      </c>
      <c r="CM144" s="0" t="n">
        <v>30</v>
      </c>
      <c r="CN144" s="16" t="n">
        <v>85.5</v>
      </c>
      <c r="CO144" s="16" t="n">
        <v>81</v>
      </c>
      <c r="CP144" s="16" t="n">
        <v>15.2</v>
      </c>
      <c r="CQ144" s="0" t="n">
        <v>87.44</v>
      </c>
      <c r="CR144" s="0" t="n">
        <v>0</v>
      </c>
      <c r="CS144" s="0" t="n">
        <v>0.94</v>
      </c>
      <c r="CT144" s="0" t="n">
        <v>1.97</v>
      </c>
      <c r="CU144" s="0" t="n">
        <v>9.65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2.71</v>
      </c>
      <c r="DC144" s="0" t="n">
        <v>0.6</v>
      </c>
      <c r="DD144" s="0" t="n">
        <v>2.17</v>
      </c>
      <c r="DE144" s="0" t="n">
        <v>5.97</v>
      </c>
      <c r="DF144" s="0" t="n">
        <v>2.65</v>
      </c>
      <c r="DG144" s="0" t="n">
        <v>0</v>
      </c>
      <c r="DH144" s="0" t="n">
        <v>0</v>
      </c>
      <c r="DU144" s="0" t="n">
        <v>10.6</v>
      </c>
      <c r="DV144" s="0" t="n">
        <v>1</v>
      </c>
      <c r="DW144" s="0" t="n">
        <v>60</v>
      </c>
      <c r="DX144" s="0" t="n">
        <v>2</v>
      </c>
      <c r="DY144" s="0" t="n">
        <f aca="false">0.38+0.07</f>
        <v>0.45</v>
      </c>
      <c r="DZ144" s="0" t="n">
        <v>1</v>
      </c>
      <c r="EA144" s="0" t="n">
        <v>68</v>
      </c>
      <c r="EB144" s="0" t="n">
        <v>1</v>
      </c>
      <c r="EC144" s="16" t="n">
        <v>0.31</v>
      </c>
      <c r="ED144" s="0" t="n">
        <v>1</v>
      </c>
      <c r="EE144" s="0" t="n">
        <v>85</v>
      </c>
      <c r="EF144" s="0" t="n">
        <v>2</v>
      </c>
      <c r="EG144" s="18" t="n">
        <f aca="false">1.89+0.94</f>
        <v>2.83</v>
      </c>
      <c r="EH144" s="0" t="n">
        <v>2</v>
      </c>
      <c r="EI144" s="0" t="n">
        <v>25</v>
      </c>
      <c r="EJ144" s="0" t="n">
        <v>1</v>
      </c>
      <c r="EK144" s="16" t="n">
        <v>0.27</v>
      </c>
      <c r="EL144" s="0" t="n">
        <v>2</v>
      </c>
      <c r="EY144" s="0" t="n">
        <v>0</v>
      </c>
      <c r="GJ144" s="16" t="n">
        <v>0</v>
      </c>
      <c r="GK144" s="16" t="n">
        <v>0</v>
      </c>
      <c r="GL144" s="16"/>
      <c r="GM144" s="16"/>
      <c r="GN144" s="16"/>
      <c r="GO144" s="16"/>
      <c r="GP144" s="16"/>
      <c r="GQ144" s="16"/>
      <c r="GR144" s="16"/>
      <c r="GS144" s="16"/>
      <c r="GT144" s="16"/>
      <c r="GU144" s="16" t="n">
        <v>4.17</v>
      </c>
      <c r="GV144" s="16" t="n">
        <v>2.54</v>
      </c>
      <c r="GW144" s="16"/>
      <c r="GX144" s="16"/>
      <c r="GY144" s="16" t="n">
        <v>0</v>
      </c>
      <c r="GZ144" s="16" t="n">
        <v>0</v>
      </c>
      <c r="HA144" s="16" t="n">
        <v>0</v>
      </c>
      <c r="HB144" s="0" t="n">
        <v>0</v>
      </c>
      <c r="HC144" s="0" t="s">
        <v>254</v>
      </c>
      <c r="HD144" s="0" t="n">
        <v>53</v>
      </c>
      <c r="HE144" s="16" t="n">
        <v>81.5</v>
      </c>
      <c r="HF144" s="16" t="n">
        <v>81</v>
      </c>
      <c r="HG144" s="16" t="n">
        <v>36.4</v>
      </c>
      <c r="HH144" s="0" t="n">
        <v>56.99</v>
      </c>
      <c r="HI144" s="0" t="n">
        <v>0</v>
      </c>
      <c r="HJ144" s="0" t="n">
        <v>0</v>
      </c>
      <c r="HK144" s="0" t="n">
        <v>0.12</v>
      </c>
      <c r="HL144" s="0" t="n">
        <v>42.89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25.37</v>
      </c>
      <c r="HT144" s="0" t="n">
        <v>0</v>
      </c>
      <c r="HU144" s="0" t="n">
        <v>42.65</v>
      </c>
      <c r="HV144" s="0" t="n">
        <v>6.3</v>
      </c>
      <c r="HW144" s="0" t="n">
        <v>0</v>
      </c>
      <c r="HX144" s="0" t="n">
        <v>0</v>
      </c>
      <c r="HY144" s="0" t="n">
        <v>0</v>
      </c>
      <c r="IL144" s="0" t="n">
        <v>8.7</v>
      </c>
      <c r="IM144" s="0" t="n">
        <v>1</v>
      </c>
      <c r="IN144" s="0" t="n">
        <v>137</v>
      </c>
      <c r="IO144" s="0" t="n">
        <v>2</v>
      </c>
      <c r="IP144" s="0" t="n">
        <f aca="false">0.65+0.05</f>
        <v>0.7</v>
      </c>
      <c r="IQ144" s="0" t="n">
        <v>1</v>
      </c>
      <c r="IR144" s="0" t="n">
        <v>103</v>
      </c>
      <c r="IS144" s="0" t="n">
        <v>2</v>
      </c>
      <c r="IT144" s="16" t="n">
        <f aca="false">0.65+0.05</f>
        <v>0.7</v>
      </c>
      <c r="IU144" s="0" t="n">
        <v>1</v>
      </c>
      <c r="IX144" s="18"/>
      <c r="JP144" s="0" t="n">
        <v>0</v>
      </c>
      <c r="LA144" s="16" t="n">
        <v>2.28</v>
      </c>
      <c r="LB144" s="16" t="n">
        <v>1</v>
      </c>
      <c r="LC144" s="16" t="n">
        <v>3</v>
      </c>
      <c r="LD144" s="16"/>
      <c r="LE144" s="16" t="n">
        <f aca="false">2.69+0.37+0.74</f>
        <v>3.8</v>
      </c>
      <c r="LF144" s="16"/>
      <c r="LG144" s="16"/>
      <c r="LH144" s="16"/>
      <c r="LI144" s="16"/>
      <c r="LJ144" s="16"/>
      <c r="LK144" s="16"/>
      <c r="LL144" s="16" t="n">
        <v>0.48</v>
      </c>
      <c r="LM144" s="16" t="n">
        <v>0.48</v>
      </c>
      <c r="LN144" s="16"/>
      <c r="LO144" s="16"/>
      <c r="LP144" s="16" t="n">
        <v>2.22</v>
      </c>
      <c r="LQ144" s="16" t="n">
        <v>23.08</v>
      </c>
      <c r="LR144" s="16" t="n">
        <v>0</v>
      </c>
      <c r="LS144" s="0" t="n">
        <v>0</v>
      </c>
      <c r="LT144" s="0" t="s">
        <v>255</v>
      </c>
      <c r="LU144" s="0" t="n">
        <v>41</v>
      </c>
      <c r="LV144" s="16" t="n">
        <v>48.6</v>
      </c>
      <c r="LW144" s="16" t="n">
        <v>81</v>
      </c>
      <c r="LX144" s="16" t="n">
        <v>21.6</v>
      </c>
      <c r="LY144" s="0" t="n">
        <v>76.16</v>
      </c>
      <c r="LZ144" s="0" t="n">
        <v>0</v>
      </c>
      <c r="MA144" s="0" t="n">
        <v>0.07</v>
      </c>
      <c r="MB144" s="0" t="n">
        <v>0.13</v>
      </c>
      <c r="MC144" s="0" t="n">
        <v>23.64</v>
      </c>
      <c r="MD144" s="0" t="n">
        <v>0</v>
      </c>
      <c r="ME144" s="0" t="n">
        <v>0</v>
      </c>
      <c r="MF144" s="0" t="n">
        <v>0</v>
      </c>
      <c r="MG144" s="0" t="n">
        <v>0</v>
      </c>
      <c r="MH144" s="0" t="n">
        <v>0</v>
      </c>
      <c r="MI144" s="0" t="n">
        <v>0</v>
      </c>
      <c r="MJ144" s="0" t="n">
        <v>6.53</v>
      </c>
      <c r="MK144" s="0" t="n">
        <v>0.2</v>
      </c>
      <c r="ML144" s="0" t="n">
        <v>27.15</v>
      </c>
      <c r="MM144" s="0" t="n">
        <v>4.11</v>
      </c>
      <c r="MN144" s="0" t="n">
        <v>0</v>
      </c>
      <c r="MO144" s="0" t="n">
        <v>3.9</v>
      </c>
      <c r="MP144" s="0" t="n">
        <v>1</v>
      </c>
      <c r="MQ144" s="0" t="n">
        <v>10</v>
      </c>
      <c r="MS144" s="0" t="n">
        <v>1</v>
      </c>
      <c r="NC144" s="0" t="n">
        <v>0.6</v>
      </c>
      <c r="ND144" s="0" t="n">
        <v>1</v>
      </c>
      <c r="NE144" s="0" t="n">
        <v>52</v>
      </c>
      <c r="NF144" s="0" t="n">
        <v>3</v>
      </c>
      <c r="NG144" s="16" t="n">
        <f aca="false">0.16+0.13</f>
        <v>0.29</v>
      </c>
      <c r="NH144" s="0" t="n">
        <v>2</v>
      </c>
      <c r="NO144" s="18"/>
      <c r="OG144" s="0" t="n">
        <v>0</v>
      </c>
      <c r="PR144" s="16" t="n">
        <v>0.57</v>
      </c>
      <c r="PS144" s="16" t="n">
        <v>1</v>
      </c>
      <c r="PT144" s="16" t="n">
        <v>1</v>
      </c>
      <c r="PU144" s="16"/>
      <c r="PV144" s="16" t="n">
        <f aca="false">0.93</f>
        <v>0.93</v>
      </c>
      <c r="PW144" s="16" t="n">
        <v>2</v>
      </c>
      <c r="PX144" s="16"/>
      <c r="PY144" s="16" t="n">
        <f aca="false">0.31+0.22</f>
        <v>0.53</v>
      </c>
      <c r="PZ144" s="16"/>
      <c r="QA144" s="16"/>
      <c r="QB144" s="16"/>
      <c r="QC144" s="16" t="n">
        <v>5.72</v>
      </c>
      <c r="QD144" s="16" t="n">
        <v>5.75</v>
      </c>
      <c r="QE144" s="16"/>
      <c r="QF144" s="16"/>
      <c r="QG144" s="16" t="n">
        <v>7.41</v>
      </c>
      <c r="QH144" s="16" t="n">
        <v>0</v>
      </c>
      <c r="QI144" s="16" t="n">
        <v>0.22</v>
      </c>
      <c r="QJ144" s="0" t="n">
        <v>5</v>
      </c>
      <c r="QK144" s="0" t="s">
        <v>256</v>
      </c>
      <c r="QL144" s="0" t="n">
        <v>40</v>
      </c>
      <c r="QM144" s="16" t="n">
        <v>89.1</v>
      </c>
      <c r="QN144" s="16" t="n">
        <v>81</v>
      </c>
      <c r="QO144" s="16" t="n">
        <v>5.4</v>
      </c>
      <c r="QP144" s="0" t="n">
        <v>99.83</v>
      </c>
      <c r="QQ144" s="0" t="n">
        <v>0</v>
      </c>
      <c r="QR144" s="0" t="n">
        <v>0</v>
      </c>
      <c r="QS144" s="0" t="n">
        <v>0.17</v>
      </c>
      <c r="QT144" s="0" t="n">
        <v>0</v>
      </c>
      <c r="QU144" s="0" t="n">
        <v>0</v>
      </c>
      <c r="QV144" s="0" t="n">
        <v>0</v>
      </c>
      <c r="QW144" s="0" t="n">
        <v>0</v>
      </c>
      <c r="QX144" s="0" t="n">
        <v>0</v>
      </c>
      <c r="QY144" s="0" t="n">
        <v>0</v>
      </c>
      <c r="QZ144" s="0" t="n">
        <v>0</v>
      </c>
      <c r="RA144" s="0" t="n">
        <v>0</v>
      </c>
      <c r="RB144" s="0" t="n">
        <v>19.8</v>
      </c>
      <c r="RC144" s="0" t="n">
        <v>8.95</v>
      </c>
      <c r="RD144" s="0" t="n">
        <v>0</v>
      </c>
      <c r="RE144" s="0" t="n">
        <v>0</v>
      </c>
      <c r="RF144" s="0" t="n">
        <v>22.5</v>
      </c>
      <c r="RG144" s="0" t="n">
        <v>1</v>
      </c>
      <c r="RH144" s="0" t="n">
        <v>5</v>
      </c>
      <c r="RJ144" s="0" t="n">
        <v>8</v>
      </c>
      <c r="RT144" s="0" t="n">
        <v>0</v>
      </c>
      <c r="RU144" s="0" t="n">
        <v>0</v>
      </c>
      <c r="SF144" s="18"/>
      <c r="SX144" s="0" t="n">
        <v>1</v>
      </c>
      <c r="SY144" s="0" t="n">
        <v>50</v>
      </c>
      <c r="SZ144" s="0" t="n">
        <v>4</v>
      </c>
      <c r="TA144" s="0" t="n">
        <f aca="false">0.73*2+0.13*2</f>
        <v>1.72</v>
      </c>
      <c r="TB144" s="0" t="n">
        <v>3</v>
      </c>
      <c r="UI144" s="16" t="n">
        <v>1.48</v>
      </c>
      <c r="UJ144" s="16" t="n">
        <v>1</v>
      </c>
      <c r="UK144" s="16" t="n">
        <v>1</v>
      </c>
      <c r="UL144" s="16"/>
      <c r="UM144" s="16" t="n">
        <f aca="false">2.1*2+0.37*2</f>
        <v>4.94</v>
      </c>
      <c r="UN144" s="16"/>
      <c r="UO144" s="16"/>
      <c r="UP144" s="16"/>
      <c r="UQ144" s="16"/>
      <c r="UR144" s="16"/>
      <c r="US144" s="16"/>
      <c r="UT144" s="16" t="n">
        <v>7.71</v>
      </c>
      <c r="UU144" s="16" t="n">
        <v>4.35</v>
      </c>
      <c r="UV144" s="16"/>
      <c r="UW144" s="16"/>
      <c r="UX144" s="16" t="n">
        <v>0</v>
      </c>
      <c r="UY144" s="16" t="n">
        <v>0</v>
      </c>
      <c r="UZ144" s="16" t="n">
        <v>0</v>
      </c>
      <c r="VA144" s="0" t="n">
        <v>0</v>
      </c>
      <c r="VB144" s="0" t="s">
        <v>258</v>
      </c>
      <c r="VC144" s="0" t="n">
        <v>40</v>
      </c>
      <c r="VD144" s="16" t="n">
        <v>90.1</v>
      </c>
      <c r="VE144" s="16" t="n">
        <v>81</v>
      </c>
      <c r="VF144" s="16" t="n">
        <v>5.9</v>
      </c>
      <c r="VG144" s="0" t="n">
        <v>99.34</v>
      </c>
      <c r="VH144" s="0" t="n">
        <v>0</v>
      </c>
      <c r="VI144" s="0" t="n">
        <v>0</v>
      </c>
      <c r="VJ144" s="0" t="n">
        <v>0.66</v>
      </c>
      <c r="VK144" s="0" t="n">
        <v>0</v>
      </c>
      <c r="VL144" s="0" t="n">
        <v>0</v>
      </c>
      <c r="VM144" s="0" t="n">
        <v>0</v>
      </c>
      <c r="VN144" s="0" t="n">
        <v>0</v>
      </c>
      <c r="VO144" s="0" t="n">
        <v>0</v>
      </c>
      <c r="VP144" s="0" t="n">
        <v>0</v>
      </c>
      <c r="VQ144" s="0" t="n">
        <v>0</v>
      </c>
      <c r="VR144" s="0" t="n">
        <v>0</v>
      </c>
      <c r="VS144" s="0" t="n">
        <v>19.8</v>
      </c>
      <c r="VT144" s="0" t="n">
        <v>8.95</v>
      </c>
      <c r="VU144" s="0" t="n">
        <v>0</v>
      </c>
      <c r="VV144" s="0" t="n">
        <v>0</v>
      </c>
      <c r="VW144" s="0" t="n">
        <v>22.3</v>
      </c>
      <c r="VX144" s="0" t="n">
        <v>1</v>
      </c>
      <c r="VY144" s="0" t="n">
        <v>5</v>
      </c>
      <c r="WA144" s="0" t="n">
        <v>8</v>
      </c>
      <c r="WK144" s="0" t="n">
        <v>0</v>
      </c>
      <c r="WL144" s="0" t="n">
        <v>0</v>
      </c>
      <c r="WW144" s="18"/>
      <c r="XO144" s="0" t="n">
        <v>1</v>
      </c>
      <c r="XP144" s="0" t="n">
        <v>50</v>
      </c>
      <c r="XQ144" s="0" t="n">
        <v>4</v>
      </c>
      <c r="XR144" s="0" t="n">
        <f aca="false">0.73*2+0.13*2</f>
        <v>1.72</v>
      </c>
      <c r="XS144" s="0" t="n">
        <v>3</v>
      </c>
      <c r="YZ144" s="16" t="n">
        <v>1.48</v>
      </c>
      <c r="ZA144" s="16" t="n">
        <v>1</v>
      </c>
      <c r="ZB144" s="16" t="n">
        <v>1</v>
      </c>
      <c r="ZC144" s="16"/>
      <c r="ZD144" s="16" t="n">
        <f aca="false">2.1*2+0.37*2</f>
        <v>4.94</v>
      </c>
      <c r="ZE144" s="16"/>
      <c r="ZF144" s="16"/>
      <c r="ZG144" s="16"/>
      <c r="ZH144" s="16"/>
      <c r="ZI144" s="16"/>
      <c r="ZJ144" s="16"/>
      <c r="ZK144" s="16" t="n">
        <v>7.71</v>
      </c>
      <c r="ZL144" s="16" t="n">
        <v>4.35</v>
      </c>
      <c r="ZM144" s="16"/>
      <c r="ZN144" s="16"/>
      <c r="ZO144" s="16" t="n">
        <v>0</v>
      </c>
      <c r="ZP144" s="16" t="n">
        <v>0</v>
      </c>
      <c r="ZQ144" s="16" t="n">
        <v>0</v>
      </c>
      <c r="ZR144" s="0" t="n">
        <v>0</v>
      </c>
      <c r="ZS144" s="0" t="s">
        <v>259</v>
      </c>
      <c r="ZT144" s="0" t="n">
        <v>43</v>
      </c>
      <c r="ZU144" s="16" t="n">
        <v>93.3</v>
      </c>
      <c r="ZV144" s="16" t="n">
        <v>81</v>
      </c>
      <c r="ZW144" s="16" t="n">
        <v>6.4</v>
      </c>
      <c r="ZX144" s="0" t="n">
        <v>100</v>
      </c>
      <c r="ZY144" s="0" t="n">
        <v>0</v>
      </c>
      <c r="ZZ144" s="0" t="n">
        <v>0</v>
      </c>
      <c r="AAA144" s="0" t="n">
        <v>0</v>
      </c>
      <c r="AAB144" s="0" t="n">
        <v>0</v>
      </c>
      <c r="AAC144" s="0" t="n">
        <v>0</v>
      </c>
      <c r="AAD144" s="0" t="n">
        <v>0</v>
      </c>
      <c r="AAE144" s="0" t="n">
        <v>0</v>
      </c>
      <c r="AAF144" s="0" t="n">
        <v>0</v>
      </c>
      <c r="AAG144" s="0" t="n">
        <v>0</v>
      </c>
      <c r="AAH144" s="0" t="n">
        <v>0</v>
      </c>
      <c r="AAI144" s="0" t="n">
        <v>0</v>
      </c>
      <c r="AAJ144" s="0" t="n">
        <v>18.51</v>
      </c>
      <c r="AAK144" s="0" t="n">
        <v>28.46</v>
      </c>
      <c r="AAL144" s="0" t="n">
        <v>0</v>
      </c>
      <c r="AAM144" s="0" t="n">
        <v>0</v>
      </c>
      <c r="AAN144" s="0" t="n">
        <v>0</v>
      </c>
      <c r="AAO144" s="0" t="n">
        <v>0</v>
      </c>
      <c r="ABB144" s="0" t="n">
        <v>33</v>
      </c>
      <c r="ABC144" s="0" t="n">
        <v>0</v>
      </c>
      <c r="ABN144" s="18"/>
      <c r="ACF144" s="0" t="n">
        <v>1</v>
      </c>
      <c r="ACG144" s="0" t="n">
        <v>40</v>
      </c>
      <c r="ACH144" s="0" t="n">
        <v>8</v>
      </c>
      <c r="ACI144" s="0" t="n">
        <f aca="false">1.51*2+0.27*2+3.02</f>
        <v>6.58</v>
      </c>
      <c r="ACJ144" s="0" t="n">
        <v>3</v>
      </c>
      <c r="ACK144" s="0" t="n">
        <v>60</v>
      </c>
      <c r="ACL144" s="0" t="n">
        <v>20</v>
      </c>
      <c r="ACM144" s="0" t="n">
        <f aca="false">3.65*2+0.67*2</f>
        <v>8.64</v>
      </c>
      <c r="ACN144" s="0" t="n">
        <v>3</v>
      </c>
      <c r="ADQ144" s="16" t="n">
        <v>0</v>
      </c>
      <c r="ADR144" s="16" t="n">
        <v>0</v>
      </c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 t="n">
        <v>0</v>
      </c>
      <c r="AEC144" s="16" t="n">
        <v>0</v>
      </c>
      <c r="AED144" s="16"/>
      <c r="AEE144" s="16"/>
      <c r="AEF144" s="16" t="n">
        <v>0</v>
      </c>
      <c r="AEG144" s="16" t="n">
        <v>0</v>
      </c>
      <c r="AEH144" s="16" t="n">
        <v>0</v>
      </c>
      <c r="AEI144" s="0" t="n">
        <v>0</v>
      </c>
      <c r="AEJ144" s="0" t="s">
        <v>435</v>
      </c>
      <c r="AEK144" s="0" t="n">
        <v>52.5</v>
      </c>
      <c r="AEL144" s="16" t="n">
        <v>71.2</v>
      </c>
      <c r="AEM144" s="16" t="n">
        <v>81</v>
      </c>
      <c r="AEN144" s="16" t="n">
        <v>44.8</v>
      </c>
      <c r="AEO144" s="0" t="n">
        <v>59.03</v>
      </c>
      <c r="AEP144" s="0" t="n">
        <v>0</v>
      </c>
      <c r="AEQ144" s="0" t="n">
        <v>22.52</v>
      </c>
      <c r="AER144" s="0" t="n">
        <v>17.8</v>
      </c>
      <c r="AES144" s="0" t="n">
        <v>0.65</v>
      </c>
      <c r="AET144" s="0" t="n">
        <v>0</v>
      </c>
      <c r="AEU144" s="0" t="n">
        <v>0</v>
      </c>
      <c r="AEV144" s="0" t="n">
        <v>0</v>
      </c>
      <c r="AEW144" s="0" t="n">
        <v>0</v>
      </c>
      <c r="AEX144" s="0" t="n">
        <v>0</v>
      </c>
      <c r="AEY144" s="0" t="n">
        <v>0</v>
      </c>
      <c r="AEZ144" s="0" t="n">
        <v>0</v>
      </c>
      <c r="AFA144" s="0" t="n">
        <v>3.42</v>
      </c>
      <c r="AFB144" s="0" t="n">
        <v>2.94</v>
      </c>
      <c r="AFC144" s="0" t="n">
        <v>0</v>
      </c>
      <c r="AFD144" s="0" t="n">
        <v>0</v>
      </c>
      <c r="AFE144" s="0" t="n">
        <v>0</v>
      </c>
      <c r="AFF144" s="0" t="n">
        <v>0</v>
      </c>
      <c r="AFS144" s="0" t="n">
        <v>0</v>
      </c>
      <c r="AFT144" s="0" t="n">
        <v>1</v>
      </c>
      <c r="AFU144" s="0" t="n">
        <v>34</v>
      </c>
      <c r="AFV144" s="0" t="n">
        <v>8</v>
      </c>
      <c r="AFW144" s="0" t="n">
        <v>5.35</v>
      </c>
      <c r="AFX144" s="0" t="n">
        <v>1</v>
      </c>
      <c r="AGE144" s="18"/>
      <c r="AGW144" s="0" t="n">
        <v>0</v>
      </c>
      <c r="AIH144" s="16" t="n">
        <v>1.96</v>
      </c>
      <c r="AII144" s="16" t="n">
        <v>1</v>
      </c>
      <c r="AIJ144" s="16" t="n">
        <v>1</v>
      </c>
      <c r="AIK144" s="16"/>
      <c r="AIL144" s="16" t="n">
        <f aca="false">0.22+4.31+1.48+0.37*2</f>
        <v>6.75</v>
      </c>
      <c r="AIM144" s="16"/>
      <c r="AIN144" s="16"/>
      <c r="AIO144" s="16"/>
      <c r="AIP144" s="16"/>
      <c r="AIQ144" s="16"/>
      <c r="AIR144" s="16"/>
      <c r="AIS144" s="16" t="n">
        <v>4.75</v>
      </c>
      <c r="AIT144" s="16" t="n">
        <v>4.74</v>
      </c>
      <c r="AIU144" s="16"/>
      <c r="AIV144" s="16"/>
      <c r="AIW144" s="16" t="n">
        <v>0</v>
      </c>
      <c r="AIX144" s="16" t="n">
        <v>0</v>
      </c>
      <c r="AIY144" s="16" t="n">
        <v>0</v>
      </c>
      <c r="AIZ144" s="0" t="n">
        <v>0</v>
      </c>
      <c r="AJA144" s="0" t="s">
        <v>587</v>
      </c>
      <c r="AJB144" s="0" t="n">
        <v>62</v>
      </c>
      <c r="AJC144" s="16" t="n">
        <v>90.3</v>
      </c>
      <c r="AJD144" s="16" t="n">
        <v>81</v>
      </c>
      <c r="AJE144" s="16" t="n">
        <v>56.4</v>
      </c>
      <c r="AJF144" s="0" t="n">
        <v>56.67</v>
      </c>
      <c r="AJG144" s="0" t="n">
        <v>0</v>
      </c>
      <c r="AJH144" s="0" t="n">
        <v>0</v>
      </c>
      <c r="AJI144" s="0" t="n">
        <v>43.33</v>
      </c>
      <c r="AJJ144" s="0" t="n">
        <v>0</v>
      </c>
      <c r="AJK144" s="0" t="n">
        <v>0</v>
      </c>
      <c r="AJL144" s="0" t="n">
        <v>0</v>
      </c>
      <c r="AJM144" s="0" t="n">
        <v>0</v>
      </c>
      <c r="AJN144" s="0" t="n">
        <v>0</v>
      </c>
      <c r="AJO144" s="0" t="n">
        <v>0</v>
      </c>
      <c r="AJP144" s="0" t="n">
        <v>0</v>
      </c>
      <c r="AJQ144" s="0" t="n">
        <v>0</v>
      </c>
      <c r="AJR144" s="0" t="n">
        <v>0</v>
      </c>
      <c r="AJS144" s="0" t="n">
        <v>0.55</v>
      </c>
      <c r="AJT144" s="0" t="n">
        <v>0</v>
      </c>
      <c r="AJU144" s="0" t="n">
        <v>0</v>
      </c>
      <c r="AJV144" s="0" t="n">
        <v>0</v>
      </c>
      <c r="AJW144" s="0" t="n">
        <v>0</v>
      </c>
      <c r="AKJ144" s="0" t="n">
        <v>0</v>
      </c>
      <c r="AKK144" s="0" t="n">
        <v>0</v>
      </c>
      <c r="AKV144" s="18"/>
      <c r="ALN144" s="0" t="n">
        <v>0</v>
      </c>
    </row>
    <row r="145" customFormat="false" ht="13.8" hidden="false" customHeight="false" outlineLevel="0" collapsed="false">
      <c r="A145" s="1" t="s">
        <v>592</v>
      </c>
      <c r="B145" s="12" t="n">
        <v>42900</v>
      </c>
      <c r="C145" s="0" t="n">
        <v>2</v>
      </c>
      <c r="D145" s="13" t="n">
        <v>42804</v>
      </c>
      <c r="E145" s="12" t="n">
        <v>33097</v>
      </c>
      <c r="F145" s="14" t="n">
        <f aca="false">(B145-E145)/365.25</f>
        <v>26.839151266256</v>
      </c>
      <c r="G145" s="14" t="n">
        <f aca="false">(B145-D145)/365.25</f>
        <v>0.262833675564682</v>
      </c>
      <c r="H145" s="15" t="s">
        <v>228</v>
      </c>
      <c r="I145" s="15" t="s">
        <v>251</v>
      </c>
      <c r="J145" s="15" t="s">
        <v>183</v>
      </c>
      <c r="K145" s="21" t="n">
        <v>8</v>
      </c>
      <c r="L145" s="19" t="n">
        <v>74</v>
      </c>
      <c r="M145" s="0" t="n">
        <v>1.82</v>
      </c>
      <c r="N145" s="16" t="n">
        <f aca="false">L145/(M145*M145)</f>
        <v>22.3402970655718</v>
      </c>
      <c r="O145" s="19" t="n">
        <v>0</v>
      </c>
      <c r="P145" s="19" t="n">
        <v>0</v>
      </c>
      <c r="Q145" s="19" t="n">
        <v>0</v>
      </c>
      <c r="R145" s="19" t="n">
        <v>0</v>
      </c>
      <c r="S145" s="19" t="n">
        <v>0</v>
      </c>
      <c r="T145" s="19" t="n">
        <v>0</v>
      </c>
      <c r="U145" s="19" t="n">
        <v>0</v>
      </c>
      <c r="V145" s="19" t="n">
        <v>0</v>
      </c>
      <c r="W145" s="19" t="n">
        <v>0</v>
      </c>
      <c r="X145" s="19" t="n">
        <v>0</v>
      </c>
      <c r="Y145" s="19" t="n">
        <v>1</v>
      </c>
      <c r="Z145" s="19" t="n">
        <v>2</v>
      </c>
      <c r="AA145" s="19" t="n">
        <v>60</v>
      </c>
      <c r="AB145" s="19" t="s">
        <v>343</v>
      </c>
      <c r="AC145" s="19" t="n">
        <v>1</v>
      </c>
      <c r="AD145" s="19" t="n">
        <v>8</v>
      </c>
      <c r="AE145" s="19" t="n">
        <v>0</v>
      </c>
      <c r="AF145" s="19" t="n">
        <v>0</v>
      </c>
      <c r="AG145" s="19" t="n">
        <v>0</v>
      </c>
      <c r="AH145" s="19" t="n">
        <v>0</v>
      </c>
      <c r="AI145" s="19" t="n">
        <v>0</v>
      </c>
      <c r="AJ145" s="19" t="n">
        <v>0</v>
      </c>
      <c r="AK145" s="19" t="n">
        <v>0</v>
      </c>
      <c r="AL145" s="19" t="n">
        <v>0</v>
      </c>
      <c r="AM145" s="19" t="n">
        <v>0</v>
      </c>
      <c r="AN145" s="19" t="n">
        <v>0</v>
      </c>
      <c r="AO145" s="19" t="n">
        <v>0</v>
      </c>
      <c r="AP145" s="19" t="n">
        <v>0</v>
      </c>
      <c r="AQ145" s="19" t="n">
        <v>0</v>
      </c>
      <c r="AR145" s="19" t="n">
        <v>0</v>
      </c>
      <c r="AS145" s="19" t="n">
        <v>0</v>
      </c>
      <c r="AT145" s="19" t="n">
        <v>0</v>
      </c>
      <c r="AU145" s="19" t="n">
        <v>0</v>
      </c>
      <c r="AV145" s="19" t="n">
        <v>0</v>
      </c>
      <c r="AW145" s="19" t="n">
        <v>0</v>
      </c>
      <c r="AX145" s="19" t="n">
        <v>0</v>
      </c>
      <c r="AY145" s="19" t="n">
        <v>0</v>
      </c>
      <c r="AZ145" s="19" t="n">
        <v>0</v>
      </c>
      <c r="BA145" s="19" t="n">
        <v>0</v>
      </c>
      <c r="BB145" s="19" t="n">
        <v>0</v>
      </c>
      <c r="BC145" s="19" t="n">
        <v>0</v>
      </c>
      <c r="BD145" s="19" t="n">
        <v>0</v>
      </c>
      <c r="BE145" s="19" t="n">
        <v>0</v>
      </c>
      <c r="BF145" s="19" t="n">
        <v>0</v>
      </c>
      <c r="BG145" s="19" t="n">
        <v>0</v>
      </c>
      <c r="BH145" s="19" t="n">
        <v>0</v>
      </c>
      <c r="BI145" s="19" t="n">
        <v>0</v>
      </c>
      <c r="BJ145" s="19" t="n">
        <v>0</v>
      </c>
      <c r="BK145" s="19" t="n">
        <v>0</v>
      </c>
      <c r="BL145" s="19" t="n">
        <v>0</v>
      </c>
      <c r="BM145" s="19" t="n">
        <v>0</v>
      </c>
      <c r="BN145" s="19" t="n">
        <v>0</v>
      </c>
      <c r="BO145" s="19" t="n">
        <v>0</v>
      </c>
      <c r="BP145" s="19" t="n">
        <v>0</v>
      </c>
      <c r="BQ145" s="19" t="n">
        <v>0</v>
      </c>
      <c r="BR145" s="19" t="n">
        <v>1</v>
      </c>
      <c r="BS145" s="19" t="n">
        <v>2</v>
      </c>
      <c r="BT145" s="19" t="n">
        <v>1</v>
      </c>
      <c r="BU145" s="19" t="n">
        <v>5</v>
      </c>
      <c r="BV145" s="19" t="n">
        <v>1</v>
      </c>
      <c r="BW145" s="19" t="n">
        <v>1</v>
      </c>
      <c r="BX145" s="19" t="n">
        <v>5</v>
      </c>
      <c r="BY145" s="19" t="n">
        <v>5</v>
      </c>
      <c r="BZ145" s="19" t="n">
        <v>5</v>
      </c>
      <c r="CA145" s="19" t="n">
        <v>5</v>
      </c>
      <c r="CB145" s="19" t="n">
        <v>5</v>
      </c>
      <c r="CC145" s="19" t="n">
        <v>5</v>
      </c>
      <c r="CD145" s="19" t="n">
        <v>5</v>
      </c>
      <c r="CE145" s="19" t="n">
        <v>5</v>
      </c>
      <c r="CF145" s="19" t="n">
        <v>5</v>
      </c>
      <c r="CG145" s="19" t="n">
        <v>5</v>
      </c>
      <c r="CH145" s="19" t="n">
        <v>5</v>
      </c>
      <c r="CI145" s="19" t="n">
        <v>5</v>
      </c>
      <c r="CJ145" s="19" t="n">
        <v>5</v>
      </c>
      <c r="CK145" s="19" t="n">
        <v>10</v>
      </c>
      <c r="CL145" s="0" t="s">
        <v>253</v>
      </c>
      <c r="CM145" s="0" t="n">
        <v>30</v>
      </c>
      <c r="CN145" s="16" t="n">
        <v>85.5</v>
      </c>
      <c r="CO145" s="16" t="n">
        <v>81</v>
      </c>
      <c r="CP145" s="16" t="n">
        <v>15.2</v>
      </c>
      <c r="CQ145" s="0" t="n">
        <v>87.44</v>
      </c>
      <c r="CR145" s="0" t="n">
        <v>0</v>
      </c>
      <c r="CS145" s="0" t="n">
        <v>0.94</v>
      </c>
      <c r="CT145" s="0" t="n">
        <v>1.97</v>
      </c>
      <c r="CU145" s="0" t="n">
        <v>9.65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2.71</v>
      </c>
      <c r="DC145" s="0" t="n">
        <v>0.6</v>
      </c>
      <c r="DD145" s="0" t="n">
        <v>2.17</v>
      </c>
      <c r="DE145" s="0" t="n">
        <v>5.97</v>
      </c>
      <c r="DF145" s="0" t="n">
        <v>2.65</v>
      </c>
      <c r="DG145" s="0" t="n">
        <v>0</v>
      </c>
      <c r="DH145" s="0" t="n">
        <v>0</v>
      </c>
      <c r="DU145" s="0" t="n">
        <v>10.6</v>
      </c>
      <c r="DV145" s="0" t="n">
        <v>1</v>
      </c>
      <c r="DW145" s="0" t="n">
        <v>60</v>
      </c>
      <c r="DX145" s="0" t="n">
        <v>2</v>
      </c>
      <c r="DY145" s="0" t="n">
        <f aca="false">0.38+0.07</f>
        <v>0.45</v>
      </c>
      <c r="DZ145" s="0" t="n">
        <v>1</v>
      </c>
      <c r="EA145" s="0" t="n">
        <v>68</v>
      </c>
      <c r="EB145" s="0" t="n">
        <v>1</v>
      </c>
      <c r="EC145" s="16" t="n">
        <v>0.31</v>
      </c>
      <c r="ED145" s="0" t="n">
        <v>1</v>
      </c>
      <c r="EE145" s="0" t="n">
        <v>85</v>
      </c>
      <c r="EF145" s="0" t="n">
        <v>2</v>
      </c>
      <c r="EG145" s="18" t="n">
        <f aca="false">1.89+0.94</f>
        <v>2.83</v>
      </c>
      <c r="EH145" s="0" t="n">
        <v>2</v>
      </c>
      <c r="EI145" s="0" t="n">
        <v>25</v>
      </c>
      <c r="EJ145" s="0" t="n">
        <v>1</v>
      </c>
      <c r="EK145" s="16" t="n">
        <v>0.27</v>
      </c>
      <c r="EL145" s="0" t="n">
        <v>2</v>
      </c>
      <c r="EY145" s="0" t="n">
        <v>0</v>
      </c>
      <c r="GJ145" s="16" t="n">
        <v>0</v>
      </c>
      <c r="GK145" s="16" t="n">
        <v>0</v>
      </c>
      <c r="GL145" s="16"/>
      <c r="GM145" s="16"/>
      <c r="GN145" s="16"/>
      <c r="GO145" s="16"/>
      <c r="GP145" s="16"/>
      <c r="GQ145" s="16"/>
      <c r="GR145" s="16"/>
      <c r="GS145" s="16"/>
      <c r="GT145" s="16"/>
      <c r="GU145" s="16" t="n">
        <v>4.17</v>
      </c>
      <c r="GV145" s="16" t="n">
        <v>2.54</v>
      </c>
      <c r="GW145" s="16"/>
      <c r="GX145" s="16"/>
      <c r="GY145" s="16" t="n">
        <v>0</v>
      </c>
      <c r="GZ145" s="16" t="n">
        <v>0</v>
      </c>
      <c r="HA145" s="16" t="n">
        <v>0</v>
      </c>
      <c r="HB145" s="0" t="n">
        <v>0</v>
      </c>
      <c r="HC145" s="0" t="s">
        <v>254</v>
      </c>
      <c r="HD145" s="0" t="n">
        <v>53</v>
      </c>
      <c r="HE145" s="16" t="n">
        <v>81.5</v>
      </c>
      <c r="HF145" s="16" t="n">
        <v>81</v>
      </c>
      <c r="HG145" s="16" t="n">
        <v>36.4</v>
      </c>
      <c r="HH145" s="0" t="n">
        <v>56.99</v>
      </c>
      <c r="HI145" s="0" t="n">
        <v>0</v>
      </c>
      <c r="HJ145" s="0" t="n">
        <v>0</v>
      </c>
      <c r="HK145" s="0" t="n">
        <v>0.12</v>
      </c>
      <c r="HL145" s="0" t="n">
        <v>42.89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25.37</v>
      </c>
      <c r="HT145" s="0" t="n">
        <v>0</v>
      </c>
      <c r="HU145" s="0" t="n">
        <v>42.65</v>
      </c>
      <c r="HV145" s="0" t="n">
        <v>6.3</v>
      </c>
      <c r="HW145" s="0" t="n">
        <v>0</v>
      </c>
      <c r="HX145" s="0" t="n">
        <v>0</v>
      </c>
      <c r="HY145" s="0" t="n">
        <v>0</v>
      </c>
      <c r="IL145" s="0" t="n">
        <v>8.7</v>
      </c>
      <c r="IM145" s="0" t="n">
        <v>1</v>
      </c>
      <c r="IN145" s="0" t="n">
        <v>137</v>
      </c>
      <c r="IO145" s="0" t="n">
        <v>2</v>
      </c>
      <c r="IP145" s="0" t="n">
        <f aca="false">0.65+0.05</f>
        <v>0.7</v>
      </c>
      <c r="IQ145" s="0" t="n">
        <v>1</v>
      </c>
      <c r="IR145" s="0" t="n">
        <v>103</v>
      </c>
      <c r="IS145" s="0" t="n">
        <v>2</v>
      </c>
      <c r="IT145" s="16" t="n">
        <f aca="false">0.65+0.05</f>
        <v>0.7</v>
      </c>
      <c r="IU145" s="0" t="n">
        <v>1</v>
      </c>
      <c r="IX145" s="18"/>
      <c r="JP145" s="0" t="n">
        <v>0</v>
      </c>
      <c r="LA145" s="16" t="n">
        <v>2.28</v>
      </c>
      <c r="LB145" s="16" t="n">
        <v>1</v>
      </c>
      <c r="LC145" s="16" t="n">
        <v>3</v>
      </c>
      <c r="LD145" s="16"/>
      <c r="LE145" s="16" t="n">
        <f aca="false">2.69+0.37+0.74</f>
        <v>3.8</v>
      </c>
      <c r="LF145" s="16"/>
      <c r="LG145" s="16"/>
      <c r="LH145" s="16"/>
      <c r="LI145" s="16"/>
      <c r="LJ145" s="16"/>
      <c r="LK145" s="16"/>
      <c r="LL145" s="16" t="n">
        <v>0.48</v>
      </c>
      <c r="LM145" s="16" t="n">
        <v>0.48</v>
      </c>
      <c r="LN145" s="16"/>
      <c r="LO145" s="16"/>
      <c r="LP145" s="16" t="n">
        <v>2.22</v>
      </c>
      <c r="LQ145" s="16" t="n">
        <v>23.08</v>
      </c>
      <c r="LR145" s="16" t="n">
        <v>0</v>
      </c>
      <c r="LS145" s="0" t="n">
        <v>0</v>
      </c>
      <c r="LT145" s="0" t="s">
        <v>255</v>
      </c>
      <c r="LU145" s="0" t="n">
        <v>41</v>
      </c>
      <c r="LV145" s="16" t="n">
        <v>48.6</v>
      </c>
      <c r="LW145" s="16" t="n">
        <v>81</v>
      </c>
      <c r="LX145" s="16" t="n">
        <v>21.6</v>
      </c>
      <c r="LY145" s="0" t="n">
        <v>76.16</v>
      </c>
      <c r="LZ145" s="0" t="n">
        <v>0</v>
      </c>
      <c r="MA145" s="0" t="n">
        <v>0.07</v>
      </c>
      <c r="MB145" s="0" t="n">
        <v>0.13</v>
      </c>
      <c r="MC145" s="0" t="n">
        <v>23.64</v>
      </c>
      <c r="MD145" s="0" t="n">
        <v>0</v>
      </c>
      <c r="ME145" s="0" t="n">
        <v>0</v>
      </c>
      <c r="MF145" s="0" t="n">
        <v>0</v>
      </c>
      <c r="MG145" s="0" t="n">
        <v>0</v>
      </c>
      <c r="MH145" s="0" t="n">
        <v>0</v>
      </c>
      <c r="MI145" s="0" t="n">
        <v>0</v>
      </c>
      <c r="MJ145" s="0" t="n">
        <v>6.53</v>
      </c>
      <c r="MK145" s="0" t="n">
        <v>0.2</v>
      </c>
      <c r="ML145" s="0" t="n">
        <v>27.15</v>
      </c>
      <c r="MM145" s="0" t="n">
        <v>4.11</v>
      </c>
      <c r="MN145" s="0" t="n">
        <v>0</v>
      </c>
      <c r="MO145" s="0" t="n">
        <v>3.9</v>
      </c>
      <c r="MP145" s="0" t="n">
        <v>1</v>
      </c>
      <c r="MQ145" s="0" t="n">
        <v>10</v>
      </c>
      <c r="MS145" s="0" t="n">
        <v>1</v>
      </c>
      <c r="NC145" s="0" t="n">
        <v>0.6</v>
      </c>
      <c r="ND145" s="0" t="n">
        <v>1</v>
      </c>
      <c r="NE145" s="0" t="n">
        <v>52</v>
      </c>
      <c r="NF145" s="0" t="n">
        <v>3</v>
      </c>
      <c r="NG145" s="16" t="n">
        <f aca="false">0.16+0.13</f>
        <v>0.29</v>
      </c>
      <c r="NH145" s="0" t="n">
        <v>2</v>
      </c>
      <c r="NO145" s="18"/>
      <c r="OG145" s="0" t="n">
        <v>0</v>
      </c>
      <c r="PR145" s="16" t="n">
        <v>0.57</v>
      </c>
      <c r="PS145" s="16" t="n">
        <v>1</v>
      </c>
      <c r="PT145" s="16" t="n">
        <v>1</v>
      </c>
      <c r="PU145" s="16"/>
      <c r="PV145" s="16" t="n">
        <f aca="false">0.93</f>
        <v>0.93</v>
      </c>
      <c r="PW145" s="16" t="n">
        <v>2</v>
      </c>
      <c r="PX145" s="16"/>
      <c r="PY145" s="16" t="n">
        <f aca="false">0.31+0.22</f>
        <v>0.53</v>
      </c>
      <c r="PZ145" s="16"/>
      <c r="QA145" s="16"/>
      <c r="QB145" s="16"/>
      <c r="QC145" s="16" t="n">
        <v>5.72</v>
      </c>
      <c r="QD145" s="16" t="n">
        <v>5.75</v>
      </c>
      <c r="QE145" s="16"/>
      <c r="QF145" s="16"/>
      <c r="QG145" s="16" t="n">
        <v>7.41</v>
      </c>
      <c r="QH145" s="16" t="n">
        <v>0</v>
      </c>
      <c r="QI145" s="16" t="n">
        <v>0.22</v>
      </c>
      <c r="QJ145" s="0" t="n">
        <v>5</v>
      </c>
      <c r="QK145" s="0" t="s">
        <v>256</v>
      </c>
      <c r="QL145" s="0" t="n">
        <v>40</v>
      </c>
      <c r="QM145" s="16" t="n">
        <v>89.1</v>
      </c>
      <c r="QN145" s="16" t="n">
        <v>81</v>
      </c>
      <c r="QO145" s="16" t="n">
        <v>5.4</v>
      </c>
      <c r="QP145" s="0" t="n">
        <v>99.83</v>
      </c>
      <c r="QQ145" s="0" t="n">
        <v>0</v>
      </c>
      <c r="QR145" s="0" t="n">
        <v>0</v>
      </c>
      <c r="QS145" s="0" t="n">
        <v>0.17</v>
      </c>
      <c r="QT145" s="0" t="n">
        <v>0</v>
      </c>
      <c r="QU145" s="0" t="n">
        <v>0</v>
      </c>
      <c r="QV145" s="0" t="n">
        <v>0</v>
      </c>
      <c r="QW145" s="0" t="n">
        <v>0</v>
      </c>
      <c r="QX145" s="0" t="n">
        <v>0</v>
      </c>
      <c r="QY145" s="0" t="n">
        <v>0</v>
      </c>
      <c r="QZ145" s="0" t="n">
        <v>0</v>
      </c>
      <c r="RA145" s="0" t="n">
        <v>0</v>
      </c>
      <c r="RB145" s="0" t="n">
        <v>19.8</v>
      </c>
      <c r="RC145" s="0" t="n">
        <v>8.95</v>
      </c>
      <c r="RD145" s="0" t="n">
        <v>0</v>
      </c>
      <c r="RE145" s="0" t="n">
        <v>0</v>
      </c>
      <c r="RF145" s="0" t="n">
        <v>22.5</v>
      </c>
      <c r="RG145" s="0" t="n">
        <v>1</v>
      </c>
      <c r="RH145" s="0" t="n">
        <v>5</v>
      </c>
      <c r="RJ145" s="0" t="n">
        <v>8</v>
      </c>
      <c r="RT145" s="0" t="n">
        <v>0</v>
      </c>
      <c r="RU145" s="0" t="n">
        <v>0</v>
      </c>
      <c r="SF145" s="18"/>
      <c r="SX145" s="0" t="n">
        <v>1</v>
      </c>
      <c r="SY145" s="0" t="n">
        <v>50</v>
      </c>
      <c r="SZ145" s="0" t="n">
        <v>4</v>
      </c>
      <c r="TA145" s="0" t="n">
        <f aca="false">0.73*2+0.13*2</f>
        <v>1.72</v>
      </c>
      <c r="TB145" s="0" t="n">
        <v>3</v>
      </c>
      <c r="UI145" s="16" t="n">
        <v>1.48</v>
      </c>
      <c r="UJ145" s="16" t="n">
        <v>1</v>
      </c>
      <c r="UK145" s="16" t="n">
        <v>1</v>
      </c>
      <c r="UL145" s="16"/>
      <c r="UM145" s="16" t="n">
        <f aca="false">2.1*2+0.37*2</f>
        <v>4.94</v>
      </c>
      <c r="UN145" s="16"/>
      <c r="UO145" s="16"/>
      <c r="UP145" s="16"/>
      <c r="UQ145" s="16"/>
      <c r="UR145" s="16"/>
      <c r="US145" s="16"/>
      <c r="UT145" s="16" t="n">
        <v>7.71</v>
      </c>
      <c r="UU145" s="16" t="n">
        <v>4.35</v>
      </c>
      <c r="UV145" s="16"/>
      <c r="UW145" s="16"/>
      <c r="UX145" s="16" t="n">
        <v>0</v>
      </c>
      <c r="UY145" s="16" t="n">
        <v>0</v>
      </c>
      <c r="UZ145" s="16" t="n">
        <v>0</v>
      </c>
      <c r="VA145" s="0" t="n">
        <v>0</v>
      </c>
      <c r="VB145" s="0" t="s">
        <v>257</v>
      </c>
      <c r="VC145" s="0" t="n">
        <v>43</v>
      </c>
      <c r="VD145" s="16" t="n">
        <v>93.3</v>
      </c>
      <c r="VE145" s="16" t="n">
        <v>81</v>
      </c>
      <c r="VF145" s="16" t="n">
        <v>6.4</v>
      </c>
      <c r="VG145" s="0" t="n">
        <v>100</v>
      </c>
      <c r="VH145" s="0" t="n">
        <v>0</v>
      </c>
      <c r="VI145" s="0" t="n">
        <v>0</v>
      </c>
      <c r="VJ145" s="0" t="n">
        <v>0</v>
      </c>
      <c r="VK145" s="0" t="n">
        <v>0</v>
      </c>
      <c r="VL145" s="0" t="n">
        <v>0</v>
      </c>
      <c r="VM145" s="0" t="n">
        <v>0</v>
      </c>
      <c r="VN145" s="0" t="n">
        <v>0</v>
      </c>
      <c r="VO145" s="0" t="n">
        <v>0</v>
      </c>
      <c r="VP145" s="0" t="n">
        <v>0</v>
      </c>
      <c r="VQ145" s="0" t="n">
        <v>0</v>
      </c>
      <c r="VR145" s="0" t="n">
        <v>0</v>
      </c>
      <c r="VS145" s="0" t="n">
        <v>18.51</v>
      </c>
      <c r="VT145" s="0" t="n">
        <v>28.46</v>
      </c>
      <c r="VU145" s="0" t="n">
        <v>0</v>
      </c>
      <c r="VV145" s="0" t="n">
        <v>0</v>
      </c>
      <c r="VW145" s="0" t="n">
        <v>0</v>
      </c>
      <c r="VX145" s="0" t="n">
        <v>0</v>
      </c>
      <c r="WK145" s="0" t="n">
        <v>33</v>
      </c>
      <c r="WL145" s="0" t="n">
        <v>0</v>
      </c>
      <c r="WW145" s="18"/>
      <c r="XO145" s="0" t="n">
        <v>1</v>
      </c>
      <c r="XP145" s="0" t="n">
        <v>40</v>
      </c>
      <c r="XQ145" s="0" t="n">
        <v>8</v>
      </c>
      <c r="XR145" s="0" t="n">
        <f aca="false">1.51*2+3.02+0.27*2</f>
        <v>6.58</v>
      </c>
      <c r="XS145" s="0" t="n">
        <v>3</v>
      </c>
      <c r="XT145" s="0" t="n">
        <v>60</v>
      </c>
      <c r="XU145" s="0" t="n">
        <v>20</v>
      </c>
      <c r="XV145" s="0" t="n">
        <f aca="false">3.65*2+0.67*2</f>
        <v>8.64</v>
      </c>
      <c r="XW145" s="0" t="n">
        <v>3</v>
      </c>
      <c r="YZ145" s="16" t="n">
        <v>0</v>
      </c>
      <c r="ZA145" s="16" t="n">
        <v>0</v>
      </c>
      <c r="ZB145" s="16"/>
      <c r="ZC145" s="16"/>
      <c r="ZD145" s="16"/>
      <c r="ZE145" s="16"/>
      <c r="ZF145" s="16"/>
      <c r="ZG145" s="16"/>
      <c r="ZH145" s="16"/>
      <c r="ZI145" s="16"/>
      <c r="ZJ145" s="16"/>
      <c r="ZK145" s="16" t="n">
        <v>0</v>
      </c>
      <c r="ZL145" s="16" t="n">
        <v>0</v>
      </c>
      <c r="ZM145" s="16"/>
      <c r="ZN145" s="16"/>
      <c r="ZO145" s="16" t="n">
        <v>0</v>
      </c>
      <c r="ZP145" s="16" t="n">
        <v>0</v>
      </c>
      <c r="ZQ145" s="16" t="n">
        <v>0</v>
      </c>
      <c r="ZR145" s="0" t="n">
        <v>0</v>
      </c>
      <c r="ZS145" s="0" t="s">
        <v>258</v>
      </c>
      <c r="ZT145" s="0" t="n">
        <v>40</v>
      </c>
      <c r="ZU145" s="16" t="n">
        <v>90.1</v>
      </c>
      <c r="ZV145" s="16" t="n">
        <v>81</v>
      </c>
      <c r="ZW145" s="16" t="n">
        <v>5.9</v>
      </c>
      <c r="ZX145" s="0" t="n">
        <v>99.34</v>
      </c>
      <c r="ZY145" s="0" t="n">
        <v>0</v>
      </c>
      <c r="ZZ145" s="0" t="n">
        <v>0</v>
      </c>
      <c r="AAA145" s="0" t="n">
        <v>0.66</v>
      </c>
      <c r="AAB145" s="0" t="n">
        <v>0</v>
      </c>
      <c r="AAC145" s="0" t="n">
        <v>0</v>
      </c>
      <c r="AAD145" s="0" t="n">
        <v>0</v>
      </c>
      <c r="AAE145" s="0" t="n">
        <v>0</v>
      </c>
      <c r="AAF145" s="0" t="n">
        <v>0</v>
      </c>
      <c r="AAG145" s="0" t="n">
        <v>0</v>
      </c>
      <c r="AAH145" s="0" t="n">
        <v>0</v>
      </c>
      <c r="AAI145" s="0" t="n">
        <v>0</v>
      </c>
      <c r="AAJ145" s="0" t="n">
        <v>19.8</v>
      </c>
      <c r="AAK145" s="0" t="n">
        <v>8.95</v>
      </c>
      <c r="AAL145" s="0" t="n">
        <v>0</v>
      </c>
      <c r="AAM145" s="0" t="n">
        <v>0</v>
      </c>
      <c r="AAN145" s="0" t="n">
        <v>22.3</v>
      </c>
      <c r="AAO145" s="0" t="n">
        <v>1</v>
      </c>
      <c r="AAP145" s="0" t="n">
        <v>5</v>
      </c>
      <c r="AAR145" s="0" t="n">
        <v>8</v>
      </c>
      <c r="ABB145" s="0" t="n">
        <v>0</v>
      </c>
      <c r="ABC145" s="0" t="n">
        <v>0</v>
      </c>
      <c r="ABN145" s="18"/>
      <c r="ACF145" s="0" t="n">
        <v>1</v>
      </c>
      <c r="ACG145" s="0" t="n">
        <v>50</v>
      </c>
      <c r="ACH145" s="0" t="n">
        <v>4</v>
      </c>
      <c r="ACI145" s="0" t="n">
        <f aca="false">0.73*2+0.13*2</f>
        <v>1.72</v>
      </c>
      <c r="ACJ145" s="0" t="n">
        <v>3</v>
      </c>
      <c r="ADQ145" s="16" t="n">
        <v>1.48</v>
      </c>
      <c r="ADR145" s="16" t="n">
        <v>1</v>
      </c>
      <c r="ADS145" s="16" t="n">
        <v>1</v>
      </c>
      <c r="ADT145" s="16"/>
      <c r="ADU145" s="16" t="n">
        <f aca="false">2.1*2+0.37*2</f>
        <v>4.94</v>
      </c>
      <c r="ADV145" s="16"/>
      <c r="ADW145" s="16"/>
      <c r="ADX145" s="16"/>
      <c r="ADY145" s="16"/>
      <c r="ADZ145" s="16"/>
      <c r="AEA145" s="16"/>
      <c r="AEB145" s="16" t="n">
        <v>7.71</v>
      </c>
      <c r="AEC145" s="16" t="n">
        <v>4.35</v>
      </c>
      <c r="AED145" s="16"/>
      <c r="AEE145" s="16"/>
      <c r="AEF145" s="16" t="n">
        <v>0</v>
      </c>
      <c r="AEG145" s="16" t="n">
        <v>0</v>
      </c>
      <c r="AEH145" s="16" t="n">
        <v>0</v>
      </c>
      <c r="AEI145" s="0" t="n">
        <v>0</v>
      </c>
      <c r="AEJ145" s="0" t="s">
        <v>259</v>
      </c>
      <c r="AEK145" s="0" t="n">
        <v>43</v>
      </c>
      <c r="AEL145" s="16" t="n">
        <v>93.3</v>
      </c>
      <c r="AEM145" s="16" t="n">
        <v>81</v>
      </c>
      <c r="AEN145" s="16" t="n">
        <v>6.4</v>
      </c>
      <c r="AEO145" s="0" t="n">
        <v>100</v>
      </c>
      <c r="AEP145" s="0" t="n">
        <v>0</v>
      </c>
      <c r="AEQ145" s="0" t="n">
        <v>0</v>
      </c>
      <c r="AER145" s="0" t="n">
        <v>0</v>
      </c>
      <c r="AES145" s="0" t="n">
        <v>0</v>
      </c>
      <c r="AET145" s="0" t="n">
        <v>0</v>
      </c>
      <c r="AEU145" s="0" t="n">
        <v>0</v>
      </c>
      <c r="AEV145" s="0" t="n">
        <v>0</v>
      </c>
      <c r="AEW145" s="0" t="n">
        <v>0</v>
      </c>
      <c r="AEX145" s="0" t="n">
        <v>0</v>
      </c>
      <c r="AEY145" s="0" t="n">
        <v>0</v>
      </c>
      <c r="AEZ145" s="0" t="n">
        <v>0</v>
      </c>
      <c r="AFA145" s="0" t="n">
        <v>18.51</v>
      </c>
      <c r="AFB145" s="0" t="n">
        <v>28.46</v>
      </c>
      <c r="AFC145" s="0" t="n">
        <v>0</v>
      </c>
      <c r="AFD145" s="0" t="n">
        <v>0</v>
      </c>
      <c r="AFE145" s="0" t="n">
        <v>0</v>
      </c>
      <c r="AFF145" s="0" t="n">
        <v>0</v>
      </c>
      <c r="AFS145" s="0" t="n">
        <v>33</v>
      </c>
      <c r="AFT145" s="0" t="n">
        <v>0</v>
      </c>
      <c r="AGE145" s="18"/>
      <c r="AGW145" s="0" t="n">
        <v>1</v>
      </c>
      <c r="AGX145" s="0" t="n">
        <v>40</v>
      </c>
      <c r="AGY145" s="0" t="n">
        <v>8</v>
      </c>
      <c r="AGZ145" s="0" t="n">
        <f aca="false">1.51*2+0.27*2+3.02</f>
        <v>6.58</v>
      </c>
      <c r="AHA145" s="0" t="n">
        <v>3</v>
      </c>
      <c r="AHB145" s="0" t="n">
        <v>60</v>
      </c>
      <c r="AHC145" s="0" t="n">
        <v>20</v>
      </c>
      <c r="AHD145" s="0" t="n">
        <f aca="false">3.65*2+0.67*2</f>
        <v>8.64</v>
      </c>
      <c r="AHE145" s="0" t="n">
        <v>3</v>
      </c>
      <c r="AIH145" s="16" t="n">
        <v>0</v>
      </c>
      <c r="AII145" s="16" t="n">
        <v>0</v>
      </c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 t="n">
        <v>0</v>
      </c>
      <c r="AIT145" s="16" t="n">
        <v>0</v>
      </c>
      <c r="AIU145" s="16"/>
      <c r="AIV145" s="16"/>
      <c r="AIW145" s="16" t="n">
        <v>0</v>
      </c>
      <c r="AIX145" s="16" t="n">
        <v>0</v>
      </c>
      <c r="AIY145" s="16" t="n">
        <v>0</v>
      </c>
      <c r="AIZ145" s="0" t="n">
        <v>0</v>
      </c>
      <c r="AJA145" s="0" t="s">
        <v>435</v>
      </c>
      <c r="AJB145" s="0" t="n">
        <v>52.5</v>
      </c>
      <c r="AJC145" s="16" t="n">
        <v>71.2</v>
      </c>
      <c r="AJD145" s="16" t="n">
        <v>81</v>
      </c>
      <c r="AJE145" s="16" t="n">
        <v>44.8</v>
      </c>
      <c r="AJF145" s="0" t="n">
        <v>59.03</v>
      </c>
      <c r="AJG145" s="0" t="n">
        <v>0</v>
      </c>
      <c r="AJH145" s="0" t="n">
        <v>22.52</v>
      </c>
      <c r="AJI145" s="0" t="n">
        <v>17.8</v>
      </c>
      <c r="AJJ145" s="0" t="n">
        <v>0.65</v>
      </c>
      <c r="AJK145" s="0" t="n">
        <v>0</v>
      </c>
      <c r="AJL145" s="0" t="n">
        <v>0</v>
      </c>
      <c r="AJM145" s="0" t="n">
        <v>0</v>
      </c>
      <c r="AJN145" s="0" t="n">
        <v>0</v>
      </c>
      <c r="AJO145" s="0" t="n">
        <v>0</v>
      </c>
      <c r="AJP145" s="0" t="n">
        <v>0</v>
      </c>
      <c r="AJQ145" s="0" t="n">
        <v>0</v>
      </c>
      <c r="AJR145" s="0" t="n">
        <v>3.42</v>
      </c>
      <c r="AJS145" s="0" t="n">
        <v>2.94</v>
      </c>
      <c r="AJT145" s="0" t="n">
        <v>0</v>
      </c>
      <c r="AJU145" s="0" t="n">
        <v>0</v>
      </c>
      <c r="AJV145" s="0" t="n">
        <v>0</v>
      </c>
      <c r="AJW145" s="0" t="n">
        <v>0</v>
      </c>
      <c r="AKJ145" s="0" t="n">
        <v>0</v>
      </c>
      <c r="AKK145" s="0" t="n">
        <v>1</v>
      </c>
      <c r="AKL145" s="0" t="n">
        <v>34</v>
      </c>
      <c r="AKM145" s="0" t="n">
        <v>8</v>
      </c>
      <c r="AKN145" s="0" t="n">
        <v>5.35</v>
      </c>
      <c r="AKO145" s="0" t="n">
        <v>1</v>
      </c>
      <c r="AKV145" s="18"/>
      <c r="ALN145" s="0" t="n">
        <v>0</v>
      </c>
    </row>
    <row r="146" customFormat="false" ht="13.8" hidden="false" customHeight="false" outlineLevel="0" collapsed="false">
      <c r="A146" s="1" t="s">
        <v>593</v>
      </c>
      <c r="B146" s="12" t="n">
        <v>42900</v>
      </c>
      <c r="C146" s="0" t="n">
        <v>2</v>
      </c>
      <c r="D146" s="13" t="n">
        <v>42818</v>
      </c>
      <c r="E146" s="12" t="n">
        <v>28268</v>
      </c>
      <c r="F146" s="14" t="n">
        <f aca="false">(B146-E146)/365.25</f>
        <v>40.0602327173169</v>
      </c>
      <c r="G146" s="14" t="n">
        <f aca="false">(B146-D146)/365.25</f>
        <v>0.224503764544832</v>
      </c>
      <c r="H146" s="15" t="s">
        <v>228</v>
      </c>
      <c r="I146" s="15" t="s">
        <v>229</v>
      </c>
      <c r="J146" s="15" t="s">
        <v>183</v>
      </c>
      <c r="K146" s="21" t="n">
        <v>8</v>
      </c>
      <c r="L146" s="19" t="n">
        <v>96</v>
      </c>
      <c r="M146" s="0" t="n">
        <v>1.85</v>
      </c>
      <c r="N146" s="16" t="n">
        <f aca="false">L146/(M146*M146)</f>
        <v>28.0496712929145</v>
      </c>
      <c r="O146" s="19" t="n">
        <v>0</v>
      </c>
      <c r="P146" s="19" t="n">
        <v>0</v>
      </c>
      <c r="Q146" s="19" t="n">
        <v>0</v>
      </c>
      <c r="R146" s="19" t="n">
        <v>0</v>
      </c>
      <c r="S146" s="19" t="n">
        <v>0</v>
      </c>
      <c r="T146" s="19" t="n">
        <v>0</v>
      </c>
      <c r="U146" s="19" t="n">
        <v>0</v>
      </c>
      <c r="V146" s="19" t="n">
        <v>0</v>
      </c>
      <c r="W146" s="19" t="n">
        <v>0</v>
      </c>
      <c r="X146" s="19" t="n">
        <v>0</v>
      </c>
      <c r="Y146" s="19" t="n">
        <v>0</v>
      </c>
      <c r="Z146" s="19" t="n">
        <v>0</v>
      </c>
      <c r="AA146" s="19" t="n">
        <v>0</v>
      </c>
      <c r="AB146" s="19" t="n">
        <v>0</v>
      </c>
      <c r="AC146" s="19" t="n">
        <v>0</v>
      </c>
      <c r="AD146" s="19" t="n">
        <v>0</v>
      </c>
      <c r="AE146" s="19" t="n">
        <v>0</v>
      </c>
      <c r="AF146" s="19" t="n">
        <v>0</v>
      </c>
      <c r="AG146" s="19" t="n">
        <v>0</v>
      </c>
      <c r="AH146" s="19" t="n">
        <v>0</v>
      </c>
      <c r="AI146" s="19" t="n">
        <v>0</v>
      </c>
      <c r="AJ146" s="19" t="n">
        <v>0</v>
      </c>
      <c r="AK146" s="19" t="n">
        <v>0</v>
      </c>
      <c r="AL146" s="19" t="n">
        <v>0</v>
      </c>
      <c r="AM146" s="19" t="n">
        <v>0</v>
      </c>
      <c r="AN146" s="19" t="n">
        <v>0</v>
      </c>
      <c r="AO146" s="19" t="n">
        <v>0</v>
      </c>
      <c r="AP146" s="19" t="n">
        <v>0</v>
      </c>
      <c r="AQ146" s="19" t="n">
        <v>0</v>
      </c>
      <c r="AR146" s="19" t="n">
        <v>0</v>
      </c>
      <c r="AS146" s="19" t="n">
        <v>0</v>
      </c>
      <c r="AT146" s="19" t="n">
        <v>0</v>
      </c>
      <c r="AU146" s="19" t="n">
        <v>0</v>
      </c>
      <c r="AV146" s="19" t="n">
        <v>0</v>
      </c>
      <c r="AW146" s="19" t="n">
        <v>0</v>
      </c>
      <c r="AX146" s="19" t="n">
        <v>0</v>
      </c>
      <c r="AY146" s="19" t="n">
        <v>0</v>
      </c>
      <c r="AZ146" s="19" t="n">
        <v>0</v>
      </c>
      <c r="BA146" s="19" t="n">
        <v>0</v>
      </c>
      <c r="BB146" s="19" t="n">
        <v>0</v>
      </c>
      <c r="BC146" s="19" t="n">
        <v>0</v>
      </c>
      <c r="BD146" s="19" t="n">
        <v>0</v>
      </c>
      <c r="BE146" s="19" t="n">
        <v>0</v>
      </c>
      <c r="BF146" s="19" t="n">
        <v>0</v>
      </c>
      <c r="BG146" s="19" t="n">
        <v>0</v>
      </c>
      <c r="BH146" s="19" t="n">
        <v>0</v>
      </c>
      <c r="BI146" s="19" t="n">
        <v>0</v>
      </c>
      <c r="BJ146" s="19" t="n">
        <v>0</v>
      </c>
      <c r="BK146" s="19" t="n">
        <v>0</v>
      </c>
      <c r="BL146" s="19" t="n">
        <v>0</v>
      </c>
      <c r="BM146" s="19" t="n">
        <v>0</v>
      </c>
      <c r="BN146" s="19" t="n">
        <v>0</v>
      </c>
      <c r="BO146" s="19" t="n">
        <v>0</v>
      </c>
      <c r="BP146" s="19" t="n">
        <v>0</v>
      </c>
      <c r="BQ146" s="19" t="n">
        <v>0</v>
      </c>
      <c r="BR146" s="19" t="n">
        <v>2</v>
      </c>
      <c r="BS146" s="19" t="n">
        <v>2</v>
      </c>
      <c r="BT146" s="19" t="n">
        <v>3</v>
      </c>
      <c r="BU146" s="19" t="n">
        <v>4</v>
      </c>
      <c r="BV146" s="19" t="n">
        <v>2</v>
      </c>
      <c r="BW146" s="19" t="n">
        <v>3</v>
      </c>
      <c r="BX146" s="19" t="n">
        <v>3</v>
      </c>
      <c r="BY146" s="19" t="n">
        <v>2</v>
      </c>
      <c r="BZ146" s="19" t="n">
        <v>3</v>
      </c>
      <c r="CA146" s="19" t="n">
        <v>4</v>
      </c>
      <c r="CB146" s="19" t="n">
        <v>3</v>
      </c>
      <c r="CC146" s="19" t="n">
        <v>4</v>
      </c>
      <c r="CD146" s="19" t="n">
        <v>2</v>
      </c>
      <c r="CE146" s="19" t="n">
        <v>3</v>
      </c>
      <c r="CF146" s="19" t="n">
        <v>5</v>
      </c>
      <c r="CG146" s="19" t="n">
        <v>5</v>
      </c>
      <c r="CH146" s="19" t="n">
        <v>4</v>
      </c>
      <c r="CI146" s="19" t="n">
        <v>4</v>
      </c>
      <c r="CJ146" s="19" t="n">
        <v>4</v>
      </c>
      <c r="CK146" s="19" t="n">
        <v>8</v>
      </c>
      <c r="CL146" s="0" t="s">
        <v>234</v>
      </c>
      <c r="CM146" s="0" t="n">
        <v>22.5</v>
      </c>
      <c r="CN146" s="16" t="n">
        <v>60.3</v>
      </c>
      <c r="CO146" s="16" t="n">
        <v>81</v>
      </c>
      <c r="CP146" s="16" t="n">
        <v>13.3</v>
      </c>
      <c r="CQ146" s="0" t="n">
        <v>92.98</v>
      </c>
      <c r="CR146" s="0" t="n">
        <v>0</v>
      </c>
      <c r="CS146" s="0" t="n">
        <v>0</v>
      </c>
      <c r="CT146" s="0" t="n">
        <v>0</v>
      </c>
      <c r="CU146" s="0" t="n">
        <v>7.02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0.72</v>
      </c>
      <c r="DD146" s="0" t="n">
        <v>23.12</v>
      </c>
      <c r="DE146" s="0" t="n">
        <v>24.81</v>
      </c>
      <c r="DF146" s="0" t="n">
        <v>0</v>
      </c>
      <c r="DG146" s="0" t="n">
        <v>0</v>
      </c>
      <c r="DH146" s="0" t="n">
        <v>0</v>
      </c>
      <c r="DU146" s="0" t="n">
        <v>0</v>
      </c>
      <c r="DV146" s="0" t="n">
        <v>1</v>
      </c>
      <c r="DW146" s="0" t="n">
        <v>23</v>
      </c>
      <c r="DX146" s="0" t="n">
        <v>1</v>
      </c>
      <c r="DY146" s="0" t="n">
        <v>0.3</v>
      </c>
      <c r="DZ146" s="0" t="n">
        <v>3</v>
      </c>
      <c r="EG146" s="18"/>
      <c r="EY146" s="0" t="n">
        <v>0</v>
      </c>
      <c r="GJ146" s="16" t="n">
        <v>1.26</v>
      </c>
      <c r="GK146" s="16" t="n">
        <v>1</v>
      </c>
      <c r="GL146" s="16" t="n">
        <v>1</v>
      </c>
      <c r="GM146" s="16"/>
      <c r="GN146" s="16" t="n">
        <f aca="false">2.1+1.7+0.4+0.37+0.74</f>
        <v>5.31</v>
      </c>
      <c r="GO146" s="16"/>
      <c r="GP146" s="16"/>
      <c r="GQ146" s="16"/>
      <c r="GR146" s="16"/>
      <c r="GS146" s="16"/>
      <c r="GT146" s="16"/>
      <c r="GU146" s="16" t="n">
        <v>6.24</v>
      </c>
      <c r="GV146" s="16" t="n">
        <v>6.99</v>
      </c>
      <c r="GW146" s="16"/>
      <c r="GX146" s="16"/>
      <c r="GY146" s="16" t="n">
        <v>0</v>
      </c>
      <c r="GZ146" s="16" t="n">
        <v>0</v>
      </c>
      <c r="HA146" s="16" t="n">
        <v>0</v>
      </c>
      <c r="HB146" s="0" t="n">
        <v>0</v>
      </c>
      <c r="HC146" s="0" t="s">
        <v>236</v>
      </c>
      <c r="HD146" s="0" t="n">
        <v>51</v>
      </c>
      <c r="HE146" s="16" t="n">
        <v>93.4</v>
      </c>
      <c r="HF146" s="16" t="n">
        <v>81</v>
      </c>
      <c r="HG146" s="16" t="n">
        <v>29.5</v>
      </c>
      <c r="HH146" s="0" t="n">
        <v>55.24</v>
      </c>
      <c r="HI146" s="0" t="n">
        <v>0</v>
      </c>
      <c r="HJ146" s="0" t="n">
        <v>0</v>
      </c>
      <c r="HK146" s="0" t="n">
        <v>0</v>
      </c>
      <c r="HL146" s="0" t="n">
        <v>44.76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0.67</v>
      </c>
      <c r="HT146" s="0" t="n">
        <v>5.1</v>
      </c>
      <c r="HU146" s="0" t="n">
        <v>47.22</v>
      </c>
      <c r="HV146" s="0" t="n">
        <v>18.3</v>
      </c>
      <c r="HW146" s="0" t="n">
        <v>0</v>
      </c>
      <c r="HX146" s="0" t="n">
        <v>7.5</v>
      </c>
      <c r="HY146" s="0" t="n">
        <v>1</v>
      </c>
      <c r="HZ146" s="0" t="n">
        <v>3.6</v>
      </c>
      <c r="IB146" s="0" t="n">
        <v>1</v>
      </c>
      <c r="IF146" s="0" t="n">
        <v>3.6</v>
      </c>
      <c r="IH146" s="0" t="n">
        <v>1</v>
      </c>
      <c r="IL146" s="0" t="n">
        <v>0</v>
      </c>
      <c r="IM146" s="0" t="n">
        <v>0</v>
      </c>
      <c r="IX146" s="18"/>
      <c r="JP146" s="0" t="n">
        <v>0</v>
      </c>
      <c r="LA146" s="16" t="n">
        <v>1.95</v>
      </c>
      <c r="LB146" s="16" t="n">
        <v>1</v>
      </c>
      <c r="LC146" s="16" t="n">
        <v>1</v>
      </c>
      <c r="LD146" s="16"/>
      <c r="LE146" s="16" t="n">
        <f aca="false">2.42+1.67+5+0.22+0.66+0.22</f>
        <v>10.19</v>
      </c>
      <c r="LF146" s="16"/>
      <c r="LG146" s="16"/>
      <c r="LH146" s="16"/>
      <c r="LI146" s="16"/>
      <c r="LJ146" s="16"/>
      <c r="LK146" s="16"/>
      <c r="LL146" s="16" t="n">
        <v>5.63</v>
      </c>
      <c r="LM146" s="16" t="n">
        <v>11.04</v>
      </c>
      <c r="LN146" s="16"/>
      <c r="LO146" s="16"/>
      <c r="LP146" s="16" t="n">
        <v>0</v>
      </c>
      <c r="LQ146" s="16" t="n">
        <v>0</v>
      </c>
      <c r="LR146" s="16" t="n">
        <v>0</v>
      </c>
      <c r="LS146" s="0" t="n">
        <v>0</v>
      </c>
      <c r="LT146" s="0" t="s">
        <v>237</v>
      </c>
      <c r="LU146" s="0" t="n">
        <v>46</v>
      </c>
      <c r="LV146" s="16" t="n">
        <v>92.7</v>
      </c>
      <c r="LW146" s="16" t="n">
        <v>81</v>
      </c>
      <c r="LX146" s="16" t="n">
        <v>20.8</v>
      </c>
      <c r="LY146" s="0" t="n">
        <v>76.44</v>
      </c>
      <c r="LZ146" s="0" t="n">
        <v>0</v>
      </c>
      <c r="MA146" s="0" t="n">
        <v>0</v>
      </c>
      <c r="MB146" s="0" t="n">
        <v>0</v>
      </c>
      <c r="MC146" s="0" t="n">
        <v>23.56</v>
      </c>
      <c r="MD146" s="0" t="n">
        <v>0</v>
      </c>
      <c r="ME146" s="0" t="n">
        <v>0</v>
      </c>
      <c r="MF146" s="0" t="n">
        <v>0</v>
      </c>
      <c r="MG146" s="0" t="n">
        <v>0</v>
      </c>
      <c r="MH146" s="0" t="n">
        <v>0</v>
      </c>
      <c r="MI146" s="0" t="n">
        <v>0</v>
      </c>
      <c r="MJ146" s="0" t="n">
        <v>0.23</v>
      </c>
      <c r="MK146" s="0" t="n">
        <v>0.51</v>
      </c>
      <c r="ML146" s="0" t="n">
        <v>26.55</v>
      </c>
      <c r="MM146" s="0" t="n">
        <v>36.69</v>
      </c>
      <c r="MN146" s="0" t="n">
        <v>0</v>
      </c>
      <c r="MO146" s="0" t="n">
        <v>10.6</v>
      </c>
      <c r="MP146" s="0" t="n">
        <v>1</v>
      </c>
      <c r="MQ146" s="0" t="n">
        <v>6</v>
      </c>
      <c r="MS146" s="0" t="n">
        <v>1</v>
      </c>
      <c r="MW146" s="0" t="n">
        <v>6</v>
      </c>
      <c r="MY146" s="0" t="n">
        <v>1</v>
      </c>
      <c r="NC146" s="0" t="n">
        <v>7.1</v>
      </c>
      <c r="ND146" s="0" t="n">
        <v>1</v>
      </c>
      <c r="NE146" s="0" t="n">
        <v>35</v>
      </c>
      <c r="NF146" s="0" t="n">
        <v>2</v>
      </c>
      <c r="NG146" s="0" t="n">
        <f aca="false">0.76*2</f>
        <v>1.52</v>
      </c>
      <c r="NH146" s="0" t="n">
        <v>3</v>
      </c>
      <c r="NO146" s="18"/>
      <c r="OG146" s="0" t="n">
        <v>0</v>
      </c>
      <c r="PR146" s="16" t="n">
        <v>2.41</v>
      </c>
      <c r="PS146" s="16" t="n">
        <v>1</v>
      </c>
      <c r="PT146" s="16" t="n">
        <v>1</v>
      </c>
      <c r="PU146" s="16"/>
      <c r="PV146" s="16" t="n">
        <f aca="false">0.41+1.67+5+0.33+0.45+0.15</f>
        <v>8.01</v>
      </c>
      <c r="PW146" s="16"/>
      <c r="PX146" s="16"/>
      <c r="PY146" s="16"/>
      <c r="PZ146" s="16"/>
      <c r="QA146" s="16"/>
      <c r="QB146" s="16"/>
      <c r="QC146" s="16" t="n">
        <v>0.33</v>
      </c>
      <c r="QD146" s="16" t="n">
        <v>0.33</v>
      </c>
      <c r="QE146" s="16"/>
      <c r="QF146" s="16"/>
      <c r="QG146" s="16" t="n">
        <v>0</v>
      </c>
      <c r="QH146" s="16" t="n">
        <v>0</v>
      </c>
      <c r="QI146" s="16" t="n">
        <v>0</v>
      </c>
      <c r="QJ146" s="0" t="n">
        <v>0</v>
      </c>
      <c r="QK146" s="0" t="s">
        <v>462</v>
      </c>
      <c r="QL146" s="0" t="n">
        <v>47.5</v>
      </c>
      <c r="QM146" s="16" t="n">
        <v>85.1</v>
      </c>
      <c r="QN146" s="16" t="n">
        <v>81</v>
      </c>
      <c r="QO146" s="16" t="n">
        <v>33.2</v>
      </c>
      <c r="QP146" s="0" t="n">
        <v>52.89</v>
      </c>
      <c r="QQ146" s="0" t="n">
        <v>0</v>
      </c>
      <c r="QR146" s="0" t="n">
        <v>0</v>
      </c>
      <c r="QS146" s="0" t="n">
        <v>0</v>
      </c>
      <c r="QT146" s="0" t="n">
        <v>47.11</v>
      </c>
      <c r="QU146" s="0" t="n">
        <v>0</v>
      </c>
      <c r="QV146" s="0" t="n">
        <v>0</v>
      </c>
      <c r="QW146" s="0" t="n">
        <v>0</v>
      </c>
      <c r="QX146" s="0" t="n">
        <v>0</v>
      </c>
      <c r="QY146" s="0" t="n">
        <v>0</v>
      </c>
      <c r="QZ146" s="0" t="n">
        <v>0</v>
      </c>
      <c r="RA146" s="0" t="n">
        <v>3.65</v>
      </c>
      <c r="RB146" s="0" t="n">
        <v>0</v>
      </c>
      <c r="RC146" s="0" t="n">
        <v>19.66</v>
      </c>
      <c r="RD146" s="0" t="n">
        <v>48.22</v>
      </c>
      <c r="RE146" s="0" t="n">
        <v>0</v>
      </c>
      <c r="RF146" s="0" t="n">
        <v>5.3</v>
      </c>
      <c r="RG146" s="0" t="n">
        <v>1</v>
      </c>
      <c r="RH146" s="0" t="n">
        <v>5</v>
      </c>
      <c r="RJ146" s="0" t="n">
        <v>1</v>
      </c>
      <c r="RN146" s="0" t="n">
        <v>5</v>
      </c>
      <c r="RP146" s="0" t="n">
        <v>1</v>
      </c>
      <c r="RT146" s="0" t="n">
        <v>1.5</v>
      </c>
      <c r="RU146" s="0" t="n">
        <v>0</v>
      </c>
      <c r="SF146" s="18"/>
      <c r="SX146" s="0" t="n">
        <v>1</v>
      </c>
      <c r="SY146" s="0" t="n">
        <v>60</v>
      </c>
      <c r="SZ146" s="0" t="n">
        <v>1</v>
      </c>
      <c r="TA146" s="0" t="n">
        <v>3.97</v>
      </c>
      <c r="TB146" s="0" t="n">
        <v>4</v>
      </c>
      <c r="TC146" s="0" t="n">
        <v>60</v>
      </c>
      <c r="TD146" s="0" t="n">
        <v>1</v>
      </c>
      <c r="TE146" s="0" t="n">
        <v>0.2</v>
      </c>
      <c r="TF146" s="0" t="n">
        <v>3</v>
      </c>
      <c r="UI146" s="16" t="n">
        <v>1.3</v>
      </c>
      <c r="UJ146" s="16" t="n">
        <v>1</v>
      </c>
      <c r="UK146" s="16" t="n">
        <v>1</v>
      </c>
      <c r="UL146" s="16"/>
      <c r="UM146" s="16" t="n">
        <f aca="false">1.05*2+0.15</f>
        <v>2.25</v>
      </c>
      <c r="UN146" s="16"/>
      <c r="UO146" s="16"/>
      <c r="UP146" s="16"/>
      <c r="UQ146" s="16"/>
      <c r="UR146" s="16"/>
      <c r="US146" s="16"/>
      <c r="UT146" s="16" t="n">
        <v>0.69</v>
      </c>
      <c r="UU146" s="16" t="n">
        <v>0.33</v>
      </c>
      <c r="UV146" s="16"/>
      <c r="UW146" s="16"/>
      <c r="UX146" s="16" t="n">
        <v>0</v>
      </c>
      <c r="UY146" s="16" t="n">
        <v>0</v>
      </c>
      <c r="UZ146" s="16" t="n">
        <v>0</v>
      </c>
      <c r="VA146" s="0" t="n">
        <v>0</v>
      </c>
      <c r="VB146" s="0" t="s">
        <v>463</v>
      </c>
      <c r="VC146" s="0" t="n">
        <v>50</v>
      </c>
      <c r="VD146" s="16" t="n">
        <v>86.6</v>
      </c>
      <c r="VE146" s="16" t="n">
        <v>81</v>
      </c>
      <c r="VF146" s="16" t="n">
        <v>31.6</v>
      </c>
      <c r="VG146" s="0" t="n">
        <v>51.98</v>
      </c>
      <c r="VH146" s="0" t="n">
        <v>0</v>
      </c>
      <c r="VI146" s="0" t="n">
        <v>0</v>
      </c>
      <c r="VJ146" s="0" t="n">
        <v>0</v>
      </c>
      <c r="VK146" s="0" t="n">
        <v>48.02</v>
      </c>
      <c r="VL146" s="0" t="n">
        <v>0</v>
      </c>
      <c r="VM146" s="0" t="n">
        <v>0</v>
      </c>
      <c r="VN146" s="0" t="n">
        <v>0</v>
      </c>
      <c r="VO146" s="0" t="n">
        <v>0</v>
      </c>
      <c r="VP146" s="0" t="n">
        <v>0</v>
      </c>
      <c r="VQ146" s="0" t="n">
        <v>0</v>
      </c>
      <c r="VR146" s="0" t="n">
        <v>0</v>
      </c>
      <c r="VS146" s="0" t="n">
        <v>0</v>
      </c>
      <c r="VT146" s="0" t="n">
        <v>34.88</v>
      </c>
      <c r="VU146" s="0" t="n">
        <v>40.97</v>
      </c>
      <c r="VV146" s="0" t="n">
        <v>0</v>
      </c>
      <c r="VW146" s="0" t="n">
        <v>12</v>
      </c>
      <c r="VX146" s="0" t="n">
        <v>1</v>
      </c>
      <c r="VY146" s="0" t="n">
        <v>7</v>
      </c>
      <c r="WA146" s="0" t="n">
        <v>1</v>
      </c>
      <c r="WE146" s="0" t="n">
        <v>7</v>
      </c>
      <c r="WG146" s="0" t="n">
        <v>1</v>
      </c>
      <c r="WK146" s="0" t="n">
        <v>0.4</v>
      </c>
      <c r="WL146" s="0" t="n">
        <v>0</v>
      </c>
      <c r="WW146" s="18"/>
      <c r="XO146" s="0" t="n">
        <v>1</v>
      </c>
      <c r="XP146" s="0" t="n">
        <v>60</v>
      </c>
      <c r="XQ146" s="0" t="n">
        <v>1</v>
      </c>
      <c r="XR146" s="0" t="n">
        <v>0.53</v>
      </c>
      <c r="XS146" s="0" t="n">
        <v>4</v>
      </c>
      <c r="XT146" s="0" t="n">
        <v>60</v>
      </c>
      <c r="XU146" s="0" t="n">
        <v>1</v>
      </c>
      <c r="XV146" s="0" t="n">
        <v>0.6</v>
      </c>
      <c r="XW146" s="0" t="n">
        <v>3</v>
      </c>
      <c r="YZ146" s="16" t="n">
        <v>0.22</v>
      </c>
      <c r="ZA146" s="16" t="n">
        <v>1</v>
      </c>
      <c r="ZB146" s="16" t="n">
        <v>1</v>
      </c>
      <c r="ZC146" s="16"/>
      <c r="ZD146" s="16" t="n">
        <f aca="false">0.37*2</f>
        <v>0.74</v>
      </c>
      <c r="ZE146" s="16"/>
      <c r="ZF146" s="16"/>
      <c r="ZG146" s="16"/>
      <c r="ZH146" s="16"/>
      <c r="ZI146" s="16"/>
      <c r="ZJ146" s="16"/>
      <c r="ZK146" s="16" t="n">
        <v>0</v>
      </c>
      <c r="ZL146" s="16" t="n">
        <v>0</v>
      </c>
      <c r="ZM146" s="16"/>
      <c r="ZN146" s="16"/>
      <c r="ZO146" s="16" t="n">
        <v>0</v>
      </c>
      <c r="ZP146" s="16" t="n">
        <v>0</v>
      </c>
      <c r="ZQ146" s="16" t="n">
        <v>0</v>
      </c>
      <c r="ZR146" s="0" t="n">
        <v>0</v>
      </c>
      <c r="ZT146" s="34"/>
      <c r="ZU146" s="15"/>
      <c r="ZV146" s="15"/>
      <c r="ZX146" s="34"/>
      <c r="ZY146" s="34"/>
      <c r="AAB146" s="34"/>
      <c r="AAC146" s="15"/>
      <c r="AAD146" s="15"/>
      <c r="AAF146" s="34"/>
      <c r="AAG146" s="34"/>
      <c r="AAJ146" s="34"/>
      <c r="AAK146" s="15"/>
      <c r="AAL146" s="15"/>
      <c r="AAN146" s="34"/>
      <c r="AAO146" s="34"/>
      <c r="AAR146" s="34"/>
      <c r="AAS146" s="15"/>
      <c r="AAT146" s="15"/>
      <c r="AAV146" s="34"/>
      <c r="AAW146" s="34"/>
      <c r="AAZ146" s="34"/>
      <c r="ABA146" s="15"/>
      <c r="ABB146" s="15"/>
      <c r="ABD146" s="34"/>
      <c r="ABE146" s="34"/>
      <c r="ABH146" s="34"/>
      <c r="ABI146" s="15"/>
      <c r="ABJ146" s="15"/>
      <c r="ABL146" s="34"/>
      <c r="ABM146" s="34"/>
      <c r="ABP146" s="34"/>
      <c r="ABQ146" s="15"/>
      <c r="ABR146" s="15"/>
      <c r="ABT146" s="34"/>
      <c r="ABU146" s="34"/>
      <c r="ABX146" s="34"/>
      <c r="ABY146" s="15"/>
      <c r="ABZ146" s="15"/>
      <c r="ACB146" s="34"/>
      <c r="ACC146" s="34"/>
      <c r="ACF146" s="34"/>
      <c r="ACG146" s="15"/>
      <c r="ACH146" s="15"/>
      <c r="ACJ146" s="34"/>
      <c r="ACK146" s="34"/>
      <c r="ACN146" s="34"/>
      <c r="ACO146" s="15"/>
      <c r="ACP146" s="15"/>
      <c r="ACR146" s="34"/>
      <c r="ACS146" s="34"/>
      <c r="ACV146" s="34"/>
      <c r="ACW146" s="15"/>
      <c r="ACX146" s="15"/>
      <c r="ACZ146" s="34"/>
      <c r="ADA146" s="34"/>
      <c r="ADD146" s="34"/>
      <c r="ADE146" s="15"/>
      <c r="ADF146" s="15"/>
      <c r="ADH146" s="34"/>
      <c r="ADI146" s="34"/>
      <c r="ADL146" s="34"/>
      <c r="ADM146" s="15"/>
      <c r="ADN146" s="15"/>
      <c r="ADP146" s="34"/>
      <c r="ADQ146" s="34"/>
      <c r="ADT146" s="34"/>
      <c r="ADU146" s="15"/>
      <c r="ADV146" s="15"/>
      <c r="ADX146" s="34"/>
      <c r="ADY146" s="34"/>
      <c r="AEB146" s="34"/>
      <c r="AEC146" s="15"/>
      <c r="AED146" s="15"/>
      <c r="AEF146" s="34"/>
      <c r="AEG146" s="34"/>
      <c r="AEJ146" s="34"/>
      <c r="AEK146" s="15"/>
      <c r="AEL146" s="15"/>
      <c r="AEN146" s="34"/>
      <c r="AEO146" s="34"/>
      <c r="AER146" s="34"/>
      <c r="AES146" s="15"/>
      <c r="AET146" s="15"/>
      <c r="AEV146" s="34"/>
      <c r="AEW146" s="34"/>
      <c r="AEZ146" s="34"/>
      <c r="AFA146" s="15"/>
      <c r="AFB146" s="15"/>
      <c r="AFD146" s="34"/>
      <c r="AFE146" s="34"/>
      <c r="AFH146" s="34"/>
      <c r="AFI146" s="15"/>
      <c r="AFJ146" s="15"/>
      <c r="AFL146" s="34"/>
      <c r="AFM146" s="34"/>
      <c r="AFP146" s="34"/>
      <c r="AFQ146" s="15"/>
      <c r="AFR146" s="15"/>
      <c r="AFT146" s="34"/>
      <c r="AFU146" s="34"/>
      <c r="AFX146" s="34"/>
      <c r="AFY146" s="15"/>
      <c r="AFZ146" s="15"/>
      <c r="AGB146" s="34"/>
      <c r="AGC146" s="34"/>
      <c r="AGF146" s="34"/>
      <c r="AGG146" s="15"/>
      <c r="AGH146" s="15"/>
      <c r="AGJ146" s="34"/>
      <c r="AGK146" s="34"/>
      <c r="AGN146" s="34"/>
      <c r="AGO146" s="15"/>
      <c r="AGP146" s="15"/>
      <c r="AGR146" s="34"/>
      <c r="AGS146" s="34"/>
      <c r="AGV146" s="34"/>
      <c r="AGW146" s="15"/>
      <c r="AGX146" s="15"/>
      <c r="AGZ146" s="34"/>
      <c r="AHA146" s="34"/>
      <c r="AHD146" s="34"/>
      <c r="AHE146" s="15"/>
      <c r="AHF146" s="15"/>
      <c r="AHH146" s="34"/>
      <c r="AHI146" s="34"/>
      <c r="AHL146" s="34"/>
      <c r="AHM146" s="15"/>
      <c r="AHN146" s="15"/>
      <c r="AHP146" s="34"/>
      <c r="AHQ146" s="34"/>
      <c r="AHT146" s="34"/>
      <c r="AHU146" s="15"/>
      <c r="AHV146" s="15"/>
      <c r="AHX146" s="34"/>
      <c r="AHY146" s="34"/>
      <c r="AIB146" s="34"/>
      <c r="AIC146" s="15"/>
      <c r="AID146" s="15"/>
      <c r="AIF146" s="34"/>
      <c r="AIG146" s="34"/>
      <c r="AIJ146" s="34"/>
      <c r="AIK146" s="15"/>
      <c r="AIL146" s="15"/>
      <c r="AIN146" s="34"/>
      <c r="AIO146" s="34"/>
      <c r="AIR146" s="34"/>
      <c r="AIS146" s="15"/>
      <c r="AIT146" s="15"/>
      <c r="AIV146" s="34"/>
      <c r="AIW146" s="34"/>
      <c r="AIZ146" s="34"/>
      <c r="AJA146" s="15"/>
      <c r="AJB146" s="15"/>
      <c r="AJD146" s="34"/>
      <c r="AJE146" s="34"/>
      <c r="AJH146" s="34"/>
      <c r="AJI146" s="15"/>
      <c r="AJJ146" s="15"/>
      <c r="AJL146" s="34"/>
      <c r="AJM146" s="34"/>
      <c r="AJP146" s="34"/>
      <c r="AJQ146" s="15"/>
      <c r="AJR146" s="15"/>
      <c r="AJT146" s="34"/>
      <c r="AJU146" s="34"/>
      <c r="AJX146" s="34"/>
      <c r="AJY146" s="15"/>
      <c r="AJZ146" s="15"/>
      <c r="AKB146" s="34"/>
      <c r="AKC146" s="34"/>
      <c r="AKF146" s="34"/>
      <c r="AKG146" s="15"/>
      <c r="AKH146" s="15"/>
      <c r="AKJ146" s="34"/>
      <c r="AKK146" s="34"/>
      <c r="AKN146" s="34"/>
      <c r="AKO146" s="15"/>
      <c r="AKP146" s="15"/>
      <c r="AKR146" s="34"/>
      <c r="AKS146" s="34"/>
      <c r="AKV146" s="34"/>
      <c r="AKW146" s="15"/>
      <c r="AKX146" s="15"/>
      <c r="AKZ146" s="34"/>
      <c r="ALA146" s="34"/>
      <c r="ALD146" s="34"/>
      <c r="ALE146" s="15"/>
      <c r="ALF146" s="15"/>
      <c r="ALH146" s="34"/>
      <c r="ALI146" s="34"/>
      <c r="ALL146" s="34"/>
      <c r="ALM146" s="15"/>
      <c r="ALN146" s="15"/>
      <c r="ALP146" s="34"/>
      <c r="ALQ146" s="34"/>
      <c r="ALT146" s="34"/>
      <c r="ALU146" s="15"/>
      <c r="ALV146" s="15"/>
      <c r="ALX146" s="34"/>
      <c r="ALY146" s="34"/>
      <c r="AMB146" s="34"/>
      <c r="AMC146" s="15"/>
      <c r="AMD146" s="15"/>
      <c r="AMF146" s="34"/>
      <c r="AMG146" s="34"/>
      <c r="AMJ146" s="34"/>
    </row>
    <row r="147" customFormat="false" ht="13.8" hidden="false" customHeight="false" outlineLevel="0" collapsed="false">
      <c r="A147" s="1" t="s">
        <v>594</v>
      </c>
      <c r="B147" s="12" t="n">
        <v>42902</v>
      </c>
      <c r="C147" s="0" t="n">
        <v>1</v>
      </c>
      <c r="D147" s="13" t="n">
        <v>40301</v>
      </c>
      <c r="E147" s="12" t="n">
        <v>25953</v>
      </c>
      <c r="F147" s="14" t="n">
        <f aca="false">(B147-E147)/365.25</f>
        <v>46.403832991102</v>
      </c>
      <c r="G147" s="14" t="n">
        <f aca="false">(B147-D147)/365.25</f>
        <v>7.1211498973306</v>
      </c>
      <c r="H147" s="15" t="s">
        <v>228</v>
      </c>
      <c r="I147" s="15" t="s">
        <v>229</v>
      </c>
      <c r="J147" s="15" t="s">
        <v>183</v>
      </c>
      <c r="K147" s="21" t="n">
        <v>4</v>
      </c>
      <c r="L147" s="19" t="n">
        <v>64</v>
      </c>
      <c r="M147" s="0" t="n">
        <v>1.62</v>
      </c>
      <c r="N147" s="16" t="n">
        <f aca="false">L147/(M147*M147)</f>
        <v>24.3865264441396</v>
      </c>
      <c r="O147" s="19" t="n">
        <v>0</v>
      </c>
      <c r="P147" s="19" t="n">
        <v>0</v>
      </c>
      <c r="Q147" s="19" t="n">
        <v>0</v>
      </c>
      <c r="R147" s="19" t="n">
        <v>0</v>
      </c>
      <c r="S147" s="19" t="n">
        <v>0</v>
      </c>
      <c r="T147" s="19" t="n">
        <v>0</v>
      </c>
      <c r="U147" s="19" t="n">
        <v>0</v>
      </c>
      <c r="V147" s="19" t="n">
        <v>0</v>
      </c>
      <c r="W147" s="19" t="n">
        <v>0</v>
      </c>
      <c r="X147" s="19" t="n">
        <v>0</v>
      </c>
      <c r="Y147" s="19" t="n">
        <v>0</v>
      </c>
      <c r="Z147" s="19" t="n">
        <v>0</v>
      </c>
      <c r="AA147" s="19" t="n">
        <v>0</v>
      </c>
      <c r="AB147" s="19" t="n">
        <v>0</v>
      </c>
      <c r="AC147" s="19" t="n">
        <v>0</v>
      </c>
      <c r="AD147" s="19" t="n">
        <v>0</v>
      </c>
      <c r="AE147" s="19"/>
      <c r="AF147" s="19"/>
      <c r="AG147" s="19"/>
      <c r="AH147" s="19"/>
      <c r="AI147" s="19" t="n">
        <v>1</v>
      </c>
      <c r="AJ147" s="19"/>
      <c r="AK147" s="19"/>
      <c r="AL147" s="19"/>
      <c r="AM147" s="19"/>
      <c r="AN147" s="19" t="n">
        <v>1</v>
      </c>
      <c r="AO147" s="19"/>
      <c r="AP147" s="19"/>
      <c r="AQ147" s="19"/>
      <c r="AR147" s="19"/>
      <c r="AS147" s="19" t="n">
        <v>2</v>
      </c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 t="n">
        <v>3</v>
      </c>
      <c r="BS147" s="19" t="n">
        <v>1</v>
      </c>
      <c r="BT147" s="19" t="n">
        <v>3</v>
      </c>
      <c r="BU147" s="19" t="n">
        <v>5</v>
      </c>
      <c r="BV147" s="19" t="n">
        <v>2</v>
      </c>
      <c r="BW147" s="19" t="n">
        <v>2</v>
      </c>
      <c r="BX147" s="19" t="n">
        <v>5</v>
      </c>
      <c r="BY147" s="19" t="n">
        <v>3</v>
      </c>
      <c r="BZ147" s="19" t="n">
        <v>3</v>
      </c>
      <c r="CA147" s="19" t="n">
        <v>3</v>
      </c>
      <c r="CB147" s="19" t="n">
        <v>5</v>
      </c>
      <c r="CC147" s="19" t="n">
        <v>5</v>
      </c>
      <c r="CD147" s="19" t="n">
        <v>5</v>
      </c>
      <c r="CE147" s="19" t="n">
        <v>5</v>
      </c>
      <c r="CF147" s="19" t="n">
        <v>3</v>
      </c>
      <c r="CG147" s="19" t="n">
        <v>5</v>
      </c>
      <c r="CH147" s="19" t="n">
        <v>5</v>
      </c>
      <c r="CI147" s="19" t="n">
        <v>5</v>
      </c>
      <c r="CJ147" s="19" t="n">
        <v>5</v>
      </c>
      <c r="CK147" s="19" t="n">
        <v>10</v>
      </c>
      <c r="CL147" s="0" t="s">
        <v>232</v>
      </c>
      <c r="CM147" s="0" t="n">
        <v>40</v>
      </c>
      <c r="CN147" s="16" t="n">
        <v>84.9</v>
      </c>
      <c r="CO147" s="16" t="n">
        <v>81</v>
      </c>
      <c r="CP147" s="16" t="n">
        <v>13.2</v>
      </c>
      <c r="CQ147" s="0" t="n">
        <v>93.04</v>
      </c>
      <c r="CR147" s="0" t="n">
        <v>0</v>
      </c>
      <c r="CS147" s="0" t="n">
        <v>0</v>
      </c>
      <c r="CT147" s="0" t="n">
        <v>3.59</v>
      </c>
      <c r="CU147" s="0" t="n">
        <v>3.38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1.7</v>
      </c>
      <c r="DC147" s="0" t="n">
        <v>3.97</v>
      </c>
      <c r="DD147" s="0" t="n">
        <v>39.76</v>
      </c>
      <c r="DE147" s="0" t="n">
        <v>0.13</v>
      </c>
      <c r="DF147" s="0" t="n">
        <v>0</v>
      </c>
      <c r="DG147" s="0" t="n">
        <v>0</v>
      </c>
      <c r="DH147" s="0" t="n">
        <v>0</v>
      </c>
      <c r="DU147" s="0" t="n">
        <v>15.9</v>
      </c>
      <c r="DV147" s="0" t="n">
        <v>1</v>
      </c>
      <c r="DW147" s="0" t="n">
        <v>47</v>
      </c>
      <c r="DX147" s="0" t="n">
        <v>2</v>
      </c>
      <c r="DY147" s="0" t="n">
        <v>1.51</v>
      </c>
      <c r="DZ147" s="0" t="n">
        <v>3</v>
      </c>
      <c r="EG147" s="18"/>
      <c r="EY147" s="0" t="n">
        <v>1</v>
      </c>
      <c r="EZ147" s="0" t="n">
        <v>40</v>
      </c>
      <c r="FA147" s="0" t="n">
        <v>7</v>
      </c>
      <c r="FB147" s="0" t="n">
        <f aca="false">2.27+3.02</f>
        <v>5.29</v>
      </c>
      <c r="FC147" s="0" t="n">
        <v>3</v>
      </c>
      <c r="GJ147" s="16" t="n">
        <v>1.48</v>
      </c>
      <c r="GK147" s="16" t="n">
        <v>1</v>
      </c>
      <c r="GL147" s="16" t="n">
        <v>1</v>
      </c>
      <c r="GM147" s="16"/>
      <c r="GN147" s="16" t="n">
        <f aca="false">2.1+1.7+0.37+0.74</f>
        <v>4.91</v>
      </c>
      <c r="GO147" s="16"/>
      <c r="GP147" s="16"/>
      <c r="GQ147" s="16"/>
      <c r="GR147" s="16"/>
      <c r="GS147" s="16"/>
      <c r="GT147" s="16"/>
      <c r="GU147" s="16" t="n">
        <v>7.34</v>
      </c>
      <c r="GV147" s="16" t="n">
        <v>5.01</v>
      </c>
      <c r="GW147" s="16"/>
      <c r="GX147" s="16"/>
      <c r="GY147" s="16" t="n">
        <v>0</v>
      </c>
      <c r="GZ147" s="16" t="n">
        <v>0</v>
      </c>
      <c r="HA147" s="16" t="n">
        <v>0</v>
      </c>
      <c r="HB147" s="0" t="n">
        <v>0</v>
      </c>
      <c r="HC147" s="0" t="s">
        <v>233</v>
      </c>
      <c r="HD147" s="0" t="n">
        <v>39.5</v>
      </c>
      <c r="HE147" s="16" t="n">
        <v>85</v>
      </c>
      <c r="HF147" s="16" t="n">
        <v>81</v>
      </c>
      <c r="HG147" s="16" t="n">
        <v>12.7</v>
      </c>
      <c r="HH147" s="0" t="n">
        <v>93.14</v>
      </c>
      <c r="HI147" s="0" t="n">
        <v>0</v>
      </c>
      <c r="HJ147" s="0" t="n">
        <v>1.57</v>
      </c>
      <c r="HK147" s="0" t="n">
        <v>2.08</v>
      </c>
      <c r="HL147" s="0" t="n">
        <v>3.21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1.7</v>
      </c>
      <c r="HT147" s="0" t="n">
        <v>6.54</v>
      </c>
      <c r="HU147" s="0" t="n">
        <v>37.88</v>
      </c>
      <c r="HV147" s="0" t="n">
        <v>3</v>
      </c>
      <c r="HW147" s="0" t="n">
        <v>0</v>
      </c>
      <c r="HX147" s="0" t="n">
        <v>0</v>
      </c>
      <c r="HY147" s="0" t="n">
        <v>0</v>
      </c>
      <c r="IL147" s="0" t="n">
        <v>15.7</v>
      </c>
      <c r="IM147" s="0" t="n">
        <v>1</v>
      </c>
      <c r="IN147" s="0" t="n">
        <v>47</v>
      </c>
      <c r="IO147" s="0" t="n">
        <v>2</v>
      </c>
      <c r="IP147" s="0" t="n">
        <v>1.51</v>
      </c>
      <c r="IQ147" s="0" t="n">
        <v>3</v>
      </c>
      <c r="IX147" s="18"/>
      <c r="JP147" s="0" t="n">
        <v>1</v>
      </c>
      <c r="JQ147" s="0" t="n">
        <v>50</v>
      </c>
      <c r="JR147" s="0" t="n">
        <v>3</v>
      </c>
      <c r="JS147" s="0" t="n">
        <v>0.4</v>
      </c>
      <c r="JT147" s="0" t="n">
        <v>3</v>
      </c>
      <c r="JU147" s="0" t="n">
        <v>40</v>
      </c>
      <c r="JV147" s="0" t="n">
        <v>7</v>
      </c>
      <c r="JW147" s="0" t="n">
        <f aca="false">2.27+3.02</f>
        <v>5.29</v>
      </c>
      <c r="JX147" s="0" t="n">
        <v>3</v>
      </c>
      <c r="LA147" s="16" t="n">
        <v>1.76</v>
      </c>
      <c r="LB147" s="16" t="n">
        <v>1</v>
      </c>
      <c r="LC147" s="16" t="n">
        <v>1</v>
      </c>
      <c r="LD147" s="16"/>
      <c r="LE147" s="16" t="n">
        <f aca="false">2.1+1.7+0.4+0.37+0.74</f>
        <v>5.31</v>
      </c>
      <c r="LF147" s="16"/>
      <c r="LG147" s="16"/>
      <c r="LH147" s="16"/>
      <c r="LI147" s="16"/>
      <c r="LJ147" s="16"/>
      <c r="LK147" s="16"/>
      <c r="LL147" s="16" t="n">
        <v>7.31</v>
      </c>
      <c r="LM147" s="16" t="n">
        <v>6.99</v>
      </c>
      <c r="LN147" s="16"/>
      <c r="LO147" s="16"/>
      <c r="LP147" s="16" t="n">
        <v>0</v>
      </c>
      <c r="LQ147" s="16" t="n">
        <v>0</v>
      </c>
      <c r="LR147" s="16" t="n">
        <v>0</v>
      </c>
      <c r="LS147" s="0" t="n">
        <v>0</v>
      </c>
      <c r="LT147" s="0" t="s">
        <v>234</v>
      </c>
      <c r="LU147" s="0" t="n">
        <v>22.5</v>
      </c>
      <c r="LV147" s="16" t="n">
        <v>60.3</v>
      </c>
      <c r="LW147" s="16" t="n">
        <v>81</v>
      </c>
      <c r="LX147" s="16" t="n">
        <v>13.3</v>
      </c>
      <c r="LY147" s="0" t="n">
        <v>92.98</v>
      </c>
      <c r="LZ147" s="0" t="n">
        <v>0</v>
      </c>
      <c r="MA147" s="0" t="n">
        <v>0</v>
      </c>
      <c r="MB147" s="0" t="n">
        <v>0</v>
      </c>
      <c r="MC147" s="0" t="n">
        <v>7.02</v>
      </c>
      <c r="MD147" s="0" t="n">
        <v>0</v>
      </c>
      <c r="ME147" s="0" t="n">
        <v>0</v>
      </c>
      <c r="MF147" s="0" t="n">
        <v>0</v>
      </c>
      <c r="MG147" s="0" t="n">
        <v>0</v>
      </c>
      <c r="MH147" s="0" t="n">
        <v>0</v>
      </c>
      <c r="MI147" s="0" t="n">
        <v>0</v>
      </c>
      <c r="MJ147" s="0" t="n">
        <v>0</v>
      </c>
      <c r="MK147" s="0" t="n">
        <v>0.72</v>
      </c>
      <c r="ML147" s="0" t="n">
        <v>23.12</v>
      </c>
      <c r="MM147" s="0" t="n">
        <v>24.81</v>
      </c>
      <c r="MN147" s="0" t="n">
        <v>0</v>
      </c>
      <c r="MO147" s="0" t="n">
        <v>0</v>
      </c>
      <c r="MP147" s="0" t="n">
        <v>0</v>
      </c>
      <c r="NC147" s="0" t="n">
        <v>0</v>
      </c>
      <c r="ND147" s="0" t="n">
        <v>1</v>
      </c>
      <c r="NE147" s="0" t="n">
        <v>23</v>
      </c>
      <c r="NF147" s="0" t="n">
        <v>1</v>
      </c>
      <c r="NG147" s="0" t="n">
        <v>0.3</v>
      </c>
      <c r="NH147" s="0" t="n">
        <v>3</v>
      </c>
      <c r="NO147" s="18"/>
      <c r="OG147" s="0" t="n">
        <v>0</v>
      </c>
      <c r="PR147" s="16" t="n">
        <v>1.26</v>
      </c>
      <c r="PS147" s="16" t="n">
        <v>1</v>
      </c>
      <c r="PT147" s="16" t="n">
        <v>1</v>
      </c>
      <c r="PU147" s="16"/>
      <c r="PV147" s="16" t="n">
        <f aca="false">2.1+1.7+0.4+0.37+0.74</f>
        <v>5.31</v>
      </c>
      <c r="PW147" s="16"/>
      <c r="PX147" s="16"/>
      <c r="PY147" s="16"/>
      <c r="PZ147" s="16"/>
      <c r="QA147" s="16"/>
      <c r="QB147" s="16"/>
      <c r="QC147" s="16" t="n">
        <v>6.24</v>
      </c>
      <c r="QD147" s="16" t="n">
        <v>6.99</v>
      </c>
      <c r="QE147" s="16"/>
      <c r="QF147" s="16"/>
      <c r="QG147" s="16" t="n">
        <v>0</v>
      </c>
      <c r="QH147" s="16" t="n">
        <v>0</v>
      </c>
      <c r="QI147" s="16" t="n">
        <v>0</v>
      </c>
      <c r="QJ147" s="0" t="n">
        <v>0</v>
      </c>
      <c r="QK147" s="0" t="s">
        <v>235</v>
      </c>
      <c r="QL147" s="0" t="n">
        <v>37</v>
      </c>
      <c r="QM147" s="16" t="n">
        <v>81.9</v>
      </c>
      <c r="QN147" s="16" t="n">
        <v>81</v>
      </c>
      <c r="QO147" s="16" t="n">
        <v>26.3</v>
      </c>
      <c r="QP147" s="0" t="n">
        <v>68.54</v>
      </c>
      <c r="QQ147" s="0" t="n">
        <v>0</v>
      </c>
      <c r="QR147" s="0" t="n">
        <v>0</v>
      </c>
      <c r="QS147" s="0" t="n">
        <v>0</v>
      </c>
      <c r="QT147" s="0" t="n">
        <v>31.46</v>
      </c>
      <c r="QU147" s="0" t="n">
        <v>0</v>
      </c>
      <c r="QV147" s="0" t="n">
        <v>0</v>
      </c>
      <c r="QW147" s="0" t="n">
        <v>0</v>
      </c>
      <c r="QX147" s="0" t="n">
        <v>0</v>
      </c>
      <c r="QY147" s="0" t="n">
        <v>0</v>
      </c>
      <c r="QZ147" s="0" t="n">
        <v>0</v>
      </c>
      <c r="RA147" s="0" t="n">
        <v>0</v>
      </c>
      <c r="RB147" s="0" t="n">
        <v>5.42</v>
      </c>
      <c r="RC147" s="0" t="n">
        <v>17.37</v>
      </c>
      <c r="RD147" s="0" t="n">
        <v>41.85</v>
      </c>
      <c r="RE147" s="0" t="n">
        <v>0</v>
      </c>
      <c r="RF147" s="0" t="n">
        <v>0</v>
      </c>
      <c r="RG147" s="0" t="n">
        <v>0</v>
      </c>
      <c r="RT147" s="0" t="n">
        <v>0</v>
      </c>
      <c r="RU147" s="0" t="n">
        <v>1</v>
      </c>
      <c r="RV147" s="0" t="n">
        <v>23</v>
      </c>
      <c r="RW147" s="0" t="n">
        <v>2</v>
      </c>
      <c r="RX147" s="0" t="n">
        <v>2.11</v>
      </c>
      <c r="RY147" s="0" t="n">
        <v>3</v>
      </c>
      <c r="SF147" s="18"/>
      <c r="SX147" s="0" t="n">
        <v>0</v>
      </c>
      <c r="UI147" s="16" t="n">
        <v>2.64</v>
      </c>
      <c r="UJ147" s="16" t="n">
        <v>1</v>
      </c>
      <c r="UK147" s="16" t="n">
        <v>1</v>
      </c>
      <c r="UL147" s="16"/>
      <c r="UM147" s="16" t="n">
        <f aca="false">4.2*2+1.7+5.1+0.37+0.74</f>
        <v>16.31</v>
      </c>
      <c r="UN147" s="16"/>
      <c r="UO147" s="16"/>
      <c r="UP147" s="16"/>
      <c r="UQ147" s="16"/>
      <c r="UR147" s="16"/>
      <c r="US147" s="16"/>
      <c r="UT147" s="16" t="n">
        <v>5.32</v>
      </c>
      <c r="UU147" s="16" t="n">
        <v>8.04</v>
      </c>
      <c r="UV147" s="16"/>
      <c r="UW147" s="16"/>
      <c r="UX147" s="16" t="n">
        <v>0</v>
      </c>
      <c r="UY147" s="16" t="n">
        <v>0</v>
      </c>
      <c r="UZ147" s="16" t="n">
        <v>0</v>
      </c>
      <c r="VA147" s="0" t="n">
        <v>0</v>
      </c>
      <c r="VB147" s="0" t="s">
        <v>236</v>
      </c>
      <c r="VC147" s="0" t="n">
        <v>51</v>
      </c>
      <c r="VD147" s="16" t="n">
        <v>93.4</v>
      </c>
      <c r="VE147" s="16" t="n">
        <v>81</v>
      </c>
      <c r="VF147" s="16" t="n">
        <v>29.5</v>
      </c>
      <c r="VG147" s="0" t="n">
        <v>55.24</v>
      </c>
      <c r="VH147" s="0" t="n">
        <v>0</v>
      </c>
      <c r="VI147" s="0" t="n">
        <v>0</v>
      </c>
      <c r="VJ147" s="0" t="n">
        <v>0</v>
      </c>
      <c r="VK147" s="0" t="n">
        <v>44.76</v>
      </c>
      <c r="VL147" s="0" t="n">
        <v>0</v>
      </c>
      <c r="VM147" s="0" t="n">
        <v>0</v>
      </c>
      <c r="VN147" s="0" t="n">
        <v>0</v>
      </c>
      <c r="VO147" s="0" t="n">
        <v>0</v>
      </c>
      <c r="VP147" s="0" t="n">
        <v>0</v>
      </c>
      <c r="VQ147" s="0" t="n">
        <v>0</v>
      </c>
      <c r="VR147" s="0" t="n">
        <v>0.67</v>
      </c>
      <c r="VS147" s="0" t="n">
        <v>5.1</v>
      </c>
      <c r="VT147" s="0" t="n">
        <v>47.22</v>
      </c>
      <c r="VU147" s="0" t="n">
        <v>18.3</v>
      </c>
      <c r="VV147" s="0" t="n">
        <v>0</v>
      </c>
      <c r="VW147" s="0" t="n">
        <v>7.5</v>
      </c>
      <c r="VX147" s="0" t="n">
        <v>1</v>
      </c>
      <c r="VY147" s="0" t="n">
        <v>3.6</v>
      </c>
      <c r="WA147" s="0" t="n">
        <v>1</v>
      </c>
      <c r="WE147" s="0" t="n">
        <v>3.6</v>
      </c>
      <c r="WG147" s="0" t="n">
        <v>1</v>
      </c>
      <c r="WK147" s="0" t="n">
        <v>0</v>
      </c>
      <c r="WL147" s="0" t="n">
        <v>0</v>
      </c>
      <c r="WW147" s="18"/>
      <c r="XO147" s="0" t="n">
        <v>0</v>
      </c>
      <c r="YZ147" s="16" t="n">
        <v>1.95</v>
      </c>
      <c r="ZA147" s="16" t="n">
        <v>1</v>
      </c>
      <c r="ZB147" s="16" t="n">
        <v>1</v>
      </c>
      <c r="ZC147" s="16"/>
      <c r="ZD147" s="16" t="n">
        <f aca="false">2.42+1.67+5+0.22+0.66+0.22</f>
        <v>10.19</v>
      </c>
      <c r="ZE147" s="16"/>
      <c r="ZF147" s="16"/>
      <c r="ZG147" s="16"/>
      <c r="ZH147" s="16"/>
      <c r="ZI147" s="16"/>
      <c r="ZJ147" s="16"/>
      <c r="ZK147" s="16" t="n">
        <v>5.63</v>
      </c>
      <c r="ZL147" s="16" t="n">
        <v>11.04</v>
      </c>
      <c r="ZM147" s="16"/>
      <c r="ZN147" s="16"/>
      <c r="ZO147" s="16" t="n">
        <v>0</v>
      </c>
      <c r="ZP147" s="16" t="n">
        <v>0</v>
      </c>
      <c r="ZQ147" s="16" t="n">
        <v>0</v>
      </c>
      <c r="ZR147" s="0" t="n">
        <v>0</v>
      </c>
      <c r="ZS147" s="0" t="s">
        <v>237</v>
      </c>
      <c r="ZT147" s="0" t="n">
        <v>46</v>
      </c>
      <c r="ZU147" s="16" t="n">
        <v>92.7</v>
      </c>
      <c r="ZV147" s="16" t="n">
        <v>81</v>
      </c>
      <c r="ZW147" s="16" t="n">
        <v>20.8</v>
      </c>
      <c r="ZX147" s="0" t="n">
        <v>76.44</v>
      </c>
      <c r="ZY147" s="0" t="n">
        <v>0</v>
      </c>
      <c r="ZZ147" s="0" t="n">
        <v>0</v>
      </c>
      <c r="AAA147" s="0" t="n">
        <v>0</v>
      </c>
      <c r="AAB147" s="0" t="n">
        <v>23.56</v>
      </c>
      <c r="AAC147" s="0" t="n">
        <v>0</v>
      </c>
      <c r="AAD147" s="0" t="n">
        <v>0</v>
      </c>
      <c r="AAE147" s="0" t="n">
        <v>0</v>
      </c>
      <c r="AAF147" s="0" t="n">
        <v>0</v>
      </c>
      <c r="AAG147" s="0" t="n">
        <v>0</v>
      </c>
      <c r="AAH147" s="0" t="n">
        <v>0</v>
      </c>
      <c r="AAI147" s="0" t="n">
        <v>0.23</v>
      </c>
      <c r="AAJ147" s="0" t="n">
        <v>0.51</v>
      </c>
      <c r="AAK147" s="0" t="n">
        <v>26.55</v>
      </c>
      <c r="AAL147" s="0" t="n">
        <v>36.69</v>
      </c>
      <c r="AAM147" s="0" t="n">
        <v>0</v>
      </c>
      <c r="AAN147" s="0" t="n">
        <v>10.6</v>
      </c>
      <c r="AAO147" s="0" t="n">
        <v>1</v>
      </c>
      <c r="AAP147" s="0" t="n">
        <v>6</v>
      </c>
      <c r="AAR147" s="0" t="n">
        <v>1</v>
      </c>
      <c r="AAV147" s="0" t="n">
        <v>6</v>
      </c>
      <c r="AAX147" s="0" t="n">
        <v>1</v>
      </c>
      <c r="ABB147" s="0" t="n">
        <v>7.1</v>
      </c>
      <c r="ABC147" s="0" t="n">
        <v>1</v>
      </c>
      <c r="ABD147" s="0" t="n">
        <v>35</v>
      </c>
      <c r="ABE147" s="0" t="n">
        <v>2</v>
      </c>
      <c r="ABF147" s="0" t="n">
        <f aca="false">0.76*2</f>
        <v>1.52</v>
      </c>
      <c r="ABG147" s="0" t="n">
        <v>3</v>
      </c>
      <c r="ABN147" s="18"/>
      <c r="ACF147" s="0" t="n">
        <v>0</v>
      </c>
      <c r="ADQ147" s="16" t="n">
        <v>2.41</v>
      </c>
      <c r="ADR147" s="16" t="n">
        <v>1</v>
      </c>
      <c r="ADS147" s="16" t="n">
        <v>1</v>
      </c>
      <c r="ADT147" s="16"/>
      <c r="ADU147" s="16" t="n">
        <f aca="false">0.41+1.67+5+0.33+0.45+0.15</f>
        <v>8.01</v>
      </c>
      <c r="ADV147" s="16"/>
      <c r="ADW147" s="16"/>
      <c r="ADX147" s="16"/>
      <c r="ADY147" s="16"/>
      <c r="ADZ147" s="16"/>
      <c r="AEA147" s="16"/>
      <c r="AEB147" s="16" t="n">
        <v>0.33</v>
      </c>
      <c r="AEC147" s="16" t="n">
        <v>0.33</v>
      </c>
      <c r="AED147" s="16"/>
      <c r="AEE147" s="16"/>
      <c r="AEF147" s="16" t="n">
        <v>0</v>
      </c>
      <c r="AEG147" s="16" t="n">
        <v>0</v>
      </c>
      <c r="AEH147" s="16" t="n">
        <v>0</v>
      </c>
      <c r="AEI147" s="0" t="n">
        <v>0</v>
      </c>
      <c r="AEJ147" s="0" t="s">
        <v>461</v>
      </c>
      <c r="AEK147" s="0" t="n">
        <v>38</v>
      </c>
      <c r="AEL147" s="16" t="n">
        <v>84.5</v>
      </c>
      <c r="AEM147" s="16" t="n">
        <v>81</v>
      </c>
      <c r="AEN147" s="16" t="n">
        <v>11.8</v>
      </c>
      <c r="AEO147" s="0" t="n">
        <v>99.78</v>
      </c>
      <c r="AEP147" s="0" t="n">
        <v>0</v>
      </c>
      <c r="AEQ147" s="0" t="n">
        <v>0</v>
      </c>
      <c r="AER147" s="0" t="n">
        <v>0</v>
      </c>
      <c r="AES147" s="0" t="n">
        <v>0.22</v>
      </c>
      <c r="AET147" s="0" t="n">
        <v>0</v>
      </c>
      <c r="AEU147" s="0" t="n">
        <v>0</v>
      </c>
      <c r="AEV147" s="0" t="n">
        <v>0</v>
      </c>
      <c r="AEW147" s="0" t="n">
        <v>0</v>
      </c>
      <c r="AEX147" s="0" t="n">
        <v>0</v>
      </c>
      <c r="AEY147" s="0" t="n">
        <v>0</v>
      </c>
      <c r="AEZ147" s="0" t="n">
        <v>7.31</v>
      </c>
      <c r="AFA147" s="0" t="n">
        <v>0</v>
      </c>
      <c r="AFB147" s="0" t="n">
        <v>30.29</v>
      </c>
      <c r="AFC147" s="0" t="n">
        <v>31.72</v>
      </c>
      <c r="AFD147" s="0" t="n">
        <v>0</v>
      </c>
      <c r="AFE147" s="0" t="n">
        <v>0</v>
      </c>
      <c r="AFF147" s="0" t="n">
        <v>0</v>
      </c>
      <c r="AFS147" s="0" t="n">
        <v>14</v>
      </c>
      <c r="AFT147" s="0" t="n">
        <v>1</v>
      </c>
      <c r="AFU147" s="0" t="n">
        <v>52</v>
      </c>
      <c r="AFV147" s="0" t="n">
        <v>6</v>
      </c>
      <c r="AFW147" s="0" t="n">
        <v>4.53</v>
      </c>
      <c r="AFX147" s="0" t="n">
        <v>2</v>
      </c>
      <c r="AGE147" s="18"/>
      <c r="AGW147" s="0" t="n">
        <v>1</v>
      </c>
      <c r="AGX147" s="0" t="n">
        <v>50</v>
      </c>
      <c r="AGY147" s="0" t="n">
        <v>3</v>
      </c>
      <c r="AGZ147" s="0" t="n">
        <v>0.4</v>
      </c>
      <c r="AHA147" s="0" t="n">
        <v>6</v>
      </c>
      <c r="AIH147" s="16" t="n">
        <v>3.9</v>
      </c>
      <c r="AII147" s="16" t="n">
        <v>1</v>
      </c>
      <c r="AIJ147" s="16" t="n">
        <v>1</v>
      </c>
      <c r="AIK147" s="16"/>
      <c r="AIL147" s="16" t="n">
        <f aca="false">1.7*3+4.53+2.64*2+0.6</f>
        <v>15.51</v>
      </c>
      <c r="AIM147" s="16"/>
      <c r="AIN147" s="16"/>
      <c r="AIO147" s="16"/>
      <c r="AIP147" s="16"/>
      <c r="AIQ147" s="16"/>
      <c r="AIR147" s="16"/>
      <c r="AIS147" s="16" t="n">
        <v>8.14</v>
      </c>
      <c r="AIT147" s="16" t="n">
        <v>15.87</v>
      </c>
      <c r="AIU147" s="16"/>
      <c r="AIV147" s="16"/>
      <c r="AIW147" s="16" t="n">
        <v>0</v>
      </c>
      <c r="AIX147" s="16" t="n">
        <v>0</v>
      </c>
      <c r="AIY147" s="16" t="n">
        <v>0</v>
      </c>
      <c r="AIZ147" s="0" t="n">
        <v>0</v>
      </c>
      <c r="AJA147" s="0" t="s">
        <v>595</v>
      </c>
      <c r="AJB147" s="0" t="n">
        <v>21.5</v>
      </c>
      <c r="AJC147" s="16" t="n">
        <v>79.7</v>
      </c>
      <c r="AJD147" s="16" t="n">
        <v>81</v>
      </c>
      <c r="AJE147" s="16" t="n">
        <v>7.9</v>
      </c>
      <c r="AJF147" s="0" t="n">
        <v>99.71</v>
      </c>
      <c r="AJG147" s="0" t="n">
        <v>0</v>
      </c>
      <c r="AJH147" s="0" t="n">
        <v>0</v>
      </c>
      <c r="AJI147" s="0" t="n">
        <v>0</v>
      </c>
      <c r="AJJ147" s="0" t="n">
        <v>0.29</v>
      </c>
      <c r="AJK147" s="0" t="n">
        <v>0</v>
      </c>
      <c r="AJL147" s="0" t="n">
        <v>0</v>
      </c>
      <c r="AJM147" s="0" t="n">
        <v>0</v>
      </c>
      <c r="AJN147" s="0" t="n">
        <v>0</v>
      </c>
      <c r="AJO147" s="0" t="n">
        <v>0</v>
      </c>
      <c r="AJP147" s="0" t="n">
        <v>0</v>
      </c>
      <c r="AJQ147" s="0" t="n">
        <v>0</v>
      </c>
      <c r="AJR147" s="0" t="n">
        <v>11.15</v>
      </c>
      <c r="AJS147" s="0" t="n">
        <v>33.12</v>
      </c>
      <c r="AJT147" s="0" t="n">
        <v>8.72</v>
      </c>
      <c r="AJU147" s="0" t="n">
        <v>0</v>
      </c>
      <c r="AJV147" s="0" t="n">
        <v>0</v>
      </c>
      <c r="AJW147" s="0" t="n">
        <v>0</v>
      </c>
      <c r="AKJ147" s="0" t="n">
        <v>0</v>
      </c>
      <c r="AKK147" s="0" t="n">
        <v>1</v>
      </c>
      <c r="AKL147" s="0" t="n">
        <v>23</v>
      </c>
      <c r="AKM147" s="0" t="n">
        <v>1</v>
      </c>
      <c r="AKN147" s="0" t="n">
        <v>2.27</v>
      </c>
      <c r="AKO147" s="0" t="n">
        <v>3</v>
      </c>
      <c r="AKV147" s="18"/>
      <c r="ALN147" s="0" t="n">
        <v>1</v>
      </c>
      <c r="ALO147" s="0" t="n">
        <v>50</v>
      </c>
      <c r="ALP147" s="0" t="n">
        <v>9</v>
      </c>
      <c r="ALQ147" s="0" t="n">
        <v>4.93</v>
      </c>
      <c r="ALR147" s="0" t="n">
        <v>3</v>
      </c>
    </row>
    <row r="148" customFormat="false" ht="13.8" hidden="false" customHeight="false" outlineLevel="0" collapsed="false">
      <c r="A148" s="1" t="s">
        <v>596</v>
      </c>
      <c r="B148" s="12" t="n">
        <v>42900</v>
      </c>
      <c r="C148" s="0" t="n">
        <v>2</v>
      </c>
      <c r="D148" s="13" t="n">
        <v>42776</v>
      </c>
      <c r="E148" s="12" t="n">
        <v>27334</v>
      </c>
      <c r="F148" s="14" t="n">
        <f aca="false">(B148-E148)/365.25</f>
        <v>42.6173853524983</v>
      </c>
      <c r="G148" s="14" t="n">
        <f aca="false">(B148-D148)/365.25</f>
        <v>0.339493497604381</v>
      </c>
      <c r="H148" s="15" t="s">
        <v>228</v>
      </c>
      <c r="I148" s="15" t="s">
        <v>229</v>
      </c>
      <c r="J148" s="15" t="s">
        <v>183</v>
      </c>
      <c r="K148" s="21" t="n">
        <v>8</v>
      </c>
      <c r="L148" s="19" t="n">
        <v>70</v>
      </c>
      <c r="M148" s="0" t="n">
        <v>1.7</v>
      </c>
      <c r="N148" s="16" t="n">
        <f aca="false">L148/(M148*M148)</f>
        <v>24.2214532871972</v>
      </c>
      <c r="O148" s="19" t="n">
        <v>0</v>
      </c>
      <c r="P148" s="19" t="n">
        <v>0</v>
      </c>
      <c r="Q148" s="19" t="n">
        <v>0</v>
      </c>
      <c r="R148" s="19" t="n">
        <v>0</v>
      </c>
      <c r="S148" s="19" t="n">
        <v>0</v>
      </c>
      <c r="T148" s="19"/>
      <c r="U148" s="19"/>
      <c r="V148" s="19"/>
      <c r="W148" s="19" t="n">
        <v>0</v>
      </c>
      <c r="X148" s="19" t="n">
        <v>0</v>
      </c>
      <c r="Y148" s="19" t="n">
        <v>0</v>
      </c>
      <c r="Z148" s="19" t="n">
        <v>0</v>
      </c>
      <c r="AA148" s="19" t="n">
        <v>0</v>
      </c>
      <c r="AB148" s="19" t="n">
        <v>0</v>
      </c>
      <c r="AC148" s="19" t="n">
        <v>0</v>
      </c>
      <c r="AD148" s="19" t="n">
        <v>0</v>
      </c>
      <c r="AE148" s="19"/>
      <c r="AF148" s="19"/>
      <c r="AG148" s="19"/>
      <c r="AH148" s="19"/>
      <c r="AI148" s="19"/>
      <c r="AJ148" s="19"/>
      <c r="AK148" s="19"/>
      <c r="AL148" s="19"/>
      <c r="AM148" s="19"/>
      <c r="AN148" s="19" t="n">
        <v>0</v>
      </c>
      <c r="AO148" s="19" t="n">
        <v>0</v>
      </c>
      <c r="AP148" s="19" t="n">
        <v>0</v>
      </c>
      <c r="AQ148" s="19" t="n">
        <v>0</v>
      </c>
      <c r="AR148" s="19" t="n">
        <v>0</v>
      </c>
      <c r="AS148" s="19" t="n">
        <v>0</v>
      </c>
      <c r="AT148" s="19" t="n">
        <v>0</v>
      </c>
      <c r="AU148" s="19" t="n">
        <v>0</v>
      </c>
      <c r="AV148" s="19" t="n">
        <v>0</v>
      </c>
      <c r="AW148" s="19" t="n">
        <v>0</v>
      </c>
      <c r="AX148" s="19" t="n">
        <v>0</v>
      </c>
      <c r="AY148" s="19" t="n">
        <v>0</v>
      </c>
      <c r="AZ148" s="19" t="n">
        <v>0</v>
      </c>
      <c r="BA148" s="19" t="n">
        <v>0</v>
      </c>
      <c r="BB148" s="19" t="n">
        <v>0</v>
      </c>
      <c r="BC148" s="19"/>
      <c r="BD148" s="19"/>
      <c r="BE148" s="19"/>
      <c r="BF148" s="19" t="n">
        <v>0</v>
      </c>
      <c r="BG148" s="19" t="n">
        <v>0</v>
      </c>
      <c r="BH148" s="19" t="n">
        <v>0</v>
      </c>
      <c r="BI148" s="19" t="n">
        <v>0</v>
      </c>
      <c r="BJ148" s="19" t="n">
        <v>0</v>
      </c>
      <c r="BK148" s="19" t="n">
        <v>0</v>
      </c>
      <c r="BL148" s="19" t="n">
        <v>0</v>
      </c>
      <c r="BM148" s="19" t="n">
        <v>0</v>
      </c>
      <c r="BN148" s="19" t="n">
        <v>1</v>
      </c>
      <c r="BO148" s="19" t="n">
        <v>1</v>
      </c>
      <c r="BP148" s="19" t="n">
        <v>1</v>
      </c>
      <c r="BQ148" s="19" t="n">
        <v>1</v>
      </c>
      <c r="BR148" s="19" t="n">
        <v>1</v>
      </c>
      <c r="BS148" s="19" t="n">
        <v>1</v>
      </c>
      <c r="BT148" s="19" t="n">
        <v>3</v>
      </c>
      <c r="BU148" s="19" t="n">
        <v>5</v>
      </c>
      <c r="BV148" s="19" t="n">
        <v>1</v>
      </c>
      <c r="BW148" s="19" t="n">
        <v>1</v>
      </c>
      <c r="BX148" s="19" t="n">
        <v>1</v>
      </c>
      <c r="BY148" s="19" t="n">
        <v>1</v>
      </c>
      <c r="BZ148" s="19" t="n">
        <v>5</v>
      </c>
      <c r="CA148" s="19" t="n">
        <v>5</v>
      </c>
      <c r="CB148" s="19" t="n">
        <v>5</v>
      </c>
      <c r="CC148" s="19" t="n">
        <v>5</v>
      </c>
      <c r="CD148" s="19" t="n">
        <v>5</v>
      </c>
      <c r="CE148" s="19" t="n">
        <v>5</v>
      </c>
      <c r="CF148" s="19" t="n">
        <v>3</v>
      </c>
      <c r="CG148" s="19" t="n">
        <v>5</v>
      </c>
      <c r="CH148" s="19" t="n">
        <v>5</v>
      </c>
      <c r="CI148" s="19" t="n">
        <v>5</v>
      </c>
      <c r="CJ148" s="19" t="n">
        <v>4</v>
      </c>
      <c r="CK148" s="19" t="n">
        <v>10</v>
      </c>
      <c r="CL148" s="0" t="s">
        <v>230</v>
      </c>
      <c r="CM148" s="0" t="n">
        <v>64</v>
      </c>
      <c r="CN148" s="16" t="n">
        <v>74.3</v>
      </c>
      <c r="CO148" s="16" t="n">
        <v>81</v>
      </c>
      <c r="CP148" s="16" t="n">
        <v>58.5</v>
      </c>
      <c r="CQ148" s="0" t="n">
        <v>49.17</v>
      </c>
      <c r="CR148" s="0" t="n">
        <v>0</v>
      </c>
      <c r="CS148" s="0" t="n">
        <v>34.45</v>
      </c>
      <c r="CT148" s="0" t="n">
        <v>16.22</v>
      </c>
      <c r="CU148" s="0" t="n">
        <v>0.16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2.52</v>
      </c>
      <c r="DE148" s="0" t="n">
        <v>9.18</v>
      </c>
      <c r="DF148" s="0" t="n">
        <v>0</v>
      </c>
      <c r="DG148" s="0" t="n">
        <v>0</v>
      </c>
      <c r="DH148" s="0" t="n">
        <v>0</v>
      </c>
      <c r="DU148" s="0" t="n">
        <v>0.3</v>
      </c>
      <c r="DV148" s="0" t="n">
        <v>1</v>
      </c>
      <c r="DW148" s="0" t="n">
        <v>34</v>
      </c>
      <c r="DX148" s="0" t="n">
        <v>8</v>
      </c>
      <c r="DY148" s="0" t="n">
        <v>0.43</v>
      </c>
      <c r="DZ148" s="0" t="n">
        <v>1</v>
      </c>
      <c r="EA148" s="0" t="n">
        <v>47</v>
      </c>
      <c r="EB148" s="0" t="n">
        <v>1</v>
      </c>
      <c r="EC148" s="0" t="n">
        <v>0.04</v>
      </c>
      <c r="ED148" s="0" t="n">
        <v>3</v>
      </c>
      <c r="EG148" s="18"/>
      <c r="EY148" s="0" t="n">
        <v>0</v>
      </c>
      <c r="GJ148" s="16" t="n">
        <v>2.89</v>
      </c>
      <c r="GK148" s="16" t="n">
        <v>1</v>
      </c>
      <c r="GL148" s="16" t="n">
        <v>1</v>
      </c>
      <c r="GM148" s="16"/>
      <c r="GN148" s="16" t="n">
        <v>7.35</v>
      </c>
      <c r="GO148" s="16"/>
      <c r="GP148" s="16"/>
      <c r="GQ148" s="16"/>
      <c r="GR148" s="16"/>
      <c r="GS148" s="16"/>
      <c r="GT148" s="16"/>
      <c r="GU148" s="16" t="n">
        <v>0</v>
      </c>
      <c r="GV148" s="16" t="n">
        <v>0</v>
      </c>
      <c r="GW148" s="16"/>
      <c r="GX148" s="16"/>
      <c r="GY148" s="16" t="n">
        <v>0</v>
      </c>
      <c r="GZ148" s="16" t="n">
        <v>0</v>
      </c>
      <c r="HA148" s="16" t="n">
        <v>0</v>
      </c>
      <c r="HB148" s="0" t="n">
        <v>0</v>
      </c>
      <c r="HC148" s="0" t="s">
        <v>231</v>
      </c>
      <c r="HD148" s="0" t="n">
        <v>64.5</v>
      </c>
      <c r="HE148" s="16" t="n">
        <v>77.8</v>
      </c>
      <c r="HF148" s="16" t="n">
        <v>81</v>
      </c>
      <c r="HG148" s="16" t="n">
        <v>52.5</v>
      </c>
      <c r="HH148" s="0" t="n">
        <v>50.19</v>
      </c>
      <c r="HI148" s="0" t="n">
        <v>0</v>
      </c>
      <c r="HJ148" s="0" t="n">
        <v>26.36</v>
      </c>
      <c r="HK148" s="0" t="n">
        <v>23.45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  <c r="HT148" s="0" t="n">
        <v>1.91</v>
      </c>
      <c r="HU148" s="0" t="n">
        <v>2.12</v>
      </c>
      <c r="HV148" s="0" t="n">
        <v>0</v>
      </c>
      <c r="HW148" s="0" t="n">
        <v>0</v>
      </c>
      <c r="HX148" s="0" t="n">
        <v>0</v>
      </c>
      <c r="HY148" s="0" t="n">
        <v>0</v>
      </c>
      <c r="IL148" s="0" t="n">
        <v>5.4</v>
      </c>
      <c r="IM148" s="0" t="n">
        <v>1</v>
      </c>
      <c r="IN148" s="0" t="n">
        <v>68</v>
      </c>
      <c r="IO148" s="0" t="n">
        <v>8</v>
      </c>
      <c r="IP148" s="0" t="n">
        <f aca="false">1.4*2+0.13</f>
        <v>2.93</v>
      </c>
      <c r="IQ148" s="0" t="n">
        <v>1</v>
      </c>
      <c r="IR148" s="0" t="n">
        <v>34</v>
      </c>
      <c r="IS148" s="0" t="n">
        <v>1</v>
      </c>
      <c r="IT148" s="0" t="n">
        <v>0.13</v>
      </c>
      <c r="IU148" s="0" t="n">
        <v>1</v>
      </c>
      <c r="IX148" s="18"/>
      <c r="JP148" s="0" t="n">
        <v>1</v>
      </c>
      <c r="JQ148" s="0" t="n">
        <v>60</v>
      </c>
      <c r="JR148" s="0" t="n">
        <v>1</v>
      </c>
      <c r="JS148" s="0" t="n">
        <v>0.22</v>
      </c>
      <c r="JT148" s="0" t="n">
        <v>3</v>
      </c>
      <c r="LA148" s="16" t="n">
        <v>3.48</v>
      </c>
      <c r="LB148" s="16" t="n">
        <v>1</v>
      </c>
      <c r="LC148" s="16" t="n">
        <v>1</v>
      </c>
      <c r="LD148" s="16"/>
      <c r="LE148" s="16" t="n">
        <f aca="false">7.35+1.4*2+0.62+0.74+0.03+0.7+0.18+0.03+0.05+0.01</f>
        <v>12.51</v>
      </c>
      <c r="LF148" s="16"/>
      <c r="LG148" s="16"/>
      <c r="LH148" s="16"/>
      <c r="LI148" s="16"/>
      <c r="LJ148" s="16"/>
      <c r="LK148" s="16"/>
      <c r="LL148" s="16" t="n">
        <v>0.13</v>
      </c>
      <c r="LM148" s="16" t="n">
        <v>0.13</v>
      </c>
      <c r="LN148" s="16"/>
      <c r="LO148" s="16"/>
      <c r="LP148" s="16" t="n">
        <v>0</v>
      </c>
      <c r="LQ148" s="16" t="n">
        <v>0</v>
      </c>
      <c r="LR148" s="16" t="n">
        <v>0</v>
      </c>
      <c r="LS148" s="0" t="n">
        <v>0</v>
      </c>
      <c r="LT148" s="0" t="s">
        <v>235</v>
      </c>
      <c r="LU148" s="0" t="n">
        <v>37</v>
      </c>
      <c r="LV148" s="16" t="n">
        <v>81.9</v>
      </c>
      <c r="LW148" s="16" t="n">
        <v>81</v>
      </c>
      <c r="LX148" s="16" t="n">
        <v>26.3</v>
      </c>
      <c r="LY148" s="0" t="n">
        <v>68.54</v>
      </c>
      <c r="LZ148" s="0" t="n">
        <v>0</v>
      </c>
      <c r="MA148" s="0" t="n">
        <v>0</v>
      </c>
      <c r="MB148" s="0" t="n">
        <v>0</v>
      </c>
      <c r="MC148" s="0" t="n">
        <v>31.46</v>
      </c>
      <c r="MD148" s="0" t="n">
        <v>0</v>
      </c>
      <c r="ME148" s="0" t="n">
        <v>0</v>
      </c>
      <c r="MF148" s="0" t="n">
        <v>0</v>
      </c>
      <c r="MG148" s="0" t="n">
        <v>0</v>
      </c>
      <c r="MH148" s="0" t="n">
        <v>0</v>
      </c>
      <c r="MI148" s="0" t="n">
        <v>0</v>
      </c>
      <c r="MJ148" s="0" t="n">
        <v>0</v>
      </c>
      <c r="MK148" s="0" t="n">
        <v>5.42</v>
      </c>
      <c r="ML148" s="0" t="n">
        <v>17.37</v>
      </c>
      <c r="MM148" s="0" t="n">
        <v>41.85</v>
      </c>
      <c r="MN148" s="0" t="n">
        <v>0</v>
      </c>
      <c r="MO148" s="0" t="n">
        <v>0</v>
      </c>
      <c r="MP148" s="0" t="n">
        <v>0</v>
      </c>
      <c r="NC148" s="0" t="n">
        <v>0</v>
      </c>
      <c r="ND148" s="0" t="n">
        <v>1</v>
      </c>
      <c r="NE148" s="0" t="n">
        <v>23</v>
      </c>
      <c r="NF148" s="0" t="n">
        <v>2</v>
      </c>
      <c r="NG148" s="0" t="n">
        <v>2.11</v>
      </c>
      <c r="NH148" s="0" t="n">
        <v>3</v>
      </c>
      <c r="NO148" s="18"/>
      <c r="OG148" s="0" t="n">
        <v>0</v>
      </c>
      <c r="PR148" s="16" t="n">
        <v>2.64</v>
      </c>
      <c r="PS148" s="16" t="n">
        <v>1</v>
      </c>
      <c r="PT148" s="16" t="n">
        <v>1</v>
      </c>
      <c r="PU148" s="16"/>
      <c r="PV148" s="16" t="n">
        <f aca="false">4.2*2+1.7+5.1+0.37+0.74</f>
        <v>16.31</v>
      </c>
      <c r="PW148" s="16"/>
      <c r="PX148" s="16"/>
      <c r="PY148" s="16"/>
      <c r="PZ148" s="16"/>
      <c r="QA148" s="16"/>
      <c r="QB148" s="16"/>
      <c r="QC148" s="16" t="n">
        <v>5.32</v>
      </c>
      <c r="QD148" s="16" t="n">
        <v>8.04</v>
      </c>
      <c r="QE148" s="16"/>
      <c r="QF148" s="16"/>
      <c r="QG148" s="16" t="n">
        <v>0</v>
      </c>
      <c r="QH148" s="16" t="n">
        <v>0</v>
      </c>
      <c r="QI148" s="16" t="n">
        <v>0</v>
      </c>
      <c r="QJ148" s="0" t="n">
        <v>0</v>
      </c>
      <c r="QK148" s="0" t="s">
        <v>236</v>
      </c>
      <c r="QL148" s="0" t="n">
        <v>51</v>
      </c>
      <c r="QM148" s="16" t="n">
        <v>93.4</v>
      </c>
      <c r="QN148" s="16" t="n">
        <v>81</v>
      </c>
      <c r="QO148" s="16" t="n">
        <v>29.5</v>
      </c>
      <c r="QP148" s="0" t="n">
        <v>55.24</v>
      </c>
      <c r="QQ148" s="0" t="n">
        <v>0</v>
      </c>
      <c r="QR148" s="0" t="n">
        <v>0</v>
      </c>
      <c r="QS148" s="0" t="n">
        <v>0</v>
      </c>
      <c r="QT148" s="0" t="n">
        <v>44.76</v>
      </c>
      <c r="QU148" s="0" t="n">
        <v>0</v>
      </c>
      <c r="QV148" s="0" t="n">
        <v>0</v>
      </c>
      <c r="QW148" s="0" t="n">
        <v>0</v>
      </c>
      <c r="QX148" s="0" t="n">
        <v>0</v>
      </c>
      <c r="QY148" s="0" t="n">
        <v>0</v>
      </c>
      <c r="QZ148" s="0" t="n">
        <v>0</v>
      </c>
      <c r="RA148" s="0" t="n">
        <v>0.67</v>
      </c>
      <c r="RB148" s="0" t="n">
        <v>5.1</v>
      </c>
      <c r="RC148" s="0" t="n">
        <v>47.22</v>
      </c>
      <c r="RD148" s="0" t="n">
        <v>18.3</v>
      </c>
      <c r="RE148" s="0" t="n">
        <v>0</v>
      </c>
      <c r="RF148" s="0" t="n">
        <v>7.5</v>
      </c>
      <c r="RG148" s="0" t="n">
        <v>1</v>
      </c>
      <c r="RH148" s="0" t="n">
        <v>3.6</v>
      </c>
      <c r="RJ148" s="0" t="n">
        <v>1</v>
      </c>
      <c r="RN148" s="0" t="n">
        <v>3.6</v>
      </c>
      <c r="RP148" s="0" t="n">
        <v>1</v>
      </c>
      <c r="RT148" s="0" t="n">
        <v>0</v>
      </c>
      <c r="RU148" s="0" t="n">
        <v>0</v>
      </c>
      <c r="SF148" s="18"/>
      <c r="SX148" s="0" t="n">
        <v>0</v>
      </c>
      <c r="UI148" s="16" t="n">
        <v>1.95</v>
      </c>
      <c r="UJ148" s="16" t="n">
        <v>1</v>
      </c>
      <c r="UK148" s="16" t="n">
        <v>1</v>
      </c>
      <c r="UL148" s="16"/>
      <c r="UM148" s="16" t="n">
        <f aca="false">2.42+1.67+5+0.22+0.66+0.22</f>
        <v>10.19</v>
      </c>
      <c r="UN148" s="16"/>
      <c r="UO148" s="16"/>
      <c r="UP148" s="16"/>
      <c r="UQ148" s="16"/>
      <c r="UR148" s="16"/>
      <c r="US148" s="16"/>
      <c r="UT148" s="16" t="n">
        <v>5.63</v>
      </c>
      <c r="UU148" s="16" t="n">
        <v>11.04</v>
      </c>
      <c r="UV148" s="16"/>
      <c r="UW148" s="16"/>
      <c r="UX148" s="16" t="n">
        <v>0</v>
      </c>
      <c r="UY148" s="16" t="n">
        <v>0</v>
      </c>
      <c r="UZ148" s="16" t="n">
        <v>0</v>
      </c>
      <c r="VA148" s="0" t="n">
        <v>0</v>
      </c>
      <c r="VB148" s="0" t="s">
        <v>463</v>
      </c>
      <c r="VC148" s="0" t="n">
        <v>50</v>
      </c>
      <c r="VD148" s="16" t="n">
        <v>86.6</v>
      </c>
      <c r="VE148" s="16" t="n">
        <v>81</v>
      </c>
      <c r="VF148" s="16" t="n">
        <v>31.6</v>
      </c>
      <c r="VG148" s="0" t="n">
        <v>51.98</v>
      </c>
      <c r="VH148" s="0" t="n">
        <v>0</v>
      </c>
      <c r="VI148" s="0" t="n">
        <v>0</v>
      </c>
      <c r="VJ148" s="0" t="n">
        <v>0</v>
      </c>
      <c r="VK148" s="0" t="n">
        <v>48.02</v>
      </c>
      <c r="VL148" s="0" t="n">
        <v>0</v>
      </c>
      <c r="VM148" s="0" t="n">
        <v>0</v>
      </c>
      <c r="VN148" s="0" t="n">
        <v>0</v>
      </c>
      <c r="VO148" s="0" t="n">
        <v>0</v>
      </c>
      <c r="VP148" s="0" t="n">
        <v>0</v>
      </c>
      <c r="VQ148" s="0" t="n">
        <v>0</v>
      </c>
      <c r="VR148" s="0" t="n">
        <v>0</v>
      </c>
      <c r="VS148" s="0" t="n">
        <v>0</v>
      </c>
      <c r="VT148" s="0" t="n">
        <v>34.88</v>
      </c>
      <c r="VU148" s="0" t="n">
        <v>40.97</v>
      </c>
      <c r="VV148" s="0" t="n">
        <v>0</v>
      </c>
      <c r="VW148" s="0" t="n">
        <v>12</v>
      </c>
      <c r="VX148" s="0" t="n">
        <v>1</v>
      </c>
      <c r="VY148" s="0" t="n">
        <v>7</v>
      </c>
      <c r="WA148" s="0" t="n">
        <v>1</v>
      </c>
      <c r="WE148" s="0" t="n">
        <v>7</v>
      </c>
      <c r="WG148" s="0" t="n">
        <v>1</v>
      </c>
      <c r="WK148" s="0" t="n">
        <v>0.4</v>
      </c>
      <c r="WL148" s="0" t="n">
        <v>0</v>
      </c>
      <c r="WW148" s="18"/>
      <c r="XO148" s="0" t="n">
        <v>1</v>
      </c>
      <c r="XP148" s="0" t="n">
        <v>60</v>
      </c>
      <c r="XQ148" s="0" t="n">
        <v>1</v>
      </c>
      <c r="XR148" s="0" t="n">
        <v>0.53</v>
      </c>
      <c r="XS148" s="0" t="n">
        <v>4</v>
      </c>
      <c r="XT148" s="0" t="n">
        <v>60</v>
      </c>
      <c r="XU148" s="0" t="n">
        <v>1</v>
      </c>
      <c r="XV148" s="0" t="n">
        <v>0.6</v>
      </c>
      <c r="XW148" s="0" t="n">
        <v>3</v>
      </c>
      <c r="YZ148" s="16" t="n">
        <v>0.22</v>
      </c>
      <c r="ZA148" s="16" t="n">
        <v>1</v>
      </c>
      <c r="ZB148" s="16" t="n">
        <v>1</v>
      </c>
      <c r="ZC148" s="16"/>
      <c r="ZD148" s="16" t="n">
        <f aca="false">0.37*2</f>
        <v>0.74</v>
      </c>
      <c r="ZE148" s="16"/>
      <c r="ZF148" s="16"/>
      <c r="ZG148" s="16"/>
      <c r="ZH148" s="16"/>
      <c r="ZI148" s="16"/>
      <c r="ZJ148" s="16"/>
      <c r="ZK148" s="16" t="n">
        <v>0</v>
      </c>
      <c r="ZL148" s="16" t="n">
        <v>0</v>
      </c>
      <c r="ZM148" s="16"/>
      <c r="ZN148" s="16"/>
      <c r="ZO148" s="16" t="n">
        <v>0</v>
      </c>
      <c r="ZP148" s="16" t="n">
        <v>0</v>
      </c>
      <c r="ZQ148" s="16" t="n">
        <v>0</v>
      </c>
      <c r="ZR148" s="0" t="n">
        <v>0</v>
      </c>
      <c r="ZT148" s="34"/>
      <c r="ZU148" s="15"/>
      <c r="ZV148" s="15"/>
      <c r="ZX148" s="34"/>
      <c r="ZY148" s="34"/>
      <c r="AAB148" s="34"/>
      <c r="AAC148" s="15"/>
      <c r="AAD148" s="15"/>
      <c r="AAF148" s="34"/>
      <c r="AAG148" s="34"/>
      <c r="AAJ148" s="34"/>
      <c r="AAK148" s="15"/>
      <c r="AAL148" s="15"/>
      <c r="AAN148" s="34"/>
      <c r="AAO148" s="34"/>
      <c r="AAR148" s="34"/>
      <c r="AAS148" s="15"/>
      <c r="AAT148" s="15"/>
      <c r="AAV148" s="34"/>
      <c r="AAW148" s="34"/>
      <c r="AAZ148" s="34"/>
      <c r="ABA148" s="15"/>
      <c r="ABB148" s="15"/>
      <c r="ABD148" s="34"/>
      <c r="ABE148" s="34"/>
      <c r="ABH148" s="34"/>
      <c r="ABI148" s="15"/>
      <c r="ABJ148" s="15"/>
      <c r="ABL148" s="34"/>
      <c r="ABM148" s="34"/>
      <c r="ABP148" s="34"/>
      <c r="ABQ148" s="15"/>
      <c r="ABR148" s="15"/>
      <c r="ABT148" s="34"/>
      <c r="ABU148" s="34"/>
      <c r="ABX148" s="34"/>
      <c r="ABY148" s="15"/>
      <c r="ABZ148" s="15"/>
      <c r="ACB148" s="34"/>
      <c r="ACC148" s="34"/>
      <c r="ACF148" s="34"/>
      <c r="ACG148" s="15"/>
      <c r="ACH148" s="15"/>
      <c r="ACJ148" s="34"/>
      <c r="ACK148" s="34"/>
      <c r="ACN148" s="34"/>
      <c r="ACO148" s="15"/>
      <c r="ACP148" s="15"/>
      <c r="ACR148" s="34"/>
      <c r="ACS148" s="34"/>
      <c r="ACV148" s="34"/>
      <c r="ACW148" s="15"/>
      <c r="ACX148" s="15"/>
      <c r="ACZ148" s="34"/>
      <c r="ADA148" s="34"/>
      <c r="ADD148" s="34"/>
      <c r="ADE148" s="15"/>
      <c r="ADF148" s="15"/>
      <c r="ADH148" s="34"/>
      <c r="ADI148" s="34"/>
      <c r="ADL148" s="34"/>
      <c r="ADM148" s="15"/>
      <c r="ADN148" s="15"/>
      <c r="ADP148" s="34"/>
      <c r="ADQ148" s="34"/>
      <c r="ADT148" s="34"/>
      <c r="ADU148" s="15"/>
      <c r="ADV148" s="15"/>
      <c r="ADX148" s="34"/>
      <c r="ADY148" s="34"/>
      <c r="AEB148" s="34"/>
      <c r="AEC148" s="15"/>
      <c r="AED148" s="15"/>
      <c r="AEF148" s="34"/>
      <c r="AEG148" s="34"/>
      <c r="AEJ148" s="34"/>
      <c r="AEK148" s="15"/>
      <c r="AEL148" s="15"/>
      <c r="AEN148" s="34"/>
      <c r="AEO148" s="34"/>
      <c r="AER148" s="34"/>
      <c r="AES148" s="15"/>
      <c r="AET148" s="15"/>
      <c r="AEV148" s="34"/>
      <c r="AEW148" s="34"/>
      <c r="AEZ148" s="34"/>
      <c r="AFA148" s="15"/>
      <c r="AFB148" s="15"/>
      <c r="AFD148" s="34"/>
      <c r="AFE148" s="34"/>
      <c r="AFH148" s="34"/>
      <c r="AFI148" s="15"/>
      <c r="AFJ148" s="15"/>
      <c r="AFL148" s="34"/>
      <c r="AFM148" s="34"/>
      <c r="AFP148" s="34"/>
      <c r="AFQ148" s="15"/>
      <c r="AFR148" s="15"/>
      <c r="AFT148" s="34"/>
      <c r="AFU148" s="34"/>
      <c r="AFX148" s="34"/>
      <c r="AFY148" s="15"/>
      <c r="AFZ148" s="15"/>
      <c r="AGB148" s="34"/>
      <c r="AGC148" s="34"/>
      <c r="AGF148" s="34"/>
      <c r="AGG148" s="15"/>
      <c r="AGH148" s="15"/>
      <c r="AGJ148" s="34"/>
      <c r="AGK148" s="34"/>
      <c r="AGN148" s="34"/>
      <c r="AGO148" s="15"/>
      <c r="AGP148" s="15"/>
      <c r="AGR148" s="34"/>
      <c r="AGS148" s="34"/>
      <c r="AGV148" s="34"/>
      <c r="AGW148" s="15"/>
      <c r="AGX148" s="15"/>
      <c r="AGZ148" s="34"/>
      <c r="AHA148" s="34"/>
      <c r="AHD148" s="34"/>
      <c r="AHE148" s="15"/>
      <c r="AHF148" s="15"/>
      <c r="AHH148" s="34"/>
      <c r="AHI148" s="34"/>
      <c r="AHL148" s="34"/>
      <c r="AHM148" s="15"/>
      <c r="AHN148" s="15"/>
      <c r="AHP148" s="34"/>
      <c r="AHQ148" s="34"/>
      <c r="AHT148" s="34"/>
      <c r="AHU148" s="15"/>
      <c r="AHV148" s="15"/>
      <c r="AHX148" s="34"/>
      <c r="AHY148" s="34"/>
      <c r="AIB148" s="34"/>
      <c r="AIC148" s="15"/>
      <c r="AID148" s="15"/>
      <c r="AIF148" s="34"/>
      <c r="AIG148" s="34"/>
      <c r="AIJ148" s="34"/>
      <c r="AIK148" s="15"/>
      <c r="AIL148" s="15"/>
      <c r="AIN148" s="34"/>
      <c r="AIO148" s="34"/>
      <c r="AIR148" s="34"/>
      <c r="AIS148" s="15"/>
      <c r="AIT148" s="15"/>
      <c r="AIV148" s="34"/>
      <c r="AIW148" s="34"/>
      <c r="AIZ148" s="34"/>
      <c r="AJA148" s="15"/>
      <c r="AJB148" s="15"/>
      <c r="AJD148" s="34"/>
      <c r="AJE148" s="34"/>
      <c r="AJH148" s="34"/>
      <c r="AJI148" s="15"/>
      <c r="AJJ148" s="15"/>
      <c r="AJL148" s="34"/>
      <c r="AJM148" s="34"/>
      <c r="AJP148" s="34"/>
      <c r="AJQ148" s="15"/>
      <c r="AJR148" s="15"/>
      <c r="AJT148" s="34"/>
      <c r="AJU148" s="34"/>
      <c r="AJX148" s="34"/>
      <c r="AJY148" s="15"/>
      <c r="AJZ148" s="15"/>
      <c r="AKB148" s="34"/>
      <c r="AKC148" s="34"/>
      <c r="AKF148" s="34"/>
      <c r="AKG148" s="15"/>
      <c r="AKH148" s="15"/>
      <c r="AKJ148" s="34"/>
      <c r="AKK148" s="34"/>
      <c r="AKN148" s="34"/>
      <c r="AKO148" s="15"/>
      <c r="AKP148" s="15"/>
      <c r="AKR148" s="34"/>
      <c r="AKS148" s="34"/>
      <c r="AKV148" s="34"/>
      <c r="AKW148" s="15"/>
      <c r="AKX148" s="15"/>
      <c r="AKZ148" s="34"/>
      <c r="ALA148" s="34"/>
      <c r="ALD148" s="34"/>
      <c r="ALE148" s="15"/>
      <c r="ALF148" s="15"/>
      <c r="ALH148" s="34"/>
      <c r="ALI148" s="34"/>
      <c r="ALL148" s="34"/>
      <c r="ALM148" s="15"/>
      <c r="ALN148" s="15"/>
      <c r="ALP148" s="34"/>
      <c r="ALQ148" s="34"/>
      <c r="ALT148" s="34"/>
      <c r="ALU148" s="15"/>
      <c r="ALV148" s="15"/>
      <c r="ALX148" s="34"/>
      <c r="ALY148" s="34"/>
      <c r="AMB148" s="34"/>
      <c r="AMC148" s="15"/>
      <c r="AMD148" s="15"/>
      <c r="AMF148" s="34"/>
      <c r="AMG148" s="34"/>
      <c r="AMJ148" s="34"/>
    </row>
    <row r="149" customFormat="false" ht="13.8" hidden="false" customHeight="false" outlineLevel="0" collapsed="false">
      <c r="A149" s="1" t="s">
        <v>597</v>
      </c>
      <c r="B149" s="12" t="n">
        <v>39247</v>
      </c>
      <c r="C149" s="0" t="n">
        <v>2</v>
      </c>
      <c r="D149" s="13" t="n">
        <v>35625</v>
      </c>
      <c r="E149" s="12" t="n">
        <v>27367</v>
      </c>
      <c r="F149" s="14" t="n">
        <f aca="false">(B149-E149)/365.25</f>
        <v>32.5256673511294</v>
      </c>
      <c r="G149" s="14" t="n">
        <f aca="false">(B149-D149)/365.25</f>
        <v>9.91649555099247</v>
      </c>
      <c r="H149" s="15" t="s">
        <v>228</v>
      </c>
      <c r="I149" s="15" t="s">
        <v>229</v>
      </c>
      <c r="J149" s="15" t="s">
        <v>183</v>
      </c>
      <c r="K149" s="21" t="n">
        <v>8</v>
      </c>
      <c r="L149" s="19" t="n">
        <v>70</v>
      </c>
      <c r="M149" s="0" t="n">
        <v>1.78</v>
      </c>
      <c r="N149" s="16" t="n">
        <f aca="false">L149/(M149*M149)</f>
        <v>22.0931700542861</v>
      </c>
      <c r="O149" s="19" t="n">
        <v>0</v>
      </c>
      <c r="P149" s="19" t="n">
        <v>0</v>
      </c>
      <c r="Q149" s="19" t="n">
        <v>0</v>
      </c>
      <c r="R149" s="19" t="n">
        <v>0</v>
      </c>
      <c r="S149" s="19" t="n">
        <v>0</v>
      </c>
      <c r="T149" s="19" t="n">
        <v>0</v>
      </c>
      <c r="U149" s="19" t="n">
        <v>0</v>
      </c>
      <c r="V149" s="19" t="n">
        <v>0</v>
      </c>
      <c r="W149" s="19" t="n">
        <v>0</v>
      </c>
      <c r="X149" s="19" t="n">
        <v>0</v>
      </c>
      <c r="Y149" s="19" t="n">
        <v>1</v>
      </c>
      <c r="Z149" s="19" t="n">
        <v>1</v>
      </c>
      <c r="AA149" s="19" t="n">
        <v>90</v>
      </c>
      <c r="AB149" s="19" t="s">
        <v>598</v>
      </c>
      <c r="AC149" s="19" t="n">
        <v>0</v>
      </c>
      <c r="AD149" s="19" t="n">
        <v>0</v>
      </c>
      <c r="AE149" s="19" t="n">
        <v>0</v>
      </c>
      <c r="AF149" s="19" t="n">
        <v>0</v>
      </c>
      <c r="AG149" s="19" t="n">
        <v>0</v>
      </c>
      <c r="AH149" s="19" t="n">
        <v>0</v>
      </c>
      <c r="AI149" s="19" t="n">
        <v>0</v>
      </c>
      <c r="AJ149" s="19" t="n">
        <v>0</v>
      </c>
      <c r="AK149" s="19" t="n">
        <v>0</v>
      </c>
      <c r="AL149" s="19" t="n">
        <v>0</v>
      </c>
      <c r="AM149" s="19" t="n">
        <v>0</v>
      </c>
      <c r="AN149" s="19" t="n">
        <v>0</v>
      </c>
      <c r="AO149" s="19" t="n">
        <v>0</v>
      </c>
      <c r="AP149" s="19" t="n">
        <v>0</v>
      </c>
      <c r="AQ149" s="19" t="n">
        <v>0</v>
      </c>
      <c r="AR149" s="19" t="n">
        <v>0</v>
      </c>
      <c r="AS149" s="19" t="n">
        <v>0</v>
      </c>
      <c r="AT149" s="19" t="n">
        <v>0</v>
      </c>
      <c r="AU149" s="19" t="n">
        <v>0</v>
      </c>
      <c r="AV149" s="19" t="n">
        <v>0</v>
      </c>
      <c r="AW149" s="19" t="n">
        <v>0</v>
      </c>
      <c r="AX149" s="19" t="n">
        <v>0</v>
      </c>
      <c r="AY149" s="19" t="n">
        <v>0</v>
      </c>
      <c r="AZ149" s="19" t="n">
        <v>0</v>
      </c>
      <c r="BA149" s="19" t="n">
        <v>0</v>
      </c>
      <c r="BB149" s="19" t="n">
        <v>1</v>
      </c>
      <c r="BC149" s="19" t="n">
        <v>1</v>
      </c>
      <c r="BD149" s="19" t="n">
        <v>0</v>
      </c>
      <c r="BE149" s="19" t="n">
        <v>0</v>
      </c>
      <c r="BF149" s="19" t="n">
        <v>0</v>
      </c>
      <c r="BG149" s="19" t="n">
        <v>0</v>
      </c>
      <c r="BH149" s="19" t="n">
        <v>0</v>
      </c>
      <c r="BI149" s="19" t="n">
        <v>0</v>
      </c>
      <c r="BJ149" s="19" t="n">
        <v>0</v>
      </c>
      <c r="BK149" s="19" t="n">
        <v>0</v>
      </c>
      <c r="BL149" s="19" t="n">
        <v>0</v>
      </c>
      <c r="BM149" s="19" t="n">
        <v>0</v>
      </c>
      <c r="BN149" s="19" t="n">
        <v>0</v>
      </c>
      <c r="BO149" s="19" t="n">
        <v>0</v>
      </c>
      <c r="BP149" s="19" t="n">
        <v>0</v>
      </c>
      <c r="BQ149" s="19" t="n">
        <v>0</v>
      </c>
      <c r="BR149" s="19" t="n">
        <v>2</v>
      </c>
      <c r="BS149" s="19" t="n">
        <v>1</v>
      </c>
      <c r="BT149" s="19" t="n">
        <v>4</v>
      </c>
      <c r="BU149" s="19" t="n">
        <v>5</v>
      </c>
      <c r="BV149" s="19" t="n">
        <v>3</v>
      </c>
      <c r="BW149" s="19" t="n">
        <v>4</v>
      </c>
      <c r="BX149" s="19" t="n">
        <v>3</v>
      </c>
      <c r="BY149" s="19" t="n">
        <v>4</v>
      </c>
      <c r="BZ149" s="19" t="n">
        <v>3</v>
      </c>
      <c r="CA149" s="19" t="n">
        <v>2</v>
      </c>
      <c r="CB149" s="19" t="n">
        <v>3</v>
      </c>
      <c r="CC149" s="19" t="n">
        <v>4</v>
      </c>
      <c r="CD149" s="19" t="n">
        <v>1</v>
      </c>
      <c r="CE149" s="19" t="n">
        <v>1</v>
      </c>
      <c r="CF149" s="19" t="n">
        <v>4</v>
      </c>
      <c r="CG149" s="19" t="n">
        <v>4</v>
      </c>
      <c r="CH149" s="19" t="n">
        <v>4</v>
      </c>
      <c r="CI149" s="19" t="n">
        <v>4</v>
      </c>
      <c r="CJ149" s="19" t="n">
        <v>4</v>
      </c>
      <c r="CK149" s="19" t="n">
        <v>9</v>
      </c>
      <c r="CL149" s="0" t="s">
        <v>230</v>
      </c>
      <c r="CM149" s="0" t="n">
        <v>64</v>
      </c>
      <c r="CN149" s="16" t="n">
        <v>74.3</v>
      </c>
      <c r="CO149" s="16" t="n">
        <v>81</v>
      </c>
      <c r="CP149" s="16" t="n">
        <v>58.5</v>
      </c>
      <c r="CQ149" s="0" t="n">
        <v>49.17</v>
      </c>
      <c r="CR149" s="0" t="n">
        <v>0</v>
      </c>
      <c r="CS149" s="0" t="n">
        <v>34.45</v>
      </c>
      <c r="CT149" s="0" t="n">
        <v>16.22</v>
      </c>
      <c r="CU149" s="0" t="n">
        <v>0.16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2.52</v>
      </c>
      <c r="DE149" s="0" t="n">
        <v>9.18</v>
      </c>
      <c r="DF149" s="0" t="n">
        <v>0</v>
      </c>
      <c r="DG149" s="0" t="n">
        <v>0</v>
      </c>
      <c r="DH149" s="0" t="n">
        <v>0</v>
      </c>
      <c r="DU149" s="0" t="n">
        <v>0.3</v>
      </c>
      <c r="DV149" s="0" t="n">
        <v>1</v>
      </c>
      <c r="DW149" s="0" t="n">
        <v>34</v>
      </c>
      <c r="DX149" s="0" t="n">
        <v>8</v>
      </c>
      <c r="DY149" s="0" t="n">
        <v>0.43</v>
      </c>
      <c r="DZ149" s="0" t="n">
        <v>1</v>
      </c>
      <c r="EA149" s="0" t="n">
        <v>47</v>
      </c>
      <c r="EB149" s="0" t="n">
        <v>1</v>
      </c>
      <c r="EC149" s="0" t="n">
        <v>0.04</v>
      </c>
      <c r="ED149" s="0" t="n">
        <v>3</v>
      </c>
      <c r="EG149" s="18"/>
      <c r="EY149" s="0" t="n">
        <v>0</v>
      </c>
      <c r="GJ149" s="16" t="n">
        <v>2.89</v>
      </c>
      <c r="GK149" s="16" t="n">
        <v>1</v>
      </c>
      <c r="GL149" s="16" t="n">
        <v>1</v>
      </c>
      <c r="GM149" s="16"/>
      <c r="GN149" s="16" t="n">
        <v>7.35</v>
      </c>
      <c r="GO149" s="16"/>
      <c r="GP149" s="16"/>
      <c r="GQ149" s="16"/>
      <c r="GR149" s="16"/>
      <c r="GS149" s="16"/>
      <c r="GT149" s="16"/>
      <c r="GU149" s="16" t="n">
        <v>0</v>
      </c>
      <c r="GV149" s="16" t="n">
        <v>0</v>
      </c>
      <c r="GW149" s="16"/>
      <c r="GX149" s="16"/>
      <c r="GY149" s="16" t="n">
        <v>0</v>
      </c>
      <c r="GZ149" s="16" t="n">
        <v>0</v>
      </c>
      <c r="HA149" s="16" t="n">
        <v>0</v>
      </c>
      <c r="HB149" s="0" t="n">
        <v>0</v>
      </c>
      <c r="HC149" s="0" t="s">
        <v>231</v>
      </c>
      <c r="HD149" s="0" t="n">
        <v>64.5</v>
      </c>
      <c r="HE149" s="16" t="n">
        <v>77.8</v>
      </c>
      <c r="HF149" s="16" t="n">
        <v>81</v>
      </c>
      <c r="HG149" s="16" t="n">
        <v>52.5</v>
      </c>
      <c r="HH149" s="0" t="n">
        <v>50.19</v>
      </c>
      <c r="HI149" s="0" t="n">
        <v>0</v>
      </c>
      <c r="HJ149" s="0" t="n">
        <v>26.36</v>
      </c>
      <c r="HK149" s="0" t="n">
        <v>23.45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  <c r="HT149" s="0" t="n">
        <v>1.91</v>
      </c>
      <c r="HU149" s="0" t="n">
        <v>2.12</v>
      </c>
      <c r="HV149" s="0" t="n">
        <v>0</v>
      </c>
      <c r="HW149" s="0" t="n">
        <v>0</v>
      </c>
      <c r="HX149" s="0" t="n">
        <v>0</v>
      </c>
      <c r="HY149" s="0" t="n">
        <v>0</v>
      </c>
      <c r="IL149" s="0" t="n">
        <v>5.4</v>
      </c>
      <c r="IM149" s="0" t="n">
        <v>1</v>
      </c>
      <c r="IN149" s="0" t="n">
        <v>68</v>
      </c>
      <c r="IO149" s="0" t="n">
        <v>8</v>
      </c>
      <c r="IP149" s="0" t="n">
        <f aca="false">1.4*2+0.13</f>
        <v>2.93</v>
      </c>
      <c r="IQ149" s="0" t="n">
        <v>1</v>
      </c>
      <c r="IR149" s="0" t="n">
        <v>34</v>
      </c>
      <c r="IS149" s="0" t="n">
        <v>1</v>
      </c>
      <c r="IT149" s="0" t="n">
        <v>0.13</v>
      </c>
      <c r="IU149" s="0" t="n">
        <v>1</v>
      </c>
      <c r="IX149" s="18"/>
      <c r="JP149" s="0" t="n">
        <v>1</v>
      </c>
      <c r="JQ149" s="0" t="n">
        <v>60</v>
      </c>
      <c r="JR149" s="0" t="n">
        <v>1</v>
      </c>
      <c r="JS149" s="0" t="n">
        <v>0.22</v>
      </c>
      <c r="JT149" s="0" t="n">
        <v>3</v>
      </c>
      <c r="LA149" s="16" t="n">
        <v>3.48</v>
      </c>
      <c r="LB149" s="16" t="n">
        <v>1</v>
      </c>
      <c r="LC149" s="16" t="n">
        <v>1</v>
      </c>
      <c r="LD149" s="16"/>
      <c r="LE149" s="16" t="n">
        <f aca="false">7.35+1.4*2+0.62+0.74+0.03+0.7+0.18+0.03+0.05+0.01</f>
        <v>12.51</v>
      </c>
      <c r="LF149" s="16"/>
      <c r="LG149" s="16"/>
      <c r="LH149" s="16"/>
      <c r="LI149" s="16"/>
      <c r="LJ149" s="16"/>
      <c r="LK149" s="16"/>
      <c r="LL149" s="16" t="n">
        <v>0.13</v>
      </c>
      <c r="LM149" s="16" t="n">
        <v>0.13</v>
      </c>
      <c r="LN149" s="16"/>
      <c r="LO149" s="16"/>
      <c r="LP149" s="16" t="n">
        <v>0</v>
      </c>
      <c r="LQ149" s="16" t="n">
        <v>0</v>
      </c>
      <c r="LR149" s="16" t="n">
        <v>0</v>
      </c>
      <c r="LS149" s="0" t="n">
        <v>0</v>
      </c>
      <c r="LT149" s="0" t="s">
        <v>232</v>
      </c>
      <c r="LU149" s="0" t="n">
        <v>40</v>
      </c>
      <c r="LV149" s="16" t="n">
        <v>84.9</v>
      </c>
      <c r="LW149" s="16" t="n">
        <v>81</v>
      </c>
      <c r="LX149" s="16" t="n">
        <v>13.2</v>
      </c>
      <c r="LY149" s="0" t="n">
        <v>93.04</v>
      </c>
      <c r="LZ149" s="0" t="n">
        <v>0</v>
      </c>
      <c r="MA149" s="0" t="n">
        <v>0</v>
      </c>
      <c r="MB149" s="0" t="n">
        <v>3.59</v>
      </c>
      <c r="MC149" s="0" t="n">
        <v>3.38</v>
      </c>
      <c r="MD149" s="0" t="n">
        <v>0</v>
      </c>
      <c r="ME149" s="0" t="n">
        <v>0</v>
      </c>
      <c r="MF149" s="0" t="n">
        <v>0</v>
      </c>
      <c r="MG149" s="0" t="n">
        <v>0</v>
      </c>
      <c r="MH149" s="0" t="n">
        <v>0</v>
      </c>
      <c r="MI149" s="0" t="n">
        <v>0</v>
      </c>
      <c r="MJ149" s="0" t="n">
        <v>1.7</v>
      </c>
      <c r="MK149" s="0" t="n">
        <v>3.97</v>
      </c>
      <c r="ML149" s="0" t="n">
        <v>39.76</v>
      </c>
      <c r="MM149" s="0" t="n">
        <v>0.13</v>
      </c>
      <c r="MN149" s="0" t="n">
        <v>0</v>
      </c>
      <c r="MO149" s="0" t="n">
        <v>0</v>
      </c>
      <c r="MP149" s="0" t="n">
        <v>0</v>
      </c>
      <c r="NC149" s="0" t="n">
        <v>15.9</v>
      </c>
      <c r="ND149" s="0" t="n">
        <v>1</v>
      </c>
      <c r="NE149" s="0" t="n">
        <v>47</v>
      </c>
      <c r="NF149" s="0" t="n">
        <v>2</v>
      </c>
      <c r="NG149" s="0" t="n">
        <v>1.51</v>
      </c>
      <c r="NH149" s="0" t="n">
        <v>3</v>
      </c>
      <c r="NO149" s="18"/>
      <c r="OG149" s="0" t="n">
        <v>1</v>
      </c>
      <c r="OH149" s="0" t="n">
        <v>40</v>
      </c>
      <c r="OI149" s="0" t="n">
        <v>7</v>
      </c>
      <c r="OJ149" s="0" t="n">
        <f aca="false">2.27+3.02</f>
        <v>5.29</v>
      </c>
      <c r="OK149" s="0" t="n">
        <v>3</v>
      </c>
      <c r="PR149" s="16" t="n">
        <v>1.48</v>
      </c>
      <c r="PS149" s="16" t="n">
        <v>1</v>
      </c>
      <c r="PT149" s="16" t="n">
        <v>1</v>
      </c>
      <c r="PU149" s="16"/>
      <c r="PV149" s="16" t="n">
        <f aca="false">2.1+1.7+0.37+0.74</f>
        <v>4.91</v>
      </c>
      <c r="PW149" s="16"/>
      <c r="PX149" s="16"/>
      <c r="PY149" s="16"/>
      <c r="PZ149" s="16"/>
      <c r="QA149" s="16"/>
      <c r="QB149" s="16"/>
      <c r="QC149" s="16" t="n">
        <v>7.34</v>
      </c>
      <c r="QD149" s="16" t="n">
        <v>5.01</v>
      </c>
      <c r="QE149" s="16"/>
      <c r="QF149" s="16"/>
      <c r="QG149" s="16" t="n">
        <v>0</v>
      </c>
      <c r="QH149" s="16" t="n">
        <v>0</v>
      </c>
      <c r="QI149" s="16" t="n">
        <v>0</v>
      </c>
      <c r="QJ149" s="0" t="n">
        <v>0</v>
      </c>
      <c r="QK149" s="0" t="s">
        <v>233</v>
      </c>
      <c r="QL149" s="0" t="n">
        <v>39.5</v>
      </c>
      <c r="QM149" s="16" t="n">
        <v>85</v>
      </c>
      <c r="QN149" s="16" t="n">
        <v>81</v>
      </c>
      <c r="QO149" s="16" t="n">
        <v>12.7</v>
      </c>
      <c r="QP149" s="0" t="n">
        <v>93.14</v>
      </c>
      <c r="QQ149" s="0" t="n">
        <v>0</v>
      </c>
      <c r="QR149" s="0" t="n">
        <v>1.57</v>
      </c>
      <c r="QS149" s="0" t="n">
        <v>2.08</v>
      </c>
      <c r="QT149" s="0" t="n">
        <v>3.21</v>
      </c>
      <c r="QU149" s="0" t="n">
        <v>0</v>
      </c>
      <c r="QV149" s="0" t="n">
        <v>0</v>
      </c>
      <c r="QW149" s="0" t="n">
        <v>0</v>
      </c>
      <c r="QX149" s="0" t="n">
        <v>0</v>
      </c>
      <c r="QY149" s="0" t="n">
        <v>0</v>
      </c>
      <c r="QZ149" s="0" t="n">
        <v>0</v>
      </c>
      <c r="RA149" s="0" t="n">
        <v>1.7</v>
      </c>
      <c r="RB149" s="0" t="n">
        <v>6.54</v>
      </c>
      <c r="RC149" s="0" t="n">
        <v>37.88</v>
      </c>
      <c r="RD149" s="0" t="n">
        <v>3</v>
      </c>
      <c r="RE149" s="0" t="n">
        <v>0</v>
      </c>
      <c r="RF149" s="0" t="n">
        <v>0</v>
      </c>
      <c r="RG149" s="0" t="n">
        <v>0</v>
      </c>
      <c r="RT149" s="0" t="n">
        <v>15.7</v>
      </c>
      <c r="RU149" s="0" t="n">
        <v>1</v>
      </c>
      <c r="RV149" s="0" t="n">
        <v>47</v>
      </c>
      <c r="RW149" s="0" t="n">
        <v>2</v>
      </c>
      <c r="RX149" s="0" t="n">
        <v>1.51</v>
      </c>
      <c r="RY149" s="0" t="n">
        <v>3</v>
      </c>
      <c r="SF149" s="18"/>
      <c r="SX149" s="0" t="n">
        <v>1</v>
      </c>
      <c r="SY149" s="0" t="n">
        <v>50</v>
      </c>
      <c r="SZ149" s="0" t="n">
        <v>3</v>
      </c>
      <c r="TA149" s="0" t="n">
        <v>0.4</v>
      </c>
      <c r="TB149" s="0" t="n">
        <v>3</v>
      </c>
      <c r="TC149" s="0" t="n">
        <v>40</v>
      </c>
      <c r="TD149" s="0" t="n">
        <v>7</v>
      </c>
      <c r="TE149" s="0" t="n">
        <f aca="false">2.27+3.02</f>
        <v>5.29</v>
      </c>
      <c r="TF149" s="0" t="n">
        <v>3</v>
      </c>
      <c r="UI149" s="16" t="n">
        <v>1.76</v>
      </c>
      <c r="UJ149" s="16" t="n">
        <v>1</v>
      </c>
      <c r="UK149" s="16" t="n">
        <v>1</v>
      </c>
      <c r="UL149" s="16"/>
      <c r="UM149" s="16" t="n">
        <f aca="false">2.1+1.7+0.4+0.37+0.74</f>
        <v>5.31</v>
      </c>
      <c r="UN149" s="16"/>
      <c r="UO149" s="16"/>
      <c r="UP149" s="16"/>
      <c r="UQ149" s="16"/>
      <c r="UR149" s="16"/>
      <c r="US149" s="16"/>
      <c r="UT149" s="16" t="n">
        <v>7.31</v>
      </c>
      <c r="UU149" s="16" t="n">
        <v>6.99</v>
      </c>
      <c r="UV149" s="16"/>
      <c r="UW149" s="16"/>
      <c r="UX149" s="16" t="n">
        <v>0</v>
      </c>
      <c r="UY149" s="16" t="n">
        <v>0</v>
      </c>
      <c r="UZ149" s="16" t="n">
        <v>0</v>
      </c>
      <c r="VA149" s="0" t="n">
        <v>0</v>
      </c>
      <c r="VB149" s="0" t="s">
        <v>234</v>
      </c>
      <c r="VC149" s="0" t="n">
        <v>22.5</v>
      </c>
      <c r="VD149" s="16" t="n">
        <v>60.3</v>
      </c>
      <c r="VE149" s="16" t="n">
        <v>81</v>
      </c>
      <c r="VF149" s="16" t="n">
        <v>13.3</v>
      </c>
      <c r="VG149" s="0" t="n">
        <v>92.98</v>
      </c>
      <c r="VH149" s="0" t="n">
        <v>0</v>
      </c>
      <c r="VI149" s="0" t="n">
        <v>0</v>
      </c>
      <c r="VJ149" s="0" t="n">
        <v>0</v>
      </c>
      <c r="VK149" s="0" t="n">
        <v>7.02</v>
      </c>
      <c r="VL149" s="0" t="n">
        <v>0</v>
      </c>
      <c r="VM149" s="0" t="n">
        <v>0</v>
      </c>
      <c r="VN149" s="0" t="n">
        <v>0</v>
      </c>
      <c r="VO149" s="0" t="n">
        <v>0</v>
      </c>
      <c r="VP149" s="0" t="n">
        <v>0</v>
      </c>
      <c r="VQ149" s="0" t="n">
        <v>0</v>
      </c>
      <c r="VR149" s="0" t="n">
        <v>0</v>
      </c>
      <c r="VS149" s="0" t="n">
        <v>0.72</v>
      </c>
      <c r="VT149" s="0" t="n">
        <v>23.12</v>
      </c>
      <c r="VU149" s="0" t="n">
        <v>24.81</v>
      </c>
      <c r="VV149" s="0" t="n">
        <v>0</v>
      </c>
      <c r="VW149" s="0" t="n">
        <v>0</v>
      </c>
      <c r="VX149" s="0" t="n">
        <v>0</v>
      </c>
      <c r="WK149" s="0" t="n">
        <v>0</v>
      </c>
      <c r="WL149" s="0" t="n">
        <v>1</v>
      </c>
      <c r="WM149" s="0" t="n">
        <v>23</v>
      </c>
      <c r="WN149" s="0" t="n">
        <v>1</v>
      </c>
      <c r="WO149" s="0" t="n">
        <v>0.3</v>
      </c>
      <c r="WP149" s="0" t="n">
        <v>3</v>
      </c>
      <c r="WW149" s="18"/>
      <c r="XO149" s="0" t="n">
        <v>0</v>
      </c>
      <c r="YZ149" s="16" t="n">
        <v>1.26</v>
      </c>
      <c r="ZA149" s="16" t="n">
        <v>1</v>
      </c>
      <c r="ZB149" s="16" t="n">
        <v>1</v>
      </c>
      <c r="ZC149" s="16"/>
      <c r="ZD149" s="16" t="n">
        <f aca="false">2.1+1.7+0.4+0.37+0.74</f>
        <v>5.31</v>
      </c>
      <c r="ZE149" s="16"/>
      <c r="ZF149" s="16"/>
      <c r="ZG149" s="16"/>
      <c r="ZH149" s="16"/>
      <c r="ZI149" s="16"/>
      <c r="ZJ149" s="16"/>
      <c r="ZK149" s="16" t="n">
        <v>6.24</v>
      </c>
      <c r="ZL149" s="16" t="n">
        <v>6.99</v>
      </c>
      <c r="ZM149" s="16"/>
      <c r="ZN149" s="16"/>
      <c r="ZO149" s="16" t="n">
        <v>0</v>
      </c>
      <c r="ZP149" s="16" t="n">
        <v>0</v>
      </c>
      <c r="ZQ149" s="16" t="n">
        <v>0</v>
      </c>
      <c r="ZR149" s="0" t="n">
        <v>0</v>
      </c>
      <c r="ZS149" s="0" t="s">
        <v>235</v>
      </c>
      <c r="ZT149" s="0" t="n">
        <v>37</v>
      </c>
      <c r="ZU149" s="16" t="n">
        <v>81.9</v>
      </c>
      <c r="ZV149" s="16" t="n">
        <v>81</v>
      </c>
      <c r="ZW149" s="16" t="n">
        <v>26.3</v>
      </c>
      <c r="ZX149" s="0" t="n">
        <v>68.54</v>
      </c>
      <c r="ZY149" s="0" t="n">
        <v>0</v>
      </c>
      <c r="ZZ149" s="0" t="n">
        <v>0</v>
      </c>
      <c r="AAA149" s="0" t="n">
        <v>0</v>
      </c>
      <c r="AAB149" s="0" t="n">
        <v>31.46</v>
      </c>
      <c r="AAC149" s="0" t="n">
        <v>0</v>
      </c>
      <c r="AAD149" s="0" t="n">
        <v>0</v>
      </c>
      <c r="AAE149" s="0" t="n">
        <v>0</v>
      </c>
      <c r="AAF149" s="0" t="n">
        <v>0</v>
      </c>
      <c r="AAG149" s="0" t="n">
        <v>0</v>
      </c>
      <c r="AAH149" s="0" t="n">
        <v>0</v>
      </c>
      <c r="AAI149" s="0" t="n">
        <v>0</v>
      </c>
      <c r="AAJ149" s="0" t="n">
        <v>5.42</v>
      </c>
      <c r="AAK149" s="0" t="n">
        <v>17.37</v>
      </c>
      <c r="AAL149" s="0" t="n">
        <v>41.85</v>
      </c>
      <c r="AAM149" s="0" t="n">
        <v>0</v>
      </c>
      <c r="AAN149" s="0" t="n">
        <v>0</v>
      </c>
      <c r="AAO149" s="0" t="n">
        <v>0</v>
      </c>
      <c r="ABB149" s="0" t="n">
        <v>0</v>
      </c>
      <c r="ABC149" s="0" t="n">
        <v>1</v>
      </c>
      <c r="ABD149" s="0" t="n">
        <v>23</v>
      </c>
      <c r="ABE149" s="0" t="n">
        <v>2</v>
      </c>
      <c r="ABF149" s="0" t="n">
        <v>2.11</v>
      </c>
      <c r="ABG149" s="0" t="n">
        <v>3</v>
      </c>
      <c r="ABN149" s="18"/>
      <c r="ACF149" s="0" t="n">
        <v>0</v>
      </c>
      <c r="ADQ149" s="16" t="n">
        <v>2.64</v>
      </c>
      <c r="ADR149" s="16" t="n">
        <v>1</v>
      </c>
      <c r="ADS149" s="16" t="n">
        <v>1</v>
      </c>
      <c r="ADT149" s="16"/>
      <c r="ADU149" s="16" t="n">
        <f aca="false">4.2*2+1.7+5.1+0.37+0.74</f>
        <v>16.31</v>
      </c>
      <c r="ADV149" s="16"/>
      <c r="ADW149" s="16"/>
      <c r="ADX149" s="16"/>
      <c r="ADY149" s="16"/>
      <c r="ADZ149" s="16"/>
      <c r="AEA149" s="16"/>
      <c r="AEB149" s="16" t="n">
        <v>5.32</v>
      </c>
      <c r="AEC149" s="16" t="n">
        <v>8.04</v>
      </c>
      <c r="AED149" s="16"/>
      <c r="AEE149" s="16"/>
      <c r="AEF149" s="16" t="n">
        <v>0</v>
      </c>
      <c r="AEG149" s="16" t="n">
        <v>0</v>
      </c>
      <c r="AEH149" s="16" t="n">
        <v>0</v>
      </c>
      <c r="AEI149" s="0" t="n">
        <v>0</v>
      </c>
      <c r="AEJ149" s="0" t="s">
        <v>236</v>
      </c>
      <c r="AEK149" s="0" t="n">
        <v>51</v>
      </c>
      <c r="AEL149" s="16" t="n">
        <v>93.4</v>
      </c>
      <c r="AEM149" s="16" t="n">
        <v>81</v>
      </c>
      <c r="AEN149" s="16" t="n">
        <v>29.5</v>
      </c>
      <c r="AEO149" s="0" t="n">
        <v>55.24</v>
      </c>
      <c r="AEP149" s="0" t="n">
        <v>0</v>
      </c>
      <c r="AEQ149" s="0" t="n">
        <v>0</v>
      </c>
      <c r="AER149" s="0" t="n">
        <v>0</v>
      </c>
      <c r="AES149" s="0" t="n">
        <v>44.76</v>
      </c>
      <c r="AET149" s="0" t="n">
        <v>0</v>
      </c>
      <c r="AEU149" s="0" t="n">
        <v>0</v>
      </c>
      <c r="AEV149" s="0" t="n">
        <v>0</v>
      </c>
      <c r="AEW149" s="0" t="n">
        <v>0</v>
      </c>
      <c r="AEX149" s="0" t="n">
        <v>0</v>
      </c>
      <c r="AEY149" s="0" t="n">
        <v>0</v>
      </c>
      <c r="AEZ149" s="0" t="n">
        <v>0.67</v>
      </c>
      <c r="AFA149" s="0" t="n">
        <v>5.1</v>
      </c>
      <c r="AFB149" s="0" t="n">
        <v>47.22</v>
      </c>
      <c r="AFC149" s="0" t="n">
        <v>18.3</v>
      </c>
      <c r="AFD149" s="0" t="n">
        <v>0</v>
      </c>
      <c r="AFE149" s="0" t="n">
        <v>7.5</v>
      </c>
      <c r="AFF149" s="0" t="n">
        <v>1</v>
      </c>
      <c r="AFG149" s="0" t="n">
        <v>3.6</v>
      </c>
      <c r="AFI149" s="0" t="n">
        <v>1</v>
      </c>
      <c r="AFM149" s="0" t="n">
        <v>3.6</v>
      </c>
      <c r="AFO149" s="0" t="n">
        <v>1</v>
      </c>
      <c r="AFS149" s="0" t="n">
        <v>0</v>
      </c>
      <c r="AFT149" s="0" t="n">
        <v>0</v>
      </c>
      <c r="AGE149" s="18"/>
      <c r="AGW149" s="0" t="n">
        <v>0</v>
      </c>
      <c r="AIH149" s="16" t="n">
        <v>1.95</v>
      </c>
      <c r="AII149" s="16" t="n">
        <v>1</v>
      </c>
      <c r="AIJ149" s="16" t="n">
        <v>1</v>
      </c>
      <c r="AIK149" s="16"/>
      <c r="AIL149" s="16" t="n">
        <f aca="false">2.42+1.67+5+0.22+0.66+0.22</f>
        <v>10.19</v>
      </c>
      <c r="AIM149" s="16"/>
      <c r="AIN149" s="16"/>
      <c r="AIO149" s="16"/>
      <c r="AIP149" s="16"/>
      <c r="AIQ149" s="16"/>
      <c r="AIR149" s="16"/>
      <c r="AIS149" s="16" t="n">
        <v>5.63</v>
      </c>
      <c r="AIT149" s="16" t="n">
        <v>11.04</v>
      </c>
      <c r="AIU149" s="16"/>
      <c r="AIV149" s="16"/>
      <c r="AIW149" s="16" t="n">
        <v>0</v>
      </c>
      <c r="AIX149" s="16" t="n">
        <v>0</v>
      </c>
      <c r="AIY149" s="16" t="n">
        <v>0</v>
      </c>
      <c r="AIZ149" s="0" t="n">
        <v>0</v>
      </c>
      <c r="AJA149" s="0" t="s">
        <v>237</v>
      </c>
      <c r="AJB149" s="0" t="n">
        <v>46</v>
      </c>
      <c r="AJC149" s="16" t="n">
        <v>92.7</v>
      </c>
      <c r="AJD149" s="16" t="n">
        <v>81</v>
      </c>
      <c r="AJE149" s="16" t="n">
        <v>20.8</v>
      </c>
      <c r="AJF149" s="0" t="n">
        <v>76.44</v>
      </c>
      <c r="AJG149" s="0" t="n">
        <v>0</v>
      </c>
      <c r="AJH149" s="0" t="n">
        <v>0</v>
      </c>
      <c r="AJI149" s="0" t="n">
        <v>0</v>
      </c>
      <c r="AJJ149" s="0" t="n">
        <v>23.56</v>
      </c>
      <c r="AJK149" s="0" t="n">
        <v>0</v>
      </c>
      <c r="AJL149" s="0" t="n">
        <v>0</v>
      </c>
      <c r="AJM149" s="0" t="n">
        <v>0</v>
      </c>
      <c r="AJN149" s="0" t="n">
        <v>0</v>
      </c>
      <c r="AJO149" s="0" t="n">
        <v>0</v>
      </c>
      <c r="AJP149" s="0" t="n">
        <v>0</v>
      </c>
      <c r="AJQ149" s="0" t="n">
        <v>0.23</v>
      </c>
      <c r="AJR149" s="0" t="n">
        <v>0.51</v>
      </c>
      <c r="AJS149" s="0" t="n">
        <v>26.55</v>
      </c>
      <c r="AJT149" s="0" t="n">
        <v>36.69</v>
      </c>
      <c r="AJU149" s="0" t="n">
        <v>0</v>
      </c>
      <c r="AJV149" s="0" t="n">
        <v>10.6</v>
      </c>
      <c r="AJW149" s="0" t="n">
        <v>1</v>
      </c>
      <c r="AJX149" s="0" t="n">
        <v>6</v>
      </c>
      <c r="AJZ149" s="0" t="n">
        <v>1</v>
      </c>
      <c r="AKD149" s="0" t="n">
        <v>6</v>
      </c>
      <c r="AKF149" s="0" t="n">
        <v>1</v>
      </c>
      <c r="AKJ149" s="0" t="n">
        <v>7.1</v>
      </c>
      <c r="AKK149" s="0" t="n">
        <v>1</v>
      </c>
      <c r="AKL149" s="0" t="n">
        <v>35</v>
      </c>
      <c r="AKM149" s="0" t="n">
        <v>2</v>
      </c>
      <c r="AKN149" s="0" t="n">
        <f aca="false">0.76*2</f>
        <v>1.52</v>
      </c>
      <c r="AKO149" s="0" t="n">
        <v>3</v>
      </c>
      <c r="AKV149" s="18"/>
      <c r="ALN149" s="0" t="n">
        <v>0</v>
      </c>
    </row>
    <row r="150" customFormat="false" ht="13.8" hidden="false" customHeight="false" outlineLevel="0" collapsed="false">
      <c r="A150" s="1" t="s">
        <v>599</v>
      </c>
      <c r="B150" s="12" t="n">
        <v>42900</v>
      </c>
      <c r="C150" s="0" t="n">
        <v>2</v>
      </c>
      <c r="D150" s="13" t="n">
        <v>42793</v>
      </c>
      <c r="E150" s="12" t="n">
        <v>33197</v>
      </c>
      <c r="F150" s="14" t="n">
        <f aca="false">(B150-E150)/365.25</f>
        <v>26.5653661875428</v>
      </c>
      <c r="G150" s="14" t="n">
        <f aca="false">(B150-D150)/365.25</f>
        <v>0.292950034223135</v>
      </c>
      <c r="H150" s="15" t="s">
        <v>228</v>
      </c>
      <c r="I150" s="15" t="s">
        <v>251</v>
      </c>
      <c r="J150" s="15" t="s">
        <v>183</v>
      </c>
      <c r="K150" s="21" t="n">
        <v>8</v>
      </c>
      <c r="L150" s="19" t="n">
        <v>76</v>
      </c>
      <c r="M150" s="0" t="n">
        <v>1.81</v>
      </c>
      <c r="N150" s="16" t="n">
        <f aca="false">L150/(M150*M150)</f>
        <v>23.1983150697476</v>
      </c>
      <c r="O150" s="19" t="n">
        <v>0</v>
      </c>
      <c r="P150" s="19" t="n">
        <v>0</v>
      </c>
      <c r="Q150" s="19" t="n">
        <v>0</v>
      </c>
      <c r="R150" s="19" t="n">
        <v>0</v>
      </c>
      <c r="S150" s="19" t="n">
        <v>0</v>
      </c>
      <c r="T150" s="19" t="n">
        <v>0</v>
      </c>
      <c r="U150" s="19" t="n">
        <v>0</v>
      </c>
      <c r="V150" s="19" t="n">
        <v>0</v>
      </c>
      <c r="W150" s="19" t="n">
        <v>0</v>
      </c>
      <c r="X150" s="19" t="n">
        <v>0</v>
      </c>
      <c r="Y150" s="19" t="n">
        <v>1</v>
      </c>
      <c r="Z150" s="19" t="n">
        <v>1</v>
      </c>
      <c r="AA150" s="19" t="n">
        <v>60</v>
      </c>
      <c r="AB150" s="19" t="s">
        <v>308</v>
      </c>
      <c r="AC150" s="19" t="n">
        <v>1</v>
      </c>
      <c r="AD150" s="19" t="n">
        <v>8</v>
      </c>
      <c r="AE150" s="19" t="n">
        <v>0</v>
      </c>
      <c r="AF150" s="19" t="n">
        <v>0</v>
      </c>
      <c r="AG150" s="19" t="n">
        <v>0</v>
      </c>
      <c r="AH150" s="19" t="n">
        <v>0</v>
      </c>
      <c r="AI150" s="19" t="n">
        <v>0</v>
      </c>
      <c r="AJ150" s="19" t="n">
        <v>0</v>
      </c>
      <c r="AK150" s="19" t="n">
        <v>0</v>
      </c>
      <c r="AL150" s="19" t="n">
        <v>0</v>
      </c>
      <c r="AM150" s="19" t="n">
        <v>0</v>
      </c>
      <c r="AN150" s="19" t="n">
        <v>0</v>
      </c>
      <c r="AO150" s="19" t="n">
        <v>0</v>
      </c>
      <c r="AP150" s="19" t="n">
        <v>0</v>
      </c>
      <c r="AQ150" s="19" t="n">
        <v>0</v>
      </c>
      <c r="AR150" s="19" t="n">
        <v>0</v>
      </c>
      <c r="AS150" s="19" t="n">
        <v>0</v>
      </c>
      <c r="AT150" s="19" t="n">
        <v>0</v>
      </c>
      <c r="AU150" s="19" t="n">
        <v>0</v>
      </c>
      <c r="AV150" s="19" t="n">
        <v>0</v>
      </c>
      <c r="AW150" s="19" t="n">
        <v>0</v>
      </c>
      <c r="AX150" s="19" t="n">
        <v>0</v>
      </c>
      <c r="AY150" s="19" t="n">
        <v>0</v>
      </c>
      <c r="AZ150" s="19" t="n">
        <v>0</v>
      </c>
      <c r="BA150" s="19" t="n">
        <v>0</v>
      </c>
      <c r="BB150" s="19" t="n">
        <v>0</v>
      </c>
      <c r="BC150" s="19" t="n">
        <v>0</v>
      </c>
      <c r="BD150" s="19" t="n">
        <v>0</v>
      </c>
      <c r="BE150" s="19" t="n">
        <v>0</v>
      </c>
      <c r="BF150" s="19" t="n">
        <v>0</v>
      </c>
      <c r="BG150" s="19" t="n">
        <v>0</v>
      </c>
      <c r="BH150" s="19" t="n">
        <v>0</v>
      </c>
      <c r="BI150" s="19" t="n">
        <v>0</v>
      </c>
      <c r="BJ150" s="19" t="n">
        <v>0</v>
      </c>
      <c r="BK150" s="19" t="n">
        <v>0</v>
      </c>
      <c r="BL150" s="19" t="n">
        <v>0</v>
      </c>
      <c r="BM150" s="19" t="n">
        <v>0</v>
      </c>
      <c r="BN150" s="19" t="n">
        <v>0</v>
      </c>
      <c r="BO150" s="19" t="n">
        <v>0</v>
      </c>
      <c r="BP150" s="19" t="n">
        <v>0</v>
      </c>
      <c r="BQ150" s="19" t="n">
        <v>0</v>
      </c>
      <c r="BR150" s="19" t="n">
        <v>1</v>
      </c>
      <c r="BS150" s="19" t="n">
        <v>1</v>
      </c>
      <c r="BT150" s="19" t="n">
        <v>3</v>
      </c>
      <c r="BU150" s="19" t="n">
        <v>4</v>
      </c>
      <c r="BV150" s="19" t="n">
        <v>3</v>
      </c>
      <c r="BW150" s="19" t="n">
        <v>2</v>
      </c>
      <c r="BX150" s="19" t="n">
        <v>4</v>
      </c>
      <c r="BY150" s="19" t="n">
        <v>3</v>
      </c>
      <c r="BZ150" s="19" t="n">
        <v>4</v>
      </c>
      <c r="CA150" s="19" t="n">
        <v>3</v>
      </c>
      <c r="CB150" s="19" t="n">
        <v>3</v>
      </c>
      <c r="CC150" s="19" t="n">
        <v>5</v>
      </c>
      <c r="CD150" s="19" t="n">
        <v>3</v>
      </c>
      <c r="CE150" s="19" t="n">
        <v>4</v>
      </c>
      <c r="CF150" s="19" t="n">
        <v>3</v>
      </c>
      <c r="CG150" s="19" t="n">
        <v>4</v>
      </c>
      <c r="CH150" s="19" t="n">
        <v>3</v>
      </c>
      <c r="CI150" s="19" t="n">
        <v>3</v>
      </c>
      <c r="CJ150" s="19" t="n">
        <v>3</v>
      </c>
      <c r="CK150" s="19" t="n">
        <v>10</v>
      </c>
      <c r="CL150" s="0" t="s">
        <v>253</v>
      </c>
      <c r="CM150" s="0" t="n">
        <v>30</v>
      </c>
      <c r="CN150" s="16" t="n">
        <v>85.5</v>
      </c>
      <c r="CO150" s="16" t="n">
        <v>81</v>
      </c>
      <c r="CP150" s="16" t="n">
        <v>15.2</v>
      </c>
      <c r="CQ150" s="0" t="n">
        <v>87.44</v>
      </c>
      <c r="CR150" s="0" t="n">
        <v>0</v>
      </c>
      <c r="CS150" s="0" t="n">
        <v>0.94</v>
      </c>
      <c r="CT150" s="0" t="n">
        <v>1.97</v>
      </c>
      <c r="CU150" s="0" t="n">
        <v>9.65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2.71</v>
      </c>
      <c r="DC150" s="0" t="n">
        <v>0.6</v>
      </c>
      <c r="DD150" s="0" t="n">
        <v>2.17</v>
      </c>
      <c r="DE150" s="0" t="n">
        <v>5.97</v>
      </c>
      <c r="DF150" s="0" t="n">
        <v>2.65</v>
      </c>
      <c r="DG150" s="0" t="n">
        <v>0</v>
      </c>
      <c r="DH150" s="0" t="n">
        <v>0</v>
      </c>
      <c r="DU150" s="0" t="n">
        <v>10.6</v>
      </c>
      <c r="DV150" s="0" t="n">
        <v>1</v>
      </c>
      <c r="DW150" s="0" t="n">
        <v>60</v>
      </c>
      <c r="DX150" s="0" t="n">
        <v>2</v>
      </c>
      <c r="DY150" s="0" t="n">
        <f aca="false">0.38+0.07</f>
        <v>0.45</v>
      </c>
      <c r="DZ150" s="0" t="n">
        <v>1</v>
      </c>
      <c r="EA150" s="0" t="n">
        <v>68</v>
      </c>
      <c r="EB150" s="0" t="n">
        <v>1</v>
      </c>
      <c r="EC150" s="16" t="n">
        <v>0.31</v>
      </c>
      <c r="ED150" s="0" t="n">
        <v>1</v>
      </c>
      <c r="EE150" s="0" t="n">
        <v>85</v>
      </c>
      <c r="EF150" s="0" t="n">
        <v>2</v>
      </c>
      <c r="EG150" s="18" t="n">
        <f aca="false">1.89+0.94</f>
        <v>2.83</v>
      </c>
      <c r="EH150" s="0" t="n">
        <v>2</v>
      </c>
      <c r="EI150" s="0" t="n">
        <v>25</v>
      </c>
      <c r="EJ150" s="0" t="n">
        <v>1</v>
      </c>
      <c r="EK150" s="16" t="n">
        <v>0.27</v>
      </c>
      <c r="EL150" s="0" t="n">
        <v>2</v>
      </c>
      <c r="EY150" s="0" t="n">
        <v>0</v>
      </c>
      <c r="GJ150" s="16" t="n">
        <v>0</v>
      </c>
      <c r="GK150" s="16" t="n">
        <v>0</v>
      </c>
      <c r="GL150" s="16"/>
      <c r="GM150" s="16"/>
      <c r="GN150" s="16"/>
      <c r="GO150" s="16"/>
      <c r="GP150" s="16"/>
      <c r="GQ150" s="16"/>
      <c r="GR150" s="16"/>
      <c r="GS150" s="16"/>
      <c r="GT150" s="16"/>
      <c r="GU150" s="16" t="n">
        <v>4.17</v>
      </c>
      <c r="GV150" s="16" t="n">
        <v>2.54</v>
      </c>
      <c r="GW150" s="16"/>
      <c r="GX150" s="16"/>
      <c r="GY150" s="16" t="n">
        <v>0</v>
      </c>
      <c r="GZ150" s="16" t="n">
        <v>0</v>
      </c>
      <c r="HA150" s="16" t="n">
        <v>0</v>
      </c>
      <c r="HB150" s="0" t="n">
        <v>0</v>
      </c>
      <c r="HC150" s="0" t="s">
        <v>254</v>
      </c>
      <c r="HD150" s="0" t="n">
        <v>53</v>
      </c>
      <c r="HE150" s="16" t="n">
        <v>81.5</v>
      </c>
      <c r="HF150" s="16" t="n">
        <v>81</v>
      </c>
      <c r="HG150" s="16" t="n">
        <v>36.4</v>
      </c>
      <c r="HH150" s="0" t="n">
        <v>56.99</v>
      </c>
      <c r="HI150" s="0" t="n">
        <v>0</v>
      </c>
      <c r="HJ150" s="0" t="n">
        <v>0</v>
      </c>
      <c r="HK150" s="0" t="n">
        <v>0.12</v>
      </c>
      <c r="HL150" s="0" t="n">
        <v>42.89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25.37</v>
      </c>
      <c r="HT150" s="0" t="n">
        <v>0</v>
      </c>
      <c r="HU150" s="0" t="n">
        <v>42.65</v>
      </c>
      <c r="HV150" s="0" t="n">
        <v>6.3</v>
      </c>
      <c r="HW150" s="0" t="n">
        <v>0</v>
      </c>
      <c r="HX150" s="0" t="n">
        <v>0</v>
      </c>
      <c r="HY150" s="0" t="n">
        <v>0</v>
      </c>
      <c r="IL150" s="0" t="n">
        <v>8.7</v>
      </c>
      <c r="IM150" s="0" t="n">
        <v>1</v>
      </c>
      <c r="IN150" s="0" t="n">
        <v>137</v>
      </c>
      <c r="IO150" s="0" t="n">
        <v>2</v>
      </c>
      <c r="IP150" s="0" t="n">
        <f aca="false">0.65+0.05</f>
        <v>0.7</v>
      </c>
      <c r="IQ150" s="0" t="n">
        <v>1</v>
      </c>
      <c r="IR150" s="0" t="n">
        <v>103</v>
      </c>
      <c r="IS150" s="0" t="n">
        <v>2</v>
      </c>
      <c r="IT150" s="16" t="n">
        <f aca="false">0.65+0.05</f>
        <v>0.7</v>
      </c>
      <c r="IU150" s="0" t="n">
        <v>1</v>
      </c>
      <c r="IX150" s="18"/>
      <c r="JP150" s="0" t="n">
        <v>0</v>
      </c>
      <c r="LA150" s="16" t="n">
        <v>2.28</v>
      </c>
      <c r="LB150" s="16" t="n">
        <v>1</v>
      </c>
      <c r="LC150" s="16" t="n">
        <v>3</v>
      </c>
      <c r="LD150" s="16"/>
      <c r="LE150" s="16" t="n">
        <f aca="false">2.69+0.37+0.74</f>
        <v>3.8</v>
      </c>
      <c r="LF150" s="16"/>
      <c r="LG150" s="16"/>
      <c r="LH150" s="16"/>
      <c r="LI150" s="16"/>
      <c r="LJ150" s="16"/>
      <c r="LK150" s="16"/>
      <c r="LL150" s="16" t="n">
        <v>0.48</v>
      </c>
      <c r="LM150" s="16" t="n">
        <v>0.48</v>
      </c>
      <c r="LN150" s="16"/>
      <c r="LO150" s="16"/>
      <c r="LP150" s="16" t="n">
        <v>2.22</v>
      </c>
      <c r="LQ150" s="16" t="n">
        <v>23.08</v>
      </c>
      <c r="LR150" s="16" t="n">
        <v>0</v>
      </c>
      <c r="LS150" s="0" t="n">
        <v>0</v>
      </c>
      <c r="LT150" s="0" t="s">
        <v>255</v>
      </c>
      <c r="LU150" s="0" t="n">
        <v>41</v>
      </c>
      <c r="LV150" s="16" t="n">
        <v>48.6</v>
      </c>
      <c r="LW150" s="16" t="n">
        <v>81</v>
      </c>
      <c r="LX150" s="16" t="n">
        <v>21.6</v>
      </c>
      <c r="LY150" s="0" t="n">
        <v>76.16</v>
      </c>
      <c r="LZ150" s="0" t="n">
        <v>0</v>
      </c>
      <c r="MA150" s="0" t="n">
        <v>0.07</v>
      </c>
      <c r="MB150" s="0" t="n">
        <v>0.13</v>
      </c>
      <c r="MC150" s="0" t="n">
        <v>23.64</v>
      </c>
      <c r="MD150" s="0" t="n">
        <v>0</v>
      </c>
      <c r="ME150" s="0" t="n">
        <v>0</v>
      </c>
      <c r="MF150" s="0" t="n">
        <v>0</v>
      </c>
      <c r="MG150" s="0" t="n">
        <v>0</v>
      </c>
      <c r="MH150" s="0" t="n">
        <v>0</v>
      </c>
      <c r="MI150" s="0" t="n">
        <v>0</v>
      </c>
      <c r="MJ150" s="0" t="n">
        <v>6.53</v>
      </c>
      <c r="MK150" s="0" t="n">
        <v>0.2</v>
      </c>
      <c r="ML150" s="0" t="n">
        <v>27.15</v>
      </c>
      <c r="MM150" s="0" t="n">
        <v>4.11</v>
      </c>
      <c r="MN150" s="0" t="n">
        <v>0</v>
      </c>
      <c r="MO150" s="0" t="n">
        <v>3.9</v>
      </c>
      <c r="MP150" s="0" t="n">
        <v>1</v>
      </c>
      <c r="MQ150" s="0" t="n">
        <v>10</v>
      </c>
      <c r="MS150" s="0" t="n">
        <v>1</v>
      </c>
      <c r="NC150" s="0" t="n">
        <v>0.6</v>
      </c>
      <c r="ND150" s="0" t="n">
        <v>1</v>
      </c>
      <c r="NE150" s="0" t="n">
        <v>52</v>
      </c>
      <c r="NF150" s="0" t="n">
        <v>3</v>
      </c>
      <c r="NG150" s="16" t="n">
        <f aca="false">0.16+0.13</f>
        <v>0.29</v>
      </c>
      <c r="NH150" s="0" t="n">
        <v>2</v>
      </c>
      <c r="NO150" s="18"/>
      <c r="OG150" s="0" t="n">
        <v>0</v>
      </c>
      <c r="PR150" s="16" t="n">
        <v>0.57</v>
      </c>
      <c r="PS150" s="16" t="n">
        <v>1</v>
      </c>
      <c r="PT150" s="16" t="n">
        <v>1</v>
      </c>
      <c r="PU150" s="16"/>
      <c r="PV150" s="16" t="n">
        <f aca="false">0.93</f>
        <v>0.93</v>
      </c>
      <c r="PW150" s="16" t="n">
        <v>2</v>
      </c>
      <c r="PX150" s="16"/>
      <c r="PY150" s="16" t="n">
        <f aca="false">0.31+0.22</f>
        <v>0.53</v>
      </c>
      <c r="PZ150" s="16"/>
      <c r="QA150" s="16"/>
      <c r="QB150" s="16"/>
      <c r="QC150" s="16" t="n">
        <v>5.72</v>
      </c>
      <c r="QD150" s="16" t="n">
        <v>5.75</v>
      </c>
      <c r="QE150" s="16"/>
      <c r="QF150" s="16"/>
      <c r="QG150" s="16" t="n">
        <v>7.41</v>
      </c>
      <c r="QH150" s="16" t="n">
        <v>0</v>
      </c>
      <c r="QI150" s="16" t="n">
        <v>0.22</v>
      </c>
      <c r="QJ150" s="0" t="n">
        <v>5</v>
      </c>
      <c r="QK150" s="0" t="s">
        <v>256</v>
      </c>
      <c r="QL150" s="0" t="n">
        <v>40</v>
      </c>
      <c r="QM150" s="16" t="n">
        <v>89.1</v>
      </c>
      <c r="QN150" s="16" t="n">
        <v>81</v>
      </c>
      <c r="QO150" s="16" t="n">
        <v>5.4</v>
      </c>
      <c r="QP150" s="0" t="n">
        <v>99.83</v>
      </c>
      <c r="QQ150" s="0" t="n">
        <v>0</v>
      </c>
      <c r="QR150" s="0" t="n">
        <v>0</v>
      </c>
      <c r="QS150" s="0" t="n">
        <v>0.17</v>
      </c>
      <c r="QT150" s="0" t="n">
        <v>0</v>
      </c>
      <c r="QU150" s="0" t="n">
        <v>0</v>
      </c>
      <c r="QV150" s="0" t="n">
        <v>0</v>
      </c>
      <c r="QW150" s="0" t="n">
        <v>0</v>
      </c>
      <c r="QX150" s="0" t="n">
        <v>0</v>
      </c>
      <c r="QY150" s="0" t="n">
        <v>0</v>
      </c>
      <c r="QZ150" s="0" t="n">
        <v>0</v>
      </c>
      <c r="RA150" s="0" t="n">
        <v>0</v>
      </c>
      <c r="RB150" s="0" t="n">
        <v>19.8</v>
      </c>
      <c r="RC150" s="0" t="n">
        <v>8.95</v>
      </c>
      <c r="RD150" s="0" t="n">
        <v>0</v>
      </c>
      <c r="RE150" s="0" t="n">
        <v>0</v>
      </c>
      <c r="RF150" s="0" t="n">
        <v>22.5</v>
      </c>
      <c r="RG150" s="0" t="n">
        <v>1</v>
      </c>
      <c r="RH150" s="0" t="n">
        <v>5</v>
      </c>
      <c r="RJ150" s="0" t="n">
        <v>8</v>
      </c>
      <c r="RT150" s="0" t="n">
        <v>0</v>
      </c>
      <c r="RU150" s="0" t="n">
        <v>0</v>
      </c>
      <c r="SF150" s="18"/>
      <c r="SX150" s="0" t="n">
        <v>1</v>
      </c>
      <c r="SY150" s="0" t="n">
        <v>50</v>
      </c>
      <c r="SZ150" s="0" t="n">
        <v>4</v>
      </c>
      <c r="TA150" s="0" t="n">
        <f aca="false">0.73*2+0.13*2</f>
        <v>1.72</v>
      </c>
      <c r="TB150" s="0" t="n">
        <v>3</v>
      </c>
      <c r="UI150" s="16" t="n">
        <v>1.48</v>
      </c>
      <c r="UJ150" s="16" t="n">
        <v>1</v>
      </c>
      <c r="UK150" s="16" t="n">
        <v>1</v>
      </c>
      <c r="UL150" s="16"/>
      <c r="UM150" s="16" t="n">
        <f aca="false">2.1*2+0.37*2</f>
        <v>4.94</v>
      </c>
      <c r="UN150" s="16"/>
      <c r="UO150" s="16"/>
      <c r="UP150" s="16"/>
      <c r="UQ150" s="16"/>
      <c r="UR150" s="16"/>
      <c r="US150" s="16"/>
      <c r="UT150" s="16" t="n">
        <v>7.71</v>
      </c>
      <c r="UU150" s="16" t="n">
        <v>4.35</v>
      </c>
      <c r="UV150" s="16"/>
      <c r="UW150" s="16"/>
      <c r="UX150" s="16" t="n">
        <v>0</v>
      </c>
      <c r="UY150" s="16" t="n">
        <v>0</v>
      </c>
      <c r="UZ150" s="16" t="n">
        <v>0</v>
      </c>
      <c r="VA150" s="0" t="n">
        <v>0</v>
      </c>
      <c r="VB150" s="0" t="s">
        <v>257</v>
      </c>
      <c r="VC150" s="0" t="n">
        <v>43</v>
      </c>
      <c r="VD150" s="16" t="n">
        <v>93.3</v>
      </c>
      <c r="VE150" s="16" t="n">
        <v>81</v>
      </c>
      <c r="VF150" s="16" t="n">
        <v>6.4</v>
      </c>
      <c r="VG150" s="0" t="n">
        <v>100</v>
      </c>
      <c r="VH150" s="0" t="n">
        <v>0</v>
      </c>
      <c r="VI150" s="0" t="n">
        <v>0</v>
      </c>
      <c r="VJ150" s="0" t="n">
        <v>0</v>
      </c>
      <c r="VK150" s="0" t="n">
        <v>0</v>
      </c>
      <c r="VL150" s="0" t="n">
        <v>0</v>
      </c>
      <c r="VM150" s="0" t="n">
        <v>0</v>
      </c>
      <c r="VN150" s="0" t="n">
        <v>0</v>
      </c>
      <c r="VO150" s="0" t="n">
        <v>0</v>
      </c>
      <c r="VP150" s="0" t="n">
        <v>0</v>
      </c>
      <c r="VQ150" s="0" t="n">
        <v>0</v>
      </c>
      <c r="VR150" s="0" t="n">
        <v>0</v>
      </c>
      <c r="VS150" s="0" t="n">
        <v>18.51</v>
      </c>
      <c r="VT150" s="0" t="n">
        <v>28.46</v>
      </c>
      <c r="VU150" s="0" t="n">
        <v>0</v>
      </c>
      <c r="VV150" s="0" t="n">
        <v>0</v>
      </c>
      <c r="VW150" s="0" t="n">
        <v>0</v>
      </c>
      <c r="VX150" s="0" t="n">
        <v>0</v>
      </c>
      <c r="WK150" s="0" t="n">
        <v>33</v>
      </c>
      <c r="WL150" s="0" t="n">
        <v>0</v>
      </c>
      <c r="WW150" s="18"/>
      <c r="XO150" s="0" t="n">
        <v>1</v>
      </c>
      <c r="XP150" s="0" t="n">
        <v>40</v>
      </c>
      <c r="XQ150" s="0" t="n">
        <v>8</v>
      </c>
      <c r="XR150" s="0" t="n">
        <f aca="false">1.51*2+3.02+0.27*2</f>
        <v>6.58</v>
      </c>
      <c r="XS150" s="0" t="n">
        <v>3</v>
      </c>
      <c r="XT150" s="0" t="n">
        <v>60</v>
      </c>
      <c r="XU150" s="0" t="n">
        <v>20</v>
      </c>
      <c r="XV150" s="0" t="n">
        <f aca="false">3.65*2+0.67*2</f>
        <v>8.64</v>
      </c>
      <c r="XW150" s="0" t="n">
        <v>3</v>
      </c>
      <c r="YZ150" s="16" t="n">
        <v>0</v>
      </c>
      <c r="ZA150" s="16" t="n">
        <v>0</v>
      </c>
      <c r="ZB150" s="16"/>
      <c r="ZC150" s="16"/>
      <c r="ZD150" s="16"/>
      <c r="ZE150" s="16"/>
      <c r="ZF150" s="16"/>
      <c r="ZG150" s="16"/>
      <c r="ZH150" s="16"/>
      <c r="ZI150" s="16"/>
      <c r="ZJ150" s="16"/>
      <c r="ZK150" s="16" t="n">
        <v>0</v>
      </c>
      <c r="ZL150" s="16" t="n">
        <v>0</v>
      </c>
      <c r="ZM150" s="16"/>
      <c r="ZN150" s="16"/>
      <c r="ZO150" s="16" t="n">
        <v>0</v>
      </c>
      <c r="ZP150" s="16" t="n">
        <v>0</v>
      </c>
      <c r="ZQ150" s="16" t="n">
        <v>0</v>
      </c>
      <c r="ZR150" s="0" t="n">
        <v>0</v>
      </c>
      <c r="ZS150" s="0" t="s">
        <v>258</v>
      </c>
      <c r="ZT150" s="0" t="n">
        <v>40</v>
      </c>
      <c r="ZU150" s="16" t="n">
        <v>90.1</v>
      </c>
      <c r="ZV150" s="16" t="n">
        <v>81</v>
      </c>
      <c r="ZW150" s="16" t="n">
        <v>5.9</v>
      </c>
      <c r="ZX150" s="0" t="n">
        <v>99.34</v>
      </c>
      <c r="ZY150" s="0" t="n">
        <v>0</v>
      </c>
      <c r="ZZ150" s="0" t="n">
        <v>0</v>
      </c>
      <c r="AAA150" s="0" t="n">
        <v>0.66</v>
      </c>
      <c r="AAB150" s="0" t="n">
        <v>0</v>
      </c>
      <c r="AAC150" s="0" t="n">
        <v>0</v>
      </c>
      <c r="AAD150" s="0" t="n">
        <v>0</v>
      </c>
      <c r="AAE150" s="0" t="n">
        <v>0</v>
      </c>
      <c r="AAF150" s="0" t="n">
        <v>0</v>
      </c>
      <c r="AAG150" s="0" t="n">
        <v>0</v>
      </c>
      <c r="AAH150" s="0" t="n">
        <v>0</v>
      </c>
      <c r="AAI150" s="0" t="n">
        <v>0</v>
      </c>
      <c r="AAJ150" s="0" t="n">
        <v>19.8</v>
      </c>
      <c r="AAK150" s="0" t="n">
        <v>8.95</v>
      </c>
      <c r="AAL150" s="0" t="n">
        <v>0</v>
      </c>
      <c r="AAM150" s="0" t="n">
        <v>0</v>
      </c>
      <c r="AAN150" s="0" t="n">
        <v>22.3</v>
      </c>
      <c r="AAO150" s="0" t="n">
        <v>1</v>
      </c>
      <c r="AAP150" s="0" t="n">
        <v>5</v>
      </c>
      <c r="AAR150" s="0" t="n">
        <v>8</v>
      </c>
      <c r="ABB150" s="0" t="n">
        <v>0</v>
      </c>
      <c r="ABC150" s="0" t="n">
        <v>0</v>
      </c>
      <c r="ABN150" s="18"/>
      <c r="ACF150" s="0" t="n">
        <v>1</v>
      </c>
      <c r="ACG150" s="0" t="n">
        <v>50</v>
      </c>
      <c r="ACH150" s="0" t="n">
        <v>4</v>
      </c>
      <c r="ACI150" s="0" t="n">
        <f aca="false">0.73*2+0.13*2</f>
        <v>1.72</v>
      </c>
      <c r="ACJ150" s="0" t="n">
        <v>3</v>
      </c>
      <c r="ADQ150" s="16" t="n">
        <v>1.48</v>
      </c>
      <c r="ADR150" s="16" t="n">
        <v>1</v>
      </c>
      <c r="ADS150" s="16" t="n">
        <v>1</v>
      </c>
      <c r="ADT150" s="16"/>
      <c r="ADU150" s="16" t="n">
        <f aca="false">2.1*2+0.37*2</f>
        <v>4.94</v>
      </c>
      <c r="ADV150" s="16"/>
      <c r="ADW150" s="16"/>
      <c r="ADX150" s="16"/>
      <c r="ADY150" s="16"/>
      <c r="ADZ150" s="16"/>
      <c r="AEA150" s="16"/>
      <c r="AEB150" s="16" t="n">
        <v>7.71</v>
      </c>
      <c r="AEC150" s="16" t="n">
        <v>4.35</v>
      </c>
      <c r="AED150" s="16"/>
      <c r="AEE150" s="16"/>
      <c r="AEF150" s="16" t="n">
        <v>0</v>
      </c>
      <c r="AEG150" s="16" t="n">
        <v>0</v>
      </c>
      <c r="AEH150" s="16" t="n">
        <v>0</v>
      </c>
      <c r="AEI150" s="0" t="n">
        <v>0</v>
      </c>
      <c r="AEJ150" s="0" t="s">
        <v>259</v>
      </c>
      <c r="AEK150" s="0" t="n">
        <v>43</v>
      </c>
      <c r="AEL150" s="16" t="n">
        <v>93.3</v>
      </c>
      <c r="AEM150" s="16" t="n">
        <v>81</v>
      </c>
      <c r="AEN150" s="16" t="n">
        <v>6.4</v>
      </c>
      <c r="AEO150" s="0" t="n">
        <v>100</v>
      </c>
      <c r="AEP150" s="0" t="n">
        <v>0</v>
      </c>
      <c r="AEQ150" s="0" t="n">
        <v>0</v>
      </c>
      <c r="AER150" s="0" t="n">
        <v>0</v>
      </c>
      <c r="AES150" s="0" t="n">
        <v>0</v>
      </c>
      <c r="AET150" s="0" t="n">
        <v>0</v>
      </c>
      <c r="AEU150" s="0" t="n">
        <v>0</v>
      </c>
      <c r="AEV150" s="0" t="n">
        <v>0</v>
      </c>
      <c r="AEW150" s="0" t="n">
        <v>0</v>
      </c>
      <c r="AEX150" s="0" t="n">
        <v>0</v>
      </c>
      <c r="AEY150" s="0" t="n">
        <v>0</v>
      </c>
      <c r="AEZ150" s="0" t="n">
        <v>0</v>
      </c>
      <c r="AFA150" s="0" t="n">
        <v>18.51</v>
      </c>
      <c r="AFB150" s="0" t="n">
        <v>28.46</v>
      </c>
      <c r="AFC150" s="0" t="n">
        <v>0</v>
      </c>
      <c r="AFD150" s="0" t="n">
        <v>0</v>
      </c>
      <c r="AFE150" s="0" t="n">
        <v>0</v>
      </c>
      <c r="AFF150" s="0" t="n">
        <v>0</v>
      </c>
      <c r="AFS150" s="0" t="n">
        <v>33</v>
      </c>
      <c r="AFT150" s="0" t="n">
        <v>0</v>
      </c>
      <c r="AGE150" s="18"/>
      <c r="AGW150" s="0" t="n">
        <v>1</v>
      </c>
      <c r="AGX150" s="0" t="n">
        <v>40</v>
      </c>
      <c r="AGY150" s="0" t="n">
        <v>8</v>
      </c>
      <c r="AGZ150" s="0" t="n">
        <f aca="false">1.51*2+0.27*2+3.02</f>
        <v>6.58</v>
      </c>
      <c r="AHA150" s="0" t="n">
        <v>3</v>
      </c>
      <c r="AHB150" s="0" t="n">
        <v>60</v>
      </c>
      <c r="AHC150" s="0" t="n">
        <v>20</v>
      </c>
      <c r="AHD150" s="0" t="n">
        <f aca="false">3.65*2+0.67*2</f>
        <v>8.64</v>
      </c>
      <c r="AHE150" s="0" t="n">
        <v>3</v>
      </c>
      <c r="AIH150" s="16" t="n">
        <v>0</v>
      </c>
      <c r="AII150" s="16" t="n">
        <v>0</v>
      </c>
      <c r="AIJ150" s="16"/>
      <c r="AIK150" s="16"/>
      <c r="AIL150" s="16"/>
      <c r="AIM150" s="16"/>
      <c r="AIN150" s="16"/>
      <c r="AIO150" s="16"/>
      <c r="AIP150" s="16"/>
      <c r="AIQ150" s="16"/>
      <c r="AIR150" s="16"/>
      <c r="AIS150" s="16" t="n">
        <v>0</v>
      </c>
      <c r="AIT150" s="16" t="n">
        <v>0</v>
      </c>
      <c r="AIU150" s="16"/>
      <c r="AIV150" s="16"/>
      <c r="AIW150" s="16" t="n">
        <v>0</v>
      </c>
      <c r="AIX150" s="16" t="n">
        <v>0</v>
      </c>
      <c r="AIY150" s="16" t="n">
        <v>0</v>
      </c>
      <c r="AIZ150" s="0" t="n">
        <v>0</v>
      </c>
      <c r="AJA150" s="0" t="s">
        <v>435</v>
      </c>
      <c r="AJB150" s="0" t="n">
        <v>52.5</v>
      </c>
      <c r="AJC150" s="16" t="n">
        <v>71.2</v>
      </c>
      <c r="AJD150" s="16" t="n">
        <v>81</v>
      </c>
      <c r="AJE150" s="16" t="n">
        <v>44.8</v>
      </c>
      <c r="AJF150" s="0" t="n">
        <v>59.03</v>
      </c>
      <c r="AJG150" s="0" t="n">
        <v>0</v>
      </c>
      <c r="AJH150" s="0" t="n">
        <v>22.52</v>
      </c>
      <c r="AJI150" s="0" t="n">
        <v>17.8</v>
      </c>
      <c r="AJJ150" s="0" t="n">
        <v>0.65</v>
      </c>
      <c r="AJK150" s="0" t="n">
        <v>0</v>
      </c>
      <c r="AJL150" s="0" t="n">
        <v>0</v>
      </c>
      <c r="AJM150" s="0" t="n">
        <v>0</v>
      </c>
      <c r="AJN150" s="0" t="n">
        <v>0</v>
      </c>
      <c r="AJO150" s="0" t="n">
        <v>0</v>
      </c>
      <c r="AJP150" s="0" t="n">
        <v>0</v>
      </c>
      <c r="AJQ150" s="0" t="n">
        <v>0</v>
      </c>
      <c r="AJR150" s="0" t="n">
        <v>3.42</v>
      </c>
      <c r="AJS150" s="0" t="n">
        <v>2.94</v>
      </c>
      <c r="AJT150" s="0" t="n">
        <v>0</v>
      </c>
      <c r="AJU150" s="0" t="n">
        <v>0</v>
      </c>
      <c r="AJV150" s="0" t="n">
        <v>0</v>
      </c>
      <c r="AJW150" s="0" t="n">
        <v>0</v>
      </c>
      <c r="AKJ150" s="0" t="n">
        <v>0</v>
      </c>
      <c r="AKK150" s="0" t="n">
        <v>1</v>
      </c>
      <c r="AKL150" s="0" t="n">
        <v>34</v>
      </c>
      <c r="AKM150" s="0" t="n">
        <v>8</v>
      </c>
      <c r="AKN150" s="0" t="n">
        <v>5.35</v>
      </c>
      <c r="AKO150" s="0" t="n">
        <v>1</v>
      </c>
      <c r="AKV150" s="18"/>
      <c r="ALN150" s="0" t="n">
        <v>0</v>
      </c>
    </row>
    <row r="151" customFormat="false" ht="13.8" hidden="false" customHeight="false" outlineLevel="0" collapsed="false">
      <c r="A151" s="1" t="s">
        <v>600</v>
      </c>
      <c r="B151" s="12" t="n">
        <v>42902</v>
      </c>
      <c r="C151" s="0" t="n">
        <v>2</v>
      </c>
      <c r="D151" s="13" t="n">
        <v>37089</v>
      </c>
      <c r="E151" s="12" t="n">
        <v>24677</v>
      </c>
      <c r="F151" s="14" t="n">
        <f aca="false">(B151-E151)/365.25</f>
        <v>49.8973305954825</v>
      </c>
      <c r="G151" s="14" t="n">
        <f aca="false">(B151-D151)/365.25</f>
        <v>15.9151266255989</v>
      </c>
      <c r="H151" s="15" t="s">
        <v>228</v>
      </c>
      <c r="I151" s="15" t="s">
        <v>251</v>
      </c>
      <c r="J151" s="15" t="s">
        <v>183</v>
      </c>
      <c r="K151" s="21" t="n">
        <v>4</v>
      </c>
      <c r="L151" s="19" t="n">
        <v>72</v>
      </c>
      <c r="M151" s="0" t="n">
        <v>1.74</v>
      </c>
      <c r="N151" s="16" t="n">
        <f aca="false">L151/(M151*M151)</f>
        <v>23.7812128418549</v>
      </c>
      <c r="O151" s="19" t="n">
        <v>1</v>
      </c>
      <c r="P151" s="19" t="n">
        <v>0</v>
      </c>
      <c r="Q151" s="19" t="n">
        <v>0</v>
      </c>
      <c r="R151" s="19" t="n">
        <v>0</v>
      </c>
      <c r="S151" s="19" t="n">
        <v>0</v>
      </c>
      <c r="T151" s="19" t="n">
        <v>0</v>
      </c>
      <c r="U151" s="19" t="n">
        <v>1</v>
      </c>
      <c r="V151" s="19" t="n">
        <v>3</v>
      </c>
      <c r="W151" s="19" t="n">
        <v>1</v>
      </c>
      <c r="X151" s="19" t="n">
        <v>1</v>
      </c>
      <c r="Y151" s="19" t="n">
        <v>0</v>
      </c>
      <c r="Z151" s="19" t="n">
        <v>0</v>
      </c>
      <c r="AA151" s="19" t="n">
        <v>0</v>
      </c>
      <c r="AB151" s="19" t="n">
        <v>0</v>
      </c>
      <c r="AC151" s="19" t="n">
        <v>1</v>
      </c>
      <c r="AD151" s="19" t="n">
        <v>10</v>
      </c>
      <c r="AE151" s="19" t="n">
        <v>1</v>
      </c>
      <c r="AF151" s="19" t="n">
        <v>0</v>
      </c>
      <c r="AG151" s="19" t="n">
        <v>1</v>
      </c>
      <c r="AH151" s="19" t="n">
        <v>6</v>
      </c>
      <c r="AI151" s="19" t="n">
        <v>3</v>
      </c>
      <c r="AJ151" s="19" t="n">
        <v>3</v>
      </c>
      <c r="AK151" s="19" t="n">
        <v>3</v>
      </c>
      <c r="AL151" s="19" t="n">
        <v>5</v>
      </c>
      <c r="AM151" s="19" t="n">
        <v>5</v>
      </c>
      <c r="AN151" s="19" t="n">
        <v>0</v>
      </c>
      <c r="AO151" s="19" t="n">
        <v>0</v>
      </c>
      <c r="AP151" s="19" t="n">
        <v>0</v>
      </c>
      <c r="AQ151" s="19" t="n">
        <v>0</v>
      </c>
      <c r="AR151" s="19" t="n">
        <v>0</v>
      </c>
      <c r="AS151" s="19" t="n">
        <v>0</v>
      </c>
      <c r="AT151" s="19" t="n">
        <v>0</v>
      </c>
      <c r="AU151" s="19" t="n">
        <v>0</v>
      </c>
      <c r="AV151" s="19" t="n">
        <v>0</v>
      </c>
      <c r="AW151" s="19" t="n">
        <v>0</v>
      </c>
      <c r="AX151" s="19"/>
      <c r="AY151" s="19"/>
      <c r="AZ151" s="19"/>
      <c r="BA151" s="19"/>
      <c r="BB151" s="19" t="n">
        <v>1</v>
      </c>
      <c r="BC151" s="19" t="n">
        <v>1</v>
      </c>
      <c r="BD151" s="19" t="n">
        <v>1</v>
      </c>
      <c r="BE151" s="19" t="n">
        <v>6</v>
      </c>
      <c r="BF151" s="19" t="n">
        <v>0</v>
      </c>
      <c r="BG151" s="19" t="n">
        <v>0</v>
      </c>
      <c r="BH151" s="19" t="n">
        <v>0</v>
      </c>
      <c r="BI151" s="19" t="n">
        <v>0</v>
      </c>
      <c r="BJ151" s="19" t="n">
        <v>0</v>
      </c>
      <c r="BK151" s="19" t="n">
        <v>0</v>
      </c>
      <c r="BL151" s="19" t="n">
        <v>0</v>
      </c>
      <c r="BM151" s="19" t="n">
        <v>0</v>
      </c>
      <c r="BN151" s="19" t="n">
        <v>0</v>
      </c>
      <c r="BO151" s="19" t="n">
        <v>0</v>
      </c>
      <c r="BP151" s="19" t="n">
        <v>0</v>
      </c>
      <c r="BQ151" s="19" t="n">
        <v>0</v>
      </c>
      <c r="BR151" s="19" t="n">
        <v>3</v>
      </c>
      <c r="BS151" s="19" t="n">
        <v>1</v>
      </c>
      <c r="BT151" s="19" t="n">
        <v>3</v>
      </c>
      <c r="BU151" s="19" t="n">
        <v>5</v>
      </c>
      <c r="BV151" s="19" t="n">
        <v>2</v>
      </c>
      <c r="BW151" s="19" t="n">
        <v>3</v>
      </c>
      <c r="BX151" s="19" t="n">
        <v>3</v>
      </c>
      <c r="BY151" s="19" t="n">
        <v>3</v>
      </c>
      <c r="BZ151" s="19" t="n">
        <v>2</v>
      </c>
      <c r="CA151" s="19" t="n">
        <v>3</v>
      </c>
      <c r="CB151" s="19" t="n">
        <v>5</v>
      </c>
      <c r="CC151" s="19" t="n">
        <v>5</v>
      </c>
      <c r="CD151" s="19" t="n">
        <v>5</v>
      </c>
      <c r="CE151" s="19" t="n">
        <v>3</v>
      </c>
      <c r="CF151" s="19" t="n">
        <v>3</v>
      </c>
      <c r="CG151" s="19" t="n">
        <v>5</v>
      </c>
      <c r="CH151" s="19" t="n">
        <v>5</v>
      </c>
      <c r="CI151" s="19" t="n">
        <v>5</v>
      </c>
      <c r="CJ151" s="19" t="n">
        <v>5</v>
      </c>
      <c r="CK151" s="19" t="n">
        <v>7</v>
      </c>
      <c r="CL151" s="0" t="s">
        <v>256</v>
      </c>
      <c r="CM151" s="0" t="n">
        <v>40</v>
      </c>
      <c r="CN151" s="16" t="n">
        <v>89.1</v>
      </c>
      <c r="CO151" s="16" t="n">
        <v>81</v>
      </c>
      <c r="CP151" s="16" t="n">
        <v>5.4</v>
      </c>
      <c r="CQ151" s="0" t="n">
        <v>99.83</v>
      </c>
      <c r="CR151" s="0" t="n">
        <v>0</v>
      </c>
      <c r="CS151" s="0" t="n">
        <v>0</v>
      </c>
      <c r="CT151" s="0" t="n">
        <v>0.17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19.8</v>
      </c>
      <c r="DD151" s="0" t="n">
        <v>8.95</v>
      </c>
      <c r="DE151" s="0" t="n">
        <v>0</v>
      </c>
      <c r="DF151" s="0" t="n">
        <v>0</v>
      </c>
      <c r="DG151" s="0" t="n">
        <v>22.5</v>
      </c>
      <c r="DH151" s="0" t="n">
        <v>1</v>
      </c>
      <c r="DI151" s="0" t="n">
        <v>5</v>
      </c>
      <c r="DK151" s="0" t="n">
        <v>8</v>
      </c>
      <c r="DU151" s="0" t="n">
        <v>0</v>
      </c>
      <c r="DV151" s="0" t="n">
        <v>0</v>
      </c>
      <c r="EG151" s="18"/>
      <c r="EY151" s="0" t="n">
        <v>1</v>
      </c>
      <c r="EZ151" s="0" t="n">
        <v>50</v>
      </c>
      <c r="FA151" s="0" t="n">
        <v>4</v>
      </c>
      <c r="FB151" s="0" t="n">
        <f aca="false">0.73*2+0.13*2</f>
        <v>1.72</v>
      </c>
      <c r="FC151" s="0" t="n">
        <v>3</v>
      </c>
      <c r="GJ151" s="16" t="n">
        <v>1.48</v>
      </c>
      <c r="GK151" s="16" t="n">
        <v>1</v>
      </c>
      <c r="GL151" s="16" t="n">
        <v>1</v>
      </c>
      <c r="GM151" s="16"/>
      <c r="GN151" s="16" t="n">
        <f aca="false">2.1*2+0.37*2</f>
        <v>4.94</v>
      </c>
      <c r="GO151" s="16"/>
      <c r="GP151" s="16"/>
      <c r="GQ151" s="16"/>
      <c r="GR151" s="16"/>
      <c r="GS151" s="16"/>
      <c r="GT151" s="16"/>
      <c r="GU151" s="16" t="n">
        <v>7.71</v>
      </c>
      <c r="GV151" s="16" t="n">
        <v>4.35</v>
      </c>
      <c r="GW151" s="16"/>
      <c r="GX151" s="16"/>
      <c r="GY151" s="16" t="n">
        <v>0</v>
      </c>
      <c r="GZ151" s="16" t="n">
        <v>0</v>
      </c>
      <c r="HA151" s="16" t="n">
        <v>0</v>
      </c>
      <c r="HB151" s="0" t="n">
        <v>0</v>
      </c>
      <c r="HC151" s="0" t="s">
        <v>257</v>
      </c>
      <c r="HD151" s="0" t="n">
        <v>43</v>
      </c>
      <c r="HE151" s="16" t="n">
        <v>93.3</v>
      </c>
      <c r="HF151" s="16" t="n">
        <v>81</v>
      </c>
      <c r="HG151" s="16" t="n">
        <v>6.4</v>
      </c>
      <c r="HH151" s="0" t="n">
        <v>100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  <c r="HT151" s="0" t="n">
        <v>18.51</v>
      </c>
      <c r="HU151" s="0" t="n">
        <v>28.46</v>
      </c>
      <c r="HV151" s="0" t="n">
        <v>0</v>
      </c>
      <c r="HW151" s="0" t="n">
        <v>0</v>
      </c>
      <c r="HX151" s="0" t="n">
        <v>0</v>
      </c>
      <c r="HY151" s="0" t="n">
        <v>0</v>
      </c>
      <c r="IL151" s="0" t="n">
        <v>33</v>
      </c>
      <c r="IM151" s="0" t="n">
        <v>0</v>
      </c>
      <c r="IX151" s="18"/>
      <c r="JP151" s="0" t="n">
        <v>1</v>
      </c>
      <c r="JQ151" s="0" t="n">
        <v>40</v>
      </c>
      <c r="JR151" s="0" t="n">
        <v>8</v>
      </c>
      <c r="JS151" s="0" t="n">
        <f aca="false">1.51*2+3.02+0.27*2</f>
        <v>6.58</v>
      </c>
      <c r="JT151" s="0" t="n">
        <v>3</v>
      </c>
      <c r="JU151" s="0" t="n">
        <v>60</v>
      </c>
      <c r="JV151" s="0" t="n">
        <v>20</v>
      </c>
      <c r="JW151" s="0" t="n">
        <f aca="false">3.65*2+0.67*2</f>
        <v>8.64</v>
      </c>
      <c r="JX151" s="0" t="n">
        <v>3</v>
      </c>
      <c r="LA151" s="16" t="n">
        <v>0</v>
      </c>
      <c r="LB151" s="16" t="n">
        <v>0</v>
      </c>
      <c r="LC151" s="16"/>
      <c r="LD151" s="16"/>
      <c r="LE151" s="16"/>
      <c r="LF151" s="16"/>
      <c r="LG151" s="16"/>
      <c r="LH151" s="16"/>
      <c r="LI151" s="16"/>
      <c r="LJ151" s="16"/>
      <c r="LK151" s="16"/>
      <c r="LL151" s="16" t="n">
        <v>0</v>
      </c>
      <c r="LM151" s="16" t="n">
        <v>0</v>
      </c>
      <c r="LN151" s="16"/>
      <c r="LO151" s="16"/>
      <c r="LP151" s="16" t="n">
        <v>0</v>
      </c>
      <c r="LQ151" s="16" t="n">
        <v>0</v>
      </c>
      <c r="LR151" s="16" t="n">
        <v>0</v>
      </c>
      <c r="LS151" s="0" t="n">
        <v>0</v>
      </c>
      <c r="LT151" s="0" t="s">
        <v>258</v>
      </c>
      <c r="LU151" s="0" t="n">
        <v>40</v>
      </c>
      <c r="LV151" s="16" t="n">
        <v>90.1</v>
      </c>
      <c r="LW151" s="16" t="n">
        <v>81</v>
      </c>
      <c r="LX151" s="16" t="n">
        <v>5.9</v>
      </c>
      <c r="LY151" s="0" t="n">
        <v>99.34</v>
      </c>
      <c r="LZ151" s="0" t="n">
        <v>0</v>
      </c>
      <c r="MA151" s="0" t="n">
        <v>0</v>
      </c>
      <c r="MB151" s="0" t="n">
        <v>0.66</v>
      </c>
      <c r="MC151" s="0" t="n">
        <v>0</v>
      </c>
      <c r="MD151" s="0" t="n">
        <v>0</v>
      </c>
      <c r="ME151" s="0" t="n">
        <v>0</v>
      </c>
      <c r="MF151" s="0" t="n">
        <v>0</v>
      </c>
      <c r="MG151" s="0" t="n">
        <v>0</v>
      </c>
      <c r="MH151" s="0" t="n">
        <v>0</v>
      </c>
      <c r="MI151" s="0" t="n">
        <v>0</v>
      </c>
      <c r="MJ151" s="0" t="n">
        <v>0</v>
      </c>
      <c r="MK151" s="0" t="n">
        <v>19.8</v>
      </c>
      <c r="ML151" s="0" t="n">
        <v>8.95</v>
      </c>
      <c r="MM151" s="0" t="n">
        <v>0</v>
      </c>
      <c r="MN151" s="0" t="n">
        <v>0</v>
      </c>
      <c r="MO151" s="0" t="n">
        <v>22.3</v>
      </c>
      <c r="MP151" s="0" t="n">
        <v>1</v>
      </c>
      <c r="MQ151" s="0" t="n">
        <v>5</v>
      </c>
      <c r="MS151" s="0" t="n">
        <v>8</v>
      </c>
      <c r="NC151" s="0" t="n">
        <v>0</v>
      </c>
      <c r="ND151" s="0" t="n">
        <v>0</v>
      </c>
      <c r="NO151" s="18"/>
      <c r="OG151" s="0" t="n">
        <v>1</v>
      </c>
      <c r="OH151" s="0" t="n">
        <v>50</v>
      </c>
      <c r="OI151" s="0" t="n">
        <v>4</v>
      </c>
      <c r="OJ151" s="0" t="n">
        <f aca="false">0.73*2+0.13*2</f>
        <v>1.72</v>
      </c>
      <c r="OK151" s="0" t="n">
        <v>3</v>
      </c>
      <c r="PR151" s="16" t="n">
        <v>1.48</v>
      </c>
      <c r="PS151" s="16" t="n">
        <v>1</v>
      </c>
      <c r="PT151" s="16" t="n">
        <v>1</v>
      </c>
      <c r="PU151" s="16"/>
      <c r="PV151" s="16" t="n">
        <f aca="false">2.1*2+0.37*2</f>
        <v>4.94</v>
      </c>
      <c r="PW151" s="16"/>
      <c r="PX151" s="16"/>
      <c r="PY151" s="16"/>
      <c r="PZ151" s="16"/>
      <c r="QA151" s="16"/>
      <c r="QB151" s="16"/>
      <c r="QC151" s="16" t="n">
        <v>7.71</v>
      </c>
      <c r="QD151" s="16" t="n">
        <v>4.35</v>
      </c>
      <c r="QE151" s="16"/>
      <c r="QF151" s="16"/>
      <c r="QG151" s="16" t="n">
        <v>0</v>
      </c>
      <c r="QH151" s="16" t="n">
        <v>0</v>
      </c>
      <c r="QI151" s="16" t="n">
        <v>0</v>
      </c>
      <c r="QJ151" s="0" t="n">
        <v>0</v>
      </c>
      <c r="QK151" s="0" t="s">
        <v>259</v>
      </c>
      <c r="QL151" s="0" t="n">
        <v>43</v>
      </c>
      <c r="QM151" s="16" t="n">
        <v>93.3</v>
      </c>
      <c r="QN151" s="16" t="n">
        <v>81</v>
      </c>
      <c r="QO151" s="16" t="n">
        <v>6.4</v>
      </c>
      <c r="QP151" s="0" t="n">
        <v>100</v>
      </c>
      <c r="QQ151" s="0" t="n">
        <v>0</v>
      </c>
      <c r="QR151" s="0" t="n">
        <v>0</v>
      </c>
      <c r="QS151" s="0" t="n">
        <v>0</v>
      </c>
      <c r="QT151" s="0" t="n">
        <v>0</v>
      </c>
      <c r="QU151" s="0" t="n">
        <v>0</v>
      </c>
      <c r="QV151" s="0" t="n">
        <v>0</v>
      </c>
      <c r="QW151" s="0" t="n">
        <v>0</v>
      </c>
      <c r="QX151" s="0" t="n">
        <v>0</v>
      </c>
      <c r="QY151" s="0" t="n">
        <v>0</v>
      </c>
      <c r="QZ151" s="0" t="n">
        <v>0</v>
      </c>
      <c r="RA151" s="0" t="n">
        <v>0</v>
      </c>
      <c r="RB151" s="0" t="n">
        <v>18.51</v>
      </c>
      <c r="RC151" s="0" t="n">
        <v>28.46</v>
      </c>
      <c r="RD151" s="0" t="n">
        <v>0</v>
      </c>
      <c r="RE151" s="0" t="n">
        <v>0</v>
      </c>
      <c r="RF151" s="0" t="n">
        <v>0</v>
      </c>
      <c r="RG151" s="0" t="n">
        <v>0</v>
      </c>
      <c r="RT151" s="0" t="n">
        <v>33</v>
      </c>
      <c r="RU151" s="0" t="n">
        <v>0</v>
      </c>
      <c r="SF151" s="18"/>
      <c r="SX151" s="0" t="n">
        <v>1</v>
      </c>
      <c r="SY151" s="0" t="n">
        <v>40</v>
      </c>
      <c r="SZ151" s="0" t="n">
        <v>8</v>
      </c>
      <c r="TA151" s="0" t="n">
        <f aca="false">1.51*2+0.27*2+3.02</f>
        <v>6.58</v>
      </c>
      <c r="TB151" s="0" t="n">
        <v>3</v>
      </c>
      <c r="TC151" s="0" t="n">
        <v>60</v>
      </c>
      <c r="TD151" s="0" t="n">
        <v>20</v>
      </c>
      <c r="TE151" s="0" t="n">
        <f aca="false">3.65*2+0.67*2</f>
        <v>8.64</v>
      </c>
      <c r="TF151" s="0" t="n">
        <v>3</v>
      </c>
      <c r="UI151" s="16" t="n">
        <v>0</v>
      </c>
      <c r="UJ151" s="16" t="n">
        <v>0</v>
      </c>
      <c r="UK151" s="16"/>
      <c r="UL151" s="16"/>
      <c r="UM151" s="16"/>
      <c r="UN151" s="16"/>
      <c r="UO151" s="16"/>
      <c r="UP151" s="16"/>
      <c r="UQ151" s="16"/>
      <c r="UR151" s="16"/>
      <c r="US151" s="16"/>
      <c r="UT151" s="16" t="n">
        <v>0</v>
      </c>
      <c r="UU151" s="16" t="n">
        <v>0</v>
      </c>
      <c r="UV151" s="16"/>
      <c r="UW151" s="16"/>
      <c r="UX151" s="16" t="n">
        <v>0</v>
      </c>
      <c r="UY151" s="16" t="n">
        <v>0</v>
      </c>
      <c r="UZ151" s="16" t="n">
        <v>0</v>
      </c>
      <c r="VA151" s="0" t="n">
        <v>0</v>
      </c>
      <c r="VB151" s="0" t="s">
        <v>435</v>
      </c>
      <c r="VC151" s="0" t="n">
        <v>52.5</v>
      </c>
      <c r="VD151" s="16" t="n">
        <v>71.2</v>
      </c>
      <c r="VE151" s="16" t="n">
        <v>81</v>
      </c>
      <c r="VF151" s="16" t="n">
        <v>44.8</v>
      </c>
      <c r="VG151" s="0" t="n">
        <v>59.03</v>
      </c>
      <c r="VH151" s="0" t="n">
        <v>0</v>
      </c>
      <c r="VI151" s="0" t="n">
        <v>22.52</v>
      </c>
      <c r="VJ151" s="0" t="n">
        <v>17.8</v>
      </c>
      <c r="VK151" s="0" t="n">
        <v>0.65</v>
      </c>
      <c r="VL151" s="0" t="n">
        <v>0</v>
      </c>
      <c r="VM151" s="0" t="n">
        <v>0</v>
      </c>
      <c r="VN151" s="0" t="n">
        <v>0</v>
      </c>
      <c r="VO151" s="0" t="n">
        <v>0</v>
      </c>
      <c r="VP151" s="0" t="n">
        <v>0</v>
      </c>
      <c r="VQ151" s="0" t="n">
        <v>0</v>
      </c>
      <c r="VR151" s="0" t="n">
        <v>0</v>
      </c>
      <c r="VS151" s="0" t="n">
        <v>3.42</v>
      </c>
      <c r="VT151" s="0" t="n">
        <v>2.94</v>
      </c>
      <c r="VU151" s="0" t="n">
        <v>0</v>
      </c>
      <c r="VV151" s="0" t="n">
        <v>0</v>
      </c>
      <c r="VW151" s="0" t="n">
        <v>0</v>
      </c>
      <c r="VX151" s="0" t="n">
        <v>0</v>
      </c>
      <c r="WK151" s="0" t="n">
        <v>0</v>
      </c>
      <c r="WL151" s="0" t="n">
        <v>1</v>
      </c>
      <c r="WM151" s="0" t="n">
        <v>34</v>
      </c>
      <c r="WN151" s="0" t="n">
        <v>8</v>
      </c>
      <c r="WO151" s="0" t="n">
        <v>5.35</v>
      </c>
      <c r="WP151" s="0" t="n">
        <v>1</v>
      </c>
      <c r="WW151" s="18"/>
      <c r="XO151" s="0" t="n">
        <v>0</v>
      </c>
      <c r="YZ151" s="16" t="n">
        <v>1.96</v>
      </c>
      <c r="ZA151" s="16" t="n">
        <v>1</v>
      </c>
      <c r="ZB151" s="16" t="n">
        <v>1</v>
      </c>
      <c r="ZC151" s="16"/>
      <c r="ZD151" s="16" t="n">
        <f aca="false">0.22+4.31+1.48+0.37*2</f>
        <v>6.75</v>
      </c>
      <c r="ZE151" s="16"/>
      <c r="ZF151" s="16"/>
      <c r="ZG151" s="16"/>
      <c r="ZH151" s="16"/>
      <c r="ZI151" s="16"/>
      <c r="ZJ151" s="16"/>
      <c r="ZK151" s="16" t="n">
        <v>4.75</v>
      </c>
      <c r="ZL151" s="16" t="n">
        <v>4.74</v>
      </c>
      <c r="ZM151" s="16"/>
      <c r="ZN151" s="16"/>
      <c r="ZO151" s="16" t="n">
        <v>0</v>
      </c>
      <c r="ZP151" s="16" t="n">
        <v>0</v>
      </c>
      <c r="ZQ151" s="16" t="n">
        <v>0</v>
      </c>
      <c r="ZR151" s="0" t="n">
        <v>0</v>
      </c>
      <c r="ZS151" s="0" t="s">
        <v>587</v>
      </c>
      <c r="ZT151" s="0" t="n">
        <v>62</v>
      </c>
      <c r="ZU151" s="16" t="n">
        <v>90.3</v>
      </c>
      <c r="ZV151" s="16" t="n">
        <v>81</v>
      </c>
      <c r="ZW151" s="16" t="n">
        <v>56.4</v>
      </c>
      <c r="ZX151" s="0" t="n">
        <v>56.67</v>
      </c>
      <c r="ZY151" s="0" t="n">
        <v>0</v>
      </c>
      <c r="ZZ151" s="0" t="n">
        <v>0</v>
      </c>
      <c r="AAA151" s="0" t="n">
        <v>43.33</v>
      </c>
      <c r="AAB151" s="0" t="n">
        <v>0</v>
      </c>
      <c r="AAC151" s="0" t="n">
        <v>0</v>
      </c>
      <c r="AAD151" s="0" t="n">
        <v>0</v>
      </c>
      <c r="AAE151" s="0" t="n">
        <v>0</v>
      </c>
      <c r="AAF151" s="0" t="n">
        <v>0</v>
      </c>
      <c r="AAG151" s="0" t="n">
        <v>0</v>
      </c>
      <c r="AAH151" s="0" t="n">
        <v>0</v>
      </c>
      <c r="AAI151" s="0" t="n">
        <v>0</v>
      </c>
      <c r="AAJ151" s="0" t="n">
        <v>0</v>
      </c>
      <c r="AAK151" s="0" t="n">
        <v>0.55</v>
      </c>
      <c r="AAL151" s="0" t="n">
        <v>0</v>
      </c>
      <c r="AAM151" s="0" t="n">
        <v>0</v>
      </c>
      <c r="AAN151" s="0" t="n">
        <v>0</v>
      </c>
      <c r="AAO151" s="0" t="n">
        <v>0</v>
      </c>
      <c r="ABB151" s="0" t="n">
        <v>0</v>
      </c>
      <c r="ABC151" s="0" t="n">
        <v>0</v>
      </c>
      <c r="ABN151" s="18"/>
      <c r="ACF151" s="0" t="n">
        <v>0</v>
      </c>
      <c r="ADQ151" s="16" t="n">
        <v>3.58</v>
      </c>
      <c r="ADR151" s="16" t="n">
        <v>1</v>
      </c>
      <c r="ADS151" s="16" t="n">
        <v>1</v>
      </c>
      <c r="ADT151" s="16"/>
      <c r="ADU151" s="16" t="n">
        <f aca="false">10.5+5.57+3.88+6.19+1.33+1.67+0.4+0.65</f>
        <v>30.19</v>
      </c>
      <c r="ADV151" s="16"/>
      <c r="ADW151" s="16"/>
      <c r="ADX151" s="16"/>
      <c r="ADY151" s="16"/>
      <c r="ADZ151" s="16"/>
      <c r="AEA151" s="16"/>
      <c r="AEB151" s="16" t="n">
        <v>1.71</v>
      </c>
      <c r="AEC151" s="16" t="n">
        <v>1.58</v>
      </c>
      <c r="AED151" s="16"/>
      <c r="AEE151" s="16"/>
      <c r="AEF151" s="16" t="n">
        <v>0</v>
      </c>
      <c r="AEG151" s="16" t="n">
        <v>0</v>
      </c>
      <c r="AEH151" s="16" t="n">
        <v>0</v>
      </c>
      <c r="AEI151" s="0" t="n">
        <v>0</v>
      </c>
      <c r="AEJ151" s="34"/>
      <c r="AEK151" s="15"/>
      <c r="AEL151" s="15"/>
      <c r="AEN151" s="34"/>
      <c r="AEO151" s="34"/>
      <c r="AER151" s="34"/>
      <c r="AES151" s="15"/>
      <c r="AET151" s="15"/>
      <c r="AEV151" s="34"/>
      <c r="AEW151" s="34"/>
      <c r="AEZ151" s="34"/>
      <c r="AFA151" s="15"/>
      <c r="AFB151" s="15"/>
      <c r="AFD151" s="34"/>
      <c r="AFE151" s="34"/>
      <c r="AFH151" s="34"/>
      <c r="AFI151" s="15"/>
      <c r="AFJ151" s="15"/>
      <c r="AFL151" s="34"/>
      <c r="AFM151" s="34"/>
      <c r="AFP151" s="34"/>
      <c r="AFQ151" s="15"/>
      <c r="AFR151" s="15"/>
      <c r="AFT151" s="34"/>
      <c r="AFU151" s="34"/>
      <c r="AFX151" s="34"/>
      <c r="AFY151" s="15"/>
      <c r="AFZ151" s="15"/>
      <c r="AGB151" s="34"/>
      <c r="AGC151" s="34"/>
      <c r="AGF151" s="34"/>
      <c r="AGG151" s="15"/>
      <c r="AGH151" s="15"/>
      <c r="AGJ151" s="34"/>
      <c r="AGK151" s="34"/>
      <c r="AGN151" s="34"/>
      <c r="AGO151" s="15"/>
      <c r="AGP151" s="15"/>
      <c r="AGR151" s="34"/>
      <c r="AGS151" s="34"/>
      <c r="AGV151" s="34"/>
      <c r="AGW151" s="15"/>
      <c r="AGX151" s="15"/>
      <c r="AGZ151" s="34"/>
      <c r="AHA151" s="34"/>
      <c r="AHD151" s="34"/>
      <c r="AHE151" s="15"/>
      <c r="AHF151" s="15"/>
      <c r="AHH151" s="34"/>
      <c r="AHI151" s="34"/>
      <c r="AHL151" s="34"/>
      <c r="AHM151" s="15"/>
      <c r="AHN151" s="15"/>
      <c r="AHP151" s="34"/>
      <c r="AHQ151" s="34"/>
      <c r="AHT151" s="34"/>
      <c r="AHU151" s="15"/>
      <c r="AHV151" s="15"/>
      <c r="AHX151" s="34"/>
      <c r="AHY151" s="34"/>
      <c r="AIB151" s="34"/>
      <c r="AIC151" s="15"/>
      <c r="AID151" s="15"/>
      <c r="AIF151" s="34"/>
      <c r="AIG151" s="34"/>
      <c r="AIJ151" s="34"/>
      <c r="AIK151" s="15"/>
      <c r="AIL151" s="15"/>
      <c r="AIN151" s="34"/>
      <c r="AIO151" s="34"/>
      <c r="AIR151" s="34"/>
      <c r="AIS151" s="15"/>
      <c r="AIT151" s="15"/>
      <c r="AIV151" s="34"/>
      <c r="AIW151" s="34"/>
      <c r="AIZ151" s="34"/>
      <c r="AJA151" s="15"/>
      <c r="AJB151" s="15"/>
      <c r="AJD151" s="34"/>
      <c r="AJE151" s="34"/>
      <c r="AJH151" s="34"/>
      <c r="AJI151" s="15"/>
      <c r="AJJ151" s="15"/>
      <c r="AJL151" s="34"/>
      <c r="AJM151" s="34"/>
      <c r="AJP151" s="34"/>
      <c r="AJQ151" s="15"/>
      <c r="AJR151" s="15"/>
      <c r="AJT151" s="34"/>
      <c r="AJU151" s="34"/>
      <c r="AJX151" s="34"/>
      <c r="AJY151" s="15"/>
      <c r="AJZ151" s="15"/>
      <c r="AKB151" s="34"/>
      <c r="AKC151" s="34"/>
      <c r="AKF151" s="34"/>
      <c r="AKG151" s="15"/>
      <c r="AKH151" s="15"/>
      <c r="AKJ151" s="34"/>
      <c r="AKK151" s="34"/>
      <c r="AKN151" s="34"/>
      <c r="AKO151" s="15"/>
      <c r="AKP151" s="15"/>
      <c r="AKR151" s="34"/>
      <c r="AKS151" s="34"/>
      <c r="AKV151" s="34"/>
      <c r="AKW151" s="15"/>
      <c r="AKX151" s="15"/>
      <c r="AKZ151" s="34"/>
      <c r="ALA151" s="34"/>
      <c r="ALD151" s="34"/>
      <c r="ALE151" s="15"/>
      <c r="ALF151" s="15"/>
      <c r="ALH151" s="34"/>
      <c r="ALI151" s="34"/>
      <c r="ALL151" s="34"/>
      <c r="ALM151" s="15"/>
      <c r="ALN151" s="15"/>
      <c r="ALP151" s="34"/>
      <c r="ALQ151" s="34"/>
      <c r="ALT151" s="34"/>
      <c r="ALU151" s="15"/>
      <c r="ALV151" s="15"/>
      <c r="ALX151" s="34"/>
      <c r="ALY151" s="34"/>
      <c r="AMB151" s="34"/>
      <c r="AMC151" s="15"/>
      <c r="AMD151" s="15"/>
      <c r="AMF151" s="34"/>
      <c r="AMG151" s="34"/>
      <c r="AMJ151" s="34"/>
    </row>
    <row r="152" customFormat="false" ht="13.8" hidden="false" customHeight="false" outlineLevel="0" collapsed="false">
      <c r="A152" s="1" t="s">
        <v>601</v>
      </c>
      <c r="B152" s="12" t="n">
        <v>42902</v>
      </c>
      <c r="C152" s="0" t="n">
        <v>1</v>
      </c>
      <c r="D152" s="13" t="n">
        <v>42786</v>
      </c>
      <c r="E152" s="12" t="n">
        <v>34603</v>
      </c>
      <c r="F152" s="14" t="n">
        <f aca="false">(B152-E152)/365.25</f>
        <v>22.7214236824093</v>
      </c>
      <c r="G152" s="14" t="n">
        <f aca="false">(B152-D152)/365.25</f>
        <v>0.317590691307324</v>
      </c>
      <c r="H152" s="15" t="s">
        <v>228</v>
      </c>
      <c r="I152" s="15" t="s">
        <v>602</v>
      </c>
      <c r="J152" s="15" t="s">
        <v>183</v>
      </c>
      <c r="K152" s="21" t="n">
        <v>4</v>
      </c>
      <c r="L152" s="19"/>
      <c r="N152" s="16" t="e">
        <f aca="false">L152/(M152*M152)</f>
        <v>#DIV/0!</v>
      </c>
      <c r="O152" s="19" t="n">
        <v>0</v>
      </c>
      <c r="P152" s="19" t="n">
        <v>0</v>
      </c>
      <c r="Q152" s="19" t="n">
        <v>0</v>
      </c>
      <c r="R152" s="19" t="n">
        <v>0</v>
      </c>
      <c r="S152" s="19" t="n">
        <v>0</v>
      </c>
      <c r="T152" s="19" t="n">
        <v>0</v>
      </c>
      <c r="U152" s="19" t="n">
        <v>0</v>
      </c>
      <c r="V152" s="19" t="n">
        <v>0</v>
      </c>
      <c r="W152" s="19" t="n">
        <v>0</v>
      </c>
      <c r="X152" s="19" t="n">
        <v>0</v>
      </c>
      <c r="Y152" s="19" t="n">
        <v>1</v>
      </c>
      <c r="Z152" s="19" t="n">
        <v>2</v>
      </c>
      <c r="AA152" s="19" t="n">
        <v>120</v>
      </c>
      <c r="AB152" s="19" t="s">
        <v>603</v>
      </c>
      <c r="AC152" s="19" t="n">
        <v>0</v>
      </c>
      <c r="AD152" s="19" t="n">
        <v>0</v>
      </c>
      <c r="AE152" s="19" t="n">
        <v>0</v>
      </c>
      <c r="AF152" s="19"/>
      <c r="AG152" s="19"/>
      <c r="AH152" s="19"/>
      <c r="AI152" s="19" t="n">
        <v>0</v>
      </c>
      <c r="AJ152" s="19" t="n">
        <v>0</v>
      </c>
      <c r="AK152" s="19" t="n">
        <v>0</v>
      </c>
      <c r="AL152" s="19" t="n">
        <v>0</v>
      </c>
      <c r="AM152" s="19" t="n">
        <v>0</v>
      </c>
      <c r="AN152" s="19" t="n">
        <v>0</v>
      </c>
      <c r="AO152" s="19" t="n">
        <v>0</v>
      </c>
      <c r="AP152" s="19" t="n">
        <v>0</v>
      </c>
      <c r="AQ152" s="19" t="n">
        <v>0</v>
      </c>
      <c r="AR152" s="19" t="n">
        <v>0</v>
      </c>
      <c r="AS152" s="19" t="n">
        <v>0</v>
      </c>
      <c r="AT152" s="19" t="n">
        <v>0</v>
      </c>
      <c r="AU152" s="19" t="n">
        <v>0</v>
      </c>
      <c r="AV152" s="19" t="n">
        <v>0</v>
      </c>
      <c r="AW152" s="19" t="n">
        <v>0</v>
      </c>
      <c r="AX152" s="19" t="n">
        <v>0</v>
      </c>
      <c r="AY152" s="19" t="n">
        <v>0</v>
      </c>
      <c r="AZ152" s="19" t="n">
        <v>0</v>
      </c>
      <c r="BA152" s="19" t="n">
        <v>0</v>
      </c>
      <c r="BB152" s="19" t="n">
        <v>0</v>
      </c>
      <c r="BC152" s="19" t="n">
        <v>0</v>
      </c>
      <c r="BD152" s="19" t="n">
        <v>0</v>
      </c>
      <c r="BE152" s="19" t="n">
        <v>0</v>
      </c>
      <c r="BF152" s="19" t="n">
        <v>0</v>
      </c>
      <c r="BG152" s="19" t="n">
        <v>0</v>
      </c>
      <c r="BH152" s="19" t="n">
        <v>0</v>
      </c>
      <c r="BI152" s="19" t="n">
        <v>0</v>
      </c>
      <c r="BJ152" s="19" t="n">
        <v>0</v>
      </c>
      <c r="BK152" s="19" t="n">
        <v>0</v>
      </c>
      <c r="BL152" s="19" t="n">
        <v>0</v>
      </c>
      <c r="BM152" s="19" t="n">
        <v>0</v>
      </c>
      <c r="BN152" s="19" t="n">
        <v>0</v>
      </c>
      <c r="BO152" s="19" t="n">
        <v>0</v>
      </c>
      <c r="BP152" s="19" t="n">
        <v>0</v>
      </c>
      <c r="BQ152" s="19" t="n">
        <v>0</v>
      </c>
      <c r="BR152" s="19" t="n">
        <v>1</v>
      </c>
      <c r="BS152" s="19" t="n">
        <v>2</v>
      </c>
      <c r="BT152" s="19" t="n">
        <v>3</v>
      </c>
      <c r="BU152" s="19" t="n">
        <v>4</v>
      </c>
      <c r="BV152" s="19" t="n">
        <v>2</v>
      </c>
      <c r="BW152" s="19" t="n">
        <v>2</v>
      </c>
      <c r="BX152" s="19" t="n">
        <v>2</v>
      </c>
      <c r="BY152" s="19" t="n">
        <v>4</v>
      </c>
      <c r="BZ152" s="19" t="n">
        <v>3</v>
      </c>
      <c r="CA152" s="19" t="n">
        <v>4</v>
      </c>
      <c r="CB152" s="19" t="n">
        <v>4</v>
      </c>
      <c r="CC152" s="19" t="n">
        <v>5</v>
      </c>
      <c r="CD152" s="19" t="n">
        <v>4</v>
      </c>
      <c r="CE152" s="19" t="n">
        <v>5</v>
      </c>
      <c r="CF152" s="19" t="n">
        <v>4</v>
      </c>
      <c r="CG152" s="19" t="n">
        <v>5</v>
      </c>
      <c r="CH152" s="19" t="n">
        <v>5</v>
      </c>
      <c r="CI152" s="19" t="n">
        <v>4</v>
      </c>
      <c r="CJ152" s="19" t="n">
        <v>5</v>
      </c>
      <c r="CK152" s="19" t="n">
        <v>10</v>
      </c>
      <c r="CL152" s="0" t="s">
        <v>604</v>
      </c>
      <c r="CM152" s="0" t="n">
        <v>32</v>
      </c>
      <c r="CN152" s="16" t="n">
        <v>93.9</v>
      </c>
      <c r="CO152" s="16" t="n">
        <v>81</v>
      </c>
      <c r="CP152" s="16" t="n">
        <v>11.9</v>
      </c>
      <c r="CQ152" s="0" t="n">
        <v>93.99</v>
      </c>
      <c r="CR152" s="0" t="n">
        <v>4.91</v>
      </c>
      <c r="CS152" s="0" t="n">
        <v>0</v>
      </c>
      <c r="CT152" s="0" t="n">
        <v>0</v>
      </c>
      <c r="CU152" s="0" t="n">
        <v>1.1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21.14</v>
      </c>
      <c r="DE152" s="0" t="n">
        <v>45.4</v>
      </c>
      <c r="DF152" s="0" t="n">
        <v>0</v>
      </c>
      <c r="DG152" s="0" t="n">
        <v>0</v>
      </c>
      <c r="DH152" s="0" t="n">
        <v>0</v>
      </c>
      <c r="DU152" s="0" t="n">
        <v>0.6</v>
      </c>
      <c r="DV152" s="0" t="n">
        <v>1</v>
      </c>
      <c r="DW152" s="0" t="n">
        <v>52</v>
      </c>
      <c r="DX152" s="0" t="n">
        <v>3</v>
      </c>
      <c r="DY152" s="0" t="n">
        <v>0.27</v>
      </c>
      <c r="DZ152" s="0" t="n">
        <v>2</v>
      </c>
      <c r="EG152" s="18"/>
      <c r="EY152" s="0" t="n">
        <v>0</v>
      </c>
      <c r="GJ152" s="16" t="n">
        <v>1.89</v>
      </c>
      <c r="GK152" s="16" t="n">
        <v>1</v>
      </c>
      <c r="GL152" s="16" t="n">
        <v>2</v>
      </c>
      <c r="GM152" s="16"/>
      <c r="GN152" s="16" t="n">
        <v>5.25</v>
      </c>
      <c r="GO152" s="16"/>
      <c r="GP152" s="16"/>
      <c r="GQ152" s="16"/>
      <c r="GR152" s="16"/>
      <c r="GS152" s="16"/>
      <c r="GT152" s="16"/>
      <c r="GU152" s="16" t="n">
        <v>10.12</v>
      </c>
      <c r="GV152" s="16" t="n">
        <v>28</v>
      </c>
      <c r="GW152" s="16"/>
      <c r="GX152" s="16"/>
      <c r="GY152" s="16" t="n">
        <v>2.96</v>
      </c>
      <c r="GZ152" s="16" t="n">
        <v>11.53</v>
      </c>
      <c r="HA152" s="16" t="n">
        <v>0</v>
      </c>
      <c r="HB152" s="0" t="n">
        <v>0</v>
      </c>
      <c r="HC152" s="0" t="s">
        <v>605</v>
      </c>
      <c r="HD152" s="0" t="n">
        <v>23.5</v>
      </c>
      <c r="HE152" s="16" t="n">
        <v>76.8</v>
      </c>
      <c r="HF152" s="16" t="n">
        <v>81</v>
      </c>
      <c r="HG152" s="16" t="n">
        <v>13.3</v>
      </c>
      <c r="HH152" s="0" t="n">
        <v>89.68</v>
      </c>
      <c r="HI152" s="0" t="n">
        <v>0</v>
      </c>
      <c r="HJ152" s="0" t="n">
        <v>0.91</v>
      </c>
      <c r="HK152" s="0" t="n">
        <v>0</v>
      </c>
      <c r="HL152" s="0" t="n">
        <v>9.41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  <c r="HT152" s="0" t="n">
        <v>0</v>
      </c>
      <c r="HU152" s="0" t="n">
        <v>47.21</v>
      </c>
      <c r="HV152" s="0" t="n">
        <v>1.76</v>
      </c>
      <c r="HW152" s="0" t="n">
        <v>0</v>
      </c>
      <c r="HX152" s="0" t="n">
        <v>0</v>
      </c>
      <c r="HY152" s="0" t="n">
        <v>0</v>
      </c>
      <c r="IL152" s="0" t="n">
        <v>0.5</v>
      </c>
      <c r="IM152" s="0" t="n">
        <v>1</v>
      </c>
      <c r="IN152" s="0" t="n">
        <v>26</v>
      </c>
      <c r="IO152" s="0" t="n">
        <v>2</v>
      </c>
      <c r="IP152" s="0" t="n">
        <v>1.51</v>
      </c>
      <c r="IQ152" s="0" t="n">
        <v>2</v>
      </c>
      <c r="IR152" s="0" t="n">
        <v>52</v>
      </c>
      <c r="IS152" s="0" t="n">
        <v>3</v>
      </c>
      <c r="IT152" s="0" t="n">
        <v>0.38</v>
      </c>
      <c r="IU152" s="0" t="n">
        <v>2</v>
      </c>
      <c r="IX152" s="18"/>
      <c r="JP152" s="0" t="n">
        <v>0</v>
      </c>
      <c r="LA152" s="16" t="n">
        <v>0.11</v>
      </c>
      <c r="LB152" s="16" t="n">
        <v>1</v>
      </c>
      <c r="LC152" s="16" t="n">
        <v>1</v>
      </c>
      <c r="LD152" s="16"/>
      <c r="LE152" s="16" t="n">
        <v>0.37</v>
      </c>
      <c r="LF152" s="16"/>
      <c r="LG152" s="16"/>
      <c r="LH152" s="16"/>
      <c r="LI152" s="16"/>
      <c r="LJ152" s="16"/>
      <c r="LK152" s="16"/>
      <c r="LL152" s="16" t="n">
        <v>6.62</v>
      </c>
      <c r="LM152" s="16" t="n">
        <v>11.28</v>
      </c>
      <c r="LN152" s="16"/>
      <c r="LO152" s="16"/>
      <c r="LP152" s="16" t="n">
        <v>0</v>
      </c>
      <c r="LQ152" s="16" t="n">
        <v>0</v>
      </c>
      <c r="LR152" s="16" t="n">
        <v>0</v>
      </c>
      <c r="LS152" s="0" t="n">
        <v>0</v>
      </c>
      <c r="LT152" s="0" t="s">
        <v>606</v>
      </c>
      <c r="LU152" s="0" t="n">
        <v>22</v>
      </c>
      <c r="LV152" s="16" t="n">
        <v>82.5</v>
      </c>
      <c r="LW152" s="16" t="n">
        <v>81</v>
      </c>
      <c r="LX152" s="16" t="n">
        <v>15.1</v>
      </c>
      <c r="LY152" s="0" t="n">
        <v>0</v>
      </c>
      <c r="LZ152" s="0" t="n">
        <v>0</v>
      </c>
      <c r="MA152" s="0" t="n">
        <v>0</v>
      </c>
      <c r="MB152" s="0" t="n">
        <v>2</v>
      </c>
      <c r="MC152" s="0" t="n">
        <v>8.67</v>
      </c>
      <c r="MD152" s="0" t="n">
        <v>0</v>
      </c>
      <c r="ME152" s="0" t="n">
        <v>0</v>
      </c>
      <c r="MF152" s="0" t="n">
        <v>0</v>
      </c>
      <c r="MG152" s="0" t="n">
        <v>0</v>
      </c>
      <c r="MH152" s="0" t="n">
        <v>0</v>
      </c>
      <c r="MI152" s="0" t="n">
        <v>0</v>
      </c>
      <c r="MJ152" s="0" t="n">
        <v>5.88</v>
      </c>
      <c r="MK152" s="0" t="n">
        <v>34.73</v>
      </c>
      <c r="ML152" s="0" t="n">
        <v>6.44</v>
      </c>
      <c r="MM152" s="0" t="n">
        <v>0</v>
      </c>
      <c r="MN152" s="0" t="n">
        <v>0</v>
      </c>
      <c r="MO152" s="0" t="n">
        <v>0</v>
      </c>
      <c r="MP152" s="0" t="n">
        <v>0</v>
      </c>
      <c r="NC152" s="0" t="n">
        <v>5.8</v>
      </c>
      <c r="ND152" s="0" t="n">
        <v>1</v>
      </c>
      <c r="NE152" s="0" t="n">
        <v>68</v>
      </c>
      <c r="NF152" s="0" t="n">
        <v>6</v>
      </c>
      <c r="NG152" s="0" t="n">
        <f aca="false">0.38+1.89+0+0.33</f>
        <v>2.6</v>
      </c>
      <c r="NH152" s="0" t="n">
        <v>2</v>
      </c>
      <c r="NI152" s="0" t="n">
        <v>23</v>
      </c>
      <c r="NJ152" s="0" t="n">
        <v>1</v>
      </c>
      <c r="NK152" s="0" t="n">
        <v>2.27</v>
      </c>
      <c r="NL152" s="0" t="n">
        <v>3</v>
      </c>
      <c r="NO152" s="18"/>
      <c r="OG152" s="0" t="n">
        <v>0</v>
      </c>
      <c r="PR152" s="16" t="n">
        <v>0</v>
      </c>
      <c r="PS152" s="16" t="n">
        <v>0</v>
      </c>
      <c r="PT152" s="16"/>
      <c r="PU152" s="16"/>
      <c r="PV152" s="16"/>
      <c r="PW152" s="16"/>
      <c r="PX152" s="16"/>
      <c r="PY152" s="16"/>
      <c r="PZ152" s="16"/>
      <c r="QA152" s="16"/>
      <c r="QB152" s="16"/>
      <c r="QC152" s="16" t="n">
        <v>0.77</v>
      </c>
      <c r="QD152" s="16" t="n">
        <v>0.77</v>
      </c>
      <c r="QE152" s="16"/>
      <c r="QF152" s="16"/>
      <c r="QG152" s="16" t="n">
        <v>0</v>
      </c>
      <c r="QH152" s="16" t="n">
        <v>0</v>
      </c>
      <c r="QI152" s="16" t="n">
        <v>0</v>
      </c>
      <c r="QJ152" s="0" t="n">
        <v>0</v>
      </c>
      <c r="QK152" s="0" t="s">
        <v>607</v>
      </c>
      <c r="QL152" s="0" t="n">
        <v>34.5</v>
      </c>
      <c r="QM152" s="16" t="n">
        <v>93.1</v>
      </c>
      <c r="QN152" s="16" t="n">
        <v>81</v>
      </c>
      <c r="QO152" s="16" t="n">
        <v>25.7</v>
      </c>
      <c r="QP152" s="0" t="n">
        <v>72.2</v>
      </c>
      <c r="QQ152" s="0" t="n">
        <v>2.27</v>
      </c>
      <c r="QR152" s="0" t="n">
        <v>10.23</v>
      </c>
      <c r="QS152" s="0" t="n">
        <v>0</v>
      </c>
      <c r="QT152" s="0" t="n">
        <v>15.3</v>
      </c>
      <c r="QU152" s="0" t="n">
        <v>0</v>
      </c>
      <c r="QV152" s="0" t="n">
        <v>0</v>
      </c>
      <c r="QW152" s="0" t="n">
        <v>0</v>
      </c>
      <c r="QX152" s="0" t="n">
        <v>0</v>
      </c>
      <c r="QY152" s="0" t="n">
        <v>0</v>
      </c>
      <c r="QZ152" s="0" t="n">
        <v>0</v>
      </c>
      <c r="RA152" s="0" t="n">
        <v>0</v>
      </c>
      <c r="RB152" s="0" t="n">
        <v>0</v>
      </c>
      <c r="RC152" s="0" t="n">
        <v>41.42</v>
      </c>
      <c r="RD152" s="0" t="n">
        <v>39.33</v>
      </c>
      <c r="RE152" s="0" t="n">
        <v>0</v>
      </c>
      <c r="RF152" s="0" t="n">
        <v>0</v>
      </c>
      <c r="RG152" s="0" t="n">
        <v>0</v>
      </c>
      <c r="RT152" s="0" t="n">
        <v>0</v>
      </c>
      <c r="RU152" s="0" t="n">
        <v>0</v>
      </c>
      <c r="SF152" s="18"/>
      <c r="SX152" s="0" t="n">
        <v>0</v>
      </c>
      <c r="UI152" s="16" t="n">
        <v>3.45</v>
      </c>
      <c r="UJ152" s="16" t="n">
        <v>1</v>
      </c>
      <c r="UK152" s="16" t="n">
        <v>1</v>
      </c>
      <c r="UL152" s="16"/>
      <c r="UM152" s="16" t="n">
        <f aca="false">2.1+6.3+6.23*2+6.3+0.65+0.74*2+0.19</f>
        <v>29.48</v>
      </c>
      <c r="UN152" s="16"/>
      <c r="UO152" s="16"/>
      <c r="UP152" s="16"/>
      <c r="UQ152" s="16"/>
      <c r="UR152" s="16"/>
      <c r="US152" s="16"/>
      <c r="UT152" s="16" t="n">
        <v>0.65</v>
      </c>
      <c r="UU152" s="16" t="n">
        <v>0.65</v>
      </c>
      <c r="UV152" s="16"/>
      <c r="UW152" s="16"/>
      <c r="UX152" s="16" t="n">
        <v>0</v>
      </c>
      <c r="UY152" s="16" t="n">
        <v>0</v>
      </c>
      <c r="UZ152" s="16" t="n">
        <v>0</v>
      </c>
      <c r="VA152" s="0" t="n">
        <v>0</v>
      </c>
      <c r="VB152" s="0" t="s">
        <v>608</v>
      </c>
      <c r="VC152" s="0" t="n">
        <v>33.5</v>
      </c>
      <c r="VD152" s="16" t="n">
        <v>96.2</v>
      </c>
      <c r="VE152" s="16" t="n">
        <v>81</v>
      </c>
      <c r="VF152" s="16" t="n">
        <v>22.7</v>
      </c>
      <c r="VG152" s="0" t="n">
        <v>75.63</v>
      </c>
      <c r="VH152" s="0" t="n">
        <v>0</v>
      </c>
      <c r="VI152" s="0" t="n">
        <v>8.36</v>
      </c>
      <c r="VJ152" s="0" t="n">
        <v>0</v>
      </c>
      <c r="VK152" s="0" t="n">
        <v>15.71</v>
      </c>
      <c r="VL152" s="0" t="n">
        <v>0</v>
      </c>
      <c r="VM152" s="0" t="n">
        <v>0</v>
      </c>
      <c r="VN152" s="0" t="n">
        <v>0</v>
      </c>
      <c r="VO152" s="0" t="n">
        <v>0</v>
      </c>
      <c r="VP152" s="0" t="n">
        <v>0</v>
      </c>
      <c r="VQ152" s="0" t="n">
        <v>0</v>
      </c>
      <c r="VR152" s="0" t="n">
        <v>0</v>
      </c>
      <c r="VS152" s="0" t="n">
        <v>0</v>
      </c>
      <c r="VT152" s="0" t="n">
        <v>55.49</v>
      </c>
      <c r="VU152" s="0" t="n">
        <v>29.63</v>
      </c>
      <c r="VV152" s="0" t="n">
        <v>0</v>
      </c>
      <c r="VW152" s="0" t="n">
        <v>0</v>
      </c>
      <c r="VX152" s="0" t="n">
        <v>0</v>
      </c>
      <c r="WK152" s="0" t="n">
        <v>0</v>
      </c>
      <c r="WL152" s="0" t="n">
        <v>0</v>
      </c>
      <c r="WW152" s="18"/>
      <c r="XO152" s="0" t="n">
        <v>0</v>
      </c>
      <c r="YZ152" s="16" t="n">
        <v>4.96</v>
      </c>
      <c r="ZA152" s="16" t="n">
        <v>1</v>
      </c>
      <c r="ZB152" s="16" t="n">
        <v>1</v>
      </c>
      <c r="ZC152" s="16"/>
      <c r="ZD152" s="16" t="n">
        <f aca="false">2.1+6.3*2+12.47*2+0.74+0.19+1.67</f>
        <v>42.24</v>
      </c>
      <c r="ZE152" s="16"/>
      <c r="ZF152" s="16"/>
      <c r="ZG152" s="16"/>
      <c r="ZH152" s="16"/>
      <c r="ZI152" s="16"/>
      <c r="ZJ152" s="16"/>
      <c r="ZK152" s="16" t="n">
        <v>0.32</v>
      </c>
      <c r="ZL152" s="16" t="n">
        <v>0.32</v>
      </c>
      <c r="ZM152" s="16"/>
      <c r="ZN152" s="16"/>
      <c r="ZO152" s="16" t="n">
        <v>0</v>
      </c>
      <c r="ZP152" s="16" t="n">
        <v>0</v>
      </c>
      <c r="ZQ152" s="16" t="n">
        <v>0</v>
      </c>
      <c r="ZR152" s="0" t="n">
        <v>0</v>
      </c>
      <c r="ZS152" s="0" t="s">
        <v>609</v>
      </c>
      <c r="ZT152" s="0" t="n">
        <v>27.5</v>
      </c>
      <c r="ZU152" s="16" t="n">
        <v>85.4</v>
      </c>
      <c r="ZV152" s="16" t="n">
        <v>81</v>
      </c>
      <c r="ZW152" s="16" t="n">
        <v>17.8</v>
      </c>
      <c r="ZX152" s="0" t="n">
        <v>85.58</v>
      </c>
      <c r="ZY152" s="0" t="n">
        <v>0</v>
      </c>
      <c r="ZZ152" s="0" t="n">
        <v>12.16</v>
      </c>
      <c r="AAA152" s="0" t="n">
        <v>0</v>
      </c>
      <c r="AAB152" s="0" t="n">
        <v>2.26</v>
      </c>
      <c r="AAC152" s="0" t="n">
        <v>0</v>
      </c>
      <c r="AAD152" s="0" t="n">
        <v>0</v>
      </c>
      <c r="AAE152" s="0" t="n">
        <v>0</v>
      </c>
      <c r="AAF152" s="0" t="n">
        <v>0</v>
      </c>
      <c r="AAG152" s="0" t="n">
        <v>0</v>
      </c>
      <c r="AAH152" s="0" t="n">
        <v>0</v>
      </c>
      <c r="AAI152" s="0" t="n">
        <v>0</v>
      </c>
      <c r="AAJ152" s="0" t="n">
        <v>20.21</v>
      </c>
      <c r="AAK152" s="0" t="n">
        <v>37.16</v>
      </c>
      <c r="AAL152" s="0" t="n">
        <v>3.57</v>
      </c>
      <c r="AAM152" s="0" t="n">
        <v>0</v>
      </c>
      <c r="AAN152" s="0" t="n">
        <v>0</v>
      </c>
      <c r="AAO152" s="0" t="n">
        <v>0</v>
      </c>
      <c r="ABB152" s="0" t="n">
        <v>0</v>
      </c>
      <c r="ABC152" s="0" t="n">
        <v>0</v>
      </c>
      <c r="ABN152" s="18"/>
      <c r="ACF152" s="0" t="n">
        <v>0</v>
      </c>
      <c r="ADQ152" s="16" t="n">
        <v>3.29</v>
      </c>
      <c r="ADR152" s="16" t="n">
        <v>1</v>
      </c>
      <c r="ADS152" s="16" t="n">
        <v>1</v>
      </c>
      <c r="ADT152" s="16"/>
      <c r="ADU152" s="16" t="n">
        <f aca="false">10.5+0.19+0.83</f>
        <v>11.52</v>
      </c>
      <c r="ADV152" s="16"/>
      <c r="ADW152" s="16"/>
      <c r="ADX152" s="16"/>
      <c r="ADY152" s="16"/>
      <c r="ADZ152" s="16"/>
      <c r="AEA152" s="16"/>
      <c r="AEB152" s="16" t="n">
        <v>3.85</v>
      </c>
      <c r="AEC152" s="16" t="n">
        <v>3.86</v>
      </c>
      <c r="AED152" s="16"/>
      <c r="AEE152" s="16"/>
      <c r="AEF152" s="16" t="n">
        <v>0</v>
      </c>
      <c r="AEG152" s="16" t="n">
        <v>0</v>
      </c>
      <c r="AEH152" s="16" t="n">
        <v>0</v>
      </c>
      <c r="AEI152" s="0" t="n">
        <v>0</v>
      </c>
      <c r="AEJ152" s="0" t="s">
        <v>610</v>
      </c>
      <c r="AEK152" s="0" t="n">
        <v>28.5</v>
      </c>
      <c r="AEL152" s="16" t="n">
        <v>85.2</v>
      </c>
      <c r="AEM152" s="16" t="n">
        <v>81</v>
      </c>
      <c r="AEN152" s="16" t="n">
        <v>18.4</v>
      </c>
      <c r="AEO152" s="0" t="n">
        <v>84.66</v>
      </c>
      <c r="AEP152" s="0" t="n">
        <v>0</v>
      </c>
      <c r="AEQ152" s="0" t="n">
        <v>13.08</v>
      </c>
      <c r="AER152" s="0" t="n">
        <v>0</v>
      </c>
      <c r="AES152" s="0" t="n">
        <v>2.26</v>
      </c>
      <c r="AET152" s="0" t="n">
        <v>0</v>
      </c>
      <c r="AEU152" s="0" t="n">
        <v>0</v>
      </c>
      <c r="AEV152" s="0" t="n">
        <v>0</v>
      </c>
      <c r="AEW152" s="0" t="n">
        <v>0</v>
      </c>
      <c r="AEX152" s="0" t="n">
        <v>0</v>
      </c>
      <c r="AEY152" s="0" t="n">
        <v>0</v>
      </c>
      <c r="AEZ152" s="0" t="n">
        <v>0</v>
      </c>
      <c r="AFA152" s="0" t="n">
        <v>20.21</v>
      </c>
      <c r="AFB152" s="0" t="n">
        <v>38.43</v>
      </c>
      <c r="AFC152" s="0" t="n">
        <v>2.54</v>
      </c>
      <c r="AFD152" s="0" t="n">
        <v>0</v>
      </c>
      <c r="AFE152" s="0" t="n">
        <v>0</v>
      </c>
      <c r="AFF152" s="0" t="n">
        <v>0</v>
      </c>
      <c r="AFS152" s="0" t="n">
        <v>0</v>
      </c>
      <c r="AFT152" s="0" t="n">
        <v>0</v>
      </c>
      <c r="AGE152" s="18"/>
      <c r="AGW152" s="0" t="n">
        <v>0</v>
      </c>
      <c r="AIH152" s="16" t="n">
        <v>3.39</v>
      </c>
      <c r="AII152" s="16" t="n">
        <v>1</v>
      </c>
      <c r="AIJ152" s="16" t="n">
        <v>1</v>
      </c>
      <c r="AIK152" s="16"/>
      <c r="AIL152" s="16" t="n">
        <f aca="false">10.5+0.19+0.65+1.67</f>
        <v>13.01</v>
      </c>
      <c r="AIM152" s="16"/>
      <c r="AIN152" s="16"/>
      <c r="AIO152" s="16"/>
      <c r="AIP152" s="16"/>
      <c r="AIQ152" s="16"/>
      <c r="AIR152" s="16"/>
      <c r="AIS152" s="16" t="n">
        <v>3.95</v>
      </c>
      <c r="AIT152" s="16" t="n">
        <v>3.95</v>
      </c>
      <c r="AIU152" s="16"/>
      <c r="AIV152" s="16"/>
      <c r="AIW152" s="16" t="n">
        <v>0</v>
      </c>
      <c r="AIX152" s="16" t="n">
        <v>0</v>
      </c>
      <c r="AIY152" s="16" t="n">
        <v>0</v>
      </c>
      <c r="AIZ152" s="0" t="n">
        <v>0</v>
      </c>
      <c r="AJA152" s="0" t="s">
        <v>611</v>
      </c>
      <c r="AJB152" s="0" t="n">
        <v>69.5</v>
      </c>
      <c r="AJC152" s="16" t="n">
        <v>94.1</v>
      </c>
      <c r="AJD152" s="16" t="n">
        <v>81</v>
      </c>
      <c r="AJE152" s="16" t="n">
        <v>66.2</v>
      </c>
      <c r="AJF152" s="0" t="n">
        <v>39.99</v>
      </c>
      <c r="AJG152" s="0" t="n">
        <v>0</v>
      </c>
      <c r="AJH152" s="0" t="n">
        <v>33.27</v>
      </c>
      <c r="AJI152" s="0" t="n">
        <v>26.74</v>
      </c>
      <c r="AJJ152" s="0" t="n">
        <v>0</v>
      </c>
      <c r="AJK152" s="0" t="n">
        <v>0</v>
      </c>
      <c r="AJL152" s="0" t="n">
        <v>0</v>
      </c>
      <c r="AJM152" s="0" t="n">
        <v>0</v>
      </c>
      <c r="AJN152" s="0" t="n">
        <v>0</v>
      </c>
      <c r="AJO152" s="0" t="n">
        <v>0</v>
      </c>
      <c r="AJP152" s="0" t="n">
        <v>0</v>
      </c>
      <c r="AJQ152" s="0" t="n">
        <v>0</v>
      </c>
      <c r="AJR152" s="0" t="n">
        <v>9.07</v>
      </c>
      <c r="AJS152" s="0" t="n">
        <v>0</v>
      </c>
      <c r="AJT152" s="0" t="n">
        <v>2.3</v>
      </c>
      <c r="AJU152" s="0" t="n">
        <v>0</v>
      </c>
      <c r="AJV152" s="0" t="n">
        <v>0</v>
      </c>
      <c r="AJW152" s="0" t="n">
        <v>0</v>
      </c>
      <c r="AKJ152" s="0" t="n">
        <v>0</v>
      </c>
      <c r="AKK152" s="0" t="n">
        <v>0</v>
      </c>
      <c r="AKV152" s="18"/>
      <c r="ALN152" s="0" t="n">
        <v>0</v>
      </c>
    </row>
    <row r="153" customFormat="false" ht="13.8" hidden="false" customHeight="false" outlineLevel="0" collapsed="false">
      <c r="A153" s="1" t="s">
        <v>612</v>
      </c>
      <c r="B153" s="12" t="n">
        <v>42900</v>
      </c>
      <c r="C153" s="0" t="n">
        <v>2</v>
      </c>
      <c r="D153" s="13" t="n">
        <v>42793</v>
      </c>
      <c r="E153" s="12" t="n">
        <v>35739</v>
      </c>
      <c r="F153" s="14" t="n">
        <f aca="false">(B153-E153)/365.25</f>
        <v>19.605749486653</v>
      </c>
      <c r="G153" s="14" t="n">
        <f aca="false">(B153-D153)/365.25</f>
        <v>0.292950034223135</v>
      </c>
      <c r="H153" s="15" t="s">
        <v>228</v>
      </c>
      <c r="I153" s="15" t="s">
        <v>602</v>
      </c>
      <c r="J153" s="15" t="s">
        <v>183</v>
      </c>
      <c r="K153" s="21" t="n">
        <v>8</v>
      </c>
      <c r="L153" s="19" t="n">
        <v>60</v>
      </c>
      <c r="M153" s="0" t="n">
        <v>1.76</v>
      </c>
      <c r="N153" s="16" t="n">
        <f aca="false">L153/(M153*M153)</f>
        <v>19.3698347107438</v>
      </c>
      <c r="O153" s="19" t="n">
        <v>0</v>
      </c>
      <c r="P153" s="19" t="n">
        <v>0</v>
      </c>
      <c r="Q153" s="19" t="n">
        <v>0</v>
      </c>
      <c r="R153" s="19" t="n">
        <v>0</v>
      </c>
      <c r="S153" s="19" t="n">
        <v>0</v>
      </c>
      <c r="T153" s="19" t="n">
        <v>0</v>
      </c>
      <c r="U153" s="19" t="n">
        <v>0</v>
      </c>
      <c r="V153" s="19" t="n">
        <v>0</v>
      </c>
      <c r="W153" s="19" t="n">
        <v>0</v>
      </c>
      <c r="X153" s="19" t="n">
        <v>0</v>
      </c>
      <c r="Y153" s="19" t="n">
        <v>1</v>
      </c>
      <c r="Z153" s="19" t="n">
        <v>3</v>
      </c>
      <c r="AA153" s="19" t="n">
        <v>90</v>
      </c>
      <c r="AB153" s="19" t="s">
        <v>308</v>
      </c>
      <c r="AC153" s="19" t="n">
        <v>0</v>
      </c>
      <c r="AD153" s="19" t="n">
        <v>0</v>
      </c>
      <c r="AE153" s="19" t="n">
        <v>0</v>
      </c>
      <c r="AF153" s="19" t="n">
        <v>0</v>
      </c>
      <c r="AG153" s="19" t="n">
        <v>0</v>
      </c>
      <c r="AH153" s="19" t="n">
        <v>0</v>
      </c>
      <c r="AI153" s="19" t="n">
        <v>0</v>
      </c>
      <c r="AJ153" s="19" t="n">
        <v>0</v>
      </c>
      <c r="AK153" s="19" t="n">
        <v>0</v>
      </c>
      <c r="AL153" s="19" t="n">
        <v>0</v>
      </c>
      <c r="AM153" s="19" t="n">
        <v>0</v>
      </c>
      <c r="AN153" s="19" t="n">
        <v>0</v>
      </c>
      <c r="AO153" s="19" t="n">
        <v>0</v>
      </c>
      <c r="AP153" s="19" t="n">
        <v>0</v>
      </c>
      <c r="AQ153" s="19" t="n">
        <v>0</v>
      </c>
      <c r="AR153" s="19" t="n">
        <v>0</v>
      </c>
      <c r="AS153" s="19" t="n">
        <v>0</v>
      </c>
      <c r="AT153" s="19" t="n">
        <v>0</v>
      </c>
      <c r="AU153" s="19" t="n">
        <v>0</v>
      </c>
      <c r="AV153" s="19" t="n">
        <v>0</v>
      </c>
      <c r="AW153" s="19" t="n">
        <v>0</v>
      </c>
      <c r="AX153" s="19" t="n">
        <v>0</v>
      </c>
      <c r="AY153" s="19" t="n">
        <v>0</v>
      </c>
      <c r="AZ153" s="19" t="n">
        <v>0</v>
      </c>
      <c r="BA153" s="19" t="n">
        <v>0</v>
      </c>
      <c r="BB153" s="19" t="n">
        <v>0</v>
      </c>
      <c r="BC153" s="19" t="n">
        <v>0</v>
      </c>
      <c r="BD153" s="19" t="n">
        <v>0</v>
      </c>
      <c r="BE153" s="19" t="n">
        <v>0</v>
      </c>
      <c r="BF153" s="19" t="n">
        <v>0</v>
      </c>
      <c r="BG153" s="19" t="n">
        <v>0</v>
      </c>
      <c r="BH153" s="19" t="n">
        <v>0</v>
      </c>
      <c r="BI153" s="19" t="n">
        <v>0</v>
      </c>
      <c r="BJ153" s="19" t="n">
        <v>0</v>
      </c>
      <c r="BK153" s="19" t="n">
        <v>0</v>
      </c>
      <c r="BL153" s="19" t="n">
        <v>0</v>
      </c>
      <c r="BM153" s="19" t="n">
        <v>0</v>
      </c>
      <c r="BN153" s="19" t="n">
        <v>0</v>
      </c>
      <c r="BO153" s="19" t="n">
        <v>0</v>
      </c>
      <c r="BP153" s="19" t="n">
        <v>0</v>
      </c>
      <c r="BQ153" s="19" t="n">
        <v>0</v>
      </c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 t="n">
        <v>4</v>
      </c>
      <c r="CI153" s="19" t="n">
        <v>4</v>
      </c>
      <c r="CJ153" s="19" t="n">
        <v>4</v>
      </c>
      <c r="CK153" s="19" t="n">
        <v>10</v>
      </c>
      <c r="CL153" s="0" t="s">
        <v>604</v>
      </c>
      <c r="CM153" s="0" t="n">
        <v>32</v>
      </c>
      <c r="CN153" s="16" t="n">
        <v>93.9</v>
      </c>
      <c r="CO153" s="16" t="n">
        <v>81</v>
      </c>
      <c r="CP153" s="16" t="n">
        <v>11.9</v>
      </c>
      <c r="CQ153" s="0" t="n">
        <v>93.99</v>
      </c>
      <c r="CR153" s="0" t="n">
        <v>4.91</v>
      </c>
      <c r="CS153" s="0" t="n">
        <v>0</v>
      </c>
      <c r="CT153" s="0" t="n">
        <v>0</v>
      </c>
      <c r="CU153" s="0" t="n">
        <v>1.1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21.14</v>
      </c>
      <c r="DE153" s="0" t="n">
        <v>45.4</v>
      </c>
      <c r="DF153" s="0" t="n">
        <v>0</v>
      </c>
      <c r="DG153" s="0" t="n">
        <v>0</v>
      </c>
      <c r="DH153" s="0" t="n">
        <v>0</v>
      </c>
      <c r="DU153" s="0" t="n">
        <v>0.6</v>
      </c>
      <c r="DV153" s="0" t="n">
        <v>1</v>
      </c>
      <c r="DW153" s="0" t="n">
        <v>52</v>
      </c>
      <c r="DX153" s="0" t="n">
        <v>3</v>
      </c>
      <c r="DY153" s="0" t="n">
        <v>0.27</v>
      </c>
      <c r="DZ153" s="0" t="n">
        <v>2</v>
      </c>
      <c r="EG153" s="18"/>
      <c r="EY153" s="0" t="n">
        <v>0</v>
      </c>
      <c r="GJ153" s="16" t="n">
        <v>1.89</v>
      </c>
      <c r="GK153" s="16" t="n">
        <v>1</v>
      </c>
      <c r="GL153" s="16" t="n">
        <v>2</v>
      </c>
      <c r="GM153" s="16"/>
      <c r="GN153" s="16" t="n">
        <v>5.25</v>
      </c>
      <c r="GO153" s="16"/>
      <c r="GP153" s="16"/>
      <c r="GQ153" s="16"/>
      <c r="GR153" s="16"/>
      <c r="GS153" s="16"/>
      <c r="GT153" s="16"/>
      <c r="GU153" s="16" t="n">
        <v>10.12</v>
      </c>
      <c r="GV153" s="16" t="n">
        <v>28</v>
      </c>
      <c r="GW153" s="16"/>
      <c r="GX153" s="16"/>
      <c r="GY153" s="16" t="n">
        <v>2.96</v>
      </c>
      <c r="GZ153" s="16" t="n">
        <v>11.53</v>
      </c>
      <c r="HA153" s="16" t="n">
        <v>0</v>
      </c>
      <c r="HB153" s="0" t="n">
        <v>0</v>
      </c>
      <c r="HC153" s="0" t="s">
        <v>605</v>
      </c>
      <c r="HD153" s="0" t="n">
        <v>23.5</v>
      </c>
      <c r="HE153" s="16" t="n">
        <v>76.8</v>
      </c>
      <c r="HF153" s="16" t="n">
        <v>81</v>
      </c>
      <c r="HG153" s="16" t="n">
        <v>13.3</v>
      </c>
      <c r="HH153" s="0" t="n">
        <v>89.68</v>
      </c>
      <c r="HI153" s="0" t="n">
        <v>0</v>
      </c>
      <c r="HJ153" s="0" t="n">
        <v>0.91</v>
      </c>
      <c r="HK153" s="0" t="n">
        <v>0</v>
      </c>
      <c r="HL153" s="0" t="n">
        <v>9.41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  <c r="HT153" s="0" t="n">
        <v>0</v>
      </c>
      <c r="HU153" s="0" t="n">
        <v>47.21</v>
      </c>
      <c r="HV153" s="0" t="n">
        <v>1.76</v>
      </c>
      <c r="HW153" s="0" t="n">
        <v>0</v>
      </c>
      <c r="HX153" s="0" t="n">
        <v>0</v>
      </c>
      <c r="HY153" s="0" t="n">
        <v>0</v>
      </c>
      <c r="IL153" s="0" t="n">
        <v>0.5</v>
      </c>
      <c r="IM153" s="0" t="n">
        <v>1</v>
      </c>
      <c r="IN153" s="0" t="n">
        <v>26</v>
      </c>
      <c r="IO153" s="0" t="n">
        <v>2</v>
      </c>
      <c r="IP153" s="0" t="n">
        <v>1.51</v>
      </c>
      <c r="IQ153" s="0" t="n">
        <v>2</v>
      </c>
      <c r="IR153" s="0" t="n">
        <v>52</v>
      </c>
      <c r="IS153" s="0" t="n">
        <v>3</v>
      </c>
      <c r="IT153" s="0" t="n">
        <v>0.38</v>
      </c>
      <c r="IU153" s="0" t="n">
        <v>2</v>
      </c>
      <c r="IX153" s="18"/>
      <c r="JP153" s="0" t="n">
        <v>0</v>
      </c>
      <c r="LA153" s="16" t="n">
        <v>0.11</v>
      </c>
      <c r="LB153" s="16" t="n">
        <v>1</v>
      </c>
      <c r="LC153" s="16" t="n">
        <v>1</v>
      </c>
      <c r="LD153" s="16"/>
      <c r="LE153" s="16" t="n">
        <v>0.37</v>
      </c>
      <c r="LF153" s="16"/>
      <c r="LG153" s="16"/>
      <c r="LH153" s="16"/>
      <c r="LI153" s="16"/>
      <c r="LJ153" s="16"/>
      <c r="LK153" s="16"/>
      <c r="LL153" s="16" t="n">
        <v>6.62</v>
      </c>
      <c r="LM153" s="16" t="n">
        <v>11.28</v>
      </c>
      <c r="LN153" s="16"/>
      <c r="LO153" s="16"/>
      <c r="LP153" s="16" t="n">
        <v>0</v>
      </c>
      <c r="LQ153" s="16" t="n">
        <v>0</v>
      </c>
      <c r="LR153" s="16" t="n">
        <v>0</v>
      </c>
      <c r="LS153" s="0" t="n">
        <v>0</v>
      </c>
      <c r="LT153" s="0" t="s">
        <v>606</v>
      </c>
      <c r="LU153" s="0" t="n">
        <v>22</v>
      </c>
      <c r="LV153" s="16" t="n">
        <v>82.5</v>
      </c>
      <c r="LW153" s="16" t="n">
        <v>81</v>
      </c>
      <c r="LX153" s="16" t="n">
        <v>15.1</v>
      </c>
      <c r="LY153" s="0" t="n">
        <v>0</v>
      </c>
      <c r="LZ153" s="0" t="n">
        <v>0</v>
      </c>
      <c r="MA153" s="0" t="n">
        <v>0</v>
      </c>
      <c r="MB153" s="0" t="n">
        <v>2</v>
      </c>
      <c r="MC153" s="0" t="n">
        <v>8.67</v>
      </c>
      <c r="MD153" s="0" t="n">
        <v>0</v>
      </c>
      <c r="ME153" s="0" t="n">
        <v>0</v>
      </c>
      <c r="MF153" s="0" t="n">
        <v>0</v>
      </c>
      <c r="MG153" s="0" t="n">
        <v>0</v>
      </c>
      <c r="MH153" s="0" t="n">
        <v>0</v>
      </c>
      <c r="MI153" s="0" t="n">
        <v>0</v>
      </c>
      <c r="MJ153" s="0" t="n">
        <v>5.88</v>
      </c>
      <c r="MK153" s="0" t="n">
        <v>34.73</v>
      </c>
      <c r="ML153" s="0" t="n">
        <v>6.44</v>
      </c>
      <c r="MM153" s="0" t="n">
        <v>0</v>
      </c>
      <c r="MN153" s="0" t="n">
        <v>0</v>
      </c>
      <c r="MO153" s="0" t="n">
        <v>0</v>
      </c>
      <c r="MP153" s="0" t="n">
        <v>0</v>
      </c>
      <c r="NC153" s="0" t="n">
        <v>5.8</v>
      </c>
      <c r="ND153" s="0" t="n">
        <v>1</v>
      </c>
      <c r="NE153" s="0" t="n">
        <v>68</v>
      </c>
      <c r="NF153" s="0" t="n">
        <v>6</v>
      </c>
      <c r="NG153" s="0" t="n">
        <f aca="false">0.38+1.89+0+0.33</f>
        <v>2.6</v>
      </c>
      <c r="NH153" s="0" t="n">
        <v>2</v>
      </c>
      <c r="NI153" s="0" t="n">
        <v>23</v>
      </c>
      <c r="NJ153" s="0" t="n">
        <v>1</v>
      </c>
      <c r="NK153" s="0" t="n">
        <v>2.27</v>
      </c>
      <c r="NL153" s="0" t="n">
        <v>3</v>
      </c>
      <c r="NO153" s="18"/>
      <c r="OG153" s="0" t="n">
        <v>0</v>
      </c>
      <c r="PR153" s="16" t="n">
        <v>0</v>
      </c>
      <c r="PS153" s="16" t="n">
        <v>0</v>
      </c>
      <c r="PT153" s="16"/>
      <c r="PU153" s="16"/>
      <c r="PV153" s="16"/>
      <c r="PW153" s="16"/>
      <c r="PX153" s="16"/>
      <c r="PY153" s="16"/>
      <c r="PZ153" s="16"/>
      <c r="QA153" s="16"/>
      <c r="QB153" s="16"/>
      <c r="QC153" s="16" t="n">
        <v>0.77</v>
      </c>
      <c r="QD153" s="16" t="n">
        <v>0.77</v>
      </c>
      <c r="QE153" s="16"/>
      <c r="QF153" s="16"/>
      <c r="QG153" s="16" t="n">
        <v>0</v>
      </c>
      <c r="QH153" s="16" t="n">
        <v>0</v>
      </c>
      <c r="QI153" s="16" t="n">
        <v>0</v>
      </c>
      <c r="QJ153" s="0" t="n">
        <v>0</v>
      </c>
      <c r="QK153" s="0" t="s">
        <v>607</v>
      </c>
      <c r="QL153" s="0" t="n">
        <v>34.5</v>
      </c>
      <c r="QM153" s="16" t="n">
        <v>93.1</v>
      </c>
      <c r="QN153" s="16" t="n">
        <v>81</v>
      </c>
      <c r="QO153" s="16" t="n">
        <v>25.7</v>
      </c>
      <c r="QP153" s="0" t="n">
        <v>72.2</v>
      </c>
      <c r="QQ153" s="0" t="n">
        <v>2.27</v>
      </c>
      <c r="QR153" s="0" t="n">
        <v>10.23</v>
      </c>
      <c r="QS153" s="0" t="n">
        <v>0</v>
      </c>
      <c r="QT153" s="0" t="n">
        <v>15.3</v>
      </c>
      <c r="QU153" s="0" t="n">
        <v>0</v>
      </c>
      <c r="QV153" s="0" t="n">
        <v>0</v>
      </c>
      <c r="QW153" s="0" t="n">
        <v>0</v>
      </c>
      <c r="QX153" s="0" t="n">
        <v>0</v>
      </c>
      <c r="QY153" s="0" t="n">
        <v>0</v>
      </c>
      <c r="QZ153" s="0" t="n">
        <v>0</v>
      </c>
      <c r="RA153" s="0" t="n">
        <v>0</v>
      </c>
      <c r="RB153" s="0" t="n">
        <v>0</v>
      </c>
      <c r="RC153" s="0" t="n">
        <v>41.42</v>
      </c>
      <c r="RD153" s="0" t="n">
        <v>39.33</v>
      </c>
      <c r="RE153" s="0" t="n">
        <v>0</v>
      </c>
      <c r="RF153" s="0" t="n">
        <v>0</v>
      </c>
      <c r="RG153" s="0" t="n">
        <v>0</v>
      </c>
      <c r="RT153" s="0" t="n">
        <v>0</v>
      </c>
      <c r="RU153" s="0" t="n">
        <v>0</v>
      </c>
      <c r="SF153" s="18"/>
      <c r="SX153" s="0" t="n">
        <v>0</v>
      </c>
      <c r="UI153" s="16" t="n">
        <v>3.45</v>
      </c>
      <c r="UJ153" s="16" t="n">
        <v>1</v>
      </c>
      <c r="UK153" s="16" t="n">
        <v>1</v>
      </c>
      <c r="UL153" s="16"/>
      <c r="UM153" s="16" t="n">
        <f aca="false">2.1+6.3+6.23*2+6.3+0.65+0.74*2+0.19</f>
        <v>29.48</v>
      </c>
      <c r="UN153" s="16"/>
      <c r="UO153" s="16"/>
      <c r="UP153" s="16"/>
      <c r="UQ153" s="16"/>
      <c r="UR153" s="16"/>
      <c r="US153" s="16"/>
      <c r="UT153" s="16" t="n">
        <v>0.65</v>
      </c>
      <c r="UU153" s="16" t="n">
        <v>0.65</v>
      </c>
      <c r="UV153" s="16"/>
      <c r="UW153" s="16"/>
      <c r="UX153" s="16" t="n">
        <v>0</v>
      </c>
      <c r="UY153" s="16" t="n">
        <v>0</v>
      </c>
      <c r="UZ153" s="16" t="n">
        <v>0</v>
      </c>
      <c r="VA153" s="0" t="n">
        <v>0</v>
      </c>
      <c r="VB153" s="0" t="s">
        <v>608</v>
      </c>
      <c r="VC153" s="0" t="n">
        <v>33.5</v>
      </c>
      <c r="VD153" s="16" t="n">
        <v>96.2</v>
      </c>
      <c r="VE153" s="16" t="n">
        <v>81</v>
      </c>
      <c r="VF153" s="16" t="n">
        <v>22.7</v>
      </c>
      <c r="VG153" s="0" t="n">
        <v>75.63</v>
      </c>
      <c r="VH153" s="0" t="n">
        <v>0</v>
      </c>
      <c r="VI153" s="0" t="n">
        <v>8.36</v>
      </c>
      <c r="VJ153" s="0" t="n">
        <v>0</v>
      </c>
      <c r="VK153" s="0" t="n">
        <v>15.71</v>
      </c>
      <c r="VL153" s="0" t="n">
        <v>0</v>
      </c>
      <c r="VM153" s="0" t="n">
        <v>0</v>
      </c>
      <c r="VN153" s="0" t="n">
        <v>0</v>
      </c>
      <c r="VO153" s="0" t="n">
        <v>0</v>
      </c>
      <c r="VP153" s="0" t="n">
        <v>0</v>
      </c>
      <c r="VQ153" s="0" t="n">
        <v>0</v>
      </c>
      <c r="VR153" s="0" t="n">
        <v>0</v>
      </c>
      <c r="VS153" s="0" t="n">
        <v>0</v>
      </c>
      <c r="VT153" s="0" t="n">
        <v>55.49</v>
      </c>
      <c r="VU153" s="0" t="n">
        <v>29.63</v>
      </c>
      <c r="VV153" s="0" t="n">
        <v>0</v>
      </c>
      <c r="VW153" s="0" t="n">
        <v>0</v>
      </c>
      <c r="VX153" s="0" t="n">
        <v>0</v>
      </c>
      <c r="WK153" s="0" t="n">
        <v>0</v>
      </c>
      <c r="WL153" s="0" t="n">
        <v>0</v>
      </c>
      <c r="WW153" s="18"/>
      <c r="XO153" s="0" t="n">
        <v>0</v>
      </c>
      <c r="YZ153" s="16" t="n">
        <v>4.96</v>
      </c>
      <c r="ZA153" s="16" t="n">
        <v>1</v>
      </c>
      <c r="ZB153" s="16" t="n">
        <v>1</v>
      </c>
      <c r="ZC153" s="16"/>
      <c r="ZD153" s="16" t="n">
        <f aca="false">2.1+6.3*2+12.47*2+0.74+0.19+1.67</f>
        <v>42.24</v>
      </c>
      <c r="ZE153" s="16"/>
      <c r="ZF153" s="16"/>
      <c r="ZG153" s="16"/>
      <c r="ZH153" s="16"/>
      <c r="ZI153" s="16"/>
      <c r="ZJ153" s="16"/>
      <c r="ZK153" s="16" t="n">
        <v>0.32</v>
      </c>
      <c r="ZL153" s="16" t="n">
        <v>0.32</v>
      </c>
      <c r="ZM153" s="16"/>
      <c r="ZN153" s="16"/>
      <c r="ZO153" s="16" t="n">
        <v>0</v>
      </c>
      <c r="ZP153" s="16" t="n">
        <v>0</v>
      </c>
      <c r="ZQ153" s="16" t="n">
        <v>0</v>
      </c>
      <c r="ZR153" s="0" t="n">
        <v>0</v>
      </c>
      <c r="ZS153" s="0" t="s">
        <v>609</v>
      </c>
      <c r="ZT153" s="0" t="n">
        <v>27.5</v>
      </c>
      <c r="ZU153" s="16" t="n">
        <v>85.4</v>
      </c>
      <c r="ZV153" s="16" t="n">
        <v>81</v>
      </c>
      <c r="ZW153" s="16" t="n">
        <v>17.8</v>
      </c>
      <c r="ZX153" s="0" t="n">
        <v>85.58</v>
      </c>
      <c r="ZY153" s="0" t="n">
        <v>0</v>
      </c>
      <c r="ZZ153" s="0" t="n">
        <v>12.16</v>
      </c>
      <c r="AAA153" s="0" t="n">
        <v>0</v>
      </c>
      <c r="AAB153" s="0" t="n">
        <v>2.26</v>
      </c>
      <c r="AAC153" s="0" t="n">
        <v>0</v>
      </c>
      <c r="AAD153" s="0" t="n">
        <v>0</v>
      </c>
      <c r="AAE153" s="0" t="n">
        <v>0</v>
      </c>
      <c r="AAF153" s="0" t="n">
        <v>0</v>
      </c>
      <c r="AAG153" s="0" t="n">
        <v>0</v>
      </c>
      <c r="AAH153" s="0" t="n">
        <v>0</v>
      </c>
      <c r="AAI153" s="0" t="n">
        <v>0</v>
      </c>
      <c r="AAJ153" s="0" t="n">
        <v>20.21</v>
      </c>
      <c r="AAK153" s="0" t="n">
        <v>37.16</v>
      </c>
      <c r="AAL153" s="0" t="n">
        <v>3.57</v>
      </c>
      <c r="AAM153" s="0" t="n">
        <v>0</v>
      </c>
      <c r="AAN153" s="0" t="n">
        <v>0</v>
      </c>
      <c r="AAO153" s="0" t="n">
        <v>0</v>
      </c>
      <c r="ABB153" s="0" t="n">
        <v>0</v>
      </c>
      <c r="ABC153" s="0" t="n">
        <v>0</v>
      </c>
      <c r="ABN153" s="18"/>
      <c r="ACF153" s="0" t="n">
        <v>0</v>
      </c>
      <c r="ADQ153" s="16" t="n">
        <v>3.29</v>
      </c>
      <c r="ADR153" s="16" t="n">
        <v>1</v>
      </c>
      <c r="ADS153" s="16" t="n">
        <v>1</v>
      </c>
      <c r="ADT153" s="16"/>
      <c r="ADU153" s="16" t="n">
        <f aca="false">10.5+0.19+0.83</f>
        <v>11.52</v>
      </c>
      <c r="ADV153" s="16"/>
      <c r="ADW153" s="16"/>
      <c r="ADX153" s="16"/>
      <c r="ADY153" s="16"/>
      <c r="ADZ153" s="16"/>
      <c r="AEA153" s="16"/>
      <c r="AEB153" s="16" t="n">
        <v>3.85</v>
      </c>
      <c r="AEC153" s="16" t="n">
        <v>3.86</v>
      </c>
      <c r="AED153" s="16"/>
      <c r="AEE153" s="16"/>
      <c r="AEF153" s="16" t="n">
        <v>0</v>
      </c>
      <c r="AEG153" s="16" t="n">
        <v>0</v>
      </c>
      <c r="AEH153" s="16" t="n">
        <v>0</v>
      </c>
      <c r="AEI153" s="0" t="n">
        <v>0</v>
      </c>
      <c r="AEJ153" s="0" t="s">
        <v>610</v>
      </c>
      <c r="AEK153" s="0" t="n">
        <v>28.5</v>
      </c>
      <c r="AEL153" s="16" t="n">
        <v>85.2</v>
      </c>
      <c r="AEM153" s="16" t="n">
        <v>81</v>
      </c>
      <c r="AEN153" s="16" t="n">
        <v>18.4</v>
      </c>
      <c r="AEO153" s="0" t="n">
        <v>84.66</v>
      </c>
      <c r="AEP153" s="0" t="n">
        <v>0</v>
      </c>
      <c r="AEQ153" s="0" t="n">
        <v>13.08</v>
      </c>
      <c r="AER153" s="0" t="n">
        <v>0</v>
      </c>
      <c r="AES153" s="0" t="n">
        <v>2.26</v>
      </c>
      <c r="AET153" s="0" t="n">
        <v>0</v>
      </c>
      <c r="AEU153" s="0" t="n">
        <v>0</v>
      </c>
      <c r="AEV153" s="0" t="n">
        <v>0</v>
      </c>
      <c r="AEW153" s="0" t="n">
        <v>0</v>
      </c>
      <c r="AEX153" s="0" t="n">
        <v>0</v>
      </c>
      <c r="AEY153" s="0" t="n">
        <v>0</v>
      </c>
      <c r="AEZ153" s="0" t="n">
        <v>0</v>
      </c>
      <c r="AFA153" s="0" t="n">
        <v>20.21</v>
      </c>
      <c r="AFB153" s="0" t="n">
        <v>38.43</v>
      </c>
      <c r="AFC153" s="0" t="n">
        <v>2.54</v>
      </c>
      <c r="AFD153" s="0" t="n">
        <v>0</v>
      </c>
      <c r="AFE153" s="0" t="n">
        <v>0</v>
      </c>
      <c r="AFF153" s="0" t="n">
        <v>0</v>
      </c>
      <c r="AFS153" s="0" t="n">
        <v>0</v>
      </c>
      <c r="AFT153" s="0" t="n">
        <v>0</v>
      </c>
      <c r="AGE153" s="18"/>
      <c r="AGW153" s="0" t="n">
        <v>0</v>
      </c>
      <c r="AIH153" s="16" t="n">
        <v>3.39</v>
      </c>
      <c r="AII153" s="16" t="n">
        <v>1</v>
      </c>
      <c r="AIJ153" s="16" t="n">
        <v>1</v>
      </c>
      <c r="AIK153" s="16"/>
      <c r="AIL153" s="16" t="n">
        <f aca="false">10.5+0.19+0.65+1.67</f>
        <v>13.01</v>
      </c>
      <c r="AIM153" s="16"/>
      <c r="AIN153" s="16"/>
      <c r="AIO153" s="16"/>
      <c r="AIP153" s="16"/>
      <c r="AIQ153" s="16"/>
      <c r="AIR153" s="16"/>
      <c r="AIS153" s="16" t="n">
        <v>3.95</v>
      </c>
      <c r="AIT153" s="16" t="n">
        <v>3.95</v>
      </c>
      <c r="AIU153" s="16"/>
      <c r="AIV153" s="16"/>
      <c r="AIW153" s="16" t="n">
        <v>0</v>
      </c>
      <c r="AIX153" s="16" t="n">
        <v>0</v>
      </c>
      <c r="AIY153" s="16" t="n">
        <v>0</v>
      </c>
      <c r="AIZ153" s="0" t="n">
        <v>0</v>
      </c>
      <c r="AJA153" s="35" t="s">
        <v>611</v>
      </c>
      <c r="AJB153" s="0" t="n">
        <v>69.5</v>
      </c>
      <c r="AJC153" s="16" t="n">
        <v>94.1</v>
      </c>
      <c r="AJD153" s="16" t="n">
        <v>81</v>
      </c>
      <c r="AJE153" s="16" t="n">
        <v>66.2</v>
      </c>
      <c r="AJF153" s="0" t="n">
        <v>39.99</v>
      </c>
      <c r="AJG153" s="0" t="n">
        <v>0</v>
      </c>
      <c r="AJH153" s="0" t="n">
        <v>33.27</v>
      </c>
      <c r="AJI153" s="0" t="n">
        <v>26.74</v>
      </c>
      <c r="AJJ153" s="0" t="n">
        <v>0</v>
      </c>
      <c r="AJK153" s="0" t="n">
        <v>0</v>
      </c>
      <c r="AJL153" s="0" t="n">
        <v>0</v>
      </c>
      <c r="AJM153" s="0" t="n">
        <v>0</v>
      </c>
      <c r="AJN153" s="0" t="n">
        <v>0</v>
      </c>
      <c r="AJO153" s="0" t="n">
        <v>0</v>
      </c>
      <c r="AJP153" s="0" t="n">
        <v>0</v>
      </c>
      <c r="AJQ153" s="0" t="n">
        <v>0</v>
      </c>
      <c r="AJR153" s="0" t="n">
        <v>9.07</v>
      </c>
      <c r="AJS153" s="0" t="n">
        <v>0</v>
      </c>
      <c r="AJT153" s="0" t="n">
        <v>2.3</v>
      </c>
      <c r="AJU153" s="0" t="n">
        <v>0</v>
      </c>
      <c r="AJV153" s="0" t="n">
        <v>0</v>
      </c>
      <c r="AJW153" s="0" t="n">
        <v>0</v>
      </c>
      <c r="AKJ153" s="0" t="n">
        <v>0</v>
      </c>
      <c r="AKK153" s="0" t="n">
        <v>0</v>
      </c>
      <c r="AKV153" s="18"/>
      <c r="ALN153" s="0" t="n">
        <v>0</v>
      </c>
    </row>
    <row r="154" customFormat="false" ht="13.8" hidden="false" customHeight="false" outlineLevel="0" collapsed="false">
      <c r="A154" s="1" t="s">
        <v>613</v>
      </c>
      <c r="B154" s="12" t="n">
        <v>42900</v>
      </c>
      <c r="C154" s="0" t="n">
        <v>2</v>
      </c>
      <c r="D154" s="13" t="n">
        <v>42804</v>
      </c>
      <c r="E154" s="12" t="n">
        <v>28400</v>
      </c>
      <c r="F154" s="14" t="n">
        <f aca="false">(B154-E154)/365.25</f>
        <v>39.6988364134155</v>
      </c>
      <c r="G154" s="14" t="n">
        <f aca="false">(B154-D154)/365.25</f>
        <v>0.262833675564682</v>
      </c>
      <c r="H154" s="15" t="s">
        <v>228</v>
      </c>
      <c r="I154" s="15" t="s">
        <v>602</v>
      </c>
      <c r="J154" s="15" t="s">
        <v>183</v>
      </c>
      <c r="K154" s="21" t="n">
        <v>8</v>
      </c>
      <c r="L154" s="19" t="n">
        <v>65</v>
      </c>
      <c r="M154" s="0" t="n">
        <v>1.72</v>
      </c>
      <c r="N154" s="16" t="n">
        <f aca="false">L154/(M154*M154)</f>
        <v>21.9713358572201</v>
      </c>
      <c r="O154" s="19" t="n">
        <v>0</v>
      </c>
      <c r="P154" s="19" t="n">
        <v>0</v>
      </c>
      <c r="Q154" s="19" t="n">
        <v>0</v>
      </c>
      <c r="R154" s="19" t="n">
        <v>0</v>
      </c>
      <c r="S154" s="19" t="n">
        <v>0</v>
      </c>
      <c r="T154" s="19" t="n">
        <v>0</v>
      </c>
      <c r="U154" s="19" t="n">
        <v>0</v>
      </c>
      <c r="V154" s="19" t="n">
        <v>0</v>
      </c>
      <c r="W154" s="19" t="n">
        <v>0</v>
      </c>
      <c r="X154" s="19" t="n">
        <v>0</v>
      </c>
      <c r="Y154" s="19" t="n">
        <v>1</v>
      </c>
      <c r="Z154" s="19" t="n">
        <v>2</v>
      </c>
      <c r="AA154" s="19" t="n">
        <v>180</v>
      </c>
      <c r="AB154" s="19" t="s">
        <v>516</v>
      </c>
      <c r="AC154" s="19" t="n">
        <v>0</v>
      </c>
      <c r="AD154" s="19" t="n">
        <v>0</v>
      </c>
      <c r="AE154" s="19" t="n">
        <v>0</v>
      </c>
      <c r="AF154" s="19" t="n">
        <v>0</v>
      </c>
      <c r="AG154" s="19" t="n">
        <v>0</v>
      </c>
      <c r="AH154" s="19" t="n">
        <v>0</v>
      </c>
      <c r="AI154" s="19" t="n">
        <v>0</v>
      </c>
      <c r="AJ154" s="19" t="n">
        <v>0</v>
      </c>
      <c r="AK154" s="19" t="n">
        <v>0</v>
      </c>
      <c r="AL154" s="19" t="n">
        <v>0</v>
      </c>
      <c r="AM154" s="19" t="n">
        <v>0</v>
      </c>
      <c r="AN154" s="19" t="n">
        <v>0</v>
      </c>
      <c r="AO154" s="19" t="n">
        <v>0</v>
      </c>
      <c r="AP154" s="19" t="n">
        <v>0</v>
      </c>
      <c r="AQ154" s="19" t="n">
        <v>0</v>
      </c>
      <c r="AR154" s="19" t="n">
        <v>0</v>
      </c>
      <c r="AS154" s="19" t="n">
        <v>0</v>
      </c>
      <c r="AT154" s="19" t="n">
        <v>0</v>
      </c>
      <c r="AU154" s="19" t="n">
        <v>0</v>
      </c>
      <c r="AV154" s="19" t="n">
        <v>0</v>
      </c>
      <c r="AW154" s="19" t="n">
        <v>0</v>
      </c>
      <c r="AX154" s="19" t="n">
        <v>0</v>
      </c>
      <c r="AY154" s="19" t="n">
        <v>0</v>
      </c>
      <c r="AZ154" s="19" t="n">
        <v>0</v>
      </c>
      <c r="BA154" s="19" t="n">
        <v>0</v>
      </c>
      <c r="BB154" s="19" t="n">
        <v>0</v>
      </c>
      <c r="BC154" s="19" t="n">
        <v>0</v>
      </c>
      <c r="BD154" s="19" t="n">
        <v>0</v>
      </c>
      <c r="BE154" s="19" t="n">
        <v>0</v>
      </c>
      <c r="BF154" s="19" t="n">
        <v>0</v>
      </c>
      <c r="BG154" s="19" t="n">
        <v>0</v>
      </c>
      <c r="BH154" s="19" t="n">
        <v>0</v>
      </c>
      <c r="BI154" s="19" t="n">
        <v>0</v>
      </c>
      <c r="BJ154" s="19" t="n">
        <v>0</v>
      </c>
      <c r="BK154" s="19" t="n">
        <v>0</v>
      </c>
      <c r="BL154" s="19" t="n">
        <v>0</v>
      </c>
      <c r="BM154" s="19" t="n">
        <v>0</v>
      </c>
      <c r="BN154" s="19" t="n">
        <v>0</v>
      </c>
      <c r="BO154" s="19" t="n">
        <v>0</v>
      </c>
      <c r="BP154" s="19" t="n">
        <v>0</v>
      </c>
      <c r="BQ154" s="19" t="n">
        <v>0</v>
      </c>
      <c r="BR154" s="19" t="n">
        <v>1</v>
      </c>
      <c r="BS154" s="19" t="n">
        <v>1</v>
      </c>
      <c r="BT154" s="19" t="n">
        <v>2</v>
      </c>
      <c r="BU154" s="19" t="n">
        <v>4</v>
      </c>
      <c r="BV154" s="19" t="n">
        <v>3</v>
      </c>
      <c r="BW154" s="19" t="n">
        <v>1</v>
      </c>
      <c r="BX154" s="19" t="n">
        <v>1</v>
      </c>
      <c r="BY154" s="19" t="n">
        <v>3</v>
      </c>
      <c r="BZ154" s="19" t="n">
        <v>5</v>
      </c>
      <c r="CA154" s="19" t="n">
        <v>5</v>
      </c>
      <c r="CB154" s="19" t="n">
        <v>5</v>
      </c>
      <c r="CC154" s="19" t="n">
        <v>5</v>
      </c>
      <c r="CD154" s="19" t="n">
        <v>5</v>
      </c>
      <c r="CE154" s="19" t="n">
        <v>5</v>
      </c>
      <c r="CF154" s="19" t="n">
        <v>5</v>
      </c>
      <c r="CG154" s="19" t="n">
        <v>5</v>
      </c>
      <c r="CH154" s="19" t="n">
        <v>5</v>
      </c>
      <c r="CI154" s="19" t="n">
        <v>5</v>
      </c>
      <c r="CJ154" s="19" t="n">
        <v>5</v>
      </c>
      <c r="CK154" s="19" t="n">
        <v>10</v>
      </c>
      <c r="CL154" s="0" t="s">
        <v>604</v>
      </c>
      <c r="CM154" s="0" t="n">
        <v>32</v>
      </c>
      <c r="CN154" s="16" t="n">
        <v>93.9</v>
      </c>
      <c r="CO154" s="16" t="n">
        <v>81</v>
      </c>
      <c r="CP154" s="16" t="n">
        <v>11.9</v>
      </c>
      <c r="CQ154" s="0" t="n">
        <v>93.99</v>
      </c>
      <c r="CR154" s="0" t="n">
        <v>4.91</v>
      </c>
      <c r="CS154" s="0" t="n">
        <v>0</v>
      </c>
      <c r="CT154" s="0" t="n">
        <v>0</v>
      </c>
      <c r="CU154" s="0" t="n">
        <v>1.1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21.14</v>
      </c>
      <c r="DE154" s="0" t="n">
        <v>45.4</v>
      </c>
      <c r="DF154" s="0" t="n">
        <v>0</v>
      </c>
      <c r="DG154" s="0" t="n">
        <v>0</v>
      </c>
      <c r="DH154" s="0" t="n">
        <v>0</v>
      </c>
      <c r="DU154" s="0" t="n">
        <v>0.6</v>
      </c>
      <c r="DV154" s="0" t="n">
        <v>1</v>
      </c>
      <c r="DW154" s="0" t="n">
        <v>52</v>
      </c>
      <c r="DX154" s="0" t="n">
        <v>3</v>
      </c>
      <c r="DY154" s="0" t="n">
        <v>0.27</v>
      </c>
      <c r="DZ154" s="0" t="n">
        <v>2</v>
      </c>
      <c r="EG154" s="18"/>
      <c r="EY154" s="0" t="n">
        <v>0</v>
      </c>
      <c r="GJ154" s="16" t="n">
        <v>1.89</v>
      </c>
      <c r="GK154" s="16" t="n">
        <v>1</v>
      </c>
      <c r="GL154" s="16" t="n">
        <v>2</v>
      </c>
      <c r="GM154" s="16"/>
      <c r="GN154" s="16" t="n">
        <v>5.25</v>
      </c>
      <c r="GO154" s="16"/>
      <c r="GP154" s="16"/>
      <c r="GQ154" s="16"/>
      <c r="GR154" s="16"/>
      <c r="GS154" s="16"/>
      <c r="GT154" s="16"/>
      <c r="GU154" s="16" t="n">
        <v>10.12</v>
      </c>
      <c r="GV154" s="16" t="n">
        <v>28</v>
      </c>
      <c r="GW154" s="16"/>
      <c r="GX154" s="16"/>
      <c r="GY154" s="16" t="n">
        <v>2.96</v>
      </c>
      <c r="GZ154" s="16" t="n">
        <v>11.53</v>
      </c>
      <c r="HA154" s="16" t="n">
        <v>0</v>
      </c>
      <c r="HB154" s="0" t="n">
        <v>0</v>
      </c>
      <c r="HC154" s="0" t="s">
        <v>606</v>
      </c>
      <c r="HD154" s="0" t="n">
        <v>22</v>
      </c>
      <c r="HE154" s="16" t="n">
        <v>82.5</v>
      </c>
      <c r="HF154" s="16" t="n">
        <v>81</v>
      </c>
      <c r="HG154" s="16" t="n">
        <v>15.1</v>
      </c>
      <c r="HH154" s="0" t="n">
        <v>0</v>
      </c>
      <c r="HI154" s="0" t="n">
        <v>0</v>
      </c>
      <c r="HJ154" s="0" t="n">
        <v>0</v>
      </c>
      <c r="HK154" s="0" t="n">
        <v>2</v>
      </c>
      <c r="HL154" s="0" t="n">
        <v>8.67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5.88</v>
      </c>
      <c r="HT154" s="0" t="n">
        <v>34.73</v>
      </c>
      <c r="HU154" s="0" t="n">
        <v>6.44</v>
      </c>
      <c r="HV154" s="0" t="n">
        <v>0</v>
      </c>
      <c r="HW154" s="0" t="n">
        <v>0</v>
      </c>
      <c r="HX154" s="0" t="n">
        <v>0</v>
      </c>
      <c r="HY154" s="0" t="n">
        <v>0</v>
      </c>
      <c r="IL154" s="0" t="n">
        <v>5.8</v>
      </c>
      <c r="IM154" s="0" t="n">
        <v>1</v>
      </c>
      <c r="IN154" s="0" t="n">
        <v>68</v>
      </c>
      <c r="IO154" s="0" t="n">
        <v>6</v>
      </c>
      <c r="IP154" s="0" t="n">
        <f aca="false">0.38+1.89+0+0.33</f>
        <v>2.6</v>
      </c>
      <c r="IQ154" s="0" t="n">
        <v>2</v>
      </c>
      <c r="IR154" s="0" t="n">
        <v>23</v>
      </c>
      <c r="IS154" s="0" t="n">
        <v>1</v>
      </c>
      <c r="IT154" s="0" t="n">
        <v>2.27</v>
      </c>
      <c r="IU154" s="0" t="n">
        <v>3</v>
      </c>
      <c r="IX154" s="18"/>
      <c r="JP154" s="0" t="n">
        <v>0</v>
      </c>
      <c r="LA154" s="16" t="n">
        <v>0</v>
      </c>
      <c r="LB154" s="16" t="n">
        <v>0</v>
      </c>
      <c r="LC154" s="16"/>
      <c r="LD154" s="16"/>
      <c r="LE154" s="16"/>
      <c r="LF154" s="16"/>
      <c r="LG154" s="16"/>
      <c r="LH154" s="16"/>
      <c r="LI154" s="16"/>
      <c r="LJ154" s="16"/>
      <c r="LK154" s="16"/>
      <c r="LL154" s="16" t="n">
        <v>0.77</v>
      </c>
      <c r="LM154" s="16" t="n">
        <v>0.77</v>
      </c>
      <c r="LN154" s="16"/>
      <c r="LO154" s="16"/>
      <c r="LP154" s="16" t="n">
        <v>0</v>
      </c>
      <c r="LQ154" s="16" t="n">
        <v>0</v>
      </c>
      <c r="LR154" s="16" t="n">
        <v>0</v>
      </c>
      <c r="LS154" s="0" t="n">
        <v>0</v>
      </c>
      <c r="LT154" s="0" t="s">
        <v>607</v>
      </c>
      <c r="LU154" s="0" t="n">
        <v>34.5</v>
      </c>
      <c r="LV154" s="16" t="n">
        <v>93.1</v>
      </c>
      <c r="LW154" s="16" t="n">
        <v>81</v>
      </c>
      <c r="LX154" s="16" t="n">
        <v>25.7</v>
      </c>
      <c r="LY154" s="0" t="n">
        <v>72.2</v>
      </c>
      <c r="LZ154" s="0" t="n">
        <v>2.27</v>
      </c>
      <c r="MA154" s="0" t="n">
        <v>10.23</v>
      </c>
      <c r="MB154" s="0" t="n">
        <v>0</v>
      </c>
      <c r="MC154" s="0" t="n">
        <v>15.3</v>
      </c>
      <c r="MD154" s="0" t="n">
        <v>0</v>
      </c>
      <c r="ME154" s="0" t="n">
        <v>0</v>
      </c>
      <c r="MF154" s="0" t="n">
        <v>0</v>
      </c>
      <c r="MG154" s="0" t="n">
        <v>0</v>
      </c>
      <c r="MH154" s="0" t="n">
        <v>0</v>
      </c>
      <c r="MI154" s="0" t="n">
        <v>0</v>
      </c>
      <c r="MJ154" s="0" t="n">
        <v>0</v>
      </c>
      <c r="MK154" s="0" t="n">
        <v>0</v>
      </c>
      <c r="ML154" s="0" t="n">
        <v>41.42</v>
      </c>
      <c r="MM154" s="0" t="n">
        <v>39.33</v>
      </c>
      <c r="MN154" s="0" t="n">
        <v>0</v>
      </c>
      <c r="MO154" s="0" t="n">
        <v>0</v>
      </c>
      <c r="MP154" s="0" t="n">
        <v>0</v>
      </c>
      <c r="NC154" s="0" t="n">
        <v>0</v>
      </c>
      <c r="ND154" s="0" t="n">
        <v>0</v>
      </c>
      <c r="NO154" s="18"/>
      <c r="OG154" s="0" t="n">
        <v>0</v>
      </c>
      <c r="PR154" s="16" t="n">
        <v>3.45</v>
      </c>
      <c r="PS154" s="16" t="n">
        <v>1</v>
      </c>
      <c r="PT154" s="16" t="n">
        <v>1</v>
      </c>
      <c r="PU154" s="16"/>
      <c r="PV154" s="16" t="n">
        <f aca="false">2.1+6.3+6.23*2+6.3+0.65+0.74*2+0.19</f>
        <v>29.48</v>
      </c>
      <c r="PW154" s="16"/>
      <c r="PX154" s="16"/>
      <c r="PY154" s="16"/>
      <c r="PZ154" s="16"/>
      <c r="QA154" s="16"/>
      <c r="QB154" s="16"/>
      <c r="QC154" s="16" t="n">
        <v>0.65</v>
      </c>
      <c r="QD154" s="16" t="n">
        <v>0.65</v>
      </c>
      <c r="QE154" s="16"/>
      <c r="QF154" s="16"/>
      <c r="QG154" s="16" t="n">
        <v>0</v>
      </c>
      <c r="QH154" s="16" t="n">
        <v>0</v>
      </c>
      <c r="QI154" s="16" t="n">
        <v>0</v>
      </c>
      <c r="QJ154" s="0" t="n">
        <v>0</v>
      </c>
      <c r="QK154" s="0" t="s">
        <v>608</v>
      </c>
      <c r="QL154" s="0" t="n">
        <v>33.5</v>
      </c>
      <c r="QM154" s="16" t="n">
        <v>96.2</v>
      </c>
      <c r="QN154" s="16" t="n">
        <v>81</v>
      </c>
      <c r="QO154" s="16" t="n">
        <v>22.7</v>
      </c>
      <c r="QP154" s="0" t="n">
        <v>75.63</v>
      </c>
      <c r="QQ154" s="0" t="n">
        <v>0</v>
      </c>
      <c r="QR154" s="0" t="n">
        <v>8.36</v>
      </c>
      <c r="QS154" s="0" t="n">
        <v>0</v>
      </c>
      <c r="QT154" s="0" t="n">
        <v>15.71</v>
      </c>
      <c r="QU154" s="0" t="n">
        <v>0</v>
      </c>
      <c r="QV154" s="0" t="n">
        <v>0</v>
      </c>
      <c r="QW154" s="0" t="n">
        <v>0</v>
      </c>
      <c r="QX154" s="0" t="n">
        <v>0</v>
      </c>
      <c r="QY154" s="0" t="n">
        <v>0</v>
      </c>
      <c r="QZ154" s="0" t="n">
        <v>0</v>
      </c>
      <c r="RA154" s="0" t="n">
        <v>0</v>
      </c>
      <c r="RB154" s="0" t="n">
        <v>0</v>
      </c>
      <c r="RC154" s="0" t="n">
        <v>55.49</v>
      </c>
      <c r="RD154" s="0" t="n">
        <v>29.63</v>
      </c>
      <c r="RE154" s="0" t="n">
        <v>0</v>
      </c>
      <c r="RF154" s="0" t="n">
        <v>0</v>
      </c>
      <c r="RG154" s="0" t="n">
        <v>0</v>
      </c>
      <c r="RT154" s="0" t="n">
        <v>0</v>
      </c>
      <c r="RU154" s="0" t="n">
        <v>0</v>
      </c>
      <c r="SF154" s="18"/>
      <c r="SX154" s="0" t="n">
        <v>0</v>
      </c>
      <c r="UI154" s="16" t="n">
        <v>4.96</v>
      </c>
      <c r="UJ154" s="16" t="n">
        <v>1</v>
      </c>
      <c r="UK154" s="16" t="n">
        <v>1</v>
      </c>
      <c r="UL154" s="16"/>
      <c r="UM154" s="16" t="n">
        <f aca="false">2.1+6.3*2+12.47*2+0.74+0.19+1.67</f>
        <v>42.24</v>
      </c>
      <c r="UN154" s="16"/>
      <c r="UO154" s="16"/>
      <c r="UP154" s="16"/>
      <c r="UQ154" s="16"/>
      <c r="UR154" s="16"/>
      <c r="US154" s="16"/>
      <c r="UT154" s="16" t="n">
        <v>0.32</v>
      </c>
      <c r="UU154" s="16" t="n">
        <v>0.32</v>
      </c>
      <c r="UV154" s="16"/>
      <c r="UW154" s="16"/>
      <c r="UX154" s="16" t="n">
        <v>0</v>
      </c>
      <c r="UY154" s="16" t="n">
        <v>0</v>
      </c>
      <c r="UZ154" s="16" t="n">
        <v>0</v>
      </c>
      <c r="VA154" s="0" t="n">
        <v>0</v>
      </c>
      <c r="VB154" s="0" t="s">
        <v>609</v>
      </c>
      <c r="VC154" s="0" t="n">
        <v>27.5</v>
      </c>
      <c r="VD154" s="16" t="n">
        <v>85.4</v>
      </c>
      <c r="VE154" s="16" t="n">
        <v>81</v>
      </c>
      <c r="VF154" s="16" t="n">
        <v>17.8</v>
      </c>
      <c r="VG154" s="0" t="n">
        <v>85.58</v>
      </c>
      <c r="VH154" s="0" t="n">
        <v>0</v>
      </c>
      <c r="VI154" s="0" t="n">
        <v>12.16</v>
      </c>
      <c r="VJ154" s="0" t="n">
        <v>0</v>
      </c>
      <c r="VK154" s="0" t="n">
        <v>2.26</v>
      </c>
      <c r="VL154" s="0" t="n">
        <v>0</v>
      </c>
      <c r="VM154" s="0" t="n">
        <v>0</v>
      </c>
      <c r="VN154" s="0" t="n">
        <v>0</v>
      </c>
      <c r="VO154" s="0" t="n">
        <v>0</v>
      </c>
      <c r="VP154" s="0" t="n">
        <v>0</v>
      </c>
      <c r="VQ154" s="0" t="n">
        <v>0</v>
      </c>
      <c r="VR154" s="0" t="n">
        <v>0</v>
      </c>
      <c r="VS154" s="0" t="n">
        <v>20.21</v>
      </c>
      <c r="VT154" s="0" t="n">
        <v>37.16</v>
      </c>
      <c r="VU154" s="0" t="n">
        <v>3.57</v>
      </c>
      <c r="VV154" s="0" t="n">
        <v>0</v>
      </c>
      <c r="VW154" s="0" t="n">
        <v>0</v>
      </c>
      <c r="VX154" s="0" t="n">
        <v>0</v>
      </c>
      <c r="WK154" s="0" t="n">
        <v>0</v>
      </c>
      <c r="WL154" s="0" t="n">
        <v>0</v>
      </c>
      <c r="WW154" s="18"/>
      <c r="XO154" s="0" t="n">
        <v>0</v>
      </c>
      <c r="YZ154" s="16" t="n">
        <v>3.29</v>
      </c>
      <c r="ZA154" s="16" t="n">
        <v>1</v>
      </c>
      <c r="ZB154" s="16" t="n">
        <v>1</v>
      </c>
      <c r="ZC154" s="16"/>
      <c r="ZD154" s="16" t="n">
        <f aca="false">10.5+0.19+0.83</f>
        <v>11.52</v>
      </c>
      <c r="ZE154" s="16"/>
      <c r="ZF154" s="16"/>
      <c r="ZG154" s="16"/>
      <c r="ZH154" s="16"/>
      <c r="ZI154" s="16"/>
      <c r="ZJ154" s="16"/>
      <c r="ZK154" s="16" t="n">
        <v>3.85</v>
      </c>
      <c r="ZL154" s="16" t="n">
        <v>3.86</v>
      </c>
      <c r="ZM154" s="16"/>
      <c r="ZN154" s="16"/>
      <c r="ZO154" s="16" t="n">
        <v>0</v>
      </c>
      <c r="ZP154" s="16" t="n">
        <v>0</v>
      </c>
      <c r="ZQ154" s="16" t="n">
        <v>0</v>
      </c>
      <c r="ZR154" s="0" t="n">
        <v>0</v>
      </c>
      <c r="ZS154" s="0" t="s">
        <v>610</v>
      </c>
      <c r="ZT154" s="0" t="n">
        <v>28.5</v>
      </c>
      <c r="ZU154" s="16" t="n">
        <v>85.2</v>
      </c>
      <c r="ZV154" s="16" t="n">
        <v>81</v>
      </c>
      <c r="ZW154" s="16" t="n">
        <v>18.4</v>
      </c>
      <c r="ZX154" s="0" t="n">
        <v>84.66</v>
      </c>
      <c r="ZY154" s="0" t="n">
        <v>0</v>
      </c>
      <c r="ZZ154" s="0" t="n">
        <v>13.08</v>
      </c>
      <c r="AAA154" s="0" t="n">
        <v>0</v>
      </c>
      <c r="AAB154" s="0" t="n">
        <v>2.26</v>
      </c>
      <c r="AAC154" s="0" t="n">
        <v>0</v>
      </c>
      <c r="AAD154" s="0" t="n">
        <v>0</v>
      </c>
      <c r="AAE154" s="0" t="n">
        <v>0</v>
      </c>
      <c r="AAF154" s="0" t="n">
        <v>0</v>
      </c>
      <c r="AAG154" s="0" t="n">
        <v>0</v>
      </c>
      <c r="AAH154" s="0" t="n">
        <v>0</v>
      </c>
      <c r="AAI154" s="0" t="n">
        <v>0</v>
      </c>
      <c r="AAJ154" s="0" t="n">
        <v>20.21</v>
      </c>
      <c r="AAK154" s="0" t="n">
        <v>38.43</v>
      </c>
      <c r="AAL154" s="0" t="n">
        <v>2.54</v>
      </c>
      <c r="AAM154" s="0" t="n">
        <v>0</v>
      </c>
      <c r="AAN154" s="0" t="n">
        <v>0</v>
      </c>
      <c r="AAO154" s="0" t="n">
        <v>0</v>
      </c>
      <c r="ABB154" s="0" t="n">
        <v>0</v>
      </c>
      <c r="ABC154" s="0" t="n">
        <v>0</v>
      </c>
      <c r="ABN154" s="18"/>
      <c r="ACF154" s="0" t="n">
        <v>0</v>
      </c>
      <c r="ADQ154" s="16" t="n">
        <v>3.39</v>
      </c>
      <c r="ADR154" s="16" t="n">
        <v>1</v>
      </c>
      <c r="ADS154" s="16" t="n">
        <v>1</v>
      </c>
      <c r="ADT154" s="16"/>
      <c r="ADU154" s="16" t="n">
        <f aca="false">10.5+0.19+0.65+1.67</f>
        <v>13.01</v>
      </c>
      <c r="ADV154" s="16"/>
      <c r="ADW154" s="16"/>
      <c r="ADX154" s="16"/>
      <c r="ADY154" s="16"/>
      <c r="ADZ154" s="16"/>
      <c r="AEA154" s="16"/>
      <c r="AEB154" s="16" t="n">
        <v>3.95</v>
      </c>
      <c r="AEC154" s="16" t="n">
        <v>3.95</v>
      </c>
      <c r="AED154" s="16"/>
      <c r="AEE154" s="16"/>
      <c r="AEF154" s="16" t="n">
        <v>0</v>
      </c>
      <c r="AEG154" s="16" t="n">
        <v>0</v>
      </c>
      <c r="AEH154" s="16" t="n">
        <v>0</v>
      </c>
      <c r="AEI154" s="0" t="n">
        <v>0</v>
      </c>
      <c r="AEJ154" s="0" t="s">
        <v>611</v>
      </c>
      <c r="AEK154" s="0" t="n">
        <v>69.5</v>
      </c>
      <c r="AEL154" s="16" t="n">
        <v>94.1</v>
      </c>
      <c r="AEM154" s="16" t="n">
        <v>81</v>
      </c>
      <c r="AEN154" s="16" t="n">
        <v>66.2</v>
      </c>
      <c r="AEO154" s="0" t="n">
        <v>39.99</v>
      </c>
      <c r="AEP154" s="0" t="n">
        <v>0</v>
      </c>
      <c r="AEQ154" s="0" t="n">
        <v>33.27</v>
      </c>
      <c r="AER154" s="0" t="n">
        <v>26.74</v>
      </c>
      <c r="AES154" s="0" t="n">
        <v>0</v>
      </c>
      <c r="AET154" s="0" t="n">
        <v>0</v>
      </c>
      <c r="AEU154" s="0" t="n">
        <v>0</v>
      </c>
      <c r="AEV154" s="0" t="n">
        <v>0</v>
      </c>
      <c r="AEW154" s="0" t="n">
        <v>0</v>
      </c>
      <c r="AEX154" s="0" t="n">
        <v>0</v>
      </c>
      <c r="AEY154" s="0" t="n">
        <v>0</v>
      </c>
      <c r="AEZ154" s="0" t="n">
        <v>0</v>
      </c>
      <c r="AFA154" s="0" t="n">
        <v>9.07</v>
      </c>
      <c r="AFB154" s="0" t="n">
        <v>0</v>
      </c>
      <c r="AFC154" s="0" t="n">
        <v>2.3</v>
      </c>
      <c r="AFD154" s="0" t="n">
        <v>0</v>
      </c>
      <c r="AFE154" s="0" t="n">
        <v>0</v>
      </c>
      <c r="AFF154" s="0" t="n">
        <v>0</v>
      </c>
      <c r="AFS154" s="0" t="n">
        <v>0</v>
      </c>
      <c r="AFT154" s="0" t="n">
        <v>0</v>
      </c>
      <c r="AGE154" s="18"/>
      <c r="AGW154" s="0" t="n">
        <v>0</v>
      </c>
      <c r="AIH154" s="16" t="n">
        <v>0</v>
      </c>
      <c r="AII154" s="16" t="n">
        <v>0</v>
      </c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 t="n">
        <v>2.25</v>
      </c>
      <c r="AIT154" s="16" t="n">
        <v>2.26</v>
      </c>
      <c r="AIU154" s="16"/>
      <c r="AIV154" s="16"/>
      <c r="AIW154" s="16" t="n">
        <v>0</v>
      </c>
      <c r="AIX154" s="16" t="n">
        <v>0</v>
      </c>
      <c r="AIY154" s="16" t="n">
        <v>0</v>
      </c>
      <c r="AIZ154" s="0" t="n">
        <v>0</v>
      </c>
      <c r="AJA154" s="15"/>
      <c r="AJB154" s="15"/>
      <c r="AJD154" s="34"/>
      <c r="AJE154" s="34"/>
      <c r="AJH154" s="34"/>
      <c r="AJI154" s="15"/>
      <c r="AJJ154" s="15"/>
      <c r="AJL154" s="34"/>
      <c r="AJM154" s="34"/>
      <c r="AJP154" s="34"/>
      <c r="AJQ154" s="15"/>
      <c r="AJR154" s="15"/>
      <c r="AJT154" s="34"/>
      <c r="AJU154" s="34"/>
      <c r="AJX154" s="34"/>
      <c r="AJY154" s="15"/>
      <c r="AJZ154" s="15"/>
      <c r="AKB154" s="34"/>
      <c r="AKC154" s="34"/>
      <c r="AKF154" s="34"/>
      <c r="AKG154" s="15"/>
      <c r="AKH154" s="15"/>
      <c r="AKJ154" s="34"/>
      <c r="AKK154" s="34"/>
      <c r="AKN154" s="34"/>
      <c r="AKO154" s="15"/>
      <c r="AKP154" s="15"/>
      <c r="AKR154" s="34"/>
      <c r="AKS154" s="34"/>
      <c r="AKV154" s="34"/>
      <c r="AKW154" s="15"/>
      <c r="AKX154" s="15"/>
      <c r="AKZ154" s="34"/>
      <c r="ALA154" s="34"/>
      <c r="ALD154" s="34"/>
      <c r="ALE154" s="15"/>
      <c r="ALF154" s="15"/>
      <c r="ALH154" s="34"/>
      <c r="ALI154" s="34"/>
      <c r="ALL154" s="34"/>
      <c r="ALM154" s="15"/>
      <c r="ALN154" s="15"/>
      <c r="ALP154" s="34"/>
      <c r="ALQ154" s="34"/>
      <c r="ALT154" s="34"/>
      <c r="ALU154" s="15"/>
      <c r="ALV154" s="15"/>
      <c r="ALX154" s="34"/>
      <c r="ALY154" s="34"/>
      <c r="AMB154" s="34"/>
      <c r="AMC154" s="15"/>
      <c r="AMD154" s="15"/>
      <c r="AMF154" s="34"/>
      <c r="AMG154" s="34"/>
      <c r="AMJ154" s="34"/>
    </row>
    <row r="155" customFormat="false" ht="13.8" hidden="false" customHeight="false" outlineLevel="0" collapsed="false">
      <c r="A155" s="1" t="s">
        <v>614</v>
      </c>
      <c r="B155" s="12" t="n">
        <v>42900</v>
      </c>
      <c r="C155" s="0" t="n">
        <v>2</v>
      </c>
      <c r="D155" s="13" t="n">
        <v>42821</v>
      </c>
      <c r="E155" s="12" t="n">
        <v>30935</v>
      </c>
      <c r="F155" s="14" t="n">
        <f aca="false">(B155-E155)/365.25</f>
        <v>32.7583846680356</v>
      </c>
      <c r="G155" s="14" t="n">
        <f aca="false">(B155-D155)/365.25</f>
        <v>0.216290212183436</v>
      </c>
      <c r="H155" s="15" t="s">
        <v>228</v>
      </c>
      <c r="I155" s="15" t="s">
        <v>602</v>
      </c>
      <c r="J155" s="15" t="s">
        <v>183</v>
      </c>
      <c r="K155" s="21" t="n">
        <v>8</v>
      </c>
      <c r="L155" s="19"/>
      <c r="N155" s="16" t="e">
        <f aca="false">L155/(M155*M155)</f>
        <v>#DIV/0!</v>
      </c>
      <c r="O155" s="19" t="n">
        <v>0</v>
      </c>
      <c r="P155" s="19" t="n">
        <v>0</v>
      </c>
      <c r="Q155" s="19" t="n">
        <v>0</v>
      </c>
      <c r="R155" s="19" t="n">
        <v>0</v>
      </c>
      <c r="S155" s="19" t="n">
        <v>0</v>
      </c>
      <c r="T155" s="19" t="n">
        <v>0</v>
      </c>
      <c r="U155" s="19" t="n">
        <v>0</v>
      </c>
      <c r="V155" s="19" t="n">
        <v>0</v>
      </c>
      <c r="W155" s="19" t="n">
        <v>0</v>
      </c>
      <c r="X155" s="19" t="n">
        <v>0</v>
      </c>
      <c r="Y155" s="19" t="n">
        <v>0</v>
      </c>
      <c r="Z155" s="19" t="n">
        <v>0</v>
      </c>
      <c r="AA155" s="19" t="n">
        <v>0</v>
      </c>
      <c r="AB155" s="19" t="n">
        <v>0</v>
      </c>
      <c r="AC155" s="19" t="n">
        <v>1</v>
      </c>
      <c r="AD155" s="19" t="n">
        <v>20</v>
      </c>
      <c r="AE155" s="19" t="n">
        <v>0</v>
      </c>
      <c r="AF155" s="19" t="n">
        <v>0</v>
      </c>
      <c r="AG155" s="19" t="n">
        <v>0</v>
      </c>
      <c r="AH155" s="19" t="n">
        <v>0</v>
      </c>
      <c r="AI155" s="19" t="n">
        <v>0</v>
      </c>
      <c r="AJ155" s="19" t="n">
        <v>0</v>
      </c>
      <c r="AK155" s="19" t="n">
        <v>0</v>
      </c>
      <c r="AL155" s="19" t="n">
        <v>0</v>
      </c>
      <c r="AM155" s="19" t="n">
        <v>0</v>
      </c>
      <c r="AN155" s="19" t="n">
        <v>0</v>
      </c>
      <c r="AO155" s="19" t="n">
        <v>0</v>
      </c>
      <c r="AP155" s="19" t="n">
        <v>0</v>
      </c>
      <c r="AQ155" s="19" t="n">
        <v>0</v>
      </c>
      <c r="AR155" s="19" t="n">
        <v>0</v>
      </c>
      <c r="AS155" s="19" t="n">
        <v>0</v>
      </c>
      <c r="AT155" s="19" t="n">
        <v>0</v>
      </c>
      <c r="AU155" s="19" t="n">
        <v>0</v>
      </c>
      <c r="AV155" s="19" t="n">
        <v>0</v>
      </c>
      <c r="AW155" s="19" t="n">
        <v>0</v>
      </c>
      <c r="AX155" s="19" t="n">
        <v>0</v>
      </c>
      <c r="AY155" s="19" t="n">
        <v>0</v>
      </c>
      <c r="AZ155" s="19" t="n">
        <v>0</v>
      </c>
      <c r="BA155" s="19" t="n">
        <v>0</v>
      </c>
      <c r="BB155" s="19" t="n">
        <v>0</v>
      </c>
      <c r="BC155" s="19" t="n">
        <v>0</v>
      </c>
      <c r="BD155" s="19" t="n">
        <v>0</v>
      </c>
      <c r="BE155" s="19" t="n">
        <v>0</v>
      </c>
      <c r="BF155" s="19" t="n">
        <v>0</v>
      </c>
      <c r="BG155" s="19" t="n">
        <v>0</v>
      </c>
      <c r="BH155" s="19" t="n">
        <v>0</v>
      </c>
      <c r="BI155" s="19" t="n">
        <v>0</v>
      </c>
      <c r="BJ155" s="19" t="n">
        <v>0</v>
      </c>
      <c r="BK155" s="19" t="n">
        <v>0</v>
      </c>
      <c r="BL155" s="19" t="n">
        <v>0</v>
      </c>
      <c r="BM155" s="19" t="n">
        <v>0</v>
      </c>
      <c r="BN155" s="19" t="n">
        <v>0</v>
      </c>
      <c r="BO155" s="19" t="n">
        <v>0</v>
      </c>
      <c r="BP155" s="19" t="n">
        <v>0</v>
      </c>
      <c r="BQ155" s="19" t="n">
        <v>0</v>
      </c>
      <c r="BR155" s="19" t="n">
        <v>2</v>
      </c>
      <c r="BS155" s="19" t="n">
        <v>2</v>
      </c>
      <c r="BT155" s="19" t="n">
        <v>3</v>
      </c>
      <c r="BU155" s="19" t="n">
        <v>5</v>
      </c>
      <c r="BV155" s="19" t="n">
        <v>1</v>
      </c>
      <c r="BW155" s="19" t="n">
        <v>1</v>
      </c>
      <c r="BX155" s="19" t="n">
        <v>1</v>
      </c>
      <c r="BY155" s="19" t="n">
        <v>2</v>
      </c>
      <c r="BZ155" s="19" t="n">
        <v>2</v>
      </c>
      <c r="CA155" s="19" t="n">
        <v>4</v>
      </c>
      <c r="CB155" s="19" t="n">
        <v>4</v>
      </c>
      <c r="CC155" s="19" t="n">
        <v>5</v>
      </c>
      <c r="CD155" s="19" t="n">
        <v>3</v>
      </c>
      <c r="CE155" s="19" t="n">
        <v>2</v>
      </c>
      <c r="CF155" s="19" t="n">
        <v>2</v>
      </c>
      <c r="CG155" s="19" t="n">
        <v>4</v>
      </c>
      <c r="CH155" s="19" t="n">
        <v>2</v>
      </c>
      <c r="CI155" s="19" t="n">
        <v>3</v>
      </c>
      <c r="CJ155" s="19" t="n">
        <v>4</v>
      </c>
      <c r="CK155" s="19" t="n">
        <v>10</v>
      </c>
      <c r="CL155" s="0" t="s">
        <v>604</v>
      </c>
      <c r="CM155" s="0" t="n">
        <v>32</v>
      </c>
      <c r="CN155" s="16" t="n">
        <v>93.9</v>
      </c>
      <c r="CO155" s="16" t="n">
        <v>81</v>
      </c>
      <c r="CP155" s="16" t="n">
        <v>11.9</v>
      </c>
      <c r="CQ155" s="0" t="n">
        <v>93.99</v>
      </c>
      <c r="CR155" s="0" t="n">
        <v>4.91</v>
      </c>
      <c r="CS155" s="0" t="n">
        <v>0</v>
      </c>
      <c r="CT155" s="0" t="n">
        <v>0</v>
      </c>
      <c r="CU155" s="0" t="n">
        <v>1.1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21.14</v>
      </c>
      <c r="DE155" s="0" t="n">
        <v>45.4</v>
      </c>
      <c r="DF155" s="0" t="n">
        <v>0</v>
      </c>
      <c r="DG155" s="0" t="n">
        <v>0</v>
      </c>
      <c r="DH155" s="0" t="n">
        <v>0</v>
      </c>
      <c r="DU155" s="0" t="n">
        <v>0.6</v>
      </c>
      <c r="DV155" s="0" t="n">
        <v>1</v>
      </c>
      <c r="DW155" s="0" t="n">
        <v>52</v>
      </c>
      <c r="DX155" s="0" t="n">
        <v>3</v>
      </c>
      <c r="DY155" s="0" t="n">
        <v>0.27</v>
      </c>
      <c r="DZ155" s="0" t="n">
        <v>2</v>
      </c>
      <c r="EG155" s="18"/>
      <c r="EY155" s="0" t="n">
        <v>0</v>
      </c>
      <c r="GJ155" s="16" t="n">
        <v>1.89</v>
      </c>
      <c r="GK155" s="16" t="n">
        <v>1</v>
      </c>
      <c r="GL155" s="16" t="n">
        <v>2</v>
      </c>
      <c r="GM155" s="16"/>
      <c r="GN155" s="16" t="n">
        <v>5.25</v>
      </c>
      <c r="GO155" s="16"/>
      <c r="GP155" s="16"/>
      <c r="GQ155" s="16"/>
      <c r="GR155" s="16"/>
      <c r="GS155" s="16"/>
      <c r="GT155" s="16"/>
      <c r="GU155" s="16" t="n">
        <v>10.12</v>
      </c>
      <c r="GV155" s="16" t="n">
        <v>28</v>
      </c>
      <c r="GW155" s="16"/>
      <c r="GX155" s="16"/>
      <c r="GY155" s="16" t="n">
        <v>2.96</v>
      </c>
      <c r="GZ155" s="16" t="n">
        <v>11.53</v>
      </c>
      <c r="HA155" s="16" t="n">
        <v>0</v>
      </c>
      <c r="HB155" s="0" t="n">
        <v>0</v>
      </c>
      <c r="HC155" s="0" t="s">
        <v>605</v>
      </c>
      <c r="HD155" s="0" t="n">
        <v>23.5</v>
      </c>
      <c r="HE155" s="16" t="n">
        <v>76.8</v>
      </c>
      <c r="HF155" s="16" t="n">
        <v>81</v>
      </c>
      <c r="HG155" s="16" t="n">
        <v>13.3</v>
      </c>
      <c r="HH155" s="0" t="n">
        <v>89.68</v>
      </c>
      <c r="HI155" s="0" t="n">
        <v>0</v>
      </c>
      <c r="HJ155" s="0" t="n">
        <v>0.91</v>
      </c>
      <c r="HK155" s="0" t="n">
        <v>0</v>
      </c>
      <c r="HL155" s="0" t="n">
        <v>9.41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  <c r="HT155" s="0" t="n">
        <v>0</v>
      </c>
      <c r="HU155" s="0" t="n">
        <v>47.21</v>
      </c>
      <c r="HV155" s="0" t="n">
        <v>1.76</v>
      </c>
      <c r="HW155" s="0" t="n">
        <v>0</v>
      </c>
      <c r="HX155" s="0" t="n">
        <v>0</v>
      </c>
      <c r="HY155" s="0" t="n">
        <v>0</v>
      </c>
      <c r="IL155" s="0" t="n">
        <v>0.5</v>
      </c>
      <c r="IM155" s="0" t="n">
        <v>1</v>
      </c>
      <c r="IN155" s="0" t="n">
        <v>26</v>
      </c>
      <c r="IO155" s="0" t="n">
        <v>2</v>
      </c>
      <c r="IP155" s="0" t="n">
        <v>1.51</v>
      </c>
      <c r="IQ155" s="0" t="n">
        <v>2</v>
      </c>
      <c r="IR155" s="0" t="n">
        <v>52</v>
      </c>
      <c r="IS155" s="0" t="n">
        <v>3</v>
      </c>
      <c r="IT155" s="0" t="n">
        <v>0.38</v>
      </c>
      <c r="IU155" s="0" t="n">
        <v>2</v>
      </c>
      <c r="IX155" s="18"/>
      <c r="JP155" s="0" t="n">
        <v>0</v>
      </c>
      <c r="LA155" s="16" t="n">
        <v>0.11</v>
      </c>
      <c r="LB155" s="16" t="n">
        <v>1</v>
      </c>
      <c r="LC155" s="16" t="n">
        <v>1</v>
      </c>
      <c r="LD155" s="16"/>
      <c r="LE155" s="16" t="n">
        <v>0.37</v>
      </c>
      <c r="LF155" s="16"/>
      <c r="LG155" s="16"/>
      <c r="LH155" s="16"/>
      <c r="LI155" s="16"/>
      <c r="LJ155" s="16"/>
      <c r="LK155" s="16"/>
      <c r="LL155" s="16" t="n">
        <v>6.62</v>
      </c>
      <c r="LM155" s="16" t="n">
        <v>11.28</v>
      </c>
      <c r="LN155" s="16"/>
      <c r="LO155" s="16"/>
      <c r="LP155" s="16" t="n">
        <v>0</v>
      </c>
      <c r="LQ155" s="16" t="n">
        <v>0</v>
      </c>
      <c r="LR155" s="16" t="n">
        <v>0</v>
      </c>
      <c r="LS155" s="0" t="n">
        <v>0</v>
      </c>
      <c r="LT155" s="0" t="s">
        <v>606</v>
      </c>
      <c r="LU155" s="0" t="n">
        <v>22</v>
      </c>
      <c r="LV155" s="16" t="n">
        <v>82.5</v>
      </c>
      <c r="LW155" s="16" t="n">
        <v>81</v>
      </c>
      <c r="LX155" s="16" t="n">
        <v>15.1</v>
      </c>
      <c r="LY155" s="0" t="n">
        <v>0</v>
      </c>
      <c r="LZ155" s="0" t="n">
        <v>0</v>
      </c>
      <c r="MA155" s="0" t="n">
        <v>0</v>
      </c>
      <c r="MB155" s="0" t="n">
        <v>2</v>
      </c>
      <c r="MC155" s="0" t="n">
        <v>8.67</v>
      </c>
      <c r="MD155" s="0" t="n">
        <v>0</v>
      </c>
      <c r="ME155" s="0" t="n">
        <v>0</v>
      </c>
      <c r="MF155" s="0" t="n">
        <v>0</v>
      </c>
      <c r="MG155" s="0" t="n">
        <v>0</v>
      </c>
      <c r="MH155" s="0" t="n">
        <v>0</v>
      </c>
      <c r="MI155" s="0" t="n">
        <v>0</v>
      </c>
      <c r="MJ155" s="0" t="n">
        <v>5.88</v>
      </c>
      <c r="MK155" s="0" t="n">
        <v>34.73</v>
      </c>
      <c r="ML155" s="0" t="n">
        <v>6.44</v>
      </c>
      <c r="MM155" s="0" t="n">
        <v>0</v>
      </c>
      <c r="MN155" s="0" t="n">
        <v>0</v>
      </c>
      <c r="MO155" s="0" t="n">
        <v>0</v>
      </c>
      <c r="MP155" s="0" t="n">
        <v>0</v>
      </c>
      <c r="NC155" s="0" t="n">
        <v>5.8</v>
      </c>
      <c r="ND155" s="0" t="n">
        <v>1</v>
      </c>
      <c r="NE155" s="0" t="n">
        <v>68</v>
      </c>
      <c r="NF155" s="0" t="n">
        <v>6</v>
      </c>
      <c r="NG155" s="0" t="n">
        <f aca="false">0.38+1.89+0+0.33</f>
        <v>2.6</v>
      </c>
      <c r="NH155" s="0" t="n">
        <v>2</v>
      </c>
      <c r="NI155" s="0" t="n">
        <v>23</v>
      </c>
      <c r="NJ155" s="0" t="n">
        <v>1</v>
      </c>
      <c r="NK155" s="0" t="n">
        <v>2.27</v>
      </c>
      <c r="NL155" s="0" t="n">
        <v>3</v>
      </c>
      <c r="NO155" s="18"/>
      <c r="OG155" s="0" t="n">
        <v>0</v>
      </c>
      <c r="PR155" s="16" t="n">
        <v>0</v>
      </c>
      <c r="PS155" s="16" t="n">
        <v>0</v>
      </c>
      <c r="PT155" s="16"/>
      <c r="PU155" s="16"/>
      <c r="PV155" s="16"/>
      <c r="PW155" s="16"/>
      <c r="PX155" s="16"/>
      <c r="PY155" s="16"/>
      <c r="PZ155" s="16"/>
      <c r="QA155" s="16"/>
      <c r="QB155" s="16"/>
      <c r="QC155" s="16" t="n">
        <v>0.77</v>
      </c>
      <c r="QD155" s="16" t="n">
        <v>0.77</v>
      </c>
      <c r="QE155" s="16"/>
      <c r="QF155" s="16"/>
      <c r="QG155" s="16" t="n">
        <v>0</v>
      </c>
      <c r="QH155" s="16" t="n">
        <v>0</v>
      </c>
      <c r="QI155" s="16" t="n">
        <v>0</v>
      </c>
      <c r="QJ155" s="0" t="n">
        <v>0</v>
      </c>
      <c r="QK155" s="0" t="s">
        <v>607</v>
      </c>
      <c r="QL155" s="0" t="n">
        <v>34.5</v>
      </c>
      <c r="QM155" s="16" t="n">
        <v>93.1</v>
      </c>
      <c r="QN155" s="16" t="n">
        <v>81</v>
      </c>
      <c r="QO155" s="16" t="n">
        <v>25.7</v>
      </c>
      <c r="QP155" s="0" t="n">
        <v>72.2</v>
      </c>
      <c r="QQ155" s="0" t="n">
        <v>2.27</v>
      </c>
      <c r="QR155" s="0" t="n">
        <v>10.23</v>
      </c>
      <c r="QS155" s="0" t="n">
        <v>0</v>
      </c>
      <c r="QT155" s="0" t="n">
        <v>15.3</v>
      </c>
      <c r="QU155" s="0" t="n">
        <v>0</v>
      </c>
      <c r="QV155" s="0" t="n">
        <v>0</v>
      </c>
      <c r="QW155" s="0" t="n">
        <v>0</v>
      </c>
      <c r="QX155" s="0" t="n">
        <v>0</v>
      </c>
      <c r="QY155" s="0" t="n">
        <v>0</v>
      </c>
      <c r="QZ155" s="0" t="n">
        <v>0</v>
      </c>
      <c r="RA155" s="0" t="n">
        <v>0</v>
      </c>
      <c r="RB155" s="0" t="n">
        <v>0</v>
      </c>
      <c r="RC155" s="0" t="n">
        <v>41.42</v>
      </c>
      <c r="RD155" s="0" t="n">
        <v>39.33</v>
      </c>
      <c r="RE155" s="0" t="n">
        <v>0</v>
      </c>
      <c r="RF155" s="0" t="n">
        <v>0</v>
      </c>
      <c r="RG155" s="0" t="n">
        <v>0</v>
      </c>
      <c r="RT155" s="0" t="n">
        <v>0</v>
      </c>
      <c r="RU155" s="0" t="n">
        <v>0</v>
      </c>
      <c r="SF155" s="18"/>
      <c r="SX155" s="0" t="n">
        <v>0</v>
      </c>
      <c r="UI155" s="16" t="n">
        <v>3.45</v>
      </c>
      <c r="UJ155" s="16" t="n">
        <v>1</v>
      </c>
      <c r="UK155" s="16" t="n">
        <v>1</v>
      </c>
      <c r="UL155" s="16"/>
      <c r="UM155" s="16" t="n">
        <f aca="false">2.1+6.3+6.23*2+6.3+0.65+0.74*2+0.19</f>
        <v>29.48</v>
      </c>
      <c r="UN155" s="16"/>
      <c r="UO155" s="16"/>
      <c r="UP155" s="16"/>
      <c r="UQ155" s="16"/>
      <c r="UR155" s="16"/>
      <c r="US155" s="16"/>
      <c r="UT155" s="16" t="n">
        <v>0.65</v>
      </c>
      <c r="UU155" s="16" t="n">
        <v>0.65</v>
      </c>
      <c r="UV155" s="16"/>
      <c r="UW155" s="16"/>
      <c r="UX155" s="16" t="n">
        <v>0</v>
      </c>
      <c r="UY155" s="16" t="n">
        <v>0</v>
      </c>
      <c r="UZ155" s="16" t="n">
        <v>0</v>
      </c>
      <c r="VA155" s="0" t="n">
        <v>0</v>
      </c>
      <c r="VB155" s="0" t="s">
        <v>608</v>
      </c>
      <c r="VC155" s="0" t="n">
        <v>33.5</v>
      </c>
      <c r="VD155" s="16" t="n">
        <v>96.2</v>
      </c>
      <c r="VE155" s="16" t="n">
        <v>81</v>
      </c>
      <c r="VF155" s="16" t="n">
        <v>22.7</v>
      </c>
      <c r="VG155" s="0" t="n">
        <v>75.63</v>
      </c>
      <c r="VH155" s="0" t="n">
        <v>0</v>
      </c>
      <c r="VI155" s="0" t="n">
        <v>8.36</v>
      </c>
      <c r="VJ155" s="0" t="n">
        <v>0</v>
      </c>
      <c r="VK155" s="0" t="n">
        <v>15.71</v>
      </c>
      <c r="VL155" s="0" t="n">
        <v>0</v>
      </c>
      <c r="VM155" s="0" t="n">
        <v>0</v>
      </c>
      <c r="VN155" s="0" t="n">
        <v>0</v>
      </c>
      <c r="VO155" s="0" t="n">
        <v>0</v>
      </c>
      <c r="VP155" s="0" t="n">
        <v>0</v>
      </c>
      <c r="VQ155" s="0" t="n">
        <v>0</v>
      </c>
      <c r="VR155" s="0" t="n">
        <v>0</v>
      </c>
      <c r="VS155" s="0" t="n">
        <v>0</v>
      </c>
      <c r="VT155" s="0" t="n">
        <v>55.49</v>
      </c>
      <c r="VU155" s="0" t="n">
        <v>29.63</v>
      </c>
      <c r="VV155" s="0" t="n">
        <v>0</v>
      </c>
      <c r="VW155" s="0" t="n">
        <v>0</v>
      </c>
      <c r="VX155" s="0" t="n">
        <v>0</v>
      </c>
      <c r="WK155" s="0" t="n">
        <v>0</v>
      </c>
      <c r="WL155" s="0" t="n">
        <v>0</v>
      </c>
      <c r="WW155" s="18"/>
      <c r="XO155" s="0" t="n">
        <v>0</v>
      </c>
      <c r="YZ155" s="16" t="n">
        <v>4.96</v>
      </c>
      <c r="ZA155" s="16" t="n">
        <v>1</v>
      </c>
      <c r="ZB155" s="16" t="n">
        <v>1</v>
      </c>
      <c r="ZC155" s="16"/>
      <c r="ZD155" s="16" t="n">
        <f aca="false">2.1+6.3*2+12.47*2+0.74+0.19+1.67</f>
        <v>42.24</v>
      </c>
      <c r="ZE155" s="16"/>
      <c r="ZF155" s="16"/>
      <c r="ZG155" s="16"/>
      <c r="ZH155" s="16"/>
      <c r="ZI155" s="16"/>
      <c r="ZJ155" s="16"/>
      <c r="ZK155" s="16" t="n">
        <v>0.32</v>
      </c>
      <c r="ZL155" s="16" t="n">
        <v>0.32</v>
      </c>
      <c r="ZM155" s="16"/>
      <c r="ZN155" s="16"/>
      <c r="ZO155" s="16" t="n">
        <v>0</v>
      </c>
      <c r="ZP155" s="16" t="n">
        <v>0</v>
      </c>
      <c r="ZQ155" s="16" t="n">
        <v>0</v>
      </c>
      <c r="ZR155" s="0" t="n">
        <v>0</v>
      </c>
      <c r="ZS155" s="0" t="s">
        <v>609</v>
      </c>
      <c r="ZT155" s="0" t="n">
        <v>27.5</v>
      </c>
      <c r="ZU155" s="16" t="n">
        <v>85.4</v>
      </c>
      <c r="ZV155" s="16" t="n">
        <v>81</v>
      </c>
      <c r="ZW155" s="16" t="n">
        <v>17.8</v>
      </c>
      <c r="ZX155" s="0" t="n">
        <v>85.58</v>
      </c>
      <c r="ZY155" s="0" t="n">
        <v>0</v>
      </c>
      <c r="ZZ155" s="0" t="n">
        <v>12.16</v>
      </c>
      <c r="AAA155" s="0" t="n">
        <v>0</v>
      </c>
      <c r="AAB155" s="0" t="n">
        <v>2.26</v>
      </c>
      <c r="AAC155" s="0" t="n">
        <v>0</v>
      </c>
      <c r="AAD155" s="0" t="n">
        <v>0</v>
      </c>
      <c r="AAE155" s="0" t="n">
        <v>0</v>
      </c>
      <c r="AAF155" s="0" t="n">
        <v>0</v>
      </c>
      <c r="AAG155" s="0" t="n">
        <v>0</v>
      </c>
      <c r="AAH155" s="0" t="n">
        <v>0</v>
      </c>
      <c r="AAI155" s="0" t="n">
        <v>0</v>
      </c>
      <c r="AAJ155" s="0" t="n">
        <v>20.21</v>
      </c>
      <c r="AAK155" s="0" t="n">
        <v>37.16</v>
      </c>
      <c r="AAL155" s="0" t="n">
        <v>3.57</v>
      </c>
      <c r="AAM155" s="0" t="n">
        <v>0</v>
      </c>
      <c r="AAN155" s="0" t="n">
        <v>0</v>
      </c>
      <c r="AAO155" s="0" t="n">
        <v>0</v>
      </c>
      <c r="ABB155" s="0" t="n">
        <v>0</v>
      </c>
      <c r="ABC155" s="0" t="n">
        <v>0</v>
      </c>
      <c r="ABN155" s="18"/>
      <c r="ACF155" s="0" t="n">
        <v>0</v>
      </c>
      <c r="ADQ155" s="16" t="n">
        <v>3.29</v>
      </c>
      <c r="ADR155" s="16" t="n">
        <v>1</v>
      </c>
      <c r="ADS155" s="16" t="n">
        <v>1</v>
      </c>
      <c r="ADT155" s="16"/>
      <c r="ADU155" s="16" t="n">
        <f aca="false">10.5+0.19+0.83</f>
        <v>11.52</v>
      </c>
      <c r="ADV155" s="16"/>
      <c r="ADW155" s="16"/>
      <c r="ADX155" s="16"/>
      <c r="ADY155" s="16"/>
      <c r="ADZ155" s="16"/>
      <c r="AEA155" s="16"/>
      <c r="AEB155" s="16" t="n">
        <v>3.85</v>
      </c>
      <c r="AEC155" s="16" t="n">
        <v>3.86</v>
      </c>
      <c r="AED155" s="16"/>
      <c r="AEE155" s="16"/>
      <c r="AEF155" s="16" t="n">
        <v>0</v>
      </c>
      <c r="AEG155" s="16" t="n">
        <v>0</v>
      </c>
      <c r="AEH155" s="16" t="n">
        <v>0</v>
      </c>
      <c r="AEI155" s="0" t="n">
        <v>0</v>
      </c>
      <c r="AEJ155" s="0" t="s">
        <v>610</v>
      </c>
      <c r="AEK155" s="0" t="n">
        <v>28.5</v>
      </c>
      <c r="AEL155" s="16" t="n">
        <v>85.2</v>
      </c>
      <c r="AEM155" s="16" t="n">
        <v>81</v>
      </c>
      <c r="AEN155" s="16" t="n">
        <v>18.4</v>
      </c>
      <c r="AEO155" s="0" t="n">
        <v>84.66</v>
      </c>
      <c r="AEP155" s="0" t="n">
        <v>0</v>
      </c>
      <c r="AEQ155" s="0" t="n">
        <v>13.08</v>
      </c>
      <c r="AER155" s="0" t="n">
        <v>0</v>
      </c>
      <c r="AES155" s="0" t="n">
        <v>2.26</v>
      </c>
      <c r="AET155" s="0" t="n">
        <v>0</v>
      </c>
      <c r="AEU155" s="0" t="n">
        <v>0</v>
      </c>
      <c r="AEV155" s="0" t="n">
        <v>0</v>
      </c>
      <c r="AEW155" s="0" t="n">
        <v>0</v>
      </c>
      <c r="AEX155" s="0" t="n">
        <v>0</v>
      </c>
      <c r="AEY155" s="0" t="n">
        <v>0</v>
      </c>
      <c r="AEZ155" s="0" t="n">
        <v>0</v>
      </c>
      <c r="AFA155" s="0" t="n">
        <v>20.21</v>
      </c>
      <c r="AFB155" s="0" t="n">
        <v>38.43</v>
      </c>
      <c r="AFC155" s="0" t="n">
        <v>2.54</v>
      </c>
      <c r="AFD155" s="0" t="n">
        <v>0</v>
      </c>
      <c r="AFE155" s="0" t="n">
        <v>0</v>
      </c>
      <c r="AFF155" s="0" t="n">
        <v>0</v>
      </c>
      <c r="AFS155" s="0" t="n">
        <v>0</v>
      </c>
      <c r="AFT155" s="0" t="n">
        <v>0</v>
      </c>
      <c r="AGE155" s="18"/>
      <c r="AGW155" s="0" t="n">
        <v>0</v>
      </c>
      <c r="AIH155" s="16" t="n">
        <v>3.39</v>
      </c>
      <c r="AII155" s="16" t="n">
        <v>1</v>
      </c>
      <c r="AIJ155" s="16" t="n">
        <v>1</v>
      </c>
      <c r="AIK155" s="16"/>
      <c r="AIL155" s="16" t="n">
        <f aca="false">10.5+0.19+0.65+1.67</f>
        <v>13.01</v>
      </c>
      <c r="AIM155" s="16"/>
      <c r="AIN155" s="16"/>
      <c r="AIO155" s="16"/>
      <c r="AIP155" s="16"/>
      <c r="AIQ155" s="16"/>
      <c r="AIR155" s="16"/>
      <c r="AIS155" s="16" t="n">
        <v>3.95</v>
      </c>
      <c r="AIT155" s="16" t="n">
        <v>3.95</v>
      </c>
      <c r="AIU155" s="16"/>
      <c r="AIV155" s="16"/>
      <c r="AIW155" s="16" t="n">
        <v>0</v>
      </c>
      <c r="AIX155" s="16" t="n">
        <v>0</v>
      </c>
      <c r="AIY155" s="16" t="n">
        <v>0</v>
      </c>
      <c r="AIZ155" s="0" t="n">
        <v>0</v>
      </c>
      <c r="AJA155" s="0" t="s">
        <v>611</v>
      </c>
      <c r="AJB155" s="0" t="n">
        <v>69.5</v>
      </c>
      <c r="AJC155" s="16" t="n">
        <v>94.1</v>
      </c>
      <c r="AJD155" s="16" t="n">
        <v>81</v>
      </c>
      <c r="AJE155" s="16" t="n">
        <v>66.2</v>
      </c>
      <c r="AJF155" s="0" t="n">
        <v>39.99</v>
      </c>
      <c r="AJG155" s="0" t="n">
        <v>0</v>
      </c>
      <c r="AJH155" s="0" t="n">
        <v>33.27</v>
      </c>
      <c r="AJI155" s="0" t="n">
        <v>26.74</v>
      </c>
      <c r="AJJ155" s="0" t="n">
        <v>0</v>
      </c>
      <c r="AJK155" s="0" t="n">
        <v>0</v>
      </c>
      <c r="AJL155" s="0" t="n">
        <v>0</v>
      </c>
      <c r="AJM155" s="0" t="n">
        <v>0</v>
      </c>
      <c r="AJN155" s="0" t="n">
        <v>0</v>
      </c>
      <c r="AJO155" s="0" t="n">
        <v>0</v>
      </c>
      <c r="AJP155" s="0" t="n">
        <v>0</v>
      </c>
      <c r="AJQ155" s="0" t="n">
        <v>0</v>
      </c>
      <c r="AJR155" s="0" t="n">
        <v>9.07</v>
      </c>
      <c r="AJS155" s="0" t="n">
        <v>0</v>
      </c>
      <c r="AJT155" s="0" t="n">
        <v>2.3</v>
      </c>
      <c r="AJU155" s="0" t="n">
        <v>0</v>
      </c>
      <c r="AJV155" s="0" t="n">
        <v>0</v>
      </c>
      <c r="AJW155" s="0" t="n">
        <v>0</v>
      </c>
      <c r="AKJ155" s="0" t="n">
        <v>0</v>
      </c>
      <c r="AKK155" s="0" t="n">
        <v>0</v>
      </c>
      <c r="AKV155" s="18"/>
      <c r="ALN155" s="0" t="n">
        <v>0</v>
      </c>
    </row>
    <row r="156" customFormat="false" ht="13.8" hidden="false" customHeight="false" outlineLevel="0" collapsed="false">
      <c r="A156" s="1" t="s">
        <v>615</v>
      </c>
      <c r="B156" s="12" t="n">
        <v>42900</v>
      </c>
      <c r="C156" s="0" t="n">
        <v>2</v>
      </c>
      <c r="D156" s="13" t="n">
        <v>40301</v>
      </c>
      <c r="E156" s="12" t="n">
        <v>29955</v>
      </c>
      <c r="F156" s="14" t="n">
        <f aca="false">(B156-E156)/365.25</f>
        <v>35.4414784394251</v>
      </c>
      <c r="G156" s="14" t="n">
        <f aca="false">(B156-D156)/365.25</f>
        <v>7.11567419575633</v>
      </c>
      <c r="H156" s="15" t="s">
        <v>228</v>
      </c>
      <c r="I156" s="15" t="s">
        <v>602</v>
      </c>
      <c r="J156" s="15" t="s">
        <v>183</v>
      </c>
      <c r="K156" s="21" t="n">
        <v>8</v>
      </c>
      <c r="L156" s="19" t="n">
        <v>87</v>
      </c>
      <c r="M156" s="0" t="n">
        <v>1.78</v>
      </c>
      <c r="N156" s="16" t="n">
        <f aca="false">L156/(M156*M156)</f>
        <v>27.458654210327</v>
      </c>
      <c r="O156" s="19" t="n">
        <v>0</v>
      </c>
      <c r="P156" s="19" t="n">
        <v>0</v>
      </c>
      <c r="Q156" s="19" t="n">
        <v>0</v>
      </c>
      <c r="R156" s="19" t="n">
        <v>0</v>
      </c>
      <c r="S156" s="19" t="n">
        <v>0</v>
      </c>
      <c r="T156" s="19" t="n">
        <v>0</v>
      </c>
      <c r="U156" s="19" t="n">
        <v>0</v>
      </c>
      <c r="V156" s="19" t="n">
        <v>0</v>
      </c>
      <c r="W156" s="19" t="n">
        <v>0</v>
      </c>
      <c r="X156" s="19" t="n">
        <v>0</v>
      </c>
      <c r="Y156" s="19" t="n">
        <v>0</v>
      </c>
      <c r="Z156" s="19" t="n">
        <v>0</v>
      </c>
      <c r="AA156" s="19" t="n">
        <v>0</v>
      </c>
      <c r="AB156" s="19" t="n">
        <v>0</v>
      </c>
      <c r="AC156" s="19" t="n">
        <v>1</v>
      </c>
      <c r="AD156" s="19" t="n">
        <v>10</v>
      </c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 t="n">
        <v>3</v>
      </c>
      <c r="BS156" s="19" t="n">
        <v>3</v>
      </c>
      <c r="BT156" s="19" t="n">
        <v>4</v>
      </c>
      <c r="BU156" s="19" t="n">
        <v>5</v>
      </c>
      <c r="BV156" s="19" t="n">
        <v>2</v>
      </c>
      <c r="BW156" s="19" t="n">
        <v>5</v>
      </c>
      <c r="BX156" s="19" t="n">
        <v>4</v>
      </c>
      <c r="BY156" s="19" t="n">
        <v>4</v>
      </c>
      <c r="BZ156" s="19" t="n">
        <v>1</v>
      </c>
      <c r="CA156" s="19" t="n">
        <v>2</v>
      </c>
      <c r="CB156" s="19" t="n">
        <v>3</v>
      </c>
      <c r="CC156" s="19" t="n">
        <v>3</v>
      </c>
      <c r="CD156" s="19" t="n">
        <v>3</v>
      </c>
      <c r="CE156" s="19" t="n">
        <v>2</v>
      </c>
      <c r="CF156" s="19" t="n">
        <v>4</v>
      </c>
      <c r="CG156" s="19" t="n">
        <v>3</v>
      </c>
      <c r="CH156" s="19" t="n">
        <v>3</v>
      </c>
      <c r="CI156" s="19" t="n">
        <v>4</v>
      </c>
      <c r="CJ156" s="19" t="n">
        <v>3</v>
      </c>
      <c r="CK156" s="19" t="n">
        <v>5</v>
      </c>
      <c r="CL156" s="0" t="s">
        <v>606</v>
      </c>
      <c r="CM156" s="0" t="n">
        <v>22</v>
      </c>
      <c r="CN156" s="16" t="n">
        <v>82.5</v>
      </c>
      <c r="CO156" s="16" t="n">
        <v>81</v>
      </c>
      <c r="CP156" s="16" t="n">
        <v>15.1</v>
      </c>
      <c r="CQ156" s="0" t="n">
        <v>0</v>
      </c>
      <c r="CR156" s="0" t="n">
        <v>0</v>
      </c>
      <c r="CS156" s="0" t="n">
        <v>0</v>
      </c>
      <c r="CT156" s="0" t="n">
        <v>2</v>
      </c>
      <c r="CU156" s="0" t="n">
        <v>8.67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5.88</v>
      </c>
      <c r="DC156" s="0" t="n">
        <v>34.73</v>
      </c>
      <c r="DD156" s="0" t="n">
        <v>6.44</v>
      </c>
      <c r="DE156" s="0" t="n">
        <v>0</v>
      </c>
      <c r="DF156" s="0" t="n">
        <v>0</v>
      </c>
      <c r="DG156" s="0" t="n">
        <v>0</v>
      </c>
      <c r="DH156" s="0" t="n">
        <v>0</v>
      </c>
      <c r="DU156" s="0" t="n">
        <v>5.8</v>
      </c>
      <c r="DV156" s="0" t="n">
        <v>1</v>
      </c>
      <c r="DW156" s="0" t="n">
        <v>68</v>
      </c>
      <c r="DX156" s="0" t="n">
        <v>6</v>
      </c>
      <c r="DY156" s="0" t="n">
        <f aca="false">0.38+1.89+0+0.33</f>
        <v>2.6</v>
      </c>
      <c r="DZ156" s="0" t="n">
        <v>2</v>
      </c>
      <c r="EA156" s="0" t="n">
        <v>23</v>
      </c>
      <c r="EB156" s="0" t="n">
        <v>1</v>
      </c>
      <c r="EC156" s="0" t="n">
        <v>2.27</v>
      </c>
      <c r="ED156" s="0" t="n">
        <v>3</v>
      </c>
      <c r="EG156" s="18"/>
      <c r="EY156" s="0" t="n">
        <v>0</v>
      </c>
      <c r="GJ156" s="16" t="n">
        <v>0</v>
      </c>
      <c r="GK156" s="16" t="n">
        <v>0</v>
      </c>
      <c r="GL156" s="16"/>
      <c r="GM156" s="16"/>
      <c r="GN156" s="16"/>
      <c r="GO156" s="16"/>
      <c r="GP156" s="16"/>
      <c r="GQ156" s="16"/>
      <c r="GR156" s="16"/>
      <c r="GS156" s="16"/>
      <c r="GT156" s="16"/>
      <c r="GU156" s="16" t="n">
        <v>0.77</v>
      </c>
      <c r="GV156" s="16" t="n">
        <v>0.77</v>
      </c>
      <c r="GW156" s="16"/>
      <c r="GX156" s="16"/>
      <c r="GY156" s="16" t="n">
        <v>0</v>
      </c>
      <c r="GZ156" s="16" t="n">
        <v>0</v>
      </c>
      <c r="HA156" s="16" t="n">
        <v>0</v>
      </c>
      <c r="HB156" s="0" t="n">
        <v>0</v>
      </c>
      <c r="HC156" s="0" t="s">
        <v>607</v>
      </c>
      <c r="HD156" s="0" t="n">
        <v>34.5</v>
      </c>
      <c r="HE156" s="16" t="n">
        <v>93.1</v>
      </c>
      <c r="HF156" s="16" t="n">
        <v>81</v>
      </c>
      <c r="HG156" s="16" t="n">
        <v>25.7</v>
      </c>
      <c r="HH156" s="0" t="n">
        <v>72.2</v>
      </c>
      <c r="HI156" s="0" t="n">
        <v>2.27</v>
      </c>
      <c r="HJ156" s="0" t="n">
        <v>10.23</v>
      </c>
      <c r="HK156" s="0" t="n">
        <v>0</v>
      </c>
      <c r="HL156" s="0" t="n">
        <v>15.3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  <c r="HT156" s="0" t="n">
        <v>0</v>
      </c>
      <c r="HU156" s="0" t="n">
        <v>41.42</v>
      </c>
      <c r="HV156" s="0" t="n">
        <v>39.33</v>
      </c>
      <c r="HW156" s="0" t="n">
        <v>0</v>
      </c>
      <c r="HX156" s="0" t="n">
        <v>0</v>
      </c>
      <c r="HY156" s="0" t="n">
        <v>0</v>
      </c>
      <c r="IL156" s="0" t="n">
        <v>0</v>
      </c>
      <c r="IM156" s="0" t="n">
        <v>0</v>
      </c>
      <c r="IX156" s="18"/>
      <c r="JP156" s="0" t="n">
        <v>0</v>
      </c>
      <c r="LA156" s="16" t="n">
        <v>3.45</v>
      </c>
      <c r="LB156" s="16" t="n">
        <v>1</v>
      </c>
      <c r="LC156" s="16" t="n">
        <v>1</v>
      </c>
      <c r="LD156" s="16"/>
      <c r="LE156" s="16" t="n">
        <f aca="false">2.1+6.3+6.23*2+6.3+0.65+0.74*2+0.19</f>
        <v>29.48</v>
      </c>
      <c r="LF156" s="16"/>
      <c r="LG156" s="16"/>
      <c r="LH156" s="16"/>
      <c r="LI156" s="16"/>
      <c r="LJ156" s="16"/>
      <c r="LK156" s="16"/>
      <c r="LL156" s="16" t="n">
        <v>0.65</v>
      </c>
      <c r="LM156" s="16" t="n">
        <v>0.65</v>
      </c>
      <c r="LN156" s="16"/>
      <c r="LO156" s="16"/>
      <c r="LP156" s="16" t="n">
        <v>0</v>
      </c>
      <c r="LQ156" s="16" t="n">
        <v>0</v>
      </c>
      <c r="LR156" s="16" t="n">
        <v>0</v>
      </c>
      <c r="LS156" s="0" t="n">
        <v>0</v>
      </c>
      <c r="LT156" s="0" t="s">
        <v>608</v>
      </c>
      <c r="LU156" s="0" t="n">
        <v>33.5</v>
      </c>
      <c r="LV156" s="16" t="n">
        <v>96.2</v>
      </c>
      <c r="LW156" s="16" t="n">
        <v>81</v>
      </c>
      <c r="LX156" s="16" t="n">
        <v>22.7</v>
      </c>
      <c r="LY156" s="0" t="n">
        <v>75.63</v>
      </c>
      <c r="LZ156" s="0" t="n">
        <v>0</v>
      </c>
      <c r="MA156" s="0" t="n">
        <v>8.36</v>
      </c>
      <c r="MB156" s="0" t="n">
        <v>0</v>
      </c>
      <c r="MC156" s="0" t="n">
        <v>15.71</v>
      </c>
      <c r="MD156" s="0" t="n">
        <v>0</v>
      </c>
      <c r="ME156" s="0" t="n">
        <v>0</v>
      </c>
      <c r="MF156" s="0" t="n">
        <v>0</v>
      </c>
      <c r="MG156" s="0" t="n">
        <v>0</v>
      </c>
      <c r="MH156" s="0" t="n">
        <v>0</v>
      </c>
      <c r="MI156" s="0" t="n">
        <v>0</v>
      </c>
      <c r="MJ156" s="0" t="n">
        <v>0</v>
      </c>
      <c r="MK156" s="0" t="n">
        <v>0</v>
      </c>
      <c r="ML156" s="0" t="n">
        <v>55.49</v>
      </c>
      <c r="MM156" s="0" t="n">
        <v>29.63</v>
      </c>
      <c r="MN156" s="0" t="n">
        <v>0</v>
      </c>
      <c r="MO156" s="0" t="n">
        <v>0</v>
      </c>
      <c r="MP156" s="0" t="n">
        <v>0</v>
      </c>
      <c r="NC156" s="0" t="n">
        <v>0</v>
      </c>
      <c r="ND156" s="0" t="n">
        <v>0</v>
      </c>
      <c r="NO156" s="18"/>
      <c r="OG156" s="0" t="n">
        <v>0</v>
      </c>
      <c r="PR156" s="16" t="n">
        <v>4.96</v>
      </c>
      <c r="PS156" s="16" t="n">
        <v>1</v>
      </c>
      <c r="PT156" s="16" t="n">
        <v>1</v>
      </c>
      <c r="PU156" s="16"/>
      <c r="PV156" s="16" t="n">
        <f aca="false">2.1+6.3*2+12.47*2+0.74+0.19+1.67</f>
        <v>42.24</v>
      </c>
      <c r="PW156" s="16"/>
      <c r="PX156" s="16"/>
      <c r="PY156" s="16"/>
      <c r="PZ156" s="16"/>
      <c r="QA156" s="16"/>
      <c r="QB156" s="16"/>
      <c r="QC156" s="16" t="n">
        <v>0.32</v>
      </c>
      <c r="QD156" s="16" t="n">
        <v>0.32</v>
      </c>
      <c r="QE156" s="16"/>
      <c r="QF156" s="16"/>
      <c r="QG156" s="16" t="n">
        <v>0</v>
      </c>
      <c r="QH156" s="16" t="n">
        <v>0</v>
      </c>
      <c r="QI156" s="16" t="n">
        <v>0</v>
      </c>
      <c r="QJ156" s="0" t="n">
        <v>0</v>
      </c>
      <c r="QK156" s="0" t="s">
        <v>609</v>
      </c>
      <c r="QL156" s="0" t="n">
        <v>27.5</v>
      </c>
      <c r="QM156" s="16" t="n">
        <v>85.4</v>
      </c>
      <c r="QN156" s="16" t="n">
        <v>81</v>
      </c>
      <c r="QO156" s="16" t="n">
        <v>17.8</v>
      </c>
      <c r="QP156" s="0" t="n">
        <v>85.58</v>
      </c>
      <c r="QQ156" s="0" t="n">
        <v>0</v>
      </c>
      <c r="QR156" s="0" t="n">
        <v>12.16</v>
      </c>
      <c r="QS156" s="0" t="n">
        <v>0</v>
      </c>
      <c r="QT156" s="0" t="n">
        <v>2.26</v>
      </c>
      <c r="QU156" s="0" t="n">
        <v>0</v>
      </c>
      <c r="QV156" s="0" t="n">
        <v>0</v>
      </c>
      <c r="QW156" s="0" t="n">
        <v>0</v>
      </c>
      <c r="QX156" s="0" t="n">
        <v>0</v>
      </c>
      <c r="QY156" s="0" t="n">
        <v>0</v>
      </c>
      <c r="QZ156" s="0" t="n">
        <v>0</v>
      </c>
      <c r="RA156" s="0" t="n">
        <v>0</v>
      </c>
      <c r="RB156" s="0" t="n">
        <v>20.21</v>
      </c>
      <c r="RC156" s="0" t="n">
        <v>37.16</v>
      </c>
      <c r="RD156" s="0" t="n">
        <v>3.57</v>
      </c>
      <c r="RE156" s="0" t="n">
        <v>0</v>
      </c>
      <c r="RF156" s="0" t="n">
        <v>0</v>
      </c>
      <c r="RG156" s="0" t="n">
        <v>0</v>
      </c>
      <c r="RT156" s="0" t="n">
        <v>0</v>
      </c>
      <c r="RU156" s="0" t="n">
        <v>0</v>
      </c>
      <c r="SF156" s="18"/>
      <c r="SX156" s="0" t="n">
        <v>0</v>
      </c>
      <c r="UI156" s="16" t="n">
        <v>3.29</v>
      </c>
      <c r="UJ156" s="16" t="n">
        <v>1</v>
      </c>
      <c r="UK156" s="16" t="n">
        <v>1</v>
      </c>
      <c r="UL156" s="16"/>
      <c r="UM156" s="16" t="n">
        <f aca="false">10.5+0.19+0.83</f>
        <v>11.52</v>
      </c>
      <c r="UN156" s="16"/>
      <c r="UO156" s="16"/>
      <c r="UP156" s="16"/>
      <c r="UQ156" s="16"/>
      <c r="UR156" s="16"/>
      <c r="US156" s="16"/>
      <c r="UT156" s="16" t="n">
        <v>3.85</v>
      </c>
      <c r="UU156" s="16" t="n">
        <v>3.86</v>
      </c>
      <c r="UV156" s="16"/>
      <c r="UW156" s="16"/>
      <c r="UX156" s="16" t="n">
        <v>0</v>
      </c>
      <c r="UY156" s="16" t="n">
        <v>0</v>
      </c>
      <c r="UZ156" s="16" t="n">
        <v>0</v>
      </c>
      <c r="VA156" s="0" t="n">
        <v>0</v>
      </c>
      <c r="VB156" s="0" t="s">
        <v>610</v>
      </c>
      <c r="VC156" s="0" t="n">
        <v>28.5</v>
      </c>
      <c r="VD156" s="16" t="n">
        <v>85.2</v>
      </c>
      <c r="VE156" s="16" t="n">
        <v>81</v>
      </c>
      <c r="VF156" s="16" t="n">
        <v>18.4</v>
      </c>
      <c r="VG156" s="0" t="n">
        <v>84.66</v>
      </c>
      <c r="VH156" s="0" t="n">
        <v>0</v>
      </c>
      <c r="VI156" s="0" t="n">
        <v>13.08</v>
      </c>
      <c r="VJ156" s="0" t="n">
        <v>0</v>
      </c>
      <c r="VK156" s="0" t="n">
        <v>2.26</v>
      </c>
      <c r="VL156" s="0" t="n">
        <v>0</v>
      </c>
      <c r="VM156" s="0" t="n">
        <v>0</v>
      </c>
      <c r="VN156" s="0" t="n">
        <v>0</v>
      </c>
      <c r="VO156" s="0" t="n">
        <v>0</v>
      </c>
      <c r="VP156" s="0" t="n">
        <v>0</v>
      </c>
      <c r="VQ156" s="0" t="n">
        <v>0</v>
      </c>
      <c r="VR156" s="0" t="n">
        <v>0</v>
      </c>
      <c r="VS156" s="0" t="n">
        <v>20.21</v>
      </c>
      <c r="VT156" s="0" t="n">
        <v>38.43</v>
      </c>
      <c r="VU156" s="0" t="n">
        <v>2.54</v>
      </c>
      <c r="VV156" s="0" t="n">
        <v>0</v>
      </c>
      <c r="VW156" s="0" t="n">
        <v>0</v>
      </c>
      <c r="VX156" s="0" t="n">
        <v>0</v>
      </c>
      <c r="WK156" s="0" t="n">
        <v>0</v>
      </c>
      <c r="WL156" s="0" t="n">
        <v>0</v>
      </c>
      <c r="WW156" s="18"/>
      <c r="XO156" s="0" t="n">
        <v>0</v>
      </c>
      <c r="YZ156" s="16" t="n">
        <v>3.39</v>
      </c>
      <c r="ZA156" s="16" t="n">
        <v>1</v>
      </c>
      <c r="ZB156" s="16" t="n">
        <v>1</v>
      </c>
      <c r="ZC156" s="16"/>
      <c r="ZD156" s="16" t="n">
        <f aca="false">10.5+0.19+0.65+1.67</f>
        <v>13.01</v>
      </c>
      <c r="ZE156" s="16"/>
      <c r="ZF156" s="16"/>
      <c r="ZG156" s="16"/>
      <c r="ZH156" s="16"/>
      <c r="ZI156" s="16"/>
      <c r="ZJ156" s="16"/>
      <c r="ZK156" s="16" t="n">
        <v>3.95</v>
      </c>
      <c r="ZL156" s="16" t="n">
        <v>3.95</v>
      </c>
      <c r="ZM156" s="16"/>
      <c r="ZN156" s="16"/>
      <c r="ZO156" s="16" t="n">
        <v>0</v>
      </c>
      <c r="ZP156" s="16" t="n">
        <v>0</v>
      </c>
      <c r="ZQ156" s="16" t="n">
        <v>0</v>
      </c>
      <c r="ZR156" s="0" t="n">
        <v>0</v>
      </c>
      <c r="ZS156" s="0" t="s">
        <v>611</v>
      </c>
      <c r="ZT156" s="0" t="n">
        <v>69.5</v>
      </c>
      <c r="ZU156" s="16" t="n">
        <v>94.1</v>
      </c>
      <c r="ZV156" s="16" t="n">
        <v>81</v>
      </c>
      <c r="ZW156" s="16" t="n">
        <v>66.2</v>
      </c>
      <c r="ZX156" s="0" t="n">
        <v>39.99</v>
      </c>
      <c r="ZY156" s="0" t="n">
        <v>0</v>
      </c>
      <c r="ZZ156" s="0" t="n">
        <v>33.27</v>
      </c>
      <c r="AAA156" s="0" t="n">
        <v>26.74</v>
      </c>
      <c r="AAB156" s="0" t="n">
        <v>0</v>
      </c>
      <c r="AAC156" s="0" t="n">
        <v>0</v>
      </c>
      <c r="AAD156" s="0" t="n">
        <v>0</v>
      </c>
      <c r="AAE156" s="0" t="n">
        <v>0</v>
      </c>
      <c r="AAF156" s="0" t="n">
        <v>0</v>
      </c>
      <c r="AAG156" s="0" t="n">
        <v>0</v>
      </c>
      <c r="AAH156" s="0" t="n">
        <v>0</v>
      </c>
      <c r="AAI156" s="0" t="n">
        <v>0</v>
      </c>
      <c r="AAJ156" s="0" t="n">
        <v>9.07</v>
      </c>
      <c r="AAK156" s="0" t="n">
        <v>0</v>
      </c>
      <c r="AAL156" s="0" t="n">
        <v>2.3</v>
      </c>
      <c r="AAM156" s="0" t="n">
        <v>0</v>
      </c>
      <c r="AAN156" s="0" t="n">
        <v>0</v>
      </c>
      <c r="AAO156" s="0" t="n">
        <v>0</v>
      </c>
      <c r="ABB156" s="0" t="n">
        <v>0</v>
      </c>
      <c r="ABC156" s="0" t="n">
        <v>0</v>
      </c>
      <c r="ABN156" s="18"/>
      <c r="ACF156" s="0" t="n">
        <v>0</v>
      </c>
      <c r="ADQ156" s="16" t="n">
        <v>0</v>
      </c>
      <c r="ADR156" s="16" t="n">
        <v>0</v>
      </c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 t="n">
        <v>2.25</v>
      </c>
      <c r="AEC156" s="16" t="n">
        <v>2.26</v>
      </c>
      <c r="AED156" s="16"/>
      <c r="AEE156" s="16"/>
      <c r="AEF156" s="16" t="n">
        <v>0</v>
      </c>
      <c r="AEG156" s="16" t="n">
        <v>0</v>
      </c>
      <c r="AEH156" s="16" t="n">
        <v>0</v>
      </c>
      <c r="AEI156" s="0" t="n">
        <v>0</v>
      </c>
      <c r="AEJ156" s="0" t="s">
        <v>616</v>
      </c>
      <c r="AEK156" s="0" t="n">
        <v>48</v>
      </c>
      <c r="AEL156" s="16" t="n">
        <v>95.9</v>
      </c>
      <c r="AEM156" s="16" t="n">
        <v>81</v>
      </c>
      <c r="AEN156" s="16" t="n">
        <v>27.4</v>
      </c>
      <c r="AEO156" s="0" t="n">
        <v>77.32</v>
      </c>
      <c r="AEP156" s="0" t="n">
        <v>0</v>
      </c>
      <c r="AEQ156" s="0" t="n">
        <v>16.12</v>
      </c>
      <c r="AER156" s="0" t="n">
        <v>2.74</v>
      </c>
      <c r="AES156" s="0" t="n">
        <v>3.81</v>
      </c>
      <c r="AET156" s="0" t="n">
        <v>0</v>
      </c>
      <c r="AEU156" s="0" t="n">
        <v>0</v>
      </c>
      <c r="AEV156" s="0" t="n">
        <v>0</v>
      </c>
      <c r="AEW156" s="0" t="n">
        <v>0</v>
      </c>
      <c r="AEX156" s="0" t="n">
        <v>0</v>
      </c>
      <c r="AEY156" s="0" t="n">
        <v>0</v>
      </c>
      <c r="AEZ156" s="0" t="n">
        <v>2.44</v>
      </c>
      <c r="AFA156" s="0" t="n">
        <v>3.21</v>
      </c>
      <c r="AFB156" s="0" t="n">
        <v>12.77</v>
      </c>
      <c r="AFC156" s="0" t="n">
        <v>10.53</v>
      </c>
      <c r="AFD156" s="0" t="n">
        <v>0</v>
      </c>
      <c r="AFE156" s="0" t="n">
        <v>17.5</v>
      </c>
      <c r="AFF156" s="0" t="n">
        <v>1</v>
      </c>
      <c r="AFG156" s="0" t="n">
        <v>7.28</v>
      </c>
      <c r="AFI156" s="0" t="n">
        <v>4</v>
      </c>
      <c r="AFJ156" s="0" t="n">
        <v>6.8</v>
      </c>
      <c r="AFL156" s="0" t="n">
        <v>4</v>
      </c>
      <c r="AFM156" s="0" t="n">
        <v>5.54</v>
      </c>
      <c r="AFO156" s="0" t="n">
        <v>7</v>
      </c>
      <c r="AFP156" s="0" t="n">
        <v>6.29</v>
      </c>
      <c r="AFR156" s="0" t="n">
        <v>4</v>
      </c>
      <c r="AFS156" s="0" t="n">
        <v>0.5</v>
      </c>
      <c r="AFT156" s="0" t="n">
        <v>1</v>
      </c>
      <c r="AFU156" s="0" t="n">
        <v>34</v>
      </c>
      <c r="AFV156" s="0" t="n">
        <v>2</v>
      </c>
      <c r="AFW156" s="0" t="n">
        <f aca="false">0.19+0.03</f>
        <v>0.22</v>
      </c>
      <c r="AFX156" s="0" t="n">
        <v>1</v>
      </c>
      <c r="AFY156" s="0" t="n">
        <v>68</v>
      </c>
      <c r="AFZ156" s="0" t="n">
        <v>2</v>
      </c>
      <c r="AGA156" s="0" t="n">
        <f aca="false">0.19+0.03</f>
        <v>0.22</v>
      </c>
      <c r="AGB156" s="0" t="n">
        <v>1</v>
      </c>
      <c r="AGE156" s="18"/>
      <c r="AGW156" s="0" t="n">
        <v>0</v>
      </c>
      <c r="AIH156" s="16" t="n">
        <v>0</v>
      </c>
      <c r="AII156" s="16" t="n">
        <v>0</v>
      </c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 t="n">
        <v>0.44</v>
      </c>
      <c r="AIT156" s="16" t="n">
        <v>0.44</v>
      </c>
      <c r="AIU156" s="16"/>
      <c r="AIV156" s="16"/>
      <c r="AIW156" s="16" t="n">
        <v>0</v>
      </c>
      <c r="AIX156" s="16" t="n">
        <v>0</v>
      </c>
      <c r="AIY156" s="16" t="n">
        <v>0</v>
      </c>
      <c r="AIZ156" s="0" t="n">
        <v>0</v>
      </c>
      <c r="AJA156" s="15"/>
      <c r="AJB156" s="15"/>
      <c r="AJI156" s="15"/>
      <c r="AJJ156" s="15"/>
      <c r="AJQ156" s="15"/>
      <c r="AJR156" s="15"/>
      <c r="AJY156" s="15"/>
      <c r="AJZ156" s="15"/>
      <c r="AKG156" s="15"/>
      <c r="AKH156" s="15"/>
      <c r="AKO156" s="15"/>
      <c r="AKP156" s="15"/>
      <c r="AKW156" s="15"/>
      <c r="AKX156" s="15"/>
      <c r="ALE156" s="15"/>
      <c r="ALF156" s="15"/>
      <c r="ALM156" s="15"/>
      <c r="ALN156" s="15"/>
      <c r="ALU156" s="15"/>
      <c r="ALV156" s="15"/>
      <c r="AMC156" s="15"/>
      <c r="AMD156" s="15"/>
    </row>
    <row r="157" customFormat="false" ht="13.8" hidden="false" customHeight="false" outlineLevel="0" collapsed="false">
      <c r="A157" s="1" t="s">
        <v>617</v>
      </c>
      <c r="B157" s="12" t="n">
        <v>42902</v>
      </c>
      <c r="C157" s="0" t="n">
        <v>2</v>
      </c>
      <c r="D157" s="13" t="n">
        <v>40477</v>
      </c>
      <c r="E157" s="12" t="n">
        <v>33321</v>
      </c>
      <c r="F157" s="14" t="n">
        <f aca="false">(B157-E157)/365.25</f>
        <v>26.2313483915127</v>
      </c>
      <c r="G157" s="14" t="n">
        <f aca="false">(B157-D157)/365.25</f>
        <v>6.63928815879535</v>
      </c>
      <c r="H157" s="15" t="s">
        <v>181</v>
      </c>
      <c r="I157" s="15" t="s">
        <v>496</v>
      </c>
      <c r="J157" s="15" t="s">
        <v>183</v>
      </c>
      <c r="K157" s="15" t="n">
        <v>4</v>
      </c>
      <c r="L157" s="19" t="n">
        <v>68</v>
      </c>
      <c r="M157" s="0" t="n">
        <v>1.69</v>
      </c>
      <c r="N157" s="16" t="n">
        <f aca="false">L157/(M157*M157)</f>
        <v>23.8086901719128</v>
      </c>
      <c r="O157" s="19" t="n">
        <v>0</v>
      </c>
      <c r="P157" s="19" t="n">
        <v>0</v>
      </c>
      <c r="Q157" s="19" t="n">
        <v>0</v>
      </c>
      <c r="R157" s="19" t="n">
        <v>0</v>
      </c>
      <c r="S157" s="19" t="n">
        <v>0</v>
      </c>
      <c r="T157" s="19" t="n">
        <v>0</v>
      </c>
      <c r="U157" s="19" t="n">
        <v>0</v>
      </c>
      <c r="V157" s="19" t="n">
        <v>0</v>
      </c>
      <c r="W157" s="19" t="n">
        <v>0</v>
      </c>
      <c r="X157" s="19" t="n">
        <v>0</v>
      </c>
      <c r="Y157" s="19" t="n">
        <v>1</v>
      </c>
      <c r="Z157" s="19" t="n">
        <v>2</v>
      </c>
      <c r="AA157" s="19"/>
      <c r="AB157" s="19"/>
      <c r="AC157" s="19" t="n">
        <v>0</v>
      </c>
      <c r="AD157" s="19" t="n">
        <v>0</v>
      </c>
      <c r="AE157" s="19" t="n">
        <v>0</v>
      </c>
      <c r="AF157" s="19" t="n">
        <v>0</v>
      </c>
      <c r="AG157" s="19" t="n">
        <v>0</v>
      </c>
      <c r="AH157" s="19" t="n">
        <v>0</v>
      </c>
      <c r="AI157" s="19" t="n">
        <v>0</v>
      </c>
      <c r="AJ157" s="19" t="n">
        <v>0</v>
      </c>
      <c r="AK157" s="19" t="n">
        <v>0</v>
      </c>
      <c r="AL157" s="19" t="n">
        <v>0</v>
      </c>
      <c r="AM157" s="19" t="n">
        <v>0</v>
      </c>
      <c r="AN157" s="19" t="n">
        <v>0</v>
      </c>
      <c r="AO157" s="19" t="n">
        <v>0</v>
      </c>
      <c r="AP157" s="19" t="n">
        <v>0</v>
      </c>
      <c r="AQ157" s="19" t="n">
        <v>0</v>
      </c>
      <c r="AR157" s="19" t="n">
        <v>0</v>
      </c>
      <c r="AS157" s="19" t="n">
        <v>0</v>
      </c>
      <c r="AT157" s="19" t="n">
        <v>0</v>
      </c>
      <c r="AU157" s="19" t="n">
        <v>0</v>
      </c>
      <c r="AV157" s="19" t="n">
        <v>0</v>
      </c>
      <c r="AW157" s="19" t="n">
        <v>0</v>
      </c>
      <c r="AX157" s="19" t="n">
        <v>0</v>
      </c>
      <c r="AY157" s="19" t="n">
        <v>0</v>
      </c>
      <c r="AZ157" s="19" t="n">
        <v>0</v>
      </c>
      <c r="BA157" s="19" t="n">
        <v>0</v>
      </c>
      <c r="BB157" s="19" t="n">
        <v>0</v>
      </c>
      <c r="BC157" s="19" t="n">
        <v>0</v>
      </c>
      <c r="BD157" s="19" t="n">
        <v>0</v>
      </c>
      <c r="BE157" s="19" t="n">
        <v>0</v>
      </c>
      <c r="BF157" s="19" t="n">
        <v>0</v>
      </c>
      <c r="BG157" s="19" t="n">
        <v>0</v>
      </c>
      <c r="BH157" s="19" t="n">
        <v>0</v>
      </c>
      <c r="BI157" s="19" t="n">
        <v>0</v>
      </c>
      <c r="BJ157" s="19" t="n">
        <v>0</v>
      </c>
      <c r="BK157" s="19" t="n">
        <v>0</v>
      </c>
      <c r="BL157" s="19" t="n">
        <v>0</v>
      </c>
      <c r="BM157" s="19" t="n">
        <v>0</v>
      </c>
      <c r="BN157" s="19" t="n">
        <v>0</v>
      </c>
      <c r="BO157" s="19" t="n">
        <v>0</v>
      </c>
      <c r="BP157" s="19" t="n">
        <v>0</v>
      </c>
      <c r="BQ157" s="19" t="n">
        <v>0</v>
      </c>
      <c r="BR157" s="19" t="n">
        <v>1</v>
      </c>
      <c r="BS157" s="19" t="n">
        <v>2</v>
      </c>
      <c r="BT157" s="19" t="n">
        <v>3</v>
      </c>
      <c r="BU157" s="19" t="n">
        <v>4</v>
      </c>
      <c r="BV157" s="19" t="n">
        <v>3</v>
      </c>
      <c r="BW157" s="19" t="n">
        <v>2</v>
      </c>
      <c r="BX157" s="19" t="n">
        <v>3</v>
      </c>
      <c r="BY157" s="19" t="n">
        <v>3</v>
      </c>
      <c r="BZ157" s="19" t="n">
        <v>3</v>
      </c>
      <c r="CA157" s="19" t="n">
        <v>3</v>
      </c>
      <c r="CB157" s="19" t="n">
        <v>4</v>
      </c>
      <c r="CC157" s="19" t="n">
        <v>5</v>
      </c>
      <c r="CD157" s="19" t="n">
        <v>5</v>
      </c>
      <c r="CE157" s="19" t="n">
        <v>5</v>
      </c>
      <c r="CF157" s="19" t="n">
        <v>5</v>
      </c>
      <c r="CG157" s="19" t="n">
        <v>5</v>
      </c>
      <c r="CH157" s="19" t="n">
        <v>5</v>
      </c>
      <c r="CI157" s="19" t="n">
        <v>5</v>
      </c>
      <c r="CJ157" s="19" t="n">
        <v>5</v>
      </c>
      <c r="CK157" s="19" t="n">
        <v>10</v>
      </c>
      <c r="CL157" s="0" t="s">
        <v>498</v>
      </c>
      <c r="CM157" s="0" t="n">
        <v>33</v>
      </c>
      <c r="CN157" s="16" t="n">
        <v>71.2</v>
      </c>
      <c r="CO157" s="16" t="n">
        <v>80.4</v>
      </c>
      <c r="CP157" s="16" t="n">
        <v>16.3</v>
      </c>
      <c r="CQ157" s="0" t="n">
        <v>83.24</v>
      </c>
      <c r="CR157" s="17" t="n">
        <v>0</v>
      </c>
      <c r="CS157" s="0" t="n">
        <v>0</v>
      </c>
      <c r="CT157" s="0" t="n">
        <v>0</v>
      </c>
      <c r="CU157" s="0" t="n">
        <v>14.14</v>
      </c>
      <c r="CV157" s="0" t="n">
        <v>0</v>
      </c>
      <c r="CW157" s="0" t="n">
        <v>2.63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2.63</v>
      </c>
      <c r="DC157" s="0" t="n">
        <v>10.16</v>
      </c>
      <c r="DD157" s="0" t="n">
        <v>20.83</v>
      </c>
      <c r="DE157" s="0" t="n">
        <v>24.81</v>
      </c>
      <c r="DF157" s="0" t="n">
        <v>0</v>
      </c>
      <c r="DG157" s="0" t="n">
        <v>11.2</v>
      </c>
      <c r="DH157" s="0" t="n">
        <v>1</v>
      </c>
      <c r="DI157" s="0" t="n">
        <v>5</v>
      </c>
      <c r="DK157" s="0" t="n">
        <v>1</v>
      </c>
      <c r="DO157" s="0" t="n">
        <v>5</v>
      </c>
      <c r="DQ157" s="0" t="n">
        <v>1</v>
      </c>
      <c r="DU157" s="0" t="n">
        <v>0</v>
      </c>
      <c r="DV157" s="0" t="n">
        <v>0</v>
      </c>
      <c r="EG157" s="18"/>
      <c r="EY157" s="0" t="n">
        <v>0</v>
      </c>
      <c r="GJ157" s="16" t="n">
        <v>2.71</v>
      </c>
      <c r="GK157" s="16" t="n">
        <v>1</v>
      </c>
      <c r="GL157" s="16" t="n">
        <v>1</v>
      </c>
      <c r="GM157" s="16"/>
      <c r="GN157" s="16" t="n">
        <f aca="false">2.11*4+0.52*2</f>
        <v>9.48</v>
      </c>
      <c r="GO157" s="16"/>
      <c r="GP157" s="16"/>
      <c r="GQ157" s="16"/>
      <c r="GR157" s="16"/>
      <c r="GS157" s="16"/>
      <c r="GT157" s="16"/>
      <c r="GU157" s="16" t="n">
        <v>2.63</v>
      </c>
      <c r="GV157" s="16" t="n">
        <v>2.6</v>
      </c>
      <c r="GW157" s="16" t="n">
        <v>0</v>
      </c>
      <c r="GX157" s="16" t="n">
        <v>0</v>
      </c>
      <c r="GY157" s="16" t="n">
        <v>0</v>
      </c>
      <c r="GZ157" s="16" t="n">
        <v>0</v>
      </c>
      <c r="HA157" s="16" t="n">
        <v>0</v>
      </c>
      <c r="HB157" s="0" t="n">
        <v>0</v>
      </c>
      <c r="HC157" s="0" t="s">
        <v>499</v>
      </c>
      <c r="HD157" s="0" t="n">
        <v>40</v>
      </c>
      <c r="HE157" s="16" t="n">
        <v>79.7</v>
      </c>
      <c r="HF157" s="16" t="n">
        <v>80.4</v>
      </c>
      <c r="HG157" s="16" t="n">
        <v>11.2</v>
      </c>
      <c r="HH157" s="0" t="n">
        <v>91.23</v>
      </c>
      <c r="HI157" s="17" t="n">
        <v>0</v>
      </c>
      <c r="HJ157" s="0" t="n">
        <v>0</v>
      </c>
      <c r="HK157" s="0" t="n">
        <v>0</v>
      </c>
      <c r="HL157" s="0" t="n">
        <v>8.77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  <c r="HT157" s="0" t="n">
        <v>18.64</v>
      </c>
      <c r="HU157" s="0" t="n">
        <v>42.82</v>
      </c>
      <c r="HV157" s="0" t="n">
        <v>4.61</v>
      </c>
      <c r="HW157" s="0" t="n">
        <v>0</v>
      </c>
      <c r="HX157" s="0" t="n">
        <v>0</v>
      </c>
      <c r="HY157" s="0" t="n">
        <v>0</v>
      </c>
      <c r="IL157" s="0" t="n">
        <v>23.2</v>
      </c>
      <c r="IM157" s="0" t="n">
        <v>1</v>
      </c>
      <c r="IN157" s="0" t="n">
        <v>35</v>
      </c>
      <c r="IO157" s="0" t="n">
        <f aca="false">2+4+2+2+2+4+2+2+1</f>
        <v>21</v>
      </c>
      <c r="IP157" s="0" t="n">
        <f aca="false">1.52+1.49+0.78*2+0.27+0.43+0.12+0.13</f>
        <v>5.52</v>
      </c>
      <c r="IQ157" s="0" t="n">
        <v>3</v>
      </c>
      <c r="IR157" s="0" t="n">
        <v>10</v>
      </c>
      <c r="IS157" s="0" t="n">
        <v>1</v>
      </c>
      <c r="IT157" s="0" t="n">
        <v>0.1</v>
      </c>
      <c r="IU157" s="0" t="n">
        <v>5</v>
      </c>
      <c r="IV157" s="0" t="n">
        <v>25</v>
      </c>
      <c r="IW157" s="0" t="n">
        <v>8</v>
      </c>
      <c r="IX157" s="18" t="n">
        <f aca="false">0.19*2+0.1</f>
        <v>0.48</v>
      </c>
      <c r="IY157" s="0" t="n">
        <v>1</v>
      </c>
      <c r="JP157" s="0" t="n">
        <v>0</v>
      </c>
      <c r="LA157" s="16" t="n">
        <v>1.52</v>
      </c>
      <c r="LB157" s="16" t="n">
        <v>1</v>
      </c>
      <c r="LC157" s="16" t="n">
        <v>1</v>
      </c>
      <c r="LD157" s="16"/>
      <c r="LE157" s="16" t="n">
        <f aca="false">2.11*2+0.19*3+0.1</f>
        <v>4.89</v>
      </c>
      <c r="LF157" s="16"/>
      <c r="LG157" s="16"/>
      <c r="LH157" s="16"/>
      <c r="LI157" s="16"/>
      <c r="LJ157" s="16"/>
      <c r="LK157" s="16"/>
      <c r="LL157" s="16" t="n">
        <v>0</v>
      </c>
      <c r="LM157" s="16" t="n">
        <v>0</v>
      </c>
      <c r="LN157" s="16" t="n">
        <v>0</v>
      </c>
      <c r="LO157" s="16" t="n">
        <v>0</v>
      </c>
      <c r="LP157" s="16" t="n">
        <v>0</v>
      </c>
      <c r="LQ157" s="16" t="n">
        <v>0</v>
      </c>
      <c r="LR157" s="16" t="n">
        <v>0.06</v>
      </c>
      <c r="LS157" s="0" t="n">
        <v>0</v>
      </c>
      <c r="LT157" s="0" t="s">
        <v>500</v>
      </c>
      <c r="LU157" s="0" t="n">
        <v>48</v>
      </c>
      <c r="LV157" s="16" t="n">
        <v>69.7</v>
      </c>
      <c r="LW157" s="16" t="n">
        <v>80.4</v>
      </c>
      <c r="LX157" s="16" t="n">
        <v>44.5</v>
      </c>
      <c r="LY157" s="0" t="n">
        <v>13.55</v>
      </c>
      <c r="LZ157" s="17" t="n">
        <v>0</v>
      </c>
      <c r="MA157" s="0" t="n">
        <v>0</v>
      </c>
      <c r="MB157" s="0" t="n">
        <v>0</v>
      </c>
      <c r="MC157" s="0" t="n">
        <v>0.1</v>
      </c>
      <c r="MD157" s="0" t="n">
        <v>0</v>
      </c>
      <c r="ME157" s="0" t="n">
        <v>86.34</v>
      </c>
      <c r="MF157" s="0" t="n">
        <v>13.26</v>
      </c>
      <c r="MG157" s="0" t="n">
        <v>28.53</v>
      </c>
      <c r="MH157" s="0" t="n">
        <v>0</v>
      </c>
      <c r="MI157" s="0" t="n">
        <v>0</v>
      </c>
      <c r="MJ157" s="0" t="n">
        <v>0.78</v>
      </c>
      <c r="MK157" s="0" t="n">
        <v>3.48</v>
      </c>
      <c r="ML157" s="0" t="n">
        <v>11.45</v>
      </c>
      <c r="MM157" s="0" t="n">
        <v>6.85</v>
      </c>
      <c r="MN157" s="0" t="n">
        <v>0</v>
      </c>
      <c r="MO157" s="0" t="n">
        <v>0</v>
      </c>
      <c r="MP157" s="0" t="n">
        <v>0</v>
      </c>
      <c r="NC157" s="0" t="n">
        <v>0</v>
      </c>
      <c r="ND157" s="0" t="n">
        <v>0</v>
      </c>
      <c r="NO157" s="18"/>
      <c r="OG157" s="0" t="n">
        <v>0</v>
      </c>
      <c r="PR157" s="16" t="n">
        <v>0.75</v>
      </c>
      <c r="PS157" s="16" t="n">
        <v>1</v>
      </c>
      <c r="PT157" s="16" t="n">
        <v>1</v>
      </c>
      <c r="PU157" s="16"/>
      <c r="PV157" s="16" t="n">
        <f aca="false">2.11+0.37</f>
        <v>2.48</v>
      </c>
      <c r="PW157" s="16"/>
      <c r="PX157" s="16"/>
      <c r="PY157" s="16"/>
      <c r="PZ157" s="16"/>
      <c r="QA157" s="16"/>
      <c r="QB157" s="16"/>
      <c r="QC157" s="16" t="n">
        <v>2.66</v>
      </c>
      <c r="QD157" s="16" t="n">
        <v>2.64</v>
      </c>
      <c r="QE157" s="16" t="n">
        <v>0</v>
      </c>
      <c r="QF157" s="16" t="n">
        <v>0</v>
      </c>
      <c r="QG157" s="16" t="n">
        <v>0</v>
      </c>
      <c r="QH157" s="16" t="n">
        <v>0</v>
      </c>
      <c r="QI157" s="16" t="n">
        <v>0</v>
      </c>
      <c r="QJ157" s="0" t="n">
        <v>0</v>
      </c>
      <c r="QK157" s="0" t="s">
        <v>501</v>
      </c>
      <c r="QL157" s="0" t="n">
        <v>58</v>
      </c>
      <c r="QM157" s="16" t="n">
        <v>79.9</v>
      </c>
      <c r="QN157" s="16" t="n">
        <v>80.4</v>
      </c>
      <c r="QO157" s="16" t="n">
        <v>43.6</v>
      </c>
      <c r="QP157" s="0" t="n">
        <v>26.15</v>
      </c>
      <c r="QQ157" s="17" t="n">
        <v>0</v>
      </c>
      <c r="QR157" s="0" t="n">
        <v>0</v>
      </c>
      <c r="QS157" s="0" t="n">
        <v>0</v>
      </c>
      <c r="QT157" s="0" t="n">
        <v>0</v>
      </c>
      <c r="QU157" s="0" t="n">
        <v>0</v>
      </c>
      <c r="QV157" s="0" t="n">
        <v>73.85</v>
      </c>
      <c r="QW157" s="0" t="n">
        <v>18.43</v>
      </c>
      <c r="QX157" s="0" t="n">
        <v>20.42</v>
      </c>
      <c r="QY157" s="0" t="n">
        <v>0</v>
      </c>
      <c r="QZ157" s="0" t="n">
        <v>0</v>
      </c>
      <c r="RA157" s="0" t="n">
        <v>2.44</v>
      </c>
      <c r="RB157" s="0" t="n">
        <v>0.13</v>
      </c>
      <c r="RC157" s="0" t="n">
        <v>9.71</v>
      </c>
      <c r="RD157" s="0" t="n">
        <v>18.31</v>
      </c>
      <c r="RE157" s="0" t="n">
        <v>0</v>
      </c>
      <c r="RF157" s="0" t="n">
        <v>0</v>
      </c>
      <c r="RG157" s="0" t="n">
        <v>0</v>
      </c>
      <c r="RT157" s="0" t="n">
        <v>9.1</v>
      </c>
      <c r="RU157" s="0" t="n">
        <v>1</v>
      </c>
      <c r="RV157" s="0" t="n">
        <v>68</v>
      </c>
      <c r="RW157" s="0" t="n">
        <v>1</v>
      </c>
      <c r="RX157" s="0" t="n">
        <v>0.05</v>
      </c>
      <c r="RY157" s="0" t="n">
        <v>1</v>
      </c>
      <c r="RZ157" s="0" t="n">
        <v>35</v>
      </c>
      <c r="SA157" s="0" t="n">
        <v>3</v>
      </c>
      <c r="SB157" s="0" t="n">
        <f aca="false">0.76+0.64</f>
        <v>1.4</v>
      </c>
      <c r="SC157" s="0" t="n">
        <v>3</v>
      </c>
      <c r="SD157" s="0" t="n">
        <v>47</v>
      </c>
      <c r="SE157" s="0" t="n">
        <v>2</v>
      </c>
      <c r="SF157" s="18" t="n">
        <v>0.23</v>
      </c>
      <c r="SG157" s="0" t="n">
        <v>3</v>
      </c>
      <c r="SX157" s="0" t="n">
        <v>1</v>
      </c>
      <c r="SY157" s="0" t="n">
        <v>60</v>
      </c>
      <c r="SZ157" s="0" t="n">
        <v>2</v>
      </c>
      <c r="TA157" s="0" t="n">
        <v>0.26</v>
      </c>
      <c r="TB157" s="0" t="n">
        <v>3</v>
      </c>
      <c r="UI157" s="16" t="n">
        <v>0</v>
      </c>
      <c r="UJ157" s="16" t="n">
        <v>0</v>
      </c>
      <c r="UK157" s="16"/>
      <c r="UL157" s="16"/>
      <c r="UM157" s="16"/>
      <c r="UN157" s="16"/>
      <c r="UO157" s="16"/>
      <c r="UP157" s="16"/>
      <c r="UQ157" s="16"/>
      <c r="UR157" s="16"/>
      <c r="US157" s="16"/>
      <c r="UT157" s="16" t="n">
        <v>1.97</v>
      </c>
      <c r="UU157" s="16" t="n">
        <v>1.24</v>
      </c>
      <c r="UV157" s="16" t="n">
        <v>0</v>
      </c>
      <c r="UW157" s="16" t="n">
        <v>0</v>
      </c>
      <c r="UX157" s="16" t="n">
        <v>0</v>
      </c>
      <c r="UY157" s="16" t="n">
        <v>0</v>
      </c>
      <c r="UZ157" s="16" t="n">
        <v>3</v>
      </c>
      <c r="VA157" s="0" t="n">
        <v>0</v>
      </c>
      <c r="VB157" s="0" t="s">
        <v>502</v>
      </c>
      <c r="VC157" s="0" t="n">
        <v>34.5</v>
      </c>
      <c r="VD157" s="16" t="n">
        <v>53.2</v>
      </c>
      <c r="VE157" s="16" t="n">
        <v>80.4</v>
      </c>
      <c r="VF157" s="16" t="n">
        <v>8.3</v>
      </c>
      <c r="VG157" s="0" t="n">
        <v>99.94</v>
      </c>
      <c r="VH157" s="17" t="n">
        <v>0</v>
      </c>
      <c r="VI157" s="0" t="n">
        <v>0</v>
      </c>
      <c r="VJ157" s="0" t="n">
        <v>0</v>
      </c>
      <c r="VK157" s="0" t="n">
        <v>0</v>
      </c>
      <c r="VL157" s="0" t="n">
        <v>0</v>
      </c>
      <c r="VM157" s="0" t="n">
        <v>0</v>
      </c>
      <c r="VN157" s="0" t="n">
        <v>0</v>
      </c>
      <c r="VO157" s="0" t="n">
        <v>0</v>
      </c>
      <c r="VP157" s="0" t="n">
        <v>0</v>
      </c>
      <c r="VQ157" s="0" t="n">
        <v>0</v>
      </c>
      <c r="VR157" s="0" t="n">
        <v>0</v>
      </c>
      <c r="VS157" s="0" t="n">
        <v>9.15</v>
      </c>
      <c r="VT157" s="0" t="n">
        <v>18.41</v>
      </c>
      <c r="VU157" s="0" t="n">
        <v>11.73</v>
      </c>
      <c r="VV157" s="0" t="n">
        <v>0</v>
      </c>
      <c r="VW157" s="0" t="n">
        <v>0</v>
      </c>
      <c r="VX157" s="0" t="n">
        <v>0</v>
      </c>
      <c r="WK157" s="0" t="n">
        <v>11.9</v>
      </c>
      <c r="WL157" s="0" t="n">
        <v>1</v>
      </c>
      <c r="WM157" s="0" t="n">
        <v>47</v>
      </c>
      <c r="WN157" s="0" t="n">
        <v>3</v>
      </c>
      <c r="WO157" s="0" t="n">
        <v>1.52</v>
      </c>
      <c r="WP157" s="0" t="n">
        <v>2</v>
      </c>
      <c r="WW157" s="18"/>
      <c r="XO157" s="0" t="n">
        <v>0</v>
      </c>
      <c r="YZ157" s="16" t="n">
        <v>5.7</v>
      </c>
      <c r="ZA157" s="16" t="n">
        <v>1</v>
      </c>
      <c r="ZB157" s="16" t="n">
        <v>1</v>
      </c>
      <c r="ZC157" s="16"/>
      <c r="ZD157" s="16" t="n">
        <f aca="false">2.11+2.11+0.05+0.05+0.37</f>
        <v>4.69</v>
      </c>
      <c r="ZE157" s="16" t="n">
        <v>2</v>
      </c>
      <c r="ZF157" s="16"/>
      <c r="ZG157" s="16" t="n">
        <f aca="false">3.17+3.17+0.56+0.56+0.33</f>
        <v>7.79</v>
      </c>
      <c r="ZH157" s="16"/>
      <c r="ZI157" s="16"/>
      <c r="ZJ157" s="16"/>
      <c r="ZK157" s="16" t="n">
        <v>0</v>
      </c>
      <c r="ZL157" s="16" t="n">
        <v>0</v>
      </c>
      <c r="ZM157" s="16"/>
      <c r="ZN157" s="16"/>
      <c r="ZO157" s="16" t="n">
        <v>5.97</v>
      </c>
      <c r="ZP157" s="16" t="n">
        <v>0</v>
      </c>
      <c r="ZQ157" s="16" t="n">
        <v>0</v>
      </c>
      <c r="ZR157" s="0" t="n">
        <v>1</v>
      </c>
      <c r="ZS157" s="0" t="s">
        <v>503</v>
      </c>
      <c r="ZT157" s="0" t="n">
        <v>47</v>
      </c>
      <c r="ZU157" s="16" t="n">
        <v>54.1</v>
      </c>
      <c r="ZV157" s="16" t="n">
        <v>80.4</v>
      </c>
      <c r="ZW157" s="16" t="n">
        <v>34.5</v>
      </c>
      <c r="ZX157" s="0" t="n">
        <v>71.45</v>
      </c>
      <c r="ZY157" s="17" t="n">
        <v>0</v>
      </c>
      <c r="ZZ157" s="0" t="n">
        <v>21.93</v>
      </c>
      <c r="AAA157" s="0" t="n">
        <v>6.49</v>
      </c>
      <c r="AAB157" s="0" t="n">
        <v>0.12</v>
      </c>
      <c r="AAC157" s="0" t="n">
        <v>0</v>
      </c>
      <c r="AAD157" s="0" t="n">
        <v>0</v>
      </c>
      <c r="AAE157" s="0" t="n">
        <v>0</v>
      </c>
      <c r="AAF157" s="0" t="n">
        <v>0</v>
      </c>
      <c r="AAG157" s="0" t="n">
        <v>0</v>
      </c>
      <c r="AAH157" s="0" t="n">
        <v>0</v>
      </c>
      <c r="AAI157" s="0" t="n">
        <v>1.01</v>
      </c>
      <c r="AAJ157" s="0" t="n">
        <v>0.45</v>
      </c>
      <c r="AAK157" s="0" t="n">
        <v>18.4</v>
      </c>
      <c r="AAL157" s="0" t="n">
        <v>11.28</v>
      </c>
      <c r="AAM157" s="0" t="n">
        <v>0</v>
      </c>
      <c r="AAN157" s="0" t="n">
        <v>0</v>
      </c>
      <c r="AAO157" s="0" t="n">
        <v>0</v>
      </c>
      <c r="ABB157" s="0" t="n">
        <v>6</v>
      </c>
      <c r="ABC157" s="0" t="n">
        <v>1</v>
      </c>
      <c r="ABD157" s="0" t="n">
        <v>35</v>
      </c>
      <c r="ABE157" s="0" t="n">
        <v>8</v>
      </c>
      <c r="ABF157" s="0" t="n">
        <f aca="false">0.25+0.25+0.25+0.13+0.13+0.13+0.13</f>
        <v>1.27</v>
      </c>
      <c r="ABG157" s="0" t="n">
        <v>3</v>
      </c>
      <c r="ABN157" s="18"/>
      <c r="ACF157" s="0" t="n">
        <v>1</v>
      </c>
      <c r="ACG157" s="0" t="n">
        <v>50</v>
      </c>
      <c r="ACH157" s="0" t="n">
        <v>2</v>
      </c>
      <c r="ACI157" s="0" t="n">
        <f aca="false">0.76*2</f>
        <v>1.52</v>
      </c>
      <c r="ACJ157" s="0" t="n">
        <v>1</v>
      </c>
      <c r="ADQ157" s="16" t="n">
        <v>0.42</v>
      </c>
      <c r="ADR157" s="16" t="n">
        <v>1</v>
      </c>
      <c r="ADS157" s="16" t="n">
        <v>1</v>
      </c>
      <c r="ADT157" s="16"/>
      <c r="ADU157" s="16" t="n">
        <f aca="false">0.68+0.68+0.03</f>
        <v>1.39</v>
      </c>
      <c r="ADV157" s="16"/>
      <c r="ADW157" s="16"/>
      <c r="ADX157" s="16"/>
      <c r="ADY157" s="16"/>
      <c r="ADZ157" s="16"/>
      <c r="AEA157" s="16"/>
      <c r="AEB157" s="16" t="n">
        <v>5.21</v>
      </c>
      <c r="AEC157" s="16" t="n">
        <v>7.05</v>
      </c>
      <c r="AED157" s="16"/>
      <c r="AEE157" s="16"/>
      <c r="AEF157" s="16" t="n">
        <v>0</v>
      </c>
      <c r="AEG157" s="16" t="n">
        <v>0</v>
      </c>
      <c r="AEH157" s="16" t="n">
        <v>0</v>
      </c>
      <c r="AEI157" s="0" t="n">
        <v>0</v>
      </c>
      <c r="AEJ157" s="0" t="s">
        <v>504</v>
      </c>
      <c r="AEK157" s="0" t="n">
        <v>65.5</v>
      </c>
      <c r="AEL157" s="16" t="n">
        <v>92.2</v>
      </c>
      <c r="AEM157" s="16" t="n">
        <v>80.4</v>
      </c>
      <c r="AEN157" s="16" t="n">
        <v>61.7</v>
      </c>
      <c r="AEO157" s="0" t="n">
        <v>22.46</v>
      </c>
      <c r="AEP157" s="17" t="n">
        <v>0</v>
      </c>
      <c r="AEQ157" s="0" t="n">
        <v>0</v>
      </c>
      <c r="AER157" s="0" t="n">
        <v>0</v>
      </c>
      <c r="AES157" s="0" t="n">
        <v>0</v>
      </c>
      <c r="AET157" s="0" t="n">
        <v>0</v>
      </c>
      <c r="AEU157" s="0" t="n">
        <v>70.92</v>
      </c>
      <c r="AEV157" s="0" t="n">
        <v>9.4</v>
      </c>
      <c r="AEW157" s="0" t="n">
        <v>33.69</v>
      </c>
      <c r="AEX157" s="0" t="n">
        <v>0</v>
      </c>
      <c r="AEY157" s="0" t="n">
        <v>0</v>
      </c>
      <c r="AEZ157" s="0" t="n">
        <v>14.46</v>
      </c>
      <c r="AFA157" s="0" t="n">
        <v>11.32</v>
      </c>
      <c r="AFB157" s="0" t="n">
        <v>6.58</v>
      </c>
      <c r="AFC157" s="0" t="n">
        <v>8.88</v>
      </c>
      <c r="AFD157" s="0" t="n">
        <v>6.62</v>
      </c>
      <c r="AFE157" s="0" t="n">
        <v>0</v>
      </c>
      <c r="AFF157" s="0" t="n">
        <v>0</v>
      </c>
      <c r="AFS157" s="0" t="n">
        <v>3.2</v>
      </c>
      <c r="AFT157" s="0" t="n">
        <v>0</v>
      </c>
      <c r="AGE157" s="18"/>
      <c r="AGW157" s="0" t="n">
        <v>1</v>
      </c>
      <c r="AGX157" s="0" t="n">
        <v>60</v>
      </c>
      <c r="AGY157" s="0" t="n">
        <v>2</v>
      </c>
      <c r="AGZ157" s="0" t="n">
        <f aca="false">0.76*2</f>
        <v>1.52</v>
      </c>
      <c r="AHA157" s="0" t="n">
        <v>3</v>
      </c>
      <c r="AIH157" s="16" t="n">
        <v>0.63</v>
      </c>
      <c r="AII157" s="16" t="n">
        <v>1</v>
      </c>
      <c r="AIJ157" s="16" t="n">
        <v>1</v>
      </c>
      <c r="AIK157" s="16"/>
      <c r="AIL157" s="16" t="n">
        <v>3.17</v>
      </c>
      <c r="AIM157" s="16"/>
      <c r="AIN157" s="16"/>
      <c r="AIO157" s="16"/>
      <c r="AIP157" s="16"/>
      <c r="AIQ157" s="16"/>
      <c r="AIR157" s="16"/>
      <c r="AIS157" s="16" t="n">
        <v>0</v>
      </c>
      <c r="AIT157" s="16" t="n">
        <v>0</v>
      </c>
      <c r="AIU157" s="16"/>
      <c r="AIV157" s="16"/>
      <c r="AIW157" s="16" t="n">
        <v>0</v>
      </c>
      <c r="AIX157" s="16" t="n">
        <v>0</v>
      </c>
      <c r="AIY157" s="16" t="n">
        <v>0</v>
      </c>
      <c r="AIZ157" s="0" t="n">
        <v>0</v>
      </c>
      <c r="AJA157" s="0" t="s">
        <v>505</v>
      </c>
      <c r="AJB157" s="0" t="n">
        <v>59</v>
      </c>
      <c r="AJC157" s="16" t="n">
        <v>90.4</v>
      </c>
      <c r="AJD157" s="16" t="n">
        <v>80.4</v>
      </c>
      <c r="AJE157" s="16" t="n">
        <v>54.7</v>
      </c>
      <c r="AJF157" s="0" t="n">
        <v>26.42</v>
      </c>
      <c r="AJG157" s="17" t="n">
        <v>0</v>
      </c>
      <c r="AJH157" s="0" t="n">
        <v>0</v>
      </c>
      <c r="AJI157" s="0" t="n">
        <v>0</v>
      </c>
      <c r="AJJ157" s="0" t="n">
        <v>0</v>
      </c>
      <c r="AJK157" s="0" t="n">
        <v>0</v>
      </c>
      <c r="AJL157" s="0" t="n">
        <v>66.96</v>
      </c>
      <c r="AJM157" s="0" t="n">
        <v>6.55</v>
      </c>
      <c r="AJN157" s="0" t="n">
        <v>30.83</v>
      </c>
      <c r="AJO157" s="0" t="n">
        <v>0</v>
      </c>
      <c r="AJP157" s="0" t="n">
        <v>0</v>
      </c>
      <c r="AJQ157" s="0" t="n">
        <v>14.46</v>
      </c>
      <c r="AJR157" s="0" t="n">
        <v>11.57</v>
      </c>
      <c r="AJS157" s="0" t="n">
        <v>6.5</v>
      </c>
      <c r="AJT157" s="0" t="n">
        <v>6.03</v>
      </c>
      <c r="AJU157" s="0" t="n">
        <v>6.62</v>
      </c>
      <c r="AJV157" s="0" t="n">
        <v>0</v>
      </c>
      <c r="AJW157" s="0" t="n">
        <v>0</v>
      </c>
      <c r="AKJ157" s="0" t="n">
        <v>3.2</v>
      </c>
      <c r="AKK157" s="0" t="n">
        <v>0</v>
      </c>
      <c r="AKV157" s="18"/>
      <c r="ALN157" s="0" t="n">
        <v>1</v>
      </c>
      <c r="ALO157" s="0" t="n">
        <v>60</v>
      </c>
      <c r="ALP157" s="0" t="n">
        <v>2</v>
      </c>
      <c r="ALQ157" s="0" t="n">
        <v>1.52</v>
      </c>
      <c r="ALR157" s="0" t="n">
        <v>3</v>
      </c>
    </row>
    <row r="158" customFormat="false" ht="13.8" hidden="false" customHeight="false" outlineLevel="0" collapsed="false">
      <c r="A158" s="1" t="s">
        <v>618</v>
      </c>
      <c r="B158" s="12" t="n">
        <v>42905</v>
      </c>
      <c r="C158" s="0" t="n">
        <v>2</v>
      </c>
      <c r="D158" s="13" t="n">
        <v>42804</v>
      </c>
      <c r="E158" s="12" t="n">
        <v>35323</v>
      </c>
      <c r="F158" s="14" t="n">
        <f aca="false">(B158-E158)/365.25</f>
        <v>20.7583846680356</v>
      </c>
      <c r="G158" s="14" t="n">
        <f aca="false">(B158-D158)/365.25</f>
        <v>0.276522929500342</v>
      </c>
      <c r="H158" s="15" t="s">
        <v>181</v>
      </c>
      <c r="I158" s="15" t="s">
        <v>496</v>
      </c>
      <c r="J158" s="15" t="s">
        <v>183</v>
      </c>
      <c r="K158" s="15" t="n">
        <v>4</v>
      </c>
      <c r="L158" s="19" t="n">
        <v>65</v>
      </c>
      <c r="M158" s="0" t="n">
        <v>1.76</v>
      </c>
      <c r="N158" s="16" t="n">
        <f aca="false">L158/(M158*M158)</f>
        <v>20.9839876033058</v>
      </c>
      <c r="O158" s="19" t="n">
        <v>0</v>
      </c>
      <c r="P158" s="19" t="n">
        <v>0</v>
      </c>
      <c r="Q158" s="19" t="n">
        <v>0</v>
      </c>
      <c r="R158" s="19" t="n">
        <v>0</v>
      </c>
      <c r="S158" s="19" t="n">
        <v>0</v>
      </c>
      <c r="T158" s="19" t="n">
        <v>0</v>
      </c>
      <c r="U158" s="19" t="n">
        <v>0</v>
      </c>
      <c r="V158" s="19" t="n">
        <v>0</v>
      </c>
      <c r="W158" s="19" t="n">
        <v>0</v>
      </c>
      <c r="X158" s="19" t="n">
        <v>0</v>
      </c>
      <c r="Y158" s="19" t="n">
        <v>0</v>
      </c>
      <c r="Z158" s="19" t="n">
        <v>0</v>
      </c>
      <c r="AA158" s="19" t="n">
        <v>0</v>
      </c>
      <c r="AB158" s="19" t="n">
        <v>0</v>
      </c>
      <c r="AC158" s="19" t="n">
        <v>0</v>
      </c>
      <c r="AD158" s="19" t="n">
        <v>0</v>
      </c>
      <c r="AE158" s="19" t="n">
        <v>0</v>
      </c>
      <c r="AF158" s="19" t="n">
        <v>0</v>
      </c>
      <c r="AG158" s="19" t="n">
        <v>0</v>
      </c>
      <c r="AH158" s="19" t="n">
        <v>0</v>
      </c>
      <c r="AI158" s="19" t="n">
        <v>0</v>
      </c>
      <c r="AJ158" s="19" t="n">
        <v>0</v>
      </c>
      <c r="AK158" s="19" t="n">
        <v>0</v>
      </c>
      <c r="AL158" s="19" t="n">
        <v>0</v>
      </c>
      <c r="AM158" s="19" t="n">
        <v>0</v>
      </c>
      <c r="AN158" s="19" t="n">
        <v>0</v>
      </c>
      <c r="AO158" s="19" t="n">
        <v>0</v>
      </c>
      <c r="AP158" s="19" t="n">
        <v>0</v>
      </c>
      <c r="AQ158" s="19" t="n">
        <v>0</v>
      </c>
      <c r="AR158" s="19" t="n">
        <v>0</v>
      </c>
      <c r="AS158" s="19" t="n">
        <v>0</v>
      </c>
      <c r="AT158" s="19" t="n">
        <v>0</v>
      </c>
      <c r="AU158" s="19" t="n">
        <v>0</v>
      </c>
      <c r="AV158" s="19" t="n">
        <v>0</v>
      </c>
      <c r="AW158" s="19" t="n">
        <v>0</v>
      </c>
      <c r="AX158" s="19" t="n">
        <v>0</v>
      </c>
      <c r="AY158" s="19" t="n">
        <v>0</v>
      </c>
      <c r="AZ158" s="19" t="n">
        <v>0</v>
      </c>
      <c r="BA158" s="19" t="n">
        <v>0</v>
      </c>
      <c r="BB158" s="19" t="n">
        <v>0</v>
      </c>
      <c r="BC158" s="19" t="n">
        <v>0</v>
      </c>
      <c r="BD158" s="19" t="n">
        <v>0</v>
      </c>
      <c r="BE158" s="19" t="n">
        <v>0</v>
      </c>
      <c r="BF158" s="19" t="n">
        <v>0</v>
      </c>
      <c r="BG158" s="19" t="n">
        <v>0</v>
      </c>
      <c r="BH158" s="19" t="n">
        <v>0</v>
      </c>
      <c r="BI158" s="19" t="n">
        <v>0</v>
      </c>
      <c r="BJ158" s="19" t="n">
        <v>1</v>
      </c>
      <c r="BK158" s="19" t="n">
        <v>0</v>
      </c>
      <c r="BL158" s="19" t="n">
        <v>0</v>
      </c>
      <c r="BM158" s="19" t="n">
        <v>0</v>
      </c>
      <c r="BN158" s="19" t="n">
        <v>0</v>
      </c>
      <c r="BO158" s="19" t="n">
        <v>0</v>
      </c>
      <c r="BP158" s="19" t="n">
        <v>0</v>
      </c>
      <c r="BQ158" s="19" t="n">
        <v>0</v>
      </c>
      <c r="BR158" s="19" t="n">
        <v>1</v>
      </c>
      <c r="BS158" s="19" t="n">
        <v>2</v>
      </c>
      <c r="BT158" s="19" t="n">
        <v>3</v>
      </c>
      <c r="BU158" s="19" t="n">
        <v>4</v>
      </c>
      <c r="BV158" s="19" t="n">
        <v>3</v>
      </c>
      <c r="BW158" s="19" t="n">
        <v>2</v>
      </c>
      <c r="BX158" s="19" t="n">
        <v>3</v>
      </c>
      <c r="BY158" s="19" t="n">
        <v>3</v>
      </c>
      <c r="BZ158" s="19" t="n">
        <v>4</v>
      </c>
      <c r="CA158" s="19" t="n">
        <v>4</v>
      </c>
      <c r="CB158" s="19" t="n">
        <v>4</v>
      </c>
      <c r="CC158" s="19" t="n">
        <v>4</v>
      </c>
      <c r="CD158" s="19" t="n">
        <v>4</v>
      </c>
      <c r="CE158" s="19" t="n">
        <v>4</v>
      </c>
      <c r="CF158" s="19" t="n">
        <v>4</v>
      </c>
      <c r="CG158" s="19" t="n">
        <v>5</v>
      </c>
      <c r="CH158" s="19" t="n">
        <v>4</v>
      </c>
      <c r="CI158" s="19" t="n">
        <v>4</v>
      </c>
      <c r="CJ158" s="19" t="n">
        <v>4</v>
      </c>
      <c r="CK158" s="19" t="n">
        <v>10</v>
      </c>
      <c r="CL158" s="0" t="s">
        <v>498</v>
      </c>
      <c r="CM158" s="0" t="n">
        <v>33</v>
      </c>
      <c r="CN158" s="16" t="n">
        <v>71.2</v>
      </c>
      <c r="CO158" s="16" t="n">
        <v>80.4</v>
      </c>
      <c r="CP158" s="16" t="n">
        <v>16.3</v>
      </c>
      <c r="CQ158" s="0" t="n">
        <v>83.24</v>
      </c>
      <c r="CR158" s="17" t="n">
        <v>0</v>
      </c>
      <c r="CS158" s="0" t="n">
        <v>0</v>
      </c>
      <c r="CT158" s="0" t="n">
        <v>0</v>
      </c>
      <c r="CU158" s="0" t="n">
        <v>14.14</v>
      </c>
      <c r="CV158" s="0" t="n">
        <v>0</v>
      </c>
      <c r="CW158" s="0" t="n">
        <v>2.63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2.63</v>
      </c>
      <c r="DC158" s="0" t="n">
        <v>10.16</v>
      </c>
      <c r="DD158" s="0" t="n">
        <v>20.83</v>
      </c>
      <c r="DE158" s="0" t="n">
        <v>24.81</v>
      </c>
      <c r="DF158" s="0" t="n">
        <v>0</v>
      </c>
      <c r="DG158" s="0" t="n">
        <v>11.2</v>
      </c>
      <c r="DH158" s="0" t="n">
        <v>1</v>
      </c>
      <c r="DI158" s="0" t="n">
        <v>5</v>
      </c>
      <c r="DK158" s="0" t="n">
        <v>1</v>
      </c>
      <c r="DO158" s="0" t="n">
        <v>5</v>
      </c>
      <c r="DQ158" s="0" t="n">
        <v>1</v>
      </c>
      <c r="DU158" s="0" t="n">
        <v>0</v>
      </c>
      <c r="DV158" s="0" t="n">
        <v>0</v>
      </c>
      <c r="EG158" s="18"/>
      <c r="EY158" s="0" t="n">
        <v>0</v>
      </c>
      <c r="GJ158" s="16" t="n">
        <v>2.71</v>
      </c>
      <c r="GK158" s="16" t="n">
        <v>1</v>
      </c>
      <c r="GL158" s="16" t="n">
        <v>1</v>
      </c>
      <c r="GM158" s="16"/>
      <c r="GN158" s="16" t="n">
        <f aca="false">2.11*4+0.52*2</f>
        <v>9.48</v>
      </c>
      <c r="GO158" s="16"/>
      <c r="GP158" s="16"/>
      <c r="GQ158" s="16"/>
      <c r="GR158" s="16"/>
      <c r="GS158" s="16"/>
      <c r="GT158" s="16"/>
      <c r="GU158" s="16" t="n">
        <v>2.63</v>
      </c>
      <c r="GV158" s="16" t="n">
        <v>2.6</v>
      </c>
      <c r="GW158" s="16" t="n">
        <v>0</v>
      </c>
      <c r="GX158" s="16" t="n">
        <v>0</v>
      </c>
      <c r="GY158" s="16" t="n">
        <v>0</v>
      </c>
      <c r="GZ158" s="16" t="n">
        <v>0</v>
      </c>
      <c r="HA158" s="16" t="n">
        <v>0</v>
      </c>
      <c r="HB158" s="0" t="n">
        <v>0</v>
      </c>
      <c r="HC158" s="0" t="s">
        <v>499</v>
      </c>
      <c r="HD158" s="0" t="n">
        <v>40</v>
      </c>
      <c r="HE158" s="16" t="n">
        <v>79.7</v>
      </c>
      <c r="HF158" s="16" t="n">
        <v>80.4</v>
      </c>
      <c r="HG158" s="16" t="n">
        <v>11.2</v>
      </c>
      <c r="HH158" s="0" t="n">
        <v>91.23</v>
      </c>
      <c r="HI158" s="17" t="n">
        <v>0</v>
      </c>
      <c r="HJ158" s="0" t="n">
        <v>0</v>
      </c>
      <c r="HK158" s="0" t="n">
        <v>0</v>
      </c>
      <c r="HL158" s="0" t="n">
        <v>8.77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  <c r="HT158" s="0" t="n">
        <v>18.64</v>
      </c>
      <c r="HU158" s="0" t="n">
        <v>42.82</v>
      </c>
      <c r="HV158" s="0" t="n">
        <v>4.61</v>
      </c>
      <c r="HW158" s="0" t="n">
        <v>0</v>
      </c>
      <c r="HX158" s="0" t="n">
        <v>0</v>
      </c>
      <c r="HY158" s="0" t="n">
        <v>0</v>
      </c>
      <c r="IL158" s="0" t="n">
        <v>23.2</v>
      </c>
      <c r="IM158" s="0" t="n">
        <v>1</v>
      </c>
      <c r="IN158" s="0" t="n">
        <v>35</v>
      </c>
      <c r="IO158" s="0" t="n">
        <f aca="false">2+4+2+2+2+4+2+2+1</f>
        <v>21</v>
      </c>
      <c r="IP158" s="0" t="n">
        <f aca="false">1.52+1.49+0.78*2+0.27+0.43+0.12+0.13</f>
        <v>5.52</v>
      </c>
      <c r="IQ158" s="0" t="n">
        <v>3</v>
      </c>
      <c r="IR158" s="0" t="n">
        <v>10</v>
      </c>
      <c r="IS158" s="0" t="n">
        <v>1</v>
      </c>
      <c r="IT158" s="0" t="n">
        <v>0.1</v>
      </c>
      <c r="IU158" s="0" t="n">
        <v>5</v>
      </c>
      <c r="IV158" s="0" t="n">
        <v>25</v>
      </c>
      <c r="IW158" s="0" t="n">
        <v>8</v>
      </c>
      <c r="IX158" s="18" t="n">
        <f aca="false">0.19*2+0.1</f>
        <v>0.48</v>
      </c>
      <c r="IY158" s="0" t="n">
        <v>1</v>
      </c>
      <c r="JP158" s="0" t="n">
        <v>0</v>
      </c>
      <c r="LA158" s="16" t="n">
        <v>1.52</v>
      </c>
      <c r="LB158" s="16" t="n">
        <v>1</v>
      </c>
      <c r="LC158" s="16" t="n">
        <v>1</v>
      </c>
      <c r="LD158" s="16"/>
      <c r="LE158" s="16" t="n">
        <f aca="false">2.11*2+0.19*3+0.1</f>
        <v>4.89</v>
      </c>
      <c r="LF158" s="16"/>
      <c r="LG158" s="16"/>
      <c r="LH158" s="16"/>
      <c r="LI158" s="16"/>
      <c r="LJ158" s="16"/>
      <c r="LK158" s="16"/>
      <c r="LL158" s="16" t="n">
        <v>0</v>
      </c>
      <c r="LM158" s="16" t="n">
        <v>0</v>
      </c>
      <c r="LN158" s="16" t="n">
        <v>0</v>
      </c>
      <c r="LO158" s="16" t="n">
        <v>0</v>
      </c>
      <c r="LP158" s="16" t="n">
        <v>0</v>
      </c>
      <c r="LQ158" s="16" t="n">
        <v>0</v>
      </c>
      <c r="LR158" s="16" t="n">
        <v>0.06</v>
      </c>
      <c r="LS158" s="0" t="n">
        <v>0</v>
      </c>
      <c r="LT158" s="0" t="s">
        <v>501</v>
      </c>
      <c r="LU158" s="0" t="n">
        <v>58</v>
      </c>
      <c r="LV158" s="16" t="n">
        <v>79.9</v>
      </c>
      <c r="LW158" s="16" t="n">
        <v>80.4</v>
      </c>
      <c r="LX158" s="16" t="n">
        <v>43.6</v>
      </c>
      <c r="LY158" s="0" t="n">
        <v>26.15</v>
      </c>
      <c r="LZ158" s="17" t="n">
        <v>0</v>
      </c>
      <c r="MA158" s="0" t="n">
        <v>0</v>
      </c>
      <c r="MB158" s="0" t="n">
        <v>0</v>
      </c>
      <c r="MC158" s="0" t="n">
        <v>0</v>
      </c>
      <c r="MD158" s="0" t="n">
        <v>0</v>
      </c>
      <c r="ME158" s="0" t="n">
        <v>73.85</v>
      </c>
      <c r="MF158" s="0" t="n">
        <v>18.43</v>
      </c>
      <c r="MG158" s="0" t="n">
        <v>20.42</v>
      </c>
      <c r="MH158" s="0" t="n">
        <v>0</v>
      </c>
      <c r="MI158" s="0" t="n">
        <v>0</v>
      </c>
      <c r="MJ158" s="0" t="n">
        <v>2.44</v>
      </c>
      <c r="MK158" s="0" t="n">
        <v>0.13</v>
      </c>
      <c r="ML158" s="0" t="n">
        <v>9.71</v>
      </c>
      <c r="MM158" s="0" t="n">
        <v>18.31</v>
      </c>
      <c r="MN158" s="0" t="n">
        <v>0</v>
      </c>
      <c r="MO158" s="0" t="n">
        <v>0</v>
      </c>
      <c r="MP158" s="0" t="n">
        <v>0</v>
      </c>
      <c r="NC158" s="0" t="n">
        <v>9.1</v>
      </c>
      <c r="ND158" s="0" t="n">
        <v>1</v>
      </c>
      <c r="NE158" s="0" t="n">
        <v>68</v>
      </c>
      <c r="NF158" s="0" t="n">
        <v>1</v>
      </c>
      <c r="NG158" s="0" t="n">
        <v>0.05</v>
      </c>
      <c r="NH158" s="0" t="n">
        <v>1</v>
      </c>
      <c r="NI158" s="0" t="n">
        <v>35</v>
      </c>
      <c r="NJ158" s="0" t="n">
        <v>3</v>
      </c>
      <c r="NK158" s="0" t="n">
        <f aca="false">0.76+0.64</f>
        <v>1.4</v>
      </c>
      <c r="NL158" s="0" t="n">
        <v>3</v>
      </c>
      <c r="NM158" s="0" t="n">
        <v>47</v>
      </c>
      <c r="NN158" s="0" t="n">
        <v>2</v>
      </c>
      <c r="NO158" s="18" t="n">
        <v>0.23</v>
      </c>
      <c r="NP158" s="0" t="n">
        <v>3</v>
      </c>
      <c r="OG158" s="0" t="n">
        <v>1</v>
      </c>
      <c r="OH158" s="0" t="n">
        <v>60</v>
      </c>
      <c r="OI158" s="0" t="n">
        <v>2</v>
      </c>
      <c r="OJ158" s="0" t="n">
        <v>0.26</v>
      </c>
      <c r="OK158" s="0" t="n">
        <v>3</v>
      </c>
      <c r="PR158" s="16" t="n">
        <v>0</v>
      </c>
      <c r="PS158" s="16" t="n">
        <v>0</v>
      </c>
      <c r="PT158" s="16"/>
      <c r="PU158" s="16"/>
      <c r="PV158" s="16"/>
      <c r="PW158" s="16"/>
      <c r="PX158" s="16"/>
      <c r="PY158" s="16"/>
      <c r="PZ158" s="16"/>
      <c r="QA158" s="16"/>
      <c r="QB158" s="16"/>
      <c r="QC158" s="16" t="n">
        <v>1.97</v>
      </c>
      <c r="QD158" s="16" t="n">
        <v>1.24</v>
      </c>
      <c r="QE158" s="16" t="n">
        <v>0</v>
      </c>
      <c r="QF158" s="16" t="n">
        <v>0</v>
      </c>
      <c r="QG158" s="16" t="n">
        <v>0</v>
      </c>
      <c r="QH158" s="16" t="n">
        <v>0</v>
      </c>
      <c r="QI158" s="16" t="n">
        <v>3</v>
      </c>
      <c r="QJ158" s="0" t="n">
        <v>0</v>
      </c>
      <c r="QK158" s="0" t="s">
        <v>502</v>
      </c>
      <c r="QL158" s="0" t="n">
        <v>34.5</v>
      </c>
      <c r="QM158" s="16" t="n">
        <v>53.2</v>
      </c>
      <c r="QN158" s="16" t="n">
        <v>80.4</v>
      </c>
      <c r="QO158" s="16" t="n">
        <v>8.3</v>
      </c>
      <c r="QP158" s="0" t="n">
        <v>99.94</v>
      </c>
      <c r="QQ158" s="17" t="n">
        <v>0</v>
      </c>
      <c r="QR158" s="0" t="n">
        <v>0</v>
      </c>
      <c r="QS158" s="0" t="n">
        <v>0</v>
      </c>
      <c r="QT158" s="0" t="n">
        <v>0</v>
      </c>
      <c r="QU158" s="0" t="n">
        <v>0</v>
      </c>
      <c r="QV158" s="0" t="n">
        <v>0</v>
      </c>
      <c r="QW158" s="0" t="n">
        <v>0</v>
      </c>
      <c r="QX158" s="0" t="n">
        <v>0</v>
      </c>
      <c r="QY158" s="0" t="n">
        <v>0</v>
      </c>
      <c r="QZ158" s="0" t="n">
        <v>0</v>
      </c>
      <c r="RA158" s="0" t="n">
        <v>0</v>
      </c>
      <c r="RB158" s="0" t="n">
        <v>9.15</v>
      </c>
      <c r="RC158" s="0" t="n">
        <v>18.41</v>
      </c>
      <c r="RD158" s="0" t="n">
        <v>11.73</v>
      </c>
      <c r="RE158" s="0" t="n">
        <v>0</v>
      </c>
      <c r="RF158" s="0" t="n">
        <v>0</v>
      </c>
      <c r="RG158" s="0" t="n">
        <v>0</v>
      </c>
      <c r="RT158" s="0" t="n">
        <v>11.9</v>
      </c>
      <c r="RU158" s="0" t="n">
        <v>1</v>
      </c>
      <c r="RV158" s="0" t="n">
        <v>47</v>
      </c>
      <c r="RW158" s="0" t="n">
        <v>3</v>
      </c>
      <c r="RX158" s="0" t="n">
        <v>1.52</v>
      </c>
      <c r="RY158" s="0" t="n">
        <v>2</v>
      </c>
      <c r="SF158" s="18"/>
      <c r="SX158" s="0" t="n">
        <v>0</v>
      </c>
      <c r="UI158" s="16" t="n">
        <v>5.7</v>
      </c>
      <c r="UJ158" s="16" t="n">
        <v>1</v>
      </c>
      <c r="UK158" s="16" t="n">
        <v>1</v>
      </c>
      <c r="UL158" s="16"/>
      <c r="UM158" s="16" t="n">
        <f aca="false">2.11+2.11+0.05+0.05+0.37</f>
        <v>4.69</v>
      </c>
      <c r="UN158" s="16" t="n">
        <v>2</v>
      </c>
      <c r="UO158" s="16"/>
      <c r="UP158" s="16" t="n">
        <f aca="false">3.17+3.17+0.56+0.56+0.33</f>
        <v>7.79</v>
      </c>
      <c r="UQ158" s="16"/>
      <c r="UR158" s="16"/>
      <c r="US158" s="16"/>
      <c r="UT158" s="16" t="n">
        <v>0</v>
      </c>
      <c r="UU158" s="16" t="n">
        <v>0</v>
      </c>
      <c r="UV158" s="16"/>
      <c r="UW158" s="16"/>
      <c r="UX158" s="16" t="n">
        <v>5.97</v>
      </c>
      <c r="UY158" s="16" t="n">
        <v>0</v>
      </c>
      <c r="UZ158" s="16" t="n">
        <v>0</v>
      </c>
      <c r="VA158" s="0" t="n">
        <v>1</v>
      </c>
      <c r="VB158" s="0" t="s">
        <v>503</v>
      </c>
      <c r="VC158" s="0" t="n">
        <v>47</v>
      </c>
      <c r="VD158" s="16" t="n">
        <v>54.1</v>
      </c>
      <c r="VE158" s="16" t="n">
        <v>80.4</v>
      </c>
      <c r="VF158" s="16" t="n">
        <v>34.5</v>
      </c>
      <c r="VG158" s="0" t="n">
        <v>71.45</v>
      </c>
      <c r="VH158" s="17" t="n">
        <v>0</v>
      </c>
      <c r="VI158" s="0" t="n">
        <v>21.93</v>
      </c>
      <c r="VJ158" s="0" t="n">
        <v>6.49</v>
      </c>
      <c r="VK158" s="0" t="n">
        <v>0.12</v>
      </c>
      <c r="VL158" s="0" t="n">
        <v>0</v>
      </c>
      <c r="VM158" s="0" t="n">
        <v>0</v>
      </c>
      <c r="VN158" s="0" t="n">
        <v>0</v>
      </c>
      <c r="VO158" s="0" t="n">
        <v>0</v>
      </c>
      <c r="VP158" s="0" t="n">
        <v>0</v>
      </c>
      <c r="VQ158" s="0" t="n">
        <v>0</v>
      </c>
      <c r="VR158" s="0" t="n">
        <v>1.01</v>
      </c>
      <c r="VS158" s="0" t="n">
        <v>0.45</v>
      </c>
      <c r="VT158" s="0" t="n">
        <v>18.4</v>
      </c>
      <c r="VU158" s="0" t="n">
        <v>11.28</v>
      </c>
      <c r="VV158" s="0" t="n">
        <v>0</v>
      </c>
      <c r="VW158" s="0" t="n">
        <v>0</v>
      </c>
      <c r="VX158" s="0" t="n">
        <v>0</v>
      </c>
      <c r="WK158" s="0" t="n">
        <v>6</v>
      </c>
      <c r="WL158" s="0" t="n">
        <v>1</v>
      </c>
      <c r="WM158" s="0" t="n">
        <v>35</v>
      </c>
      <c r="WN158" s="0" t="n">
        <v>8</v>
      </c>
      <c r="WO158" s="0" t="n">
        <f aca="false">0.25+0.25+0.25+0.13+0.13+0.13+0.13</f>
        <v>1.27</v>
      </c>
      <c r="WP158" s="0" t="n">
        <v>3</v>
      </c>
      <c r="WW158" s="18"/>
      <c r="XO158" s="0" t="n">
        <v>1</v>
      </c>
      <c r="XP158" s="0" t="n">
        <v>50</v>
      </c>
      <c r="XQ158" s="0" t="n">
        <v>2</v>
      </c>
      <c r="XR158" s="0" t="n">
        <f aca="false">0.76*2</f>
        <v>1.52</v>
      </c>
      <c r="XS158" s="0" t="n">
        <v>1</v>
      </c>
      <c r="YZ158" s="16" t="n">
        <v>0.42</v>
      </c>
      <c r="ZA158" s="16" t="n">
        <v>1</v>
      </c>
      <c r="ZB158" s="16" t="n">
        <v>1</v>
      </c>
      <c r="ZC158" s="16"/>
      <c r="ZD158" s="16" t="n">
        <f aca="false">0.68+0.68+0.03</f>
        <v>1.39</v>
      </c>
      <c r="ZE158" s="16"/>
      <c r="ZF158" s="16"/>
      <c r="ZG158" s="16"/>
      <c r="ZH158" s="16"/>
      <c r="ZI158" s="16"/>
      <c r="ZJ158" s="16"/>
      <c r="ZK158" s="16" t="n">
        <v>5.21</v>
      </c>
      <c r="ZL158" s="16" t="n">
        <v>7.05</v>
      </c>
      <c r="ZM158" s="16"/>
      <c r="ZN158" s="16"/>
      <c r="ZO158" s="16" t="n">
        <v>0</v>
      </c>
      <c r="ZP158" s="16" t="n">
        <v>0</v>
      </c>
      <c r="ZQ158" s="16" t="n">
        <v>0</v>
      </c>
      <c r="ZR158" s="0" t="n">
        <v>0</v>
      </c>
      <c r="ZS158" s="0" t="s">
        <v>504</v>
      </c>
      <c r="ZT158" s="0" t="n">
        <v>65.5</v>
      </c>
      <c r="ZU158" s="16" t="n">
        <v>92.2</v>
      </c>
      <c r="ZV158" s="16" t="n">
        <v>80.4</v>
      </c>
      <c r="ZW158" s="16" t="n">
        <v>61.7</v>
      </c>
      <c r="ZX158" s="0" t="n">
        <v>22.46</v>
      </c>
      <c r="ZY158" s="17" t="n">
        <v>0</v>
      </c>
      <c r="ZZ158" s="0" t="n">
        <v>0</v>
      </c>
      <c r="AAA158" s="0" t="n">
        <v>0</v>
      </c>
      <c r="AAB158" s="0" t="n">
        <v>0</v>
      </c>
      <c r="AAC158" s="0" t="n">
        <v>0</v>
      </c>
      <c r="AAD158" s="0" t="n">
        <v>70.92</v>
      </c>
      <c r="AAE158" s="0" t="n">
        <v>9.4</v>
      </c>
      <c r="AAF158" s="0" t="n">
        <v>33.69</v>
      </c>
      <c r="AAG158" s="0" t="n">
        <v>0</v>
      </c>
      <c r="AAH158" s="0" t="n">
        <v>0</v>
      </c>
      <c r="AAI158" s="0" t="n">
        <v>14.46</v>
      </c>
      <c r="AAJ158" s="0" t="n">
        <v>11.32</v>
      </c>
      <c r="AAK158" s="0" t="n">
        <v>6.58</v>
      </c>
      <c r="AAL158" s="0" t="n">
        <v>8.88</v>
      </c>
      <c r="AAM158" s="0" t="n">
        <v>6.62</v>
      </c>
      <c r="AAN158" s="0" t="n">
        <v>0</v>
      </c>
      <c r="AAO158" s="0" t="n">
        <v>0</v>
      </c>
      <c r="ABB158" s="0" t="n">
        <v>3.2</v>
      </c>
      <c r="ABC158" s="0" t="n">
        <v>0</v>
      </c>
      <c r="ABN158" s="18"/>
      <c r="ACF158" s="0" t="n">
        <v>1</v>
      </c>
      <c r="ACG158" s="0" t="n">
        <v>60</v>
      </c>
      <c r="ACH158" s="0" t="n">
        <v>2</v>
      </c>
      <c r="ACI158" s="0" t="n">
        <f aca="false">0.76*2</f>
        <v>1.52</v>
      </c>
      <c r="ACJ158" s="0" t="n">
        <v>3</v>
      </c>
      <c r="ADQ158" s="16" t="n">
        <v>0.63</v>
      </c>
      <c r="ADR158" s="16" t="n">
        <v>1</v>
      </c>
      <c r="ADS158" s="16" t="n">
        <v>1</v>
      </c>
      <c r="ADT158" s="16"/>
      <c r="ADU158" s="16" t="n">
        <v>3.17</v>
      </c>
      <c r="ADV158" s="16"/>
      <c r="ADW158" s="16"/>
      <c r="ADX158" s="16"/>
      <c r="ADY158" s="16"/>
      <c r="ADZ158" s="16"/>
      <c r="AEA158" s="16"/>
      <c r="AEB158" s="16" t="n">
        <v>0</v>
      </c>
      <c r="AEC158" s="16" t="n">
        <v>0</v>
      </c>
      <c r="AED158" s="16"/>
      <c r="AEE158" s="16"/>
      <c r="AEF158" s="16" t="n">
        <v>0</v>
      </c>
      <c r="AEG158" s="16" t="n">
        <v>0</v>
      </c>
      <c r="AEH158" s="16" t="n">
        <v>0</v>
      </c>
      <c r="AEI158" s="0" t="n">
        <v>0</v>
      </c>
      <c r="AEJ158" s="0" t="s">
        <v>619</v>
      </c>
      <c r="AEK158" s="0" t="n">
        <v>42</v>
      </c>
      <c r="AEL158" s="16" t="n">
        <v>97.3</v>
      </c>
      <c r="AEM158" s="16" t="n">
        <v>80.4</v>
      </c>
      <c r="AEN158" s="16" t="n">
        <v>14.9</v>
      </c>
      <c r="AEO158" s="0" t="n">
        <v>88.72</v>
      </c>
      <c r="AEP158" s="17" t="n">
        <v>0</v>
      </c>
      <c r="AEQ158" s="0" t="n">
        <v>0</v>
      </c>
      <c r="AER158" s="0" t="n">
        <v>0</v>
      </c>
      <c r="AES158" s="0" t="n">
        <v>11.28</v>
      </c>
      <c r="AET158" s="0" t="n">
        <v>0</v>
      </c>
      <c r="AEU158" s="0" t="n">
        <v>0</v>
      </c>
      <c r="AEV158" s="0" t="n">
        <v>0</v>
      </c>
      <c r="AEW158" s="0" t="n">
        <v>0</v>
      </c>
      <c r="AEX158" s="0" t="n">
        <v>0</v>
      </c>
      <c r="AEY158" s="0" t="n">
        <v>0</v>
      </c>
      <c r="AEZ158" s="0" t="n">
        <v>0</v>
      </c>
      <c r="AFA158" s="0" t="n">
        <v>1.14</v>
      </c>
      <c r="AFB158" s="0" t="n">
        <v>50.12</v>
      </c>
      <c r="AFC158" s="0" t="n">
        <v>30.38</v>
      </c>
      <c r="AFD158" s="0" t="n">
        <v>0</v>
      </c>
      <c r="AFE158" s="0" t="n">
        <v>0</v>
      </c>
      <c r="AFF158" s="0" t="n">
        <v>1</v>
      </c>
      <c r="AFG158" s="0" t="n">
        <v>2</v>
      </c>
      <c r="AFI158" s="0" t="n">
        <v>4</v>
      </c>
      <c r="AFM158" s="0" t="n">
        <v>2</v>
      </c>
      <c r="AFO158" s="0" t="n">
        <v>4</v>
      </c>
      <c r="AFS158" s="0" t="n">
        <v>0</v>
      </c>
      <c r="AFT158" s="0" t="n">
        <v>0</v>
      </c>
      <c r="AGE158" s="18"/>
      <c r="AGW158" s="0" t="n">
        <v>0</v>
      </c>
      <c r="AIH158" s="16" t="n">
        <v>9.53</v>
      </c>
      <c r="AII158" s="16" t="n">
        <v>1</v>
      </c>
      <c r="AIJ158" s="16" t="n">
        <v>1</v>
      </c>
      <c r="AIK158" s="16"/>
      <c r="AIL158" s="16" t="n">
        <f aca="false">3.17+6.34+4.23+0.56+1.12</f>
        <v>15.42</v>
      </c>
      <c r="AIM158" s="16" t="n">
        <v>2</v>
      </c>
      <c r="AIN158" s="16"/>
      <c r="AIO158" s="16" t="n">
        <f aca="false">8.46+1.59+1.59+1.49+0.28+1.49</f>
        <v>14.9</v>
      </c>
      <c r="AIP158" s="16"/>
      <c r="AIQ158" s="16"/>
      <c r="AIR158" s="16"/>
      <c r="AIS158" s="16" t="n">
        <v>14.15</v>
      </c>
      <c r="AIT158" s="16" t="n">
        <v>35.37</v>
      </c>
      <c r="AIU158" s="16"/>
      <c r="AIV158" s="16"/>
      <c r="AIW158" s="16" t="n">
        <v>0</v>
      </c>
      <c r="AIX158" s="16" t="n">
        <v>0</v>
      </c>
      <c r="AIY158" s="16" t="n">
        <v>0</v>
      </c>
      <c r="AIZ158" s="0" t="n">
        <v>0</v>
      </c>
      <c r="AJA158" s="15"/>
      <c r="AJB158" s="15"/>
      <c r="AJI158" s="15"/>
      <c r="AJJ158" s="15"/>
      <c r="AJQ158" s="15"/>
      <c r="AJR158" s="15"/>
      <c r="AJY158" s="15"/>
      <c r="AJZ158" s="15"/>
      <c r="AKG158" s="15"/>
      <c r="AKH158" s="15"/>
      <c r="AKO158" s="15"/>
      <c r="AKP158" s="15"/>
      <c r="AKW158" s="15"/>
      <c r="AKX158" s="15"/>
      <c r="ALE158" s="15"/>
      <c r="ALF158" s="15"/>
      <c r="ALM158" s="15"/>
      <c r="ALN158" s="15"/>
      <c r="ALU158" s="15"/>
      <c r="ALV158" s="15"/>
      <c r="AMC158" s="15"/>
      <c r="AMD158" s="15"/>
    </row>
    <row r="159" customFormat="false" ht="13.8" hidden="false" customHeight="false" outlineLevel="0" collapsed="false">
      <c r="A159" s="1" t="s">
        <v>620</v>
      </c>
      <c r="B159" s="12" t="n">
        <v>42902</v>
      </c>
      <c r="C159" s="0" t="n">
        <v>2</v>
      </c>
      <c r="D159" s="13" t="n">
        <v>40728</v>
      </c>
      <c r="E159" s="12" t="n">
        <v>31997</v>
      </c>
      <c r="F159" s="14" t="n">
        <f aca="false">(B159-E159)/365.25</f>
        <v>29.8562628336756</v>
      </c>
      <c r="G159" s="14" t="n">
        <f aca="false">(B159-D159)/365.25</f>
        <v>5.95208761122519</v>
      </c>
      <c r="H159" s="15" t="s">
        <v>181</v>
      </c>
      <c r="I159" s="15" t="s">
        <v>496</v>
      </c>
      <c r="J159" s="15" t="s">
        <v>183</v>
      </c>
      <c r="K159" s="15" t="n">
        <v>4</v>
      </c>
      <c r="L159" s="19" t="n">
        <v>70</v>
      </c>
      <c r="M159" s="0" t="n">
        <v>1.64</v>
      </c>
      <c r="N159" s="16" t="n">
        <f aca="false">L159/(M159*M159)</f>
        <v>26.0261748958953</v>
      </c>
      <c r="O159" s="19" t="n">
        <v>0</v>
      </c>
      <c r="P159" s="19" t="n">
        <v>0</v>
      </c>
      <c r="Q159" s="19" t="n">
        <v>0</v>
      </c>
      <c r="R159" s="19" t="n">
        <v>0</v>
      </c>
      <c r="S159" s="19" t="n">
        <v>0</v>
      </c>
      <c r="T159" s="19" t="n">
        <v>0</v>
      </c>
      <c r="U159" s="19" t="n">
        <v>1</v>
      </c>
      <c r="V159" s="19" t="n">
        <v>4</v>
      </c>
      <c r="W159" s="19" t="n">
        <v>1</v>
      </c>
      <c r="X159" s="19" t="n">
        <v>0</v>
      </c>
      <c r="Y159" s="19" t="n">
        <v>0</v>
      </c>
      <c r="Z159" s="19" t="n">
        <v>0</v>
      </c>
      <c r="AA159" s="19" t="n">
        <v>0</v>
      </c>
      <c r="AB159" s="19" t="n">
        <v>0</v>
      </c>
      <c r="AC159" s="19" t="n">
        <v>0</v>
      </c>
      <c r="AD159" s="19" t="n">
        <v>0</v>
      </c>
      <c r="AE159" s="19" t="n">
        <v>1</v>
      </c>
      <c r="AF159" s="19" t="n">
        <v>0</v>
      </c>
      <c r="AG159" s="19" t="n">
        <v>0</v>
      </c>
      <c r="AH159" s="19" t="n">
        <v>0</v>
      </c>
      <c r="AI159" s="19" t="n">
        <v>1</v>
      </c>
      <c r="AJ159" s="19" t="n">
        <v>1</v>
      </c>
      <c r="AK159" s="19" t="n">
        <v>1</v>
      </c>
      <c r="AL159" s="19" t="n">
        <v>10</v>
      </c>
      <c r="AM159" s="19" t="n">
        <v>0</v>
      </c>
      <c r="AN159" s="19" t="n">
        <v>1</v>
      </c>
      <c r="AO159" s="19" t="n">
        <v>1</v>
      </c>
      <c r="AP159" s="19" t="n">
        <v>1</v>
      </c>
      <c r="AQ159" s="19" t="n">
        <v>7</v>
      </c>
      <c r="AR159" s="19" t="n">
        <v>0</v>
      </c>
      <c r="AS159" s="19" t="n">
        <v>3</v>
      </c>
      <c r="AT159" s="19" t="n">
        <v>3</v>
      </c>
      <c r="AU159" s="19" t="n">
        <v>1</v>
      </c>
      <c r="AV159" s="19" t="n">
        <v>7</v>
      </c>
      <c r="AW159" s="19" t="n">
        <v>0</v>
      </c>
      <c r="AX159" s="19" t="n">
        <v>0</v>
      </c>
      <c r="AY159" s="19" t="n">
        <v>0</v>
      </c>
      <c r="AZ159" s="19" t="n">
        <v>0</v>
      </c>
      <c r="BA159" s="19" t="n">
        <v>0</v>
      </c>
      <c r="BB159" s="19" t="n">
        <v>1</v>
      </c>
      <c r="BC159" s="19" t="n">
        <v>1</v>
      </c>
      <c r="BD159" s="19" t="n">
        <v>0</v>
      </c>
      <c r="BE159" s="19" t="n">
        <v>0</v>
      </c>
      <c r="BF159" s="19" t="n">
        <v>0</v>
      </c>
      <c r="BG159" s="19" t="n">
        <v>0</v>
      </c>
      <c r="BH159" s="19" t="n">
        <v>0</v>
      </c>
      <c r="BI159" s="19" t="n">
        <v>0</v>
      </c>
      <c r="BJ159" s="19" t="n">
        <v>1</v>
      </c>
      <c r="BK159" s="19" t="n">
        <v>1</v>
      </c>
      <c r="BL159" s="19" t="n">
        <v>1</v>
      </c>
      <c r="BM159" s="19" t="n">
        <v>6</v>
      </c>
      <c r="BN159" s="19" t="n">
        <v>1</v>
      </c>
      <c r="BO159" s="19" t="n">
        <v>1</v>
      </c>
      <c r="BP159" s="19" t="n">
        <v>1</v>
      </c>
      <c r="BQ159" s="19" t="n">
        <v>5</v>
      </c>
      <c r="BR159" s="19" t="n">
        <v>3</v>
      </c>
      <c r="BS159" s="19" t="n">
        <v>3</v>
      </c>
      <c r="BT159" s="19" t="n">
        <v>4</v>
      </c>
      <c r="BU159" s="19" t="n">
        <v>5</v>
      </c>
      <c r="BV159" s="19" t="n">
        <v>3</v>
      </c>
      <c r="BW159" s="19" t="n">
        <v>3</v>
      </c>
      <c r="BX159" s="19" t="n">
        <v>2</v>
      </c>
      <c r="BY159" s="19" t="n">
        <v>3</v>
      </c>
      <c r="BZ159" s="19" t="n">
        <v>2</v>
      </c>
      <c r="CA159" s="19" t="n">
        <v>3</v>
      </c>
      <c r="CB159" s="19" t="n">
        <v>3</v>
      </c>
      <c r="CC159" s="19" t="n">
        <v>5</v>
      </c>
      <c r="CD159" s="19" t="n">
        <v>4</v>
      </c>
      <c r="CE159" s="19" t="n">
        <v>4</v>
      </c>
      <c r="CF159" s="19" t="n">
        <v>4</v>
      </c>
      <c r="CG159" s="19" t="n">
        <v>4</v>
      </c>
      <c r="CH159" s="19" t="n">
        <v>3</v>
      </c>
      <c r="CI159" s="19" t="n">
        <v>3</v>
      </c>
      <c r="CJ159" s="19" t="n">
        <v>3</v>
      </c>
      <c r="CK159" s="19" t="n">
        <v>6</v>
      </c>
      <c r="CL159" s="0" t="s">
        <v>498</v>
      </c>
      <c r="CM159" s="0" t="n">
        <v>33</v>
      </c>
      <c r="CN159" s="16" t="n">
        <v>71.2</v>
      </c>
      <c r="CO159" s="16" t="n">
        <v>80.4</v>
      </c>
      <c r="CP159" s="16" t="n">
        <v>16.3</v>
      </c>
      <c r="CQ159" s="0" t="n">
        <v>83.24</v>
      </c>
      <c r="CR159" s="17" t="n">
        <v>0</v>
      </c>
      <c r="CS159" s="0" t="n">
        <v>0</v>
      </c>
      <c r="CT159" s="0" t="n">
        <v>0</v>
      </c>
      <c r="CU159" s="0" t="n">
        <v>14.14</v>
      </c>
      <c r="CV159" s="0" t="n">
        <v>0</v>
      </c>
      <c r="CW159" s="0" t="n">
        <v>2.63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2.63</v>
      </c>
      <c r="DC159" s="0" t="n">
        <v>10.16</v>
      </c>
      <c r="DD159" s="0" t="n">
        <v>20.83</v>
      </c>
      <c r="DE159" s="0" t="n">
        <v>24.81</v>
      </c>
      <c r="DF159" s="0" t="n">
        <v>0</v>
      </c>
      <c r="DG159" s="0" t="n">
        <v>11.2</v>
      </c>
      <c r="DH159" s="0" t="n">
        <v>1</v>
      </c>
      <c r="DI159" s="0" t="n">
        <v>5</v>
      </c>
      <c r="DK159" s="0" t="n">
        <v>1</v>
      </c>
      <c r="DO159" s="0" t="n">
        <v>5</v>
      </c>
      <c r="DQ159" s="0" t="n">
        <v>1</v>
      </c>
      <c r="DU159" s="0" t="n">
        <v>0</v>
      </c>
      <c r="DV159" s="0" t="n">
        <v>0</v>
      </c>
      <c r="EG159" s="18"/>
      <c r="EY159" s="0" t="n">
        <v>0</v>
      </c>
      <c r="GJ159" s="16" t="n">
        <v>2.71</v>
      </c>
      <c r="GK159" s="16" t="n">
        <v>1</v>
      </c>
      <c r="GL159" s="16" t="n">
        <v>1</v>
      </c>
      <c r="GM159" s="16"/>
      <c r="GN159" s="16" t="n">
        <f aca="false">2.11*4+0.52*2</f>
        <v>9.48</v>
      </c>
      <c r="GO159" s="16"/>
      <c r="GP159" s="16"/>
      <c r="GQ159" s="16"/>
      <c r="GR159" s="16"/>
      <c r="GS159" s="16"/>
      <c r="GT159" s="16"/>
      <c r="GU159" s="16" t="n">
        <v>2.63</v>
      </c>
      <c r="GV159" s="16" t="n">
        <v>2.6</v>
      </c>
      <c r="GW159" s="16" t="n">
        <v>0</v>
      </c>
      <c r="GX159" s="16" t="n">
        <v>0</v>
      </c>
      <c r="GY159" s="16" t="n">
        <v>0</v>
      </c>
      <c r="GZ159" s="16" t="n">
        <v>0</v>
      </c>
      <c r="HA159" s="16" t="n">
        <v>0</v>
      </c>
      <c r="HB159" s="0" t="n">
        <v>0</v>
      </c>
      <c r="HC159" s="0" t="s">
        <v>499</v>
      </c>
      <c r="HD159" s="0" t="n">
        <v>40</v>
      </c>
      <c r="HE159" s="16" t="n">
        <v>79.7</v>
      </c>
      <c r="HF159" s="16" t="n">
        <v>80.4</v>
      </c>
      <c r="HG159" s="16" t="n">
        <v>11.2</v>
      </c>
      <c r="HH159" s="0" t="n">
        <v>91.23</v>
      </c>
      <c r="HI159" s="17" t="n">
        <v>0</v>
      </c>
      <c r="HJ159" s="0" t="n">
        <v>0</v>
      </c>
      <c r="HK159" s="0" t="n">
        <v>0</v>
      </c>
      <c r="HL159" s="0" t="n">
        <v>8.77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0</v>
      </c>
      <c r="HR159" s="0" t="n">
        <v>0</v>
      </c>
      <c r="HS159" s="0" t="n">
        <v>0</v>
      </c>
      <c r="HT159" s="0" t="n">
        <v>18.64</v>
      </c>
      <c r="HU159" s="0" t="n">
        <v>42.82</v>
      </c>
      <c r="HV159" s="0" t="n">
        <v>4.61</v>
      </c>
      <c r="HW159" s="0" t="n">
        <v>0</v>
      </c>
      <c r="HX159" s="0" t="n">
        <v>0</v>
      </c>
      <c r="HY159" s="0" t="n">
        <v>0</v>
      </c>
      <c r="IL159" s="0" t="n">
        <v>23.2</v>
      </c>
      <c r="IM159" s="0" t="n">
        <v>1</v>
      </c>
      <c r="IN159" s="0" t="n">
        <v>35</v>
      </c>
      <c r="IO159" s="0" t="n">
        <f aca="false">2+4+2+2+2+4+2+2+1</f>
        <v>21</v>
      </c>
      <c r="IP159" s="0" t="n">
        <f aca="false">1.52+1.49+0.78*2+0.27+0.43+0.12+0.13</f>
        <v>5.52</v>
      </c>
      <c r="IQ159" s="0" t="n">
        <v>3</v>
      </c>
      <c r="IR159" s="0" t="n">
        <v>10</v>
      </c>
      <c r="IS159" s="0" t="n">
        <v>1</v>
      </c>
      <c r="IT159" s="0" t="n">
        <v>0.1</v>
      </c>
      <c r="IU159" s="0" t="n">
        <v>5</v>
      </c>
      <c r="IV159" s="0" t="n">
        <v>25</v>
      </c>
      <c r="IW159" s="0" t="n">
        <v>8</v>
      </c>
      <c r="IX159" s="18" t="n">
        <f aca="false">0.19*2+0.1</f>
        <v>0.48</v>
      </c>
      <c r="IY159" s="0" t="n">
        <v>1</v>
      </c>
      <c r="JP159" s="0" t="n">
        <v>0</v>
      </c>
      <c r="LA159" s="16" t="n">
        <v>1.52</v>
      </c>
      <c r="LB159" s="16" t="n">
        <v>1</v>
      </c>
      <c r="LC159" s="16" t="n">
        <v>1</v>
      </c>
      <c r="LD159" s="16"/>
      <c r="LE159" s="16" t="n">
        <f aca="false">2.11*2+0.19*3+0.1</f>
        <v>4.89</v>
      </c>
      <c r="LF159" s="16"/>
      <c r="LG159" s="16"/>
      <c r="LH159" s="16"/>
      <c r="LI159" s="16"/>
      <c r="LJ159" s="16"/>
      <c r="LK159" s="16"/>
      <c r="LL159" s="16" t="n">
        <v>0</v>
      </c>
      <c r="LM159" s="16" t="n">
        <v>0</v>
      </c>
      <c r="LN159" s="16" t="n">
        <v>0</v>
      </c>
      <c r="LO159" s="16" t="n">
        <v>0</v>
      </c>
      <c r="LP159" s="16" t="n">
        <v>0</v>
      </c>
      <c r="LQ159" s="16" t="n">
        <v>0</v>
      </c>
      <c r="LR159" s="16" t="n">
        <v>0.06</v>
      </c>
      <c r="LS159" s="0" t="n">
        <v>0</v>
      </c>
      <c r="LT159" s="0" t="s">
        <v>500</v>
      </c>
      <c r="LU159" s="0" t="n">
        <v>48</v>
      </c>
      <c r="LV159" s="16" t="n">
        <v>69.7</v>
      </c>
      <c r="LW159" s="16" t="n">
        <v>80.4</v>
      </c>
      <c r="LX159" s="16" t="n">
        <v>44.5</v>
      </c>
      <c r="LY159" s="0" t="n">
        <v>13.55</v>
      </c>
      <c r="LZ159" s="17" t="n">
        <v>0</v>
      </c>
      <c r="MA159" s="0" t="n">
        <v>0</v>
      </c>
      <c r="MB159" s="0" t="n">
        <v>0</v>
      </c>
      <c r="MC159" s="0" t="n">
        <v>0.1</v>
      </c>
      <c r="MD159" s="0" t="n">
        <v>0</v>
      </c>
      <c r="ME159" s="0" t="n">
        <v>86.34</v>
      </c>
      <c r="MF159" s="0" t="n">
        <v>13.26</v>
      </c>
      <c r="MG159" s="0" t="n">
        <v>28.53</v>
      </c>
      <c r="MH159" s="0" t="n">
        <v>0</v>
      </c>
      <c r="MI159" s="0" t="n">
        <v>0</v>
      </c>
      <c r="MJ159" s="0" t="n">
        <v>0.78</v>
      </c>
      <c r="MK159" s="0" t="n">
        <v>3.48</v>
      </c>
      <c r="ML159" s="0" t="n">
        <v>11.45</v>
      </c>
      <c r="MM159" s="0" t="n">
        <v>6.85</v>
      </c>
      <c r="MN159" s="0" t="n">
        <v>0</v>
      </c>
      <c r="MO159" s="0" t="n">
        <v>0</v>
      </c>
      <c r="MP159" s="0" t="n">
        <v>0</v>
      </c>
      <c r="NC159" s="0" t="n">
        <v>0</v>
      </c>
      <c r="ND159" s="0" t="n">
        <v>0</v>
      </c>
      <c r="NO159" s="18"/>
      <c r="OG159" s="0" t="n">
        <v>0</v>
      </c>
      <c r="PR159" s="16" t="n">
        <v>0.75</v>
      </c>
      <c r="PS159" s="16" t="n">
        <v>1</v>
      </c>
      <c r="PT159" s="16" t="n">
        <v>1</v>
      </c>
      <c r="PU159" s="16"/>
      <c r="PV159" s="16" t="n">
        <f aca="false">2.11+0.37</f>
        <v>2.48</v>
      </c>
      <c r="PW159" s="16"/>
      <c r="PX159" s="16"/>
      <c r="PY159" s="16"/>
      <c r="PZ159" s="16"/>
      <c r="QA159" s="16"/>
      <c r="QB159" s="16"/>
      <c r="QC159" s="16" t="n">
        <v>2.66</v>
      </c>
      <c r="QD159" s="16" t="n">
        <v>2.64</v>
      </c>
      <c r="QE159" s="16" t="n">
        <v>0</v>
      </c>
      <c r="QF159" s="16" t="n">
        <v>0</v>
      </c>
      <c r="QG159" s="16" t="n">
        <v>0</v>
      </c>
      <c r="QH159" s="16" t="n">
        <v>0</v>
      </c>
      <c r="QI159" s="16" t="n">
        <v>0</v>
      </c>
      <c r="QJ159" s="0" t="n">
        <v>0</v>
      </c>
      <c r="QK159" s="0" t="s">
        <v>501</v>
      </c>
      <c r="QL159" s="0" t="n">
        <v>58</v>
      </c>
      <c r="QM159" s="16" t="n">
        <v>79.9</v>
      </c>
      <c r="QN159" s="16" t="n">
        <v>80.4</v>
      </c>
      <c r="QO159" s="16" t="n">
        <v>43.6</v>
      </c>
      <c r="QP159" s="0" t="n">
        <v>26.15</v>
      </c>
      <c r="QQ159" s="17" t="n">
        <v>0</v>
      </c>
      <c r="QR159" s="0" t="n">
        <v>0</v>
      </c>
      <c r="QS159" s="0" t="n">
        <v>0</v>
      </c>
      <c r="QT159" s="0" t="n">
        <v>0</v>
      </c>
      <c r="QU159" s="0" t="n">
        <v>0</v>
      </c>
      <c r="QV159" s="0" t="n">
        <v>73.85</v>
      </c>
      <c r="QW159" s="0" t="n">
        <v>18.43</v>
      </c>
      <c r="QX159" s="0" t="n">
        <v>20.42</v>
      </c>
      <c r="QY159" s="0" t="n">
        <v>0</v>
      </c>
      <c r="QZ159" s="0" t="n">
        <v>0</v>
      </c>
      <c r="RA159" s="0" t="n">
        <v>2.44</v>
      </c>
      <c r="RB159" s="0" t="n">
        <v>0.13</v>
      </c>
      <c r="RC159" s="0" t="n">
        <v>9.71</v>
      </c>
      <c r="RD159" s="0" t="n">
        <v>18.31</v>
      </c>
      <c r="RE159" s="0" t="n">
        <v>0</v>
      </c>
      <c r="RF159" s="0" t="n">
        <v>0</v>
      </c>
      <c r="RG159" s="0" t="n">
        <v>0</v>
      </c>
      <c r="RT159" s="0" t="n">
        <v>9.1</v>
      </c>
      <c r="RU159" s="0" t="n">
        <v>1</v>
      </c>
      <c r="RV159" s="0" t="n">
        <v>68</v>
      </c>
      <c r="RW159" s="0" t="n">
        <v>1</v>
      </c>
      <c r="RX159" s="0" t="n">
        <v>0.05</v>
      </c>
      <c r="RY159" s="0" t="n">
        <v>1</v>
      </c>
      <c r="RZ159" s="0" t="n">
        <v>35</v>
      </c>
      <c r="SA159" s="0" t="n">
        <v>3</v>
      </c>
      <c r="SB159" s="0" t="n">
        <f aca="false">0.76+0.64</f>
        <v>1.4</v>
      </c>
      <c r="SC159" s="0" t="n">
        <v>3</v>
      </c>
      <c r="SD159" s="0" t="n">
        <v>47</v>
      </c>
      <c r="SE159" s="0" t="n">
        <v>2</v>
      </c>
      <c r="SF159" s="18" t="n">
        <v>0.23</v>
      </c>
      <c r="SG159" s="0" t="n">
        <v>3</v>
      </c>
      <c r="SX159" s="0" t="n">
        <v>1</v>
      </c>
      <c r="SY159" s="0" t="n">
        <v>60</v>
      </c>
      <c r="SZ159" s="0" t="n">
        <v>2</v>
      </c>
      <c r="TA159" s="0" t="n">
        <v>0.26</v>
      </c>
      <c r="TB159" s="0" t="n">
        <v>3</v>
      </c>
      <c r="UI159" s="16" t="n">
        <v>0</v>
      </c>
      <c r="UJ159" s="16" t="n">
        <v>0</v>
      </c>
      <c r="UK159" s="16"/>
      <c r="UL159" s="16"/>
      <c r="UM159" s="16"/>
      <c r="UN159" s="16"/>
      <c r="UO159" s="16"/>
      <c r="UP159" s="16"/>
      <c r="UQ159" s="16"/>
      <c r="UR159" s="16"/>
      <c r="US159" s="16"/>
      <c r="UT159" s="16" t="n">
        <v>1.97</v>
      </c>
      <c r="UU159" s="16" t="n">
        <v>1.24</v>
      </c>
      <c r="UV159" s="16" t="n">
        <v>0</v>
      </c>
      <c r="UW159" s="16" t="n">
        <v>0</v>
      </c>
      <c r="UX159" s="16" t="n">
        <v>0</v>
      </c>
      <c r="UY159" s="16" t="n">
        <v>0</v>
      </c>
      <c r="UZ159" s="16" t="n">
        <v>3</v>
      </c>
      <c r="VA159" s="0" t="n">
        <v>0</v>
      </c>
      <c r="VB159" s="0" t="s">
        <v>502</v>
      </c>
      <c r="VC159" s="0" t="n">
        <v>34.5</v>
      </c>
      <c r="VD159" s="16" t="n">
        <v>53.2</v>
      </c>
      <c r="VE159" s="16" t="n">
        <v>80.4</v>
      </c>
      <c r="VF159" s="16" t="n">
        <v>8.3</v>
      </c>
      <c r="VG159" s="0" t="n">
        <v>99.94</v>
      </c>
      <c r="VH159" s="17" t="n">
        <v>0</v>
      </c>
      <c r="VI159" s="0" t="n">
        <v>0</v>
      </c>
      <c r="VJ159" s="0" t="n">
        <v>0</v>
      </c>
      <c r="VK159" s="0" t="n">
        <v>0</v>
      </c>
      <c r="VL159" s="0" t="n">
        <v>0</v>
      </c>
      <c r="VM159" s="0" t="n">
        <v>0</v>
      </c>
      <c r="VN159" s="0" t="n">
        <v>0</v>
      </c>
      <c r="VO159" s="0" t="n">
        <v>0</v>
      </c>
      <c r="VP159" s="0" t="n">
        <v>0</v>
      </c>
      <c r="VQ159" s="0" t="n">
        <v>0</v>
      </c>
      <c r="VR159" s="0" t="n">
        <v>0</v>
      </c>
      <c r="VS159" s="0" t="n">
        <v>9.15</v>
      </c>
      <c r="VT159" s="0" t="n">
        <v>18.41</v>
      </c>
      <c r="VU159" s="0" t="n">
        <v>11.73</v>
      </c>
      <c r="VV159" s="0" t="n">
        <v>0</v>
      </c>
      <c r="VW159" s="0" t="n">
        <v>0</v>
      </c>
      <c r="VX159" s="0" t="n">
        <v>0</v>
      </c>
      <c r="WK159" s="0" t="n">
        <v>11.9</v>
      </c>
      <c r="WL159" s="0" t="n">
        <v>1</v>
      </c>
      <c r="WM159" s="0" t="n">
        <v>47</v>
      </c>
      <c r="WN159" s="0" t="n">
        <v>3</v>
      </c>
      <c r="WO159" s="0" t="n">
        <v>1.52</v>
      </c>
      <c r="WP159" s="0" t="n">
        <v>2</v>
      </c>
      <c r="WW159" s="18"/>
      <c r="XO159" s="0" t="n">
        <v>0</v>
      </c>
      <c r="YZ159" s="16" t="n">
        <v>5.7</v>
      </c>
      <c r="ZA159" s="16" t="n">
        <v>1</v>
      </c>
      <c r="ZB159" s="16" t="n">
        <v>1</v>
      </c>
      <c r="ZC159" s="16"/>
      <c r="ZD159" s="16" t="n">
        <f aca="false">2.11+2.11+0.05+0.05+0.37</f>
        <v>4.69</v>
      </c>
      <c r="ZE159" s="16" t="n">
        <v>2</v>
      </c>
      <c r="ZF159" s="16"/>
      <c r="ZG159" s="16" t="n">
        <f aca="false">3.17+3.17+0.56+0.56+0.33</f>
        <v>7.79</v>
      </c>
      <c r="ZH159" s="16"/>
      <c r="ZI159" s="16"/>
      <c r="ZJ159" s="16"/>
      <c r="ZK159" s="16" t="n">
        <v>0</v>
      </c>
      <c r="ZL159" s="16" t="n">
        <v>0</v>
      </c>
      <c r="ZM159" s="16"/>
      <c r="ZN159" s="16"/>
      <c r="ZO159" s="16" t="n">
        <v>5.97</v>
      </c>
      <c r="ZP159" s="16" t="n">
        <v>0</v>
      </c>
      <c r="ZQ159" s="16" t="n">
        <v>0</v>
      </c>
      <c r="ZR159" s="0" t="n">
        <v>1</v>
      </c>
      <c r="ZS159" s="0" t="s">
        <v>503</v>
      </c>
      <c r="ZT159" s="0" t="n">
        <v>47</v>
      </c>
      <c r="ZU159" s="16" t="n">
        <v>54.1</v>
      </c>
      <c r="ZV159" s="16" t="n">
        <v>80.4</v>
      </c>
      <c r="ZW159" s="16" t="n">
        <v>34.5</v>
      </c>
      <c r="ZX159" s="0" t="n">
        <v>71.45</v>
      </c>
      <c r="ZY159" s="17" t="n">
        <v>0</v>
      </c>
      <c r="ZZ159" s="0" t="n">
        <v>21.93</v>
      </c>
      <c r="AAA159" s="0" t="n">
        <v>6.49</v>
      </c>
      <c r="AAB159" s="0" t="n">
        <v>0.12</v>
      </c>
      <c r="AAC159" s="0" t="n">
        <v>0</v>
      </c>
      <c r="AAD159" s="0" t="n">
        <v>0</v>
      </c>
      <c r="AAE159" s="0" t="n">
        <v>0</v>
      </c>
      <c r="AAF159" s="0" t="n">
        <v>0</v>
      </c>
      <c r="AAG159" s="0" t="n">
        <v>0</v>
      </c>
      <c r="AAH159" s="0" t="n">
        <v>0</v>
      </c>
      <c r="AAI159" s="0" t="n">
        <v>1.01</v>
      </c>
      <c r="AAJ159" s="0" t="n">
        <v>0.45</v>
      </c>
      <c r="AAK159" s="0" t="n">
        <v>18.4</v>
      </c>
      <c r="AAL159" s="0" t="n">
        <v>11.28</v>
      </c>
      <c r="AAM159" s="0" t="n">
        <v>0</v>
      </c>
      <c r="AAN159" s="0" t="n">
        <v>0</v>
      </c>
      <c r="AAO159" s="0" t="n">
        <v>0</v>
      </c>
      <c r="ABB159" s="0" t="n">
        <v>6</v>
      </c>
      <c r="ABC159" s="0" t="n">
        <v>1</v>
      </c>
      <c r="ABD159" s="0" t="n">
        <v>35</v>
      </c>
      <c r="ABE159" s="0" t="n">
        <v>8</v>
      </c>
      <c r="ABF159" s="0" t="n">
        <f aca="false">0.25+0.25+0.25+0.13+0.13+0.13+0.13</f>
        <v>1.27</v>
      </c>
      <c r="ABG159" s="0" t="n">
        <v>3</v>
      </c>
      <c r="ABN159" s="18"/>
      <c r="ACF159" s="0" t="n">
        <v>1</v>
      </c>
      <c r="ACG159" s="0" t="n">
        <v>50</v>
      </c>
      <c r="ACH159" s="0" t="n">
        <v>2</v>
      </c>
      <c r="ACI159" s="0" t="n">
        <f aca="false">0.76*2</f>
        <v>1.52</v>
      </c>
      <c r="ACJ159" s="0" t="n">
        <v>1</v>
      </c>
      <c r="ADQ159" s="16" t="n">
        <v>0.42</v>
      </c>
      <c r="ADR159" s="16" t="n">
        <v>1</v>
      </c>
      <c r="ADS159" s="16" t="n">
        <v>1</v>
      </c>
      <c r="ADT159" s="16"/>
      <c r="ADU159" s="16" t="n">
        <f aca="false">0.68+0.68+0.03</f>
        <v>1.39</v>
      </c>
      <c r="ADV159" s="16"/>
      <c r="ADW159" s="16"/>
      <c r="ADX159" s="16"/>
      <c r="ADY159" s="16"/>
      <c r="ADZ159" s="16"/>
      <c r="AEA159" s="16"/>
      <c r="AEB159" s="16" t="n">
        <v>5.21</v>
      </c>
      <c r="AEC159" s="16" t="n">
        <v>7.05</v>
      </c>
      <c r="AED159" s="16"/>
      <c r="AEE159" s="16"/>
      <c r="AEF159" s="16" t="n">
        <v>0</v>
      </c>
      <c r="AEG159" s="16" t="n">
        <v>0</v>
      </c>
      <c r="AEH159" s="16" t="n">
        <v>0</v>
      </c>
      <c r="AEI159" s="0" t="n">
        <v>0</v>
      </c>
      <c r="AEJ159" s="0" t="s">
        <v>504</v>
      </c>
      <c r="AEK159" s="0" t="n">
        <v>65.5</v>
      </c>
      <c r="AEL159" s="16" t="n">
        <v>92.2</v>
      </c>
      <c r="AEM159" s="16" t="n">
        <v>80.4</v>
      </c>
      <c r="AEN159" s="16" t="n">
        <v>61.7</v>
      </c>
      <c r="AEO159" s="0" t="n">
        <v>22.46</v>
      </c>
      <c r="AEP159" s="17" t="n">
        <v>0</v>
      </c>
      <c r="AEQ159" s="0" t="n">
        <v>0</v>
      </c>
      <c r="AER159" s="0" t="n">
        <v>0</v>
      </c>
      <c r="AES159" s="0" t="n">
        <v>0</v>
      </c>
      <c r="AET159" s="0" t="n">
        <v>0</v>
      </c>
      <c r="AEU159" s="0" t="n">
        <v>70.92</v>
      </c>
      <c r="AEV159" s="0" t="n">
        <v>9.4</v>
      </c>
      <c r="AEW159" s="0" t="n">
        <v>33.69</v>
      </c>
      <c r="AEX159" s="0" t="n">
        <v>0</v>
      </c>
      <c r="AEY159" s="0" t="n">
        <v>0</v>
      </c>
      <c r="AEZ159" s="0" t="n">
        <v>14.46</v>
      </c>
      <c r="AFA159" s="0" t="n">
        <v>11.32</v>
      </c>
      <c r="AFB159" s="0" t="n">
        <v>6.58</v>
      </c>
      <c r="AFC159" s="0" t="n">
        <v>8.88</v>
      </c>
      <c r="AFD159" s="0" t="n">
        <v>6.62</v>
      </c>
      <c r="AFE159" s="0" t="n">
        <v>0</v>
      </c>
      <c r="AFF159" s="0" t="n">
        <v>0</v>
      </c>
      <c r="AFS159" s="0" t="n">
        <v>3.2</v>
      </c>
      <c r="AFT159" s="0" t="n">
        <v>0</v>
      </c>
      <c r="AGE159" s="18"/>
      <c r="AGW159" s="0" t="n">
        <v>1</v>
      </c>
      <c r="AGX159" s="0" t="n">
        <v>60</v>
      </c>
      <c r="AGY159" s="0" t="n">
        <v>2</v>
      </c>
      <c r="AGZ159" s="0" t="n">
        <f aca="false">0.76*2</f>
        <v>1.52</v>
      </c>
      <c r="AHA159" s="0" t="n">
        <v>3</v>
      </c>
      <c r="AIH159" s="16" t="n">
        <v>0.63</v>
      </c>
      <c r="AII159" s="16" t="n">
        <v>1</v>
      </c>
      <c r="AIJ159" s="16" t="n">
        <v>1</v>
      </c>
      <c r="AIK159" s="16"/>
      <c r="AIL159" s="16" t="n">
        <v>3.17</v>
      </c>
      <c r="AIM159" s="16"/>
      <c r="AIN159" s="16"/>
      <c r="AIO159" s="16"/>
      <c r="AIP159" s="16"/>
      <c r="AIQ159" s="16"/>
      <c r="AIR159" s="16"/>
      <c r="AIS159" s="16" t="n">
        <v>0</v>
      </c>
      <c r="AIT159" s="16" t="n">
        <v>0</v>
      </c>
      <c r="AIU159" s="16"/>
      <c r="AIV159" s="16"/>
      <c r="AIW159" s="16" t="n">
        <v>0</v>
      </c>
      <c r="AIX159" s="16" t="n">
        <v>0</v>
      </c>
      <c r="AIY159" s="16" t="n">
        <v>0</v>
      </c>
      <c r="AIZ159" s="0" t="n">
        <v>0</v>
      </c>
      <c r="AJA159" s="0" t="s">
        <v>505</v>
      </c>
      <c r="AJB159" s="0" t="n">
        <v>59</v>
      </c>
      <c r="AJC159" s="16" t="n">
        <v>90.4</v>
      </c>
      <c r="AJD159" s="16" t="n">
        <v>80.4</v>
      </c>
      <c r="AJE159" s="16" t="n">
        <v>54.7</v>
      </c>
      <c r="AJF159" s="0" t="n">
        <v>26.42</v>
      </c>
      <c r="AJG159" s="17" t="n">
        <v>0</v>
      </c>
      <c r="AJH159" s="0" t="n">
        <v>0</v>
      </c>
      <c r="AJI159" s="0" t="n">
        <v>0</v>
      </c>
      <c r="AJJ159" s="0" t="n">
        <v>0</v>
      </c>
      <c r="AJK159" s="0" t="n">
        <v>0</v>
      </c>
      <c r="AJL159" s="0" t="n">
        <v>66.96</v>
      </c>
      <c r="AJM159" s="0" t="n">
        <v>6.55</v>
      </c>
      <c r="AJN159" s="0" t="n">
        <v>30.83</v>
      </c>
      <c r="AJO159" s="0" t="n">
        <v>0</v>
      </c>
      <c r="AJP159" s="0" t="n">
        <v>0</v>
      </c>
      <c r="AJQ159" s="0" t="n">
        <v>14.46</v>
      </c>
      <c r="AJR159" s="0" t="n">
        <v>11.57</v>
      </c>
      <c r="AJS159" s="0" t="n">
        <v>6.5</v>
      </c>
      <c r="AJT159" s="0" t="n">
        <v>6.03</v>
      </c>
      <c r="AJU159" s="0" t="n">
        <v>6.62</v>
      </c>
      <c r="AJV159" s="0" t="n">
        <v>0</v>
      </c>
      <c r="AJW159" s="0" t="n">
        <v>0</v>
      </c>
      <c r="AKJ159" s="0" t="n">
        <v>3.2</v>
      </c>
      <c r="AKK159" s="0" t="n">
        <v>0</v>
      </c>
      <c r="AKV159" s="18"/>
      <c r="ALN159" s="0" t="n">
        <v>1</v>
      </c>
      <c r="ALO159" s="0" t="n">
        <v>60</v>
      </c>
      <c r="ALP159" s="0" t="n">
        <v>2</v>
      </c>
      <c r="ALQ159" s="0" t="n">
        <v>1.52</v>
      </c>
      <c r="ALR159" s="0" t="n">
        <v>3</v>
      </c>
    </row>
    <row r="160" customFormat="false" ht="13.8" hidden="false" customHeight="false" outlineLevel="0" collapsed="false">
      <c r="A160" s="1" t="s">
        <v>621</v>
      </c>
      <c r="B160" s="12" t="n">
        <v>42905</v>
      </c>
      <c r="C160" s="0" t="n">
        <v>2</v>
      </c>
      <c r="D160" s="13" t="n">
        <v>42814</v>
      </c>
      <c r="E160" s="12" t="n">
        <v>35500</v>
      </c>
      <c r="F160" s="14" t="n">
        <f aca="false">(B160-E160)/365.25</f>
        <v>20.2737850787132</v>
      </c>
      <c r="G160" s="14" t="n">
        <f aca="false">(B160-D160)/365.25</f>
        <v>0.249144421629021</v>
      </c>
      <c r="H160" s="15" t="s">
        <v>181</v>
      </c>
      <c r="I160" s="15" t="s">
        <v>496</v>
      </c>
      <c r="J160" s="15" t="s">
        <v>183</v>
      </c>
      <c r="K160" s="15" t="n">
        <v>4</v>
      </c>
      <c r="L160" s="19" t="n">
        <v>100</v>
      </c>
      <c r="M160" s="0" t="n">
        <v>1.7</v>
      </c>
      <c r="N160" s="16" t="n">
        <f aca="false">L160/(M160*M160)</f>
        <v>34.6020761245675</v>
      </c>
      <c r="O160" s="19" t="n">
        <v>0</v>
      </c>
      <c r="P160" s="19" t="n">
        <v>0</v>
      </c>
      <c r="Q160" s="19" t="n">
        <v>0</v>
      </c>
      <c r="R160" s="19" t="n">
        <v>0</v>
      </c>
      <c r="S160" s="19" t="n">
        <v>0</v>
      </c>
      <c r="T160" s="19" t="n">
        <v>0</v>
      </c>
      <c r="U160" s="19" t="n">
        <v>0</v>
      </c>
      <c r="V160" s="19" t="n">
        <v>0</v>
      </c>
      <c r="W160" s="19" t="n">
        <v>0</v>
      </c>
      <c r="X160" s="19" t="n">
        <v>0</v>
      </c>
      <c r="Y160" s="19" t="n">
        <v>1</v>
      </c>
      <c r="Z160" s="19" t="n">
        <v>2</v>
      </c>
      <c r="AA160" s="19" t="n">
        <v>90</v>
      </c>
      <c r="AB160" s="19" t="s">
        <v>308</v>
      </c>
      <c r="AC160" s="19" t="n">
        <v>0</v>
      </c>
      <c r="AD160" s="19" t="n">
        <v>0</v>
      </c>
      <c r="AE160" s="19" t="n">
        <v>0</v>
      </c>
      <c r="AF160" s="19" t="n">
        <v>0</v>
      </c>
      <c r="AG160" s="19" t="n">
        <v>0</v>
      </c>
      <c r="AH160" s="19" t="n">
        <v>0</v>
      </c>
      <c r="AI160" s="19" t="n">
        <v>1</v>
      </c>
      <c r="AJ160" s="19" t="n">
        <v>0</v>
      </c>
      <c r="AK160" s="19" t="n">
        <v>0</v>
      </c>
      <c r="AL160" s="19" t="n">
        <v>0</v>
      </c>
      <c r="AM160" s="19" t="n">
        <v>0</v>
      </c>
      <c r="AN160" s="19" t="n">
        <v>0</v>
      </c>
      <c r="AO160" s="19" t="n">
        <v>0</v>
      </c>
      <c r="AP160" s="19" t="n">
        <v>0</v>
      </c>
      <c r="AQ160" s="19" t="n">
        <v>0</v>
      </c>
      <c r="AR160" s="19" t="n">
        <v>0</v>
      </c>
      <c r="AS160" s="19" t="n">
        <v>1</v>
      </c>
      <c r="AT160" s="19" t="n">
        <v>0</v>
      </c>
      <c r="AU160" s="19" t="n">
        <v>0</v>
      </c>
      <c r="AV160" s="19" t="n">
        <v>0</v>
      </c>
      <c r="AW160" s="19" t="n">
        <v>0</v>
      </c>
      <c r="AX160" s="19" t="n">
        <v>0</v>
      </c>
      <c r="AY160" s="19" t="n">
        <v>0</v>
      </c>
      <c r="AZ160" s="19" t="n">
        <v>0</v>
      </c>
      <c r="BA160" s="19" t="n">
        <v>0</v>
      </c>
      <c r="BB160" s="19" t="n">
        <v>1</v>
      </c>
      <c r="BC160" s="19" t="n">
        <v>0</v>
      </c>
      <c r="BD160" s="19" t="n">
        <v>0</v>
      </c>
      <c r="BE160" s="19" t="n">
        <v>0</v>
      </c>
      <c r="BF160" s="19" t="n">
        <v>0</v>
      </c>
      <c r="BG160" s="19" t="n">
        <v>0</v>
      </c>
      <c r="BH160" s="19" t="n">
        <v>0</v>
      </c>
      <c r="BI160" s="19" t="n">
        <v>0</v>
      </c>
      <c r="BJ160" s="19" t="n">
        <v>0</v>
      </c>
      <c r="BK160" s="19" t="n">
        <v>0</v>
      </c>
      <c r="BL160" s="19" t="n">
        <v>0</v>
      </c>
      <c r="BM160" s="19" t="n">
        <v>0</v>
      </c>
      <c r="BN160" s="19" t="n">
        <v>0</v>
      </c>
      <c r="BO160" s="19" t="n">
        <v>0</v>
      </c>
      <c r="BP160" s="19" t="n">
        <v>0</v>
      </c>
      <c r="BQ160" s="19" t="n">
        <v>0</v>
      </c>
      <c r="BR160" s="19" t="n">
        <v>3</v>
      </c>
      <c r="BS160" s="19" t="n">
        <v>3</v>
      </c>
      <c r="BT160" s="19" t="n">
        <v>5</v>
      </c>
      <c r="BU160" s="19" t="n">
        <v>5</v>
      </c>
      <c r="BV160" s="19"/>
      <c r="BW160" s="19" t="n">
        <v>3</v>
      </c>
      <c r="BX160" s="19" t="n">
        <v>1</v>
      </c>
      <c r="BY160" s="19" t="n">
        <v>4</v>
      </c>
      <c r="BZ160" s="19" t="n">
        <v>5</v>
      </c>
      <c r="CA160" s="19" t="n">
        <v>2</v>
      </c>
      <c r="CB160" s="19" t="n">
        <v>5</v>
      </c>
      <c r="CC160" s="19" t="n">
        <v>5</v>
      </c>
      <c r="CD160" s="19" t="n">
        <v>3</v>
      </c>
      <c r="CE160" s="19" t="n">
        <v>5</v>
      </c>
      <c r="CF160" s="19" t="n">
        <v>5</v>
      </c>
      <c r="CG160" s="19" t="n">
        <v>5</v>
      </c>
      <c r="CH160" s="19" t="n">
        <v>5</v>
      </c>
      <c r="CI160" s="19" t="n">
        <v>5</v>
      </c>
      <c r="CJ160" s="19" t="n">
        <v>4</v>
      </c>
      <c r="CK160" s="19" t="n">
        <v>10</v>
      </c>
      <c r="CL160" s="0" t="s">
        <v>498</v>
      </c>
      <c r="CM160" s="0" t="n">
        <v>33</v>
      </c>
      <c r="CN160" s="16" t="n">
        <v>71.2</v>
      </c>
      <c r="CO160" s="16" t="n">
        <v>80.4</v>
      </c>
      <c r="CP160" s="16" t="n">
        <v>16.3</v>
      </c>
      <c r="CQ160" s="0" t="n">
        <v>83.24</v>
      </c>
      <c r="CR160" s="17" t="n">
        <v>0</v>
      </c>
      <c r="CS160" s="0" t="n">
        <v>0</v>
      </c>
      <c r="CT160" s="0" t="n">
        <v>0</v>
      </c>
      <c r="CU160" s="0" t="n">
        <v>14.14</v>
      </c>
      <c r="CV160" s="0" t="n">
        <v>0</v>
      </c>
      <c r="CW160" s="0" t="n">
        <v>2.63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2.63</v>
      </c>
      <c r="DC160" s="0" t="n">
        <v>10.16</v>
      </c>
      <c r="DD160" s="0" t="n">
        <v>20.83</v>
      </c>
      <c r="DE160" s="0" t="n">
        <v>24.81</v>
      </c>
      <c r="DF160" s="0" t="n">
        <v>0</v>
      </c>
      <c r="DG160" s="0" t="n">
        <v>11.2</v>
      </c>
      <c r="DH160" s="0" t="n">
        <v>1</v>
      </c>
      <c r="DI160" s="0" t="n">
        <v>5</v>
      </c>
      <c r="DK160" s="0" t="n">
        <v>1</v>
      </c>
      <c r="DO160" s="0" t="n">
        <v>5</v>
      </c>
      <c r="DQ160" s="0" t="n">
        <v>1</v>
      </c>
      <c r="DU160" s="0" t="n">
        <v>0</v>
      </c>
      <c r="DV160" s="0" t="n">
        <v>0</v>
      </c>
      <c r="EG160" s="18"/>
      <c r="EY160" s="0" t="n">
        <v>0</v>
      </c>
      <c r="GJ160" s="16" t="n">
        <v>2.71</v>
      </c>
      <c r="GK160" s="16" t="n">
        <v>1</v>
      </c>
      <c r="GL160" s="16" t="n">
        <v>1</v>
      </c>
      <c r="GM160" s="16"/>
      <c r="GN160" s="16" t="n">
        <f aca="false">2.11*4+0.52*2</f>
        <v>9.48</v>
      </c>
      <c r="GO160" s="16"/>
      <c r="GP160" s="16"/>
      <c r="GQ160" s="16"/>
      <c r="GR160" s="16"/>
      <c r="GS160" s="16"/>
      <c r="GT160" s="16"/>
      <c r="GU160" s="16" t="n">
        <v>2.63</v>
      </c>
      <c r="GV160" s="16" t="n">
        <v>2.6</v>
      </c>
      <c r="GW160" s="16" t="n">
        <v>0</v>
      </c>
      <c r="GX160" s="16" t="n">
        <v>0</v>
      </c>
      <c r="GY160" s="16" t="n">
        <v>0</v>
      </c>
      <c r="GZ160" s="16" t="n">
        <v>0</v>
      </c>
      <c r="HA160" s="16" t="n">
        <v>0</v>
      </c>
      <c r="HB160" s="0" t="n">
        <v>0</v>
      </c>
      <c r="HC160" s="0" t="s">
        <v>499</v>
      </c>
      <c r="HD160" s="0" t="n">
        <v>40</v>
      </c>
      <c r="HE160" s="16" t="n">
        <v>79.7</v>
      </c>
      <c r="HF160" s="16" t="n">
        <v>80.4</v>
      </c>
      <c r="HG160" s="16" t="n">
        <v>11.2</v>
      </c>
      <c r="HH160" s="0" t="n">
        <v>91.23</v>
      </c>
      <c r="HI160" s="17" t="n">
        <v>0</v>
      </c>
      <c r="HJ160" s="0" t="n">
        <v>0</v>
      </c>
      <c r="HK160" s="0" t="n">
        <v>0</v>
      </c>
      <c r="HL160" s="0" t="n">
        <v>8.77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  <c r="HT160" s="0" t="n">
        <v>18.64</v>
      </c>
      <c r="HU160" s="0" t="n">
        <v>42.82</v>
      </c>
      <c r="HV160" s="0" t="n">
        <v>4.61</v>
      </c>
      <c r="HW160" s="0" t="n">
        <v>0</v>
      </c>
      <c r="HX160" s="0" t="n">
        <v>0</v>
      </c>
      <c r="HY160" s="0" t="n">
        <v>0</v>
      </c>
      <c r="IL160" s="0" t="n">
        <v>23.2</v>
      </c>
      <c r="IM160" s="0" t="n">
        <v>1</v>
      </c>
      <c r="IN160" s="0" t="n">
        <v>35</v>
      </c>
      <c r="IO160" s="0" t="n">
        <f aca="false">2+4+2+2+2+4+2+2+1</f>
        <v>21</v>
      </c>
      <c r="IP160" s="0" t="n">
        <f aca="false">1.52+1.49+0.78*2+0.27+0.43+0.12+0.13</f>
        <v>5.52</v>
      </c>
      <c r="IQ160" s="0" t="n">
        <v>3</v>
      </c>
      <c r="IR160" s="0" t="n">
        <v>10</v>
      </c>
      <c r="IS160" s="0" t="n">
        <v>1</v>
      </c>
      <c r="IT160" s="0" t="n">
        <v>0.1</v>
      </c>
      <c r="IU160" s="0" t="n">
        <v>5</v>
      </c>
      <c r="IV160" s="0" t="n">
        <v>25</v>
      </c>
      <c r="IW160" s="0" t="n">
        <v>8</v>
      </c>
      <c r="IX160" s="18" t="n">
        <f aca="false">0.19*2+0.1</f>
        <v>0.48</v>
      </c>
      <c r="IY160" s="0" t="n">
        <v>1</v>
      </c>
      <c r="JP160" s="0" t="n">
        <v>0</v>
      </c>
      <c r="LA160" s="16" t="n">
        <v>1.52</v>
      </c>
      <c r="LB160" s="16" t="n">
        <v>1</v>
      </c>
      <c r="LC160" s="16" t="n">
        <v>1</v>
      </c>
      <c r="LD160" s="16"/>
      <c r="LE160" s="16" t="n">
        <f aca="false">2.11*2+0.19*3+0.1</f>
        <v>4.89</v>
      </c>
      <c r="LF160" s="16"/>
      <c r="LG160" s="16"/>
      <c r="LH160" s="16"/>
      <c r="LI160" s="16"/>
      <c r="LJ160" s="16"/>
      <c r="LK160" s="16"/>
      <c r="LL160" s="16" t="n">
        <v>0</v>
      </c>
      <c r="LM160" s="16" t="n">
        <v>0</v>
      </c>
      <c r="LN160" s="16" t="n">
        <v>0</v>
      </c>
      <c r="LO160" s="16" t="n">
        <v>0</v>
      </c>
      <c r="LP160" s="16" t="n">
        <v>0</v>
      </c>
      <c r="LQ160" s="16" t="n">
        <v>0</v>
      </c>
      <c r="LR160" s="16" t="n">
        <v>0.06</v>
      </c>
      <c r="LS160" s="0" t="n">
        <v>0</v>
      </c>
      <c r="LT160" s="0" t="s">
        <v>500</v>
      </c>
      <c r="LU160" s="0" t="n">
        <v>48</v>
      </c>
      <c r="LV160" s="16" t="n">
        <v>69.7</v>
      </c>
      <c r="LW160" s="16" t="n">
        <v>80.4</v>
      </c>
      <c r="LX160" s="16" t="n">
        <v>44.5</v>
      </c>
      <c r="LY160" s="0" t="n">
        <v>13.55</v>
      </c>
      <c r="LZ160" s="17" t="n">
        <v>0</v>
      </c>
      <c r="MA160" s="0" t="n">
        <v>0</v>
      </c>
      <c r="MB160" s="0" t="n">
        <v>0</v>
      </c>
      <c r="MC160" s="0" t="n">
        <v>0.1</v>
      </c>
      <c r="MD160" s="0" t="n">
        <v>0</v>
      </c>
      <c r="ME160" s="0" t="n">
        <v>86.34</v>
      </c>
      <c r="MF160" s="0" t="n">
        <v>13.26</v>
      </c>
      <c r="MG160" s="0" t="n">
        <v>28.53</v>
      </c>
      <c r="MH160" s="0" t="n">
        <v>0</v>
      </c>
      <c r="MI160" s="0" t="n">
        <v>0</v>
      </c>
      <c r="MJ160" s="0" t="n">
        <v>0.78</v>
      </c>
      <c r="MK160" s="0" t="n">
        <v>3.48</v>
      </c>
      <c r="ML160" s="0" t="n">
        <v>11.45</v>
      </c>
      <c r="MM160" s="0" t="n">
        <v>6.85</v>
      </c>
      <c r="MN160" s="0" t="n">
        <v>0</v>
      </c>
      <c r="MO160" s="0" t="n">
        <v>0</v>
      </c>
      <c r="MP160" s="0" t="n">
        <v>0</v>
      </c>
      <c r="NC160" s="0" t="n">
        <v>0</v>
      </c>
      <c r="ND160" s="0" t="n">
        <v>0</v>
      </c>
      <c r="NO160" s="18"/>
      <c r="OG160" s="0" t="n">
        <v>0</v>
      </c>
      <c r="PR160" s="16" t="n">
        <v>0.75</v>
      </c>
      <c r="PS160" s="16" t="n">
        <v>1</v>
      </c>
      <c r="PT160" s="16" t="n">
        <v>1</v>
      </c>
      <c r="PU160" s="16"/>
      <c r="PV160" s="16" t="n">
        <f aca="false">2.11+0.37</f>
        <v>2.48</v>
      </c>
      <c r="PW160" s="16"/>
      <c r="PX160" s="16"/>
      <c r="PY160" s="16"/>
      <c r="PZ160" s="16"/>
      <c r="QA160" s="16"/>
      <c r="QB160" s="16"/>
      <c r="QC160" s="16" t="n">
        <v>2.66</v>
      </c>
      <c r="QD160" s="16" t="n">
        <v>2.64</v>
      </c>
      <c r="QE160" s="16" t="n">
        <v>0</v>
      </c>
      <c r="QF160" s="16" t="n">
        <v>0</v>
      </c>
      <c r="QG160" s="16" t="n">
        <v>0</v>
      </c>
      <c r="QH160" s="16" t="n">
        <v>0</v>
      </c>
      <c r="QI160" s="16" t="n">
        <v>0</v>
      </c>
      <c r="QJ160" s="0" t="n">
        <v>0</v>
      </c>
      <c r="QK160" s="0" t="s">
        <v>501</v>
      </c>
      <c r="QL160" s="0" t="n">
        <v>58</v>
      </c>
      <c r="QM160" s="16" t="n">
        <v>79.9</v>
      </c>
      <c r="QN160" s="16" t="n">
        <v>80.4</v>
      </c>
      <c r="QO160" s="16" t="n">
        <v>43.6</v>
      </c>
      <c r="QP160" s="0" t="n">
        <v>26.15</v>
      </c>
      <c r="QQ160" s="17" t="n">
        <v>0</v>
      </c>
      <c r="QR160" s="0" t="n">
        <v>0</v>
      </c>
      <c r="QS160" s="0" t="n">
        <v>0</v>
      </c>
      <c r="QT160" s="0" t="n">
        <v>0</v>
      </c>
      <c r="QU160" s="0" t="n">
        <v>0</v>
      </c>
      <c r="QV160" s="0" t="n">
        <v>73.85</v>
      </c>
      <c r="QW160" s="0" t="n">
        <v>18.43</v>
      </c>
      <c r="QX160" s="0" t="n">
        <v>20.42</v>
      </c>
      <c r="QY160" s="0" t="n">
        <v>0</v>
      </c>
      <c r="QZ160" s="0" t="n">
        <v>0</v>
      </c>
      <c r="RA160" s="0" t="n">
        <v>2.44</v>
      </c>
      <c r="RB160" s="0" t="n">
        <v>0.13</v>
      </c>
      <c r="RC160" s="0" t="n">
        <v>9.71</v>
      </c>
      <c r="RD160" s="0" t="n">
        <v>18.31</v>
      </c>
      <c r="RE160" s="0" t="n">
        <v>0</v>
      </c>
      <c r="RF160" s="0" t="n">
        <v>0</v>
      </c>
      <c r="RG160" s="0" t="n">
        <v>0</v>
      </c>
      <c r="RT160" s="0" t="n">
        <v>9.1</v>
      </c>
      <c r="RU160" s="0" t="n">
        <v>1</v>
      </c>
      <c r="RV160" s="0" t="n">
        <v>68</v>
      </c>
      <c r="RW160" s="0" t="n">
        <v>1</v>
      </c>
      <c r="RX160" s="0" t="n">
        <v>0.05</v>
      </c>
      <c r="RY160" s="0" t="n">
        <v>1</v>
      </c>
      <c r="RZ160" s="0" t="n">
        <v>35</v>
      </c>
      <c r="SA160" s="0" t="n">
        <v>3</v>
      </c>
      <c r="SB160" s="0" t="n">
        <f aca="false">0.76+0.64</f>
        <v>1.4</v>
      </c>
      <c r="SC160" s="0" t="n">
        <v>3</v>
      </c>
      <c r="SD160" s="0" t="n">
        <v>47</v>
      </c>
      <c r="SE160" s="0" t="n">
        <v>2</v>
      </c>
      <c r="SF160" s="18" t="n">
        <v>0.23</v>
      </c>
      <c r="SG160" s="0" t="n">
        <v>3</v>
      </c>
      <c r="SX160" s="0" t="n">
        <v>1</v>
      </c>
      <c r="SY160" s="0" t="n">
        <v>60</v>
      </c>
      <c r="SZ160" s="0" t="n">
        <v>2</v>
      </c>
      <c r="TA160" s="0" t="n">
        <v>0.26</v>
      </c>
      <c r="TB160" s="0" t="n">
        <v>3</v>
      </c>
      <c r="UI160" s="16" t="n">
        <v>0</v>
      </c>
      <c r="UJ160" s="16" t="n">
        <v>0</v>
      </c>
      <c r="UK160" s="16"/>
      <c r="UL160" s="16"/>
      <c r="UM160" s="16"/>
      <c r="UN160" s="16"/>
      <c r="UO160" s="16"/>
      <c r="UP160" s="16"/>
      <c r="UQ160" s="16"/>
      <c r="UR160" s="16"/>
      <c r="US160" s="16"/>
      <c r="UT160" s="16" t="n">
        <v>1.97</v>
      </c>
      <c r="UU160" s="16" t="n">
        <v>1.24</v>
      </c>
      <c r="UV160" s="16" t="n">
        <v>0</v>
      </c>
      <c r="UW160" s="16" t="n">
        <v>0</v>
      </c>
      <c r="UX160" s="16" t="n">
        <v>0</v>
      </c>
      <c r="UY160" s="16" t="n">
        <v>0</v>
      </c>
      <c r="UZ160" s="16" t="n">
        <v>3</v>
      </c>
      <c r="VA160" s="0" t="n">
        <v>0</v>
      </c>
      <c r="VB160" s="0" t="s">
        <v>502</v>
      </c>
      <c r="VC160" s="0" t="n">
        <v>34.5</v>
      </c>
      <c r="VD160" s="16" t="n">
        <v>53.2</v>
      </c>
      <c r="VE160" s="16" t="n">
        <v>80.4</v>
      </c>
      <c r="VF160" s="16" t="n">
        <v>8.3</v>
      </c>
      <c r="VG160" s="0" t="n">
        <v>99.94</v>
      </c>
      <c r="VH160" s="17" t="n">
        <v>0</v>
      </c>
      <c r="VI160" s="0" t="n">
        <v>0</v>
      </c>
      <c r="VJ160" s="0" t="n">
        <v>0</v>
      </c>
      <c r="VK160" s="0" t="n">
        <v>0</v>
      </c>
      <c r="VL160" s="0" t="n">
        <v>0</v>
      </c>
      <c r="VM160" s="0" t="n">
        <v>0</v>
      </c>
      <c r="VN160" s="0" t="n">
        <v>0</v>
      </c>
      <c r="VO160" s="0" t="n">
        <v>0</v>
      </c>
      <c r="VP160" s="0" t="n">
        <v>0</v>
      </c>
      <c r="VQ160" s="0" t="n">
        <v>0</v>
      </c>
      <c r="VR160" s="0" t="n">
        <v>0</v>
      </c>
      <c r="VS160" s="0" t="n">
        <v>9.15</v>
      </c>
      <c r="VT160" s="0" t="n">
        <v>18.41</v>
      </c>
      <c r="VU160" s="0" t="n">
        <v>11.73</v>
      </c>
      <c r="VV160" s="0" t="n">
        <v>0</v>
      </c>
      <c r="VW160" s="0" t="n">
        <v>0</v>
      </c>
      <c r="VX160" s="0" t="n">
        <v>0</v>
      </c>
      <c r="WK160" s="0" t="n">
        <v>11.9</v>
      </c>
      <c r="WL160" s="0" t="n">
        <v>1</v>
      </c>
      <c r="WM160" s="0" t="n">
        <v>47</v>
      </c>
      <c r="WN160" s="0" t="n">
        <v>3</v>
      </c>
      <c r="WO160" s="0" t="n">
        <v>1.52</v>
      </c>
      <c r="WP160" s="0" t="n">
        <v>2</v>
      </c>
      <c r="WW160" s="18"/>
      <c r="XO160" s="0" t="n">
        <v>0</v>
      </c>
      <c r="YZ160" s="16" t="n">
        <v>5.7</v>
      </c>
      <c r="ZA160" s="16" t="n">
        <v>1</v>
      </c>
      <c r="ZB160" s="16" t="n">
        <v>1</v>
      </c>
      <c r="ZC160" s="16"/>
      <c r="ZD160" s="16" t="n">
        <f aca="false">2.11+2.11+0.05+0.05+0.37</f>
        <v>4.69</v>
      </c>
      <c r="ZE160" s="16" t="n">
        <v>2</v>
      </c>
      <c r="ZF160" s="16"/>
      <c r="ZG160" s="16" t="n">
        <f aca="false">3.17+3.17+0.56+0.56+0.33</f>
        <v>7.79</v>
      </c>
      <c r="ZH160" s="16"/>
      <c r="ZI160" s="16"/>
      <c r="ZJ160" s="16"/>
      <c r="ZK160" s="16" t="n">
        <v>0</v>
      </c>
      <c r="ZL160" s="16" t="n">
        <v>0</v>
      </c>
      <c r="ZM160" s="16"/>
      <c r="ZN160" s="16"/>
      <c r="ZO160" s="16" t="n">
        <v>5.97</v>
      </c>
      <c r="ZP160" s="16" t="n">
        <v>0</v>
      </c>
      <c r="ZQ160" s="16" t="n">
        <v>0</v>
      </c>
      <c r="ZR160" s="0" t="n">
        <v>1</v>
      </c>
      <c r="ZS160" s="0" t="s">
        <v>503</v>
      </c>
      <c r="ZT160" s="0" t="n">
        <v>47</v>
      </c>
      <c r="ZU160" s="16" t="n">
        <v>54.1</v>
      </c>
      <c r="ZV160" s="16" t="n">
        <v>80.4</v>
      </c>
      <c r="ZW160" s="16" t="n">
        <v>34.5</v>
      </c>
      <c r="ZX160" s="0" t="n">
        <v>71.45</v>
      </c>
      <c r="ZY160" s="17" t="n">
        <v>0</v>
      </c>
      <c r="ZZ160" s="0" t="n">
        <v>21.93</v>
      </c>
      <c r="AAA160" s="0" t="n">
        <v>6.49</v>
      </c>
      <c r="AAB160" s="0" t="n">
        <v>0.12</v>
      </c>
      <c r="AAC160" s="0" t="n">
        <v>0</v>
      </c>
      <c r="AAD160" s="0" t="n">
        <v>0</v>
      </c>
      <c r="AAE160" s="0" t="n">
        <v>0</v>
      </c>
      <c r="AAF160" s="0" t="n">
        <v>0</v>
      </c>
      <c r="AAG160" s="0" t="n">
        <v>0</v>
      </c>
      <c r="AAH160" s="0" t="n">
        <v>0</v>
      </c>
      <c r="AAI160" s="0" t="n">
        <v>1.01</v>
      </c>
      <c r="AAJ160" s="0" t="n">
        <v>0.45</v>
      </c>
      <c r="AAK160" s="0" t="n">
        <v>18.4</v>
      </c>
      <c r="AAL160" s="0" t="n">
        <v>11.28</v>
      </c>
      <c r="AAM160" s="0" t="n">
        <v>0</v>
      </c>
      <c r="AAN160" s="0" t="n">
        <v>0</v>
      </c>
      <c r="AAO160" s="0" t="n">
        <v>0</v>
      </c>
      <c r="ABB160" s="0" t="n">
        <v>6</v>
      </c>
      <c r="ABC160" s="0" t="n">
        <v>1</v>
      </c>
      <c r="ABD160" s="0" t="n">
        <v>35</v>
      </c>
      <c r="ABE160" s="0" t="n">
        <v>8</v>
      </c>
      <c r="ABF160" s="0" t="n">
        <f aca="false">0.25+0.25+0.25+0.13+0.13+0.13+0.13</f>
        <v>1.27</v>
      </c>
      <c r="ABG160" s="0" t="n">
        <v>3</v>
      </c>
      <c r="ABN160" s="18"/>
      <c r="ACF160" s="0" t="n">
        <v>1</v>
      </c>
      <c r="ACG160" s="0" t="n">
        <v>50</v>
      </c>
      <c r="ACH160" s="0" t="n">
        <v>2</v>
      </c>
      <c r="ACI160" s="0" t="n">
        <f aca="false">0.76*2</f>
        <v>1.52</v>
      </c>
      <c r="ACJ160" s="0" t="n">
        <v>1</v>
      </c>
      <c r="ADQ160" s="16" t="n">
        <v>0.42</v>
      </c>
      <c r="ADR160" s="16" t="n">
        <v>1</v>
      </c>
      <c r="ADS160" s="16" t="n">
        <v>1</v>
      </c>
      <c r="ADT160" s="16"/>
      <c r="ADU160" s="16" t="n">
        <f aca="false">0.68+0.68+0.03</f>
        <v>1.39</v>
      </c>
      <c r="ADV160" s="16"/>
      <c r="ADW160" s="16"/>
      <c r="ADX160" s="16"/>
      <c r="ADY160" s="16"/>
      <c r="ADZ160" s="16"/>
      <c r="AEA160" s="16"/>
      <c r="AEB160" s="16" t="n">
        <v>5.21</v>
      </c>
      <c r="AEC160" s="16" t="n">
        <v>7.05</v>
      </c>
      <c r="AED160" s="16"/>
      <c r="AEE160" s="16"/>
      <c r="AEF160" s="16" t="n">
        <v>0</v>
      </c>
      <c r="AEG160" s="16" t="n">
        <v>0</v>
      </c>
      <c r="AEH160" s="16" t="n">
        <v>0</v>
      </c>
      <c r="AEI160" s="0" t="n">
        <v>0</v>
      </c>
      <c r="AEJ160" s="0" t="s">
        <v>504</v>
      </c>
      <c r="AEK160" s="0" t="n">
        <v>65.5</v>
      </c>
      <c r="AEL160" s="16" t="n">
        <v>92.2</v>
      </c>
      <c r="AEM160" s="16" t="n">
        <v>80.4</v>
      </c>
      <c r="AEN160" s="16" t="n">
        <v>61.7</v>
      </c>
      <c r="AEO160" s="0" t="n">
        <v>22.46</v>
      </c>
      <c r="AEP160" s="17" t="n">
        <v>0</v>
      </c>
      <c r="AEQ160" s="0" t="n">
        <v>0</v>
      </c>
      <c r="AER160" s="0" t="n">
        <v>0</v>
      </c>
      <c r="AES160" s="0" t="n">
        <v>0</v>
      </c>
      <c r="AET160" s="0" t="n">
        <v>0</v>
      </c>
      <c r="AEU160" s="0" t="n">
        <v>70.92</v>
      </c>
      <c r="AEV160" s="0" t="n">
        <v>9.4</v>
      </c>
      <c r="AEW160" s="0" t="n">
        <v>33.69</v>
      </c>
      <c r="AEX160" s="0" t="n">
        <v>0</v>
      </c>
      <c r="AEY160" s="0" t="n">
        <v>0</v>
      </c>
      <c r="AEZ160" s="0" t="n">
        <v>14.46</v>
      </c>
      <c r="AFA160" s="0" t="n">
        <v>11.32</v>
      </c>
      <c r="AFB160" s="0" t="n">
        <v>6.58</v>
      </c>
      <c r="AFC160" s="0" t="n">
        <v>8.88</v>
      </c>
      <c r="AFD160" s="0" t="n">
        <v>6.62</v>
      </c>
      <c r="AFE160" s="0" t="n">
        <v>0</v>
      </c>
      <c r="AFF160" s="0" t="n">
        <v>0</v>
      </c>
      <c r="AFS160" s="0" t="n">
        <v>3.2</v>
      </c>
      <c r="AFT160" s="0" t="n">
        <v>0</v>
      </c>
      <c r="AGE160" s="18"/>
      <c r="AGW160" s="0" t="n">
        <v>1</v>
      </c>
      <c r="AGX160" s="0" t="n">
        <v>60</v>
      </c>
      <c r="AGY160" s="0" t="n">
        <v>2</v>
      </c>
      <c r="AGZ160" s="0" t="n">
        <f aca="false">0.76*2</f>
        <v>1.52</v>
      </c>
      <c r="AHA160" s="0" t="n">
        <v>3</v>
      </c>
      <c r="AIH160" s="16" t="n">
        <v>0.63</v>
      </c>
      <c r="AII160" s="16" t="n">
        <v>1</v>
      </c>
      <c r="AIJ160" s="16" t="n">
        <v>1</v>
      </c>
      <c r="AIK160" s="16"/>
      <c r="AIL160" s="16" t="n">
        <v>3.17</v>
      </c>
      <c r="AIM160" s="16"/>
      <c r="AIN160" s="16"/>
      <c r="AIO160" s="16"/>
      <c r="AIP160" s="16"/>
      <c r="AIQ160" s="16"/>
      <c r="AIR160" s="16"/>
      <c r="AIS160" s="16" t="n">
        <v>0</v>
      </c>
      <c r="AIT160" s="16" t="n">
        <v>0</v>
      </c>
      <c r="AIU160" s="16"/>
      <c r="AIV160" s="16"/>
      <c r="AIW160" s="16" t="n">
        <v>0</v>
      </c>
      <c r="AIX160" s="16" t="n">
        <v>0</v>
      </c>
      <c r="AIY160" s="16" t="n">
        <v>0</v>
      </c>
      <c r="AIZ160" s="0" t="n">
        <v>0</v>
      </c>
      <c r="AJA160" s="0" t="s">
        <v>505</v>
      </c>
      <c r="AJB160" s="0" t="n">
        <v>59</v>
      </c>
      <c r="AJC160" s="16" t="n">
        <v>90.4</v>
      </c>
      <c r="AJD160" s="16" t="n">
        <v>80.4</v>
      </c>
      <c r="AJE160" s="16" t="n">
        <v>54.7</v>
      </c>
      <c r="AJF160" s="0" t="n">
        <v>26.42</v>
      </c>
      <c r="AJG160" s="17" t="n">
        <v>0</v>
      </c>
      <c r="AJH160" s="0" t="n">
        <v>0</v>
      </c>
      <c r="AJI160" s="0" t="n">
        <v>0</v>
      </c>
      <c r="AJJ160" s="0" t="n">
        <v>0</v>
      </c>
      <c r="AJK160" s="0" t="n">
        <v>0</v>
      </c>
      <c r="AJL160" s="0" t="n">
        <v>66.96</v>
      </c>
      <c r="AJM160" s="0" t="n">
        <v>6.55</v>
      </c>
      <c r="AJN160" s="0" t="n">
        <v>30.83</v>
      </c>
      <c r="AJO160" s="0" t="n">
        <v>0</v>
      </c>
      <c r="AJP160" s="0" t="n">
        <v>0</v>
      </c>
      <c r="AJQ160" s="0" t="n">
        <v>14.46</v>
      </c>
      <c r="AJR160" s="0" t="n">
        <v>11.57</v>
      </c>
      <c r="AJS160" s="0" t="n">
        <v>6.5</v>
      </c>
      <c r="AJT160" s="0" t="n">
        <v>6.03</v>
      </c>
      <c r="AJU160" s="0" t="n">
        <v>6.62</v>
      </c>
      <c r="AJV160" s="0" t="n">
        <v>0</v>
      </c>
      <c r="AJW160" s="0" t="n">
        <v>0</v>
      </c>
      <c r="AKJ160" s="0" t="n">
        <v>3.2</v>
      </c>
      <c r="AKK160" s="0" t="n">
        <v>0</v>
      </c>
      <c r="AKV160" s="18"/>
      <c r="ALN160" s="0" t="n">
        <v>1</v>
      </c>
      <c r="ALO160" s="0" t="n">
        <v>60</v>
      </c>
      <c r="ALP160" s="0" t="n">
        <v>2</v>
      </c>
      <c r="ALQ160" s="0" t="n">
        <v>1.52</v>
      </c>
      <c r="ALR160" s="0" t="n">
        <v>3</v>
      </c>
    </row>
    <row r="161" customFormat="false" ht="14.25" hidden="false" customHeight="true" outlineLevel="0" collapsed="false">
      <c r="A161" s="1" t="s">
        <v>622</v>
      </c>
      <c r="B161" s="12" t="n">
        <v>42902</v>
      </c>
      <c r="C161" s="0" t="n">
        <v>2</v>
      </c>
      <c r="D161" s="13" t="n">
        <v>42821</v>
      </c>
      <c r="E161" s="12" t="n">
        <v>33434</v>
      </c>
      <c r="F161" s="14" t="n">
        <f aca="false">(B161-E161)/365.25</f>
        <v>25.9219712525667</v>
      </c>
      <c r="G161" s="14" t="n">
        <f aca="false">(B161-D161)/365.25</f>
        <v>0.2217659137577</v>
      </c>
      <c r="H161" s="15" t="s">
        <v>181</v>
      </c>
      <c r="I161" s="15" t="s">
        <v>496</v>
      </c>
      <c r="J161" s="15" t="s">
        <v>183</v>
      </c>
      <c r="K161" s="15" t="n">
        <v>4</v>
      </c>
      <c r="L161" s="19" t="n">
        <v>70</v>
      </c>
      <c r="M161" s="0" t="n">
        <v>1.76</v>
      </c>
      <c r="N161" s="16" t="n">
        <f aca="false">L161/(M161*M161)</f>
        <v>22.5981404958678</v>
      </c>
      <c r="O161" s="19" t="n">
        <v>0</v>
      </c>
      <c r="P161" s="19" t="n">
        <v>0</v>
      </c>
      <c r="Q161" s="19" t="n">
        <v>0</v>
      </c>
      <c r="R161" s="19" t="n">
        <v>0</v>
      </c>
      <c r="S161" s="19" t="n">
        <v>0</v>
      </c>
      <c r="T161" s="19" t="n">
        <v>0</v>
      </c>
      <c r="U161" s="19" t="n">
        <v>0</v>
      </c>
      <c r="V161" s="19" t="n">
        <v>0</v>
      </c>
      <c r="W161" s="19" t="n">
        <v>0</v>
      </c>
      <c r="X161" s="19" t="n">
        <v>0</v>
      </c>
      <c r="Y161" s="19" t="n">
        <v>0</v>
      </c>
      <c r="Z161" s="19" t="n">
        <v>0</v>
      </c>
      <c r="AA161" s="19" t="n">
        <v>0</v>
      </c>
      <c r="AB161" s="19" t="n">
        <v>0</v>
      </c>
      <c r="AC161" s="19" t="n">
        <v>0</v>
      </c>
      <c r="AD161" s="19" t="n">
        <v>0</v>
      </c>
      <c r="AE161" s="19" t="n">
        <v>0</v>
      </c>
      <c r="AF161" s="19" t="n">
        <v>0</v>
      </c>
      <c r="AG161" s="19" t="n">
        <v>0</v>
      </c>
      <c r="AH161" s="19" t="n">
        <v>0</v>
      </c>
      <c r="AI161" s="19" t="n">
        <v>3</v>
      </c>
      <c r="AJ161" s="19" t="n">
        <v>0</v>
      </c>
      <c r="AK161" s="19" t="n">
        <v>0</v>
      </c>
      <c r="AL161" s="19" t="n">
        <v>0</v>
      </c>
      <c r="AM161" s="19" t="n">
        <v>0</v>
      </c>
      <c r="AN161" s="19" t="n">
        <v>0</v>
      </c>
      <c r="AO161" s="19" t="n">
        <v>0</v>
      </c>
      <c r="AP161" s="19" t="n">
        <v>0</v>
      </c>
      <c r="AQ161" s="19" t="n">
        <v>0</v>
      </c>
      <c r="AR161" s="19" t="n">
        <v>0</v>
      </c>
      <c r="AS161" s="19" t="n">
        <v>0</v>
      </c>
      <c r="AT161" s="19" t="n">
        <v>0</v>
      </c>
      <c r="AU161" s="19" t="n">
        <v>0</v>
      </c>
      <c r="AV161" s="19" t="n">
        <v>0</v>
      </c>
      <c r="AW161" s="19" t="n">
        <v>0</v>
      </c>
      <c r="AX161" s="19" t="n">
        <v>0</v>
      </c>
      <c r="AY161" s="19" t="n">
        <v>0</v>
      </c>
      <c r="AZ161" s="19" t="n">
        <v>0</v>
      </c>
      <c r="BA161" s="19" t="n">
        <v>0</v>
      </c>
      <c r="BB161" s="19" t="n">
        <v>1</v>
      </c>
      <c r="BC161" s="19" t="n">
        <v>0</v>
      </c>
      <c r="BD161" s="19" t="n">
        <v>0</v>
      </c>
      <c r="BE161" s="19" t="n">
        <v>0</v>
      </c>
      <c r="BF161" s="19" t="n">
        <v>0</v>
      </c>
      <c r="BG161" s="19" t="n">
        <v>0</v>
      </c>
      <c r="BH161" s="19" t="n">
        <v>0</v>
      </c>
      <c r="BI161" s="19" t="n">
        <v>0</v>
      </c>
      <c r="BJ161" s="19" t="n">
        <v>0</v>
      </c>
      <c r="BK161" s="19" t="n">
        <v>0</v>
      </c>
      <c r="BL161" s="19" t="n">
        <v>0</v>
      </c>
      <c r="BM161" s="19" t="n">
        <v>0</v>
      </c>
      <c r="BN161" s="19" t="n">
        <v>0</v>
      </c>
      <c r="BO161" s="19" t="n">
        <v>0</v>
      </c>
      <c r="BP161" s="19" t="n">
        <v>0</v>
      </c>
      <c r="BQ161" s="19" t="n">
        <v>0</v>
      </c>
      <c r="BR161" s="19" t="n">
        <v>2</v>
      </c>
      <c r="BS161" s="19" t="n">
        <v>2</v>
      </c>
      <c r="BT161" s="19" t="n">
        <v>3</v>
      </c>
      <c r="BU161" s="19" t="n">
        <v>4</v>
      </c>
      <c r="BV161" s="19" t="n">
        <v>2</v>
      </c>
      <c r="BW161" s="19" t="n">
        <v>2</v>
      </c>
      <c r="BX161" s="19" t="n">
        <v>2</v>
      </c>
      <c r="BY161" s="19" t="n">
        <v>3</v>
      </c>
      <c r="BZ161" s="19" t="n">
        <v>3</v>
      </c>
      <c r="CA161" s="19" t="n">
        <v>4</v>
      </c>
      <c r="CB161" s="19" t="n">
        <v>4</v>
      </c>
      <c r="CC161" s="19" t="n">
        <v>4</v>
      </c>
      <c r="CD161" s="19" t="n">
        <v>4</v>
      </c>
      <c r="CE161" s="19" t="n">
        <v>4</v>
      </c>
      <c r="CF161" s="19" t="n">
        <v>5</v>
      </c>
      <c r="CG161" s="19" t="n">
        <v>5</v>
      </c>
      <c r="CH161" s="19" t="n">
        <v>5</v>
      </c>
      <c r="CI161" s="19" t="n">
        <v>5</v>
      </c>
      <c r="CJ161" s="19" t="n">
        <v>4</v>
      </c>
      <c r="CK161" s="19" t="n">
        <v>10</v>
      </c>
      <c r="CL161" s="0" t="s">
        <v>498</v>
      </c>
      <c r="CM161" s="0" t="n">
        <v>33</v>
      </c>
      <c r="CN161" s="16" t="n">
        <v>71.2</v>
      </c>
      <c r="CO161" s="16" t="n">
        <v>80.4</v>
      </c>
      <c r="CP161" s="16" t="n">
        <v>16.3</v>
      </c>
      <c r="CQ161" s="0" t="n">
        <v>83.24</v>
      </c>
      <c r="CR161" s="17" t="n">
        <v>0</v>
      </c>
      <c r="CS161" s="0" t="n">
        <v>0</v>
      </c>
      <c r="CT161" s="0" t="n">
        <v>0</v>
      </c>
      <c r="CU161" s="0" t="n">
        <v>14.14</v>
      </c>
      <c r="CV161" s="0" t="n">
        <v>0</v>
      </c>
      <c r="CW161" s="0" t="n">
        <v>2.63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2.63</v>
      </c>
      <c r="DC161" s="0" t="n">
        <v>10.16</v>
      </c>
      <c r="DD161" s="0" t="n">
        <v>20.83</v>
      </c>
      <c r="DE161" s="0" t="n">
        <v>24.81</v>
      </c>
      <c r="DF161" s="0" t="n">
        <v>0</v>
      </c>
      <c r="DG161" s="0" t="n">
        <v>11.2</v>
      </c>
      <c r="DH161" s="0" t="n">
        <v>1</v>
      </c>
      <c r="DI161" s="0" t="n">
        <v>5</v>
      </c>
      <c r="DK161" s="0" t="n">
        <v>1</v>
      </c>
      <c r="DO161" s="0" t="n">
        <v>5</v>
      </c>
      <c r="DQ161" s="0" t="n">
        <v>1</v>
      </c>
      <c r="DU161" s="0" t="n">
        <v>0</v>
      </c>
      <c r="DV161" s="0" t="n">
        <v>0</v>
      </c>
      <c r="EG161" s="18"/>
      <c r="EY161" s="0" t="n">
        <v>0</v>
      </c>
      <c r="GJ161" s="16" t="n">
        <v>2.71</v>
      </c>
      <c r="GK161" s="16" t="n">
        <v>1</v>
      </c>
      <c r="GL161" s="16" t="n">
        <v>1</v>
      </c>
      <c r="GM161" s="16"/>
      <c r="GN161" s="16" t="n">
        <f aca="false">2.11*4+0.52*2</f>
        <v>9.48</v>
      </c>
      <c r="GO161" s="16"/>
      <c r="GP161" s="16"/>
      <c r="GQ161" s="16"/>
      <c r="GR161" s="16"/>
      <c r="GS161" s="16"/>
      <c r="GT161" s="16"/>
      <c r="GU161" s="16" t="n">
        <v>2.63</v>
      </c>
      <c r="GV161" s="16" t="n">
        <v>2.6</v>
      </c>
      <c r="GW161" s="16" t="n">
        <v>0</v>
      </c>
      <c r="GX161" s="16" t="n">
        <v>0</v>
      </c>
      <c r="GY161" s="16" t="n">
        <v>0</v>
      </c>
      <c r="GZ161" s="16" t="n">
        <v>0</v>
      </c>
      <c r="HA161" s="16" t="n">
        <v>0</v>
      </c>
      <c r="HB161" s="0" t="n">
        <v>0</v>
      </c>
      <c r="HC161" s="0" t="s">
        <v>499</v>
      </c>
      <c r="HD161" s="0" t="n">
        <v>40</v>
      </c>
      <c r="HE161" s="16" t="n">
        <v>79.7</v>
      </c>
      <c r="HF161" s="16" t="n">
        <v>80.4</v>
      </c>
      <c r="HG161" s="16" t="n">
        <v>11.2</v>
      </c>
      <c r="HH161" s="0" t="n">
        <v>91.23</v>
      </c>
      <c r="HI161" s="17" t="n">
        <v>0</v>
      </c>
      <c r="HJ161" s="0" t="n">
        <v>0</v>
      </c>
      <c r="HK161" s="0" t="n">
        <v>0</v>
      </c>
      <c r="HL161" s="0" t="n">
        <v>8.77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  <c r="HT161" s="0" t="n">
        <v>18.64</v>
      </c>
      <c r="HU161" s="0" t="n">
        <v>42.82</v>
      </c>
      <c r="HV161" s="0" t="n">
        <v>4.61</v>
      </c>
      <c r="HW161" s="0" t="n">
        <v>0</v>
      </c>
      <c r="HX161" s="0" t="n">
        <v>0</v>
      </c>
      <c r="HY161" s="0" t="n">
        <v>0</v>
      </c>
      <c r="IL161" s="0" t="n">
        <v>23.2</v>
      </c>
      <c r="IM161" s="0" t="n">
        <v>1</v>
      </c>
      <c r="IN161" s="0" t="n">
        <v>35</v>
      </c>
      <c r="IO161" s="0" t="n">
        <f aca="false">2+4+2+2+2+4+2+2+1</f>
        <v>21</v>
      </c>
      <c r="IP161" s="0" t="n">
        <f aca="false">1.52+1.49+0.78*2+0.27+0.43+0.12+0.13</f>
        <v>5.52</v>
      </c>
      <c r="IQ161" s="0" t="n">
        <v>3</v>
      </c>
      <c r="IR161" s="0" t="n">
        <v>10</v>
      </c>
      <c r="IS161" s="0" t="n">
        <v>1</v>
      </c>
      <c r="IT161" s="0" t="n">
        <v>0.1</v>
      </c>
      <c r="IU161" s="0" t="n">
        <v>5</v>
      </c>
      <c r="IV161" s="0" t="n">
        <v>25</v>
      </c>
      <c r="IW161" s="0" t="n">
        <v>8</v>
      </c>
      <c r="IX161" s="18" t="n">
        <f aca="false">0.19*2+0.1</f>
        <v>0.48</v>
      </c>
      <c r="IY161" s="0" t="n">
        <v>1</v>
      </c>
      <c r="JP161" s="0" t="n">
        <v>0</v>
      </c>
      <c r="LA161" s="16" t="n">
        <v>1.52</v>
      </c>
      <c r="LB161" s="16" t="n">
        <v>1</v>
      </c>
      <c r="LC161" s="16" t="n">
        <v>1</v>
      </c>
      <c r="LD161" s="16"/>
      <c r="LE161" s="16" t="n">
        <f aca="false">2.11*2+0.19*3+0.1</f>
        <v>4.89</v>
      </c>
      <c r="LF161" s="16"/>
      <c r="LG161" s="16"/>
      <c r="LH161" s="16"/>
      <c r="LI161" s="16"/>
      <c r="LJ161" s="16"/>
      <c r="LK161" s="16"/>
      <c r="LL161" s="16" t="n">
        <v>0</v>
      </c>
      <c r="LM161" s="16" t="n">
        <v>0</v>
      </c>
      <c r="LN161" s="16" t="n">
        <v>0</v>
      </c>
      <c r="LO161" s="16" t="n">
        <v>0</v>
      </c>
      <c r="LP161" s="16" t="n">
        <v>0</v>
      </c>
      <c r="LQ161" s="16" t="n">
        <v>0</v>
      </c>
      <c r="LR161" s="16" t="n">
        <v>0.06</v>
      </c>
      <c r="LS161" s="0" t="n">
        <v>0</v>
      </c>
      <c r="LT161" s="0" t="s">
        <v>500</v>
      </c>
      <c r="LU161" s="0" t="n">
        <v>48</v>
      </c>
      <c r="LV161" s="16" t="n">
        <v>69.7</v>
      </c>
      <c r="LW161" s="16" t="n">
        <v>80.4</v>
      </c>
      <c r="LX161" s="16" t="n">
        <v>44.5</v>
      </c>
      <c r="LY161" s="0" t="n">
        <v>13.55</v>
      </c>
      <c r="LZ161" s="17" t="n">
        <v>0</v>
      </c>
      <c r="MA161" s="0" t="n">
        <v>0</v>
      </c>
      <c r="MB161" s="0" t="n">
        <v>0</v>
      </c>
      <c r="MC161" s="0" t="n">
        <v>0.1</v>
      </c>
      <c r="MD161" s="0" t="n">
        <v>0</v>
      </c>
      <c r="ME161" s="0" t="n">
        <v>86.34</v>
      </c>
      <c r="MF161" s="0" t="n">
        <v>13.26</v>
      </c>
      <c r="MG161" s="0" t="n">
        <v>28.53</v>
      </c>
      <c r="MH161" s="0" t="n">
        <v>0</v>
      </c>
      <c r="MI161" s="0" t="n">
        <v>0</v>
      </c>
      <c r="MJ161" s="0" t="n">
        <v>0.78</v>
      </c>
      <c r="MK161" s="0" t="n">
        <v>3.48</v>
      </c>
      <c r="ML161" s="0" t="n">
        <v>11.45</v>
      </c>
      <c r="MM161" s="0" t="n">
        <v>6.85</v>
      </c>
      <c r="MN161" s="0" t="n">
        <v>0</v>
      </c>
      <c r="MO161" s="0" t="n">
        <v>0</v>
      </c>
      <c r="MP161" s="0" t="n">
        <v>0</v>
      </c>
      <c r="NC161" s="0" t="n">
        <v>0</v>
      </c>
      <c r="ND161" s="0" t="n">
        <v>0</v>
      </c>
      <c r="NO161" s="18"/>
      <c r="OG161" s="0" t="n">
        <v>0</v>
      </c>
      <c r="PR161" s="16" t="n">
        <v>0.75</v>
      </c>
      <c r="PS161" s="16" t="n">
        <v>1</v>
      </c>
      <c r="PT161" s="16" t="n">
        <v>1</v>
      </c>
      <c r="PU161" s="16"/>
      <c r="PV161" s="16" t="n">
        <f aca="false">2.11+0.37</f>
        <v>2.48</v>
      </c>
      <c r="PW161" s="16"/>
      <c r="PX161" s="16"/>
      <c r="PY161" s="16"/>
      <c r="PZ161" s="16"/>
      <c r="QA161" s="16"/>
      <c r="QB161" s="16"/>
      <c r="QC161" s="16" t="n">
        <v>2.66</v>
      </c>
      <c r="QD161" s="16" t="n">
        <v>2.64</v>
      </c>
      <c r="QE161" s="16" t="n">
        <v>0</v>
      </c>
      <c r="QF161" s="16" t="n">
        <v>0</v>
      </c>
      <c r="QG161" s="16" t="n">
        <v>0</v>
      </c>
      <c r="QH161" s="16" t="n">
        <v>0</v>
      </c>
      <c r="QI161" s="16" t="n">
        <v>0</v>
      </c>
      <c r="QJ161" s="0" t="n">
        <v>0</v>
      </c>
      <c r="QK161" s="0" t="s">
        <v>501</v>
      </c>
      <c r="QL161" s="0" t="n">
        <v>58</v>
      </c>
      <c r="QM161" s="16" t="n">
        <v>79.9</v>
      </c>
      <c r="QN161" s="16" t="n">
        <v>80.4</v>
      </c>
      <c r="QO161" s="16" t="n">
        <v>43.6</v>
      </c>
      <c r="QP161" s="0" t="n">
        <v>26.15</v>
      </c>
      <c r="QQ161" s="17" t="n">
        <v>0</v>
      </c>
      <c r="QR161" s="0" t="n">
        <v>0</v>
      </c>
      <c r="QS161" s="0" t="n">
        <v>0</v>
      </c>
      <c r="QT161" s="0" t="n">
        <v>0</v>
      </c>
      <c r="QU161" s="0" t="n">
        <v>0</v>
      </c>
      <c r="QV161" s="0" t="n">
        <v>73.85</v>
      </c>
      <c r="QW161" s="0" t="n">
        <v>18.43</v>
      </c>
      <c r="QX161" s="0" t="n">
        <v>20.42</v>
      </c>
      <c r="QY161" s="0" t="n">
        <v>0</v>
      </c>
      <c r="QZ161" s="0" t="n">
        <v>0</v>
      </c>
      <c r="RA161" s="0" t="n">
        <v>2.44</v>
      </c>
      <c r="RB161" s="0" t="n">
        <v>0.13</v>
      </c>
      <c r="RC161" s="0" t="n">
        <v>9.71</v>
      </c>
      <c r="RD161" s="0" t="n">
        <v>18.31</v>
      </c>
      <c r="RE161" s="0" t="n">
        <v>0</v>
      </c>
      <c r="RF161" s="0" t="n">
        <v>0</v>
      </c>
      <c r="RG161" s="0" t="n">
        <v>0</v>
      </c>
      <c r="RT161" s="0" t="n">
        <v>9.1</v>
      </c>
      <c r="RU161" s="0" t="n">
        <v>1</v>
      </c>
      <c r="RV161" s="0" t="n">
        <v>68</v>
      </c>
      <c r="RW161" s="0" t="n">
        <v>1</v>
      </c>
      <c r="RX161" s="0" t="n">
        <v>0.05</v>
      </c>
      <c r="RY161" s="0" t="n">
        <v>1</v>
      </c>
      <c r="RZ161" s="0" t="n">
        <v>35</v>
      </c>
      <c r="SA161" s="0" t="n">
        <v>3</v>
      </c>
      <c r="SB161" s="0" t="n">
        <f aca="false">0.76+0.64</f>
        <v>1.4</v>
      </c>
      <c r="SC161" s="0" t="n">
        <v>3</v>
      </c>
      <c r="SD161" s="0" t="n">
        <v>47</v>
      </c>
      <c r="SE161" s="0" t="n">
        <v>2</v>
      </c>
      <c r="SF161" s="18" t="n">
        <v>0.23</v>
      </c>
      <c r="SG161" s="0" t="n">
        <v>3</v>
      </c>
      <c r="SX161" s="0" t="n">
        <v>1</v>
      </c>
      <c r="SY161" s="0" t="n">
        <v>60</v>
      </c>
      <c r="SZ161" s="0" t="n">
        <v>2</v>
      </c>
      <c r="TA161" s="0" t="n">
        <v>0.26</v>
      </c>
      <c r="TB161" s="0" t="n">
        <v>3</v>
      </c>
      <c r="UI161" s="16" t="n">
        <v>0</v>
      </c>
      <c r="UJ161" s="16" t="n">
        <v>0</v>
      </c>
      <c r="UK161" s="16"/>
      <c r="UL161" s="16"/>
      <c r="UM161" s="16"/>
      <c r="UN161" s="16"/>
      <c r="UO161" s="16"/>
      <c r="UP161" s="16"/>
      <c r="UQ161" s="16"/>
      <c r="UR161" s="16"/>
      <c r="US161" s="16"/>
      <c r="UT161" s="16" t="n">
        <v>1.97</v>
      </c>
      <c r="UU161" s="16" t="n">
        <v>1.24</v>
      </c>
      <c r="UV161" s="16" t="n">
        <v>0</v>
      </c>
      <c r="UW161" s="16" t="n">
        <v>0</v>
      </c>
      <c r="UX161" s="16" t="n">
        <v>0</v>
      </c>
      <c r="UY161" s="16" t="n">
        <v>0</v>
      </c>
      <c r="UZ161" s="16" t="n">
        <v>3</v>
      </c>
      <c r="VA161" s="0" t="n">
        <v>0</v>
      </c>
      <c r="VB161" s="0" t="s">
        <v>502</v>
      </c>
      <c r="VC161" s="0" t="n">
        <v>34.5</v>
      </c>
      <c r="VD161" s="16" t="n">
        <v>53.2</v>
      </c>
      <c r="VE161" s="16" t="n">
        <v>80.4</v>
      </c>
      <c r="VF161" s="16" t="n">
        <v>8.3</v>
      </c>
      <c r="VG161" s="0" t="n">
        <v>99.94</v>
      </c>
      <c r="VH161" s="17" t="n">
        <v>0</v>
      </c>
      <c r="VI161" s="0" t="n">
        <v>0</v>
      </c>
      <c r="VJ161" s="0" t="n">
        <v>0</v>
      </c>
      <c r="VK161" s="0" t="n">
        <v>0</v>
      </c>
      <c r="VL161" s="0" t="n">
        <v>0</v>
      </c>
      <c r="VM161" s="0" t="n">
        <v>0</v>
      </c>
      <c r="VN161" s="0" t="n">
        <v>0</v>
      </c>
      <c r="VO161" s="0" t="n">
        <v>0</v>
      </c>
      <c r="VP161" s="0" t="n">
        <v>0</v>
      </c>
      <c r="VQ161" s="0" t="n">
        <v>0</v>
      </c>
      <c r="VR161" s="0" t="n">
        <v>0</v>
      </c>
      <c r="VS161" s="0" t="n">
        <v>9.15</v>
      </c>
      <c r="VT161" s="0" t="n">
        <v>18.41</v>
      </c>
      <c r="VU161" s="0" t="n">
        <v>11.73</v>
      </c>
      <c r="VV161" s="0" t="n">
        <v>0</v>
      </c>
      <c r="VW161" s="0" t="n">
        <v>0</v>
      </c>
      <c r="VX161" s="0" t="n">
        <v>0</v>
      </c>
      <c r="WK161" s="0" t="n">
        <v>11.9</v>
      </c>
      <c r="WL161" s="0" t="n">
        <v>1</v>
      </c>
      <c r="WM161" s="0" t="n">
        <v>47</v>
      </c>
      <c r="WN161" s="0" t="n">
        <v>3</v>
      </c>
      <c r="WO161" s="0" t="n">
        <v>1.52</v>
      </c>
      <c r="WP161" s="0" t="n">
        <v>2</v>
      </c>
      <c r="WW161" s="18"/>
      <c r="XO161" s="0" t="n">
        <v>0</v>
      </c>
      <c r="YZ161" s="16" t="n">
        <v>5.7</v>
      </c>
      <c r="ZA161" s="16" t="n">
        <v>1</v>
      </c>
      <c r="ZB161" s="16" t="n">
        <v>1</v>
      </c>
      <c r="ZC161" s="16"/>
      <c r="ZD161" s="16" t="n">
        <f aca="false">2.11+2.11+0.05+0.05+0.37</f>
        <v>4.69</v>
      </c>
      <c r="ZE161" s="16" t="n">
        <v>2</v>
      </c>
      <c r="ZF161" s="16"/>
      <c r="ZG161" s="16" t="n">
        <f aca="false">3.17+3.17+0.56+0.56+0.33</f>
        <v>7.79</v>
      </c>
      <c r="ZH161" s="16"/>
      <c r="ZI161" s="16"/>
      <c r="ZJ161" s="16"/>
      <c r="ZK161" s="16" t="n">
        <v>0</v>
      </c>
      <c r="ZL161" s="16" t="n">
        <v>0</v>
      </c>
      <c r="ZM161" s="16"/>
      <c r="ZN161" s="16"/>
      <c r="ZO161" s="16" t="n">
        <v>5.97</v>
      </c>
      <c r="ZP161" s="16" t="n">
        <v>0</v>
      </c>
      <c r="ZQ161" s="16" t="n">
        <v>0</v>
      </c>
      <c r="ZR161" s="0" t="n">
        <v>1</v>
      </c>
      <c r="ZS161" s="0" t="s">
        <v>503</v>
      </c>
      <c r="ZT161" s="0" t="n">
        <v>47</v>
      </c>
      <c r="ZU161" s="16" t="n">
        <v>54.1</v>
      </c>
      <c r="ZV161" s="16" t="n">
        <v>80.4</v>
      </c>
      <c r="ZW161" s="16" t="n">
        <v>34.5</v>
      </c>
      <c r="ZX161" s="0" t="n">
        <v>71.45</v>
      </c>
      <c r="ZY161" s="17" t="n">
        <v>0</v>
      </c>
      <c r="ZZ161" s="0" t="n">
        <v>21.93</v>
      </c>
      <c r="AAA161" s="0" t="n">
        <v>6.49</v>
      </c>
      <c r="AAB161" s="0" t="n">
        <v>0.12</v>
      </c>
      <c r="AAC161" s="0" t="n">
        <v>0</v>
      </c>
      <c r="AAD161" s="0" t="n">
        <v>0</v>
      </c>
      <c r="AAE161" s="0" t="n">
        <v>0</v>
      </c>
      <c r="AAF161" s="0" t="n">
        <v>0</v>
      </c>
      <c r="AAG161" s="0" t="n">
        <v>0</v>
      </c>
      <c r="AAH161" s="0" t="n">
        <v>0</v>
      </c>
      <c r="AAI161" s="0" t="n">
        <v>1.01</v>
      </c>
      <c r="AAJ161" s="0" t="n">
        <v>0.45</v>
      </c>
      <c r="AAK161" s="0" t="n">
        <v>18.4</v>
      </c>
      <c r="AAL161" s="0" t="n">
        <v>11.28</v>
      </c>
      <c r="AAM161" s="0" t="n">
        <v>0</v>
      </c>
      <c r="AAN161" s="0" t="n">
        <v>0</v>
      </c>
      <c r="AAO161" s="0" t="n">
        <v>0</v>
      </c>
      <c r="ABB161" s="0" t="n">
        <v>6</v>
      </c>
      <c r="ABC161" s="0" t="n">
        <v>1</v>
      </c>
      <c r="ABD161" s="0" t="n">
        <v>35</v>
      </c>
      <c r="ABE161" s="0" t="n">
        <v>8</v>
      </c>
      <c r="ABF161" s="0" t="n">
        <f aca="false">0.25+0.25+0.25+0.13+0.13+0.13+0.13</f>
        <v>1.27</v>
      </c>
      <c r="ABG161" s="0" t="n">
        <v>3</v>
      </c>
      <c r="ABN161" s="18"/>
      <c r="ACF161" s="0" t="n">
        <v>1</v>
      </c>
      <c r="ACG161" s="0" t="n">
        <v>50</v>
      </c>
      <c r="ACH161" s="0" t="n">
        <v>2</v>
      </c>
      <c r="ACI161" s="0" t="n">
        <f aca="false">0.76*2</f>
        <v>1.52</v>
      </c>
      <c r="ACJ161" s="0" t="n">
        <v>1</v>
      </c>
      <c r="ADQ161" s="16" t="n">
        <v>0.42</v>
      </c>
      <c r="ADR161" s="16" t="n">
        <v>1</v>
      </c>
      <c r="ADS161" s="16" t="n">
        <v>1</v>
      </c>
      <c r="ADT161" s="16"/>
      <c r="ADU161" s="16" t="n">
        <f aca="false">0.68+0.68+0.03</f>
        <v>1.39</v>
      </c>
      <c r="ADV161" s="16"/>
      <c r="ADW161" s="16"/>
      <c r="ADX161" s="16"/>
      <c r="ADY161" s="16"/>
      <c r="ADZ161" s="16"/>
      <c r="AEA161" s="16"/>
      <c r="AEB161" s="16" t="n">
        <v>5.21</v>
      </c>
      <c r="AEC161" s="16" t="n">
        <v>7.05</v>
      </c>
      <c r="AED161" s="16"/>
      <c r="AEE161" s="16"/>
      <c r="AEF161" s="16" t="n">
        <v>0</v>
      </c>
      <c r="AEG161" s="16" t="n">
        <v>0</v>
      </c>
      <c r="AEH161" s="16" t="n">
        <v>0</v>
      </c>
      <c r="AEI161" s="0" t="n">
        <v>0</v>
      </c>
      <c r="AEJ161" s="0" t="s">
        <v>504</v>
      </c>
      <c r="AEK161" s="0" t="n">
        <v>65.5</v>
      </c>
      <c r="AEL161" s="16" t="n">
        <v>92.2</v>
      </c>
      <c r="AEM161" s="16" t="n">
        <v>80.4</v>
      </c>
      <c r="AEN161" s="16" t="n">
        <v>61.7</v>
      </c>
      <c r="AEO161" s="0" t="n">
        <v>22.46</v>
      </c>
      <c r="AEP161" s="17" t="n">
        <v>0</v>
      </c>
      <c r="AEQ161" s="0" t="n">
        <v>0</v>
      </c>
      <c r="AER161" s="0" t="n">
        <v>0</v>
      </c>
      <c r="AES161" s="0" t="n">
        <v>0</v>
      </c>
      <c r="AET161" s="0" t="n">
        <v>0</v>
      </c>
      <c r="AEU161" s="0" t="n">
        <v>70.92</v>
      </c>
      <c r="AEV161" s="0" t="n">
        <v>9.4</v>
      </c>
      <c r="AEW161" s="0" t="n">
        <v>33.69</v>
      </c>
      <c r="AEX161" s="0" t="n">
        <v>0</v>
      </c>
      <c r="AEY161" s="0" t="n">
        <v>0</v>
      </c>
      <c r="AEZ161" s="0" t="n">
        <v>14.46</v>
      </c>
      <c r="AFA161" s="0" t="n">
        <v>11.32</v>
      </c>
      <c r="AFB161" s="0" t="n">
        <v>6.58</v>
      </c>
      <c r="AFC161" s="0" t="n">
        <v>8.88</v>
      </c>
      <c r="AFD161" s="0" t="n">
        <v>6.62</v>
      </c>
      <c r="AFE161" s="0" t="n">
        <v>0</v>
      </c>
      <c r="AFF161" s="0" t="n">
        <v>0</v>
      </c>
      <c r="AFS161" s="0" t="n">
        <v>3.2</v>
      </c>
      <c r="AFT161" s="0" t="n">
        <v>0</v>
      </c>
      <c r="AGE161" s="18"/>
      <c r="AGW161" s="0" t="n">
        <v>1</v>
      </c>
      <c r="AGX161" s="0" t="n">
        <v>60</v>
      </c>
      <c r="AGY161" s="0" t="n">
        <v>2</v>
      </c>
      <c r="AGZ161" s="0" t="n">
        <f aca="false">0.76*2</f>
        <v>1.52</v>
      </c>
      <c r="AHA161" s="0" t="n">
        <v>3</v>
      </c>
      <c r="AIH161" s="16" t="n">
        <v>0.63</v>
      </c>
      <c r="AII161" s="16" t="n">
        <v>1</v>
      </c>
      <c r="AIJ161" s="16" t="n">
        <v>1</v>
      </c>
      <c r="AIK161" s="16"/>
      <c r="AIL161" s="16" t="n">
        <v>3.17</v>
      </c>
      <c r="AIM161" s="16"/>
      <c r="AIN161" s="16"/>
      <c r="AIO161" s="16"/>
      <c r="AIP161" s="16"/>
      <c r="AIQ161" s="16"/>
      <c r="AIR161" s="16"/>
      <c r="AIS161" s="16" t="n">
        <v>0</v>
      </c>
      <c r="AIT161" s="16" t="n">
        <v>0</v>
      </c>
      <c r="AIU161" s="16"/>
      <c r="AIV161" s="16"/>
      <c r="AIW161" s="16" t="n">
        <v>0</v>
      </c>
      <c r="AIX161" s="16" t="n">
        <v>0</v>
      </c>
      <c r="AIY161" s="16" t="n">
        <v>0</v>
      </c>
      <c r="AIZ161" s="0" t="n">
        <v>0</v>
      </c>
      <c r="AJA161" s="0" t="s">
        <v>505</v>
      </c>
      <c r="AJB161" s="0" t="n">
        <v>59</v>
      </c>
      <c r="AJC161" s="16" t="n">
        <v>90.4</v>
      </c>
      <c r="AJD161" s="16" t="n">
        <v>80.4</v>
      </c>
      <c r="AJE161" s="16" t="n">
        <v>54.7</v>
      </c>
      <c r="AJF161" s="0" t="n">
        <v>26.42</v>
      </c>
      <c r="AJG161" s="17" t="n">
        <v>0</v>
      </c>
      <c r="AJH161" s="0" t="n">
        <v>0</v>
      </c>
      <c r="AJI161" s="0" t="n">
        <v>0</v>
      </c>
      <c r="AJJ161" s="0" t="n">
        <v>0</v>
      </c>
      <c r="AJK161" s="0" t="n">
        <v>0</v>
      </c>
      <c r="AJL161" s="0" t="n">
        <v>66.96</v>
      </c>
      <c r="AJM161" s="0" t="n">
        <v>6.55</v>
      </c>
      <c r="AJN161" s="0" t="n">
        <v>30.83</v>
      </c>
      <c r="AJO161" s="0" t="n">
        <v>0</v>
      </c>
      <c r="AJP161" s="0" t="n">
        <v>0</v>
      </c>
      <c r="AJQ161" s="0" t="n">
        <v>14.46</v>
      </c>
      <c r="AJR161" s="0" t="n">
        <v>11.57</v>
      </c>
      <c r="AJS161" s="0" t="n">
        <v>6.5</v>
      </c>
      <c r="AJT161" s="0" t="n">
        <v>6.03</v>
      </c>
      <c r="AJU161" s="0" t="n">
        <v>6.62</v>
      </c>
      <c r="AJV161" s="0" t="n">
        <v>0</v>
      </c>
      <c r="AJW161" s="0" t="n">
        <v>0</v>
      </c>
      <c r="AKJ161" s="0" t="n">
        <v>3.2</v>
      </c>
      <c r="AKK161" s="0" t="n">
        <v>0</v>
      </c>
      <c r="AKV161" s="18"/>
      <c r="ALN161" s="0" t="n">
        <v>1</v>
      </c>
      <c r="ALO161" s="0" t="n">
        <v>60</v>
      </c>
      <c r="ALP161" s="0" t="n">
        <v>2</v>
      </c>
      <c r="ALQ161" s="0" t="n">
        <v>1.52</v>
      </c>
      <c r="ALR161" s="0" t="n">
        <v>3</v>
      </c>
    </row>
    <row r="162" customFormat="false" ht="13.8" hidden="false" customHeight="false" outlineLevel="0" collapsed="false">
      <c r="A162" s="1" t="s">
        <v>623</v>
      </c>
      <c r="B162" s="12" t="n">
        <v>42905</v>
      </c>
      <c r="C162" s="0" t="n">
        <v>2</v>
      </c>
      <c r="D162" s="13" t="n">
        <v>42870</v>
      </c>
      <c r="E162" s="12" t="n">
        <v>31537</v>
      </c>
      <c r="F162" s="14" t="n">
        <f aca="false">(B162-E162)/365.25</f>
        <v>31.1238877481177</v>
      </c>
      <c r="G162" s="14" t="n">
        <f aca="false">(B162-D162)/365.25</f>
        <v>0.0958247775496236</v>
      </c>
      <c r="H162" s="15" t="s">
        <v>181</v>
      </c>
      <c r="I162" s="15" t="s">
        <v>496</v>
      </c>
      <c r="J162" s="15" t="s">
        <v>183</v>
      </c>
      <c r="K162" s="15" t="n">
        <v>4</v>
      </c>
      <c r="L162" s="19" t="n">
        <v>74</v>
      </c>
      <c r="M162" s="0" t="n">
        <v>1.77</v>
      </c>
      <c r="N162" s="16" t="n">
        <f aca="false">L162/(M162*M162)</f>
        <v>23.6202879121581</v>
      </c>
      <c r="O162" s="19" t="n">
        <v>0</v>
      </c>
      <c r="P162" s="19" t="n">
        <v>0</v>
      </c>
      <c r="Q162" s="19" t="n">
        <v>0</v>
      </c>
      <c r="R162" s="19" t="n">
        <v>0</v>
      </c>
      <c r="S162" s="19" t="n">
        <v>0</v>
      </c>
      <c r="T162" s="19" t="n">
        <v>0</v>
      </c>
      <c r="U162" s="19" t="n">
        <v>0</v>
      </c>
      <c r="V162" s="19" t="n">
        <v>0</v>
      </c>
      <c r="W162" s="19" t="n">
        <v>0</v>
      </c>
      <c r="X162" s="19" t="n">
        <v>0</v>
      </c>
      <c r="Y162" s="19" t="n">
        <v>1</v>
      </c>
      <c r="Z162" s="19" t="n">
        <v>1</v>
      </c>
      <c r="AA162" s="19" t="n">
        <v>90</v>
      </c>
      <c r="AB162" s="19" t="s">
        <v>349</v>
      </c>
      <c r="AC162" s="19" t="n">
        <v>0</v>
      </c>
      <c r="AD162" s="19" t="n">
        <v>0</v>
      </c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 t="n">
        <v>3</v>
      </c>
      <c r="AT162" s="19" t="n">
        <v>3</v>
      </c>
      <c r="AU162" s="19" t="n">
        <v>3</v>
      </c>
      <c r="AV162" s="19" t="n">
        <v>7</v>
      </c>
      <c r="AW162" s="19" t="n">
        <v>3</v>
      </c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 t="n">
        <v>2</v>
      </c>
      <c r="BS162" s="19" t="n">
        <v>3</v>
      </c>
      <c r="BT162" s="19" t="n">
        <v>5</v>
      </c>
      <c r="BU162" s="19" t="n">
        <v>5</v>
      </c>
      <c r="BV162" s="19" t="n">
        <v>3</v>
      </c>
      <c r="BW162" s="19" t="n">
        <v>5</v>
      </c>
      <c r="BX162" s="19" t="n">
        <v>5</v>
      </c>
      <c r="BY162" s="19" t="n">
        <v>4</v>
      </c>
      <c r="BZ162" s="19" t="n">
        <v>3</v>
      </c>
      <c r="CA162" s="19" t="n">
        <v>3</v>
      </c>
      <c r="CB162" s="19" t="n">
        <v>3</v>
      </c>
      <c r="CC162" s="19" t="n">
        <v>5</v>
      </c>
      <c r="CD162" s="19" t="n">
        <v>3</v>
      </c>
      <c r="CE162" s="19" t="n">
        <v>5</v>
      </c>
      <c r="CF162" s="19" t="n">
        <v>5</v>
      </c>
      <c r="CG162" s="19" t="n">
        <v>5</v>
      </c>
      <c r="CH162" s="19" t="n">
        <v>5</v>
      </c>
      <c r="CI162" s="19" t="n">
        <v>5</v>
      </c>
      <c r="CJ162" s="19" t="n">
        <v>4</v>
      </c>
      <c r="CK162" s="19" t="n">
        <v>7</v>
      </c>
      <c r="CL162" s="0" t="s">
        <v>501</v>
      </c>
      <c r="CM162" s="0" t="n">
        <v>58</v>
      </c>
      <c r="CN162" s="16" t="n">
        <v>79.9</v>
      </c>
      <c r="CO162" s="16" t="n">
        <v>80.4</v>
      </c>
      <c r="CP162" s="16" t="n">
        <v>43.6</v>
      </c>
      <c r="CQ162" s="0" t="n">
        <v>26.15</v>
      </c>
      <c r="CR162" s="17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73.85</v>
      </c>
      <c r="CX162" s="0" t="n">
        <v>18.43</v>
      </c>
      <c r="CY162" s="0" t="n">
        <v>20.42</v>
      </c>
      <c r="CZ162" s="0" t="n">
        <v>0</v>
      </c>
      <c r="DA162" s="0" t="n">
        <v>0</v>
      </c>
      <c r="DB162" s="0" t="n">
        <v>2.44</v>
      </c>
      <c r="DC162" s="0" t="n">
        <v>0.13</v>
      </c>
      <c r="DD162" s="0" t="n">
        <v>9.71</v>
      </c>
      <c r="DE162" s="0" t="n">
        <v>18.31</v>
      </c>
      <c r="DF162" s="0" t="n">
        <v>0</v>
      </c>
      <c r="DG162" s="0" t="n">
        <v>0</v>
      </c>
      <c r="DH162" s="0" t="n">
        <v>0</v>
      </c>
      <c r="DU162" s="0" t="n">
        <v>9.1</v>
      </c>
      <c r="DV162" s="0" t="n">
        <v>1</v>
      </c>
      <c r="DW162" s="0" t="n">
        <v>68</v>
      </c>
      <c r="DX162" s="0" t="n">
        <v>1</v>
      </c>
      <c r="DY162" s="0" t="n">
        <v>0.05</v>
      </c>
      <c r="DZ162" s="0" t="n">
        <v>1</v>
      </c>
      <c r="EA162" s="0" t="n">
        <v>35</v>
      </c>
      <c r="EB162" s="0" t="n">
        <v>3</v>
      </c>
      <c r="EC162" s="0" t="n">
        <f aca="false">0.76+0.64</f>
        <v>1.4</v>
      </c>
      <c r="ED162" s="0" t="n">
        <v>3</v>
      </c>
      <c r="EE162" s="0" t="n">
        <v>47</v>
      </c>
      <c r="EF162" s="0" t="n">
        <v>2</v>
      </c>
      <c r="EG162" s="18" t="n">
        <v>0.23</v>
      </c>
      <c r="EH162" s="0" t="n">
        <v>3</v>
      </c>
      <c r="EY162" s="0" t="n">
        <v>1</v>
      </c>
      <c r="EZ162" s="0" t="n">
        <v>60</v>
      </c>
      <c r="FA162" s="0" t="n">
        <v>2</v>
      </c>
      <c r="FB162" s="0" t="n">
        <v>0.26</v>
      </c>
      <c r="FC162" s="0" t="n">
        <v>3</v>
      </c>
      <c r="GJ162" s="16" t="n">
        <v>0</v>
      </c>
      <c r="GK162" s="16" t="n">
        <v>0</v>
      </c>
      <c r="GL162" s="16"/>
      <c r="GM162" s="16"/>
      <c r="GN162" s="16"/>
      <c r="GO162" s="16"/>
      <c r="GP162" s="16"/>
      <c r="GQ162" s="16"/>
      <c r="GR162" s="16"/>
      <c r="GS162" s="16"/>
      <c r="GT162" s="16"/>
      <c r="GU162" s="16" t="n">
        <v>1.97</v>
      </c>
      <c r="GV162" s="16" t="n">
        <v>1.24</v>
      </c>
      <c r="GW162" s="16" t="n">
        <v>0</v>
      </c>
      <c r="GX162" s="16" t="n">
        <v>0</v>
      </c>
      <c r="GY162" s="16" t="n">
        <v>0</v>
      </c>
      <c r="GZ162" s="16" t="n">
        <v>0</v>
      </c>
      <c r="HA162" s="16" t="n">
        <v>3</v>
      </c>
      <c r="HB162" s="0" t="n">
        <v>0</v>
      </c>
      <c r="HC162" s="0" t="s">
        <v>498</v>
      </c>
      <c r="HD162" s="0" t="n">
        <v>33</v>
      </c>
      <c r="HE162" s="16" t="n">
        <v>71.2</v>
      </c>
      <c r="HF162" s="16" t="n">
        <v>80.4</v>
      </c>
      <c r="HG162" s="16" t="n">
        <v>16.3</v>
      </c>
      <c r="HH162" s="0" t="n">
        <v>83.24</v>
      </c>
      <c r="HI162" s="17" t="n">
        <v>0</v>
      </c>
      <c r="HJ162" s="0" t="n">
        <v>0</v>
      </c>
      <c r="HK162" s="0" t="n">
        <v>0</v>
      </c>
      <c r="HL162" s="0" t="n">
        <v>14.14</v>
      </c>
      <c r="HM162" s="0" t="n">
        <v>0</v>
      </c>
      <c r="HN162" s="0" t="n">
        <v>2.63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2.63</v>
      </c>
      <c r="HT162" s="0" t="n">
        <v>10.16</v>
      </c>
      <c r="HU162" s="0" t="n">
        <v>20.83</v>
      </c>
      <c r="HV162" s="0" t="n">
        <v>24.81</v>
      </c>
      <c r="HW162" s="0" t="n">
        <v>0</v>
      </c>
      <c r="HX162" s="0" t="n">
        <v>11.2</v>
      </c>
      <c r="HY162" s="0" t="n">
        <v>1</v>
      </c>
      <c r="HZ162" s="0" t="n">
        <v>5</v>
      </c>
      <c r="IB162" s="0" t="n">
        <v>1</v>
      </c>
      <c r="IF162" s="0" t="n">
        <v>5</v>
      </c>
      <c r="IH162" s="0" t="n">
        <v>1</v>
      </c>
      <c r="IL162" s="0" t="n">
        <v>0</v>
      </c>
      <c r="IM162" s="0" t="n">
        <v>0</v>
      </c>
      <c r="IX162" s="18"/>
      <c r="JP162" s="0" t="n">
        <v>0</v>
      </c>
      <c r="LA162" s="16" t="n">
        <v>2.71</v>
      </c>
      <c r="LB162" s="16" t="n">
        <v>1</v>
      </c>
      <c r="LC162" s="16" t="n">
        <v>1</v>
      </c>
      <c r="LD162" s="16"/>
      <c r="LE162" s="16" t="n">
        <f aca="false">2.11*4+0.52*2</f>
        <v>9.48</v>
      </c>
      <c r="LF162" s="16"/>
      <c r="LG162" s="16"/>
      <c r="LH162" s="16"/>
      <c r="LI162" s="16"/>
      <c r="LJ162" s="16"/>
      <c r="LK162" s="16"/>
      <c r="LL162" s="16" t="n">
        <v>2.63</v>
      </c>
      <c r="LM162" s="16" t="n">
        <v>2.6</v>
      </c>
      <c r="LN162" s="16" t="n">
        <v>0</v>
      </c>
      <c r="LO162" s="16" t="n">
        <v>0</v>
      </c>
      <c r="LP162" s="16" t="n">
        <v>0</v>
      </c>
      <c r="LQ162" s="16" t="n">
        <v>0</v>
      </c>
      <c r="LR162" s="16" t="n">
        <v>0</v>
      </c>
      <c r="LS162" s="0" t="n">
        <v>0</v>
      </c>
      <c r="LT162" s="0" t="s">
        <v>503</v>
      </c>
      <c r="LU162" s="0" t="n">
        <v>47</v>
      </c>
      <c r="LV162" s="16" t="n">
        <v>54.1</v>
      </c>
      <c r="LW162" s="16" t="n">
        <v>80.4</v>
      </c>
      <c r="LX162" s="16" t="n">
        <v>34.5</v>
      </c>
      <c r="LY162" s="0" t="n">
        <v>71.45</v>
      </c>
      <c r="LZ162" s="17" t="n">
        <v>0</v>
      </c>
      <c r="MA162" s="0" t="n">
        <v>21.93</v>
      </c>
      <c r="MB162" s="0" t="n">
        <v>6.49</v>
      </c>
      <c r="MC162" s="0" t="n">
        <v>0.12</v>
      </c>
      <c r="MD162" s="0" t="n">
        <v>0</v>
      </c>
      <c r="ME162" s="0" t="n">
        <v>0</v>
      </c>
      <c r="MF162" s="0" t="n">
        <v>0</v>
      </c>
      <c r="MG162" s="0" t="n">
        <v>0</v>
      </c>
      <c r="MH162" s="0" t="n">
        <v>0</v>
      </c>
      <c r="MI162" s="0" t="n">
        <v>0</v>
      </c>
      <c r="MJ162" s="0" t="n">
        <v>1.01</v>
      </c>
      <c r="MK162" s="0" t="n">
        <v>0.45</v>
      </c>
      <c r="ML162" s="0" t="n">
        <v>18.4</v>
      </c>
      <c r="MM162" s="0" t="n">
        <v>11.28</v>
      </c>
      <c r="MN162" s="0" t="n">
        <v>0</v>
      </c>
      <c r="MO162" s="0" t="n">
        <v>0</v>
      </c>
      <c r="MP162" s="0" t="n">
        <v>0</v>
      </c>
      <c r="NC162" s="0" t="n">
        <v>6</v>
      </c>
      <c r="ND162" s="0" t="n">
        <v>1</v>
      </c>
      <c r="NE162" s="0" t="n">
        <v>35</v>
      </c>
      <c r="NF162" s="0" t="n">
        <v>8</v>
      </c>
      <c r="NG162" s="0" t="n">
        <f aca="false">0.25+0.25+0.25+0.13+0.13+0.13+0.13</f>
        <v>1.27</v>
      </c>
      <c r="NH162" s="0" t="n">
        <v>3</v>
      </c>
      <c r="NO162" s="18"/>
      <c r="OG162" s="0" t="n">
        <v>1</v>
      </c>
      <c r="OH162" s="0" t="n">
        <v>50</v>
      </c>
      <c r="OI162" s="0" t="n">
        <v>2</v>
      </c>
      <c r="OJ162" s="0" t="n">
        <f aca="false">0.76*2</f>
        <v>1.52</v>
      </c>
      <c r="OK162" s="0" t="n">
        <v>1</v>
      </c>
      <c r="PR162" s="16" t="n">
        <v>0.42</v>
      </c>
      <c r="PS162" s="16" t="n">
        <v>1</v>
      </c>
      <c r="PT162" s="16" t="n">
        <v>1</v>
      </c>
      <c r="PU162" s="16"/>
      <c r="PV162" s="16" t="n">
        <f aca="false">0.68+0.68+0.03</f>
        <v>1.39</v>
      </c>
      <c r="PW162" s="16"/>
      <c r="PX162" s="16"/>
      <c r="PY162" s="16"/>
      <c r="PZ162" s="16"/>
      <c r="QA162" s="16"/>
      <c r="QB162" s="16"/>
      <c r="QC162" s="16" t="n">
        <v>5.21</v>
      </c>
      <c r="QD162" s="16" t="n">
        <v>7.05</v>
      </c>
      <c r="QE162" s="16"/>
      <c r="QF162" s="16"/>
      <c r="QG162" s="16" t="n">
        <v>0</v>
      </c>
      <c r="QH162" s="16" t="n">
        <v>0</v>
      </c>
      <c r="QI162" s="16" t="n">
        <v>0</v>
      </c>
      <c r="QJ162" s="0" t="n">
        <v>0</v>
      </c>
      <c r="QK162" s="0" t="s">
        <v>505</v>
      </c>
      <c r="QL162" s="0" t="n">
        <v>59</v>
      </c>
      <c r="QM162" s="16" t="n">
        <v>90.4</v>
      </c>
      <c r="QN162" s="16" t="n">
        <v>80.4</v>
      </c>
      <c r="QO162" s="16" t="n">
        <v>54.7</v>
      </c>
      <c r="QP162" s="0" t="n">
        <v>26.42</v>
      </c>
      <c r="QQ162" s="17" t="n">
        <v>0</v>
      </c>
      <c r="QR162" s="0" t="n">
        <v>0</v>
      </c>
      <c r="QS162" s="0" t="n">
        <v>0</v>
      </c>
      <c r="QT162" s="0" t="n">
        <v>0</v>
      </c>
      <c r="QU162" s="0" t="n">
        <v>0</v>
      </c>
      <c r="QV162" s="0" t="n">
        <v>66.96</v>
      </c>
      <c r="QW162" s="0" t="n">
        <v>6.55</v>
      </c>
      <c r="QX162" s="0" t="n">
        <v>30.83</v>
      </c>
      <c r="QY162" s="0" t="n">
        <v>0</v>
      </c>
      <c r="QZ162" s="0" t="n">
        <v>0</v>
      </c>
      <c r="RA162" s="0" t="n">
        <v>14.46</v>
      </c>
      <c r="RB162" s="0" t="n">
        <v>11.57</v>
      </c>
      <c r="RC162" s="0" t="n">
        <v>6.5</v>
      </c>
      <c r="RD162" s="0" t="n">
        <v>6.03</v>
      </c>
      <c r="RE162" s="0" t="n">
        <v>6.62</v>
      </c>
      <c r="RF162" s="0" t="n">
        <v>0</v>
      </c>
      <c r="RG162" s="0" t="n">
        <v>0</v>
      </c>
      <c r="RT162" s="0" t="n">
        <v>3.2</v>
      </c>
      <c r="RU162" s="0" t="n">
        <v>0</v>
      </c>
      <c r="SF162" s="18"/>
      <c r="SX162" s="0" t="n">
        <v>1</v>
      </c>
      <c r="SY162" s="0" t="n">
        <v>60</v>
      </c>
      <c r="SZ162" s="0" t="n">
        <v>2</v>
      </c>
      <c r="TA162" s="0" t="n">
        <v>1.52</v>
      </c>
      <c r="TB162" s="0" t="n">
        <v>3</v>
      </c>
      <c r="UI162" s="16" t="n">
        <v>0.63</v>
      </c>
      <c r="UJ162" s="16" t="n">
        <v>1</v>
      </c>
      <c r="UK162" s="16" t="n">
        <v>1</v>
      </c>
      <c r="UL162" s="16"/>
      <c r="UM162" s="16" t="n">
        <v>3.17</v>
      </c>
      <c r="UN162" s="16"/>
      <c r="UO162" s="16"/>
      <c r="UP162" s="16"/>
      <c r="UQ162" s="16"/>
      <c r="UR162" s="16"/>
      <c r="US162" s="16"/>
      <c r="UT162" s="16" t="n">
        <v>0</v>
      </c>
      <c r="UU162" s="16" t="n">
        <v>0</v>
      </c>
      <c r="UV162" s="16"/>
      <c r="UW162" s="16"/>
      <c r="UX162" s="16" t="n">
        <v>0</v>
      </c>
      <c r="UY162" s="16" t="n">
        <v>0</v>
      </c>
      <c r="UZ162" s="16" t="n">
        <v>0</v>
      </c>
      <c r="VA162" s="0" t="n">
        <v>0</v>
      </c>
      <c r="VE162" s="15"/>
      <c r="VF162" s="15"/>
      <c r="VM162" s="15"/>
      <c r="VN162" s="15"/>
      <c r="VU162" s="15"/>
      <c r="VV162" s="15"/>
      <c r="WC162" s="15"/>
      <c r="WD162" s="15"/>
      <c r="WK162" s="15"/>
      <c r="WL162" s="15"/>
      <c r="WS162" s="15"/>
      <c r="WT162" s="15"/>
      <c r="XA162" s="15"/>
      <c r="XB162" s="15"/>
      <c r="XI162" s="15"/>
      <c r="XJ162" s="15"/>
      <c r="XQ162" s="15"/>
      <c r="XR162" s="15"/>
      <c r="XY162" s="15"/>
      <c r="XZ162" s="15"/>
      <c r="YG162" s="15"/>
      <c r="YH162" s="15"/>
      <c r="YO162" s="15"/>
      <c r="YP162" s="15"/>
      <c r="YW162" s="15"/>
      <c r="YX162" s="15"/>
      <c r="ZE162" s="15"/>
      <c r="ZF162" s="15"/>
      <c r="ZM162" s="15"/>
      <c r="ZN162" s="15"/>
      <c r="ZU162" s="15"/>
      <c r="ZV162" s="15"/>
      <c r="AAC162" s="15"/>
      <c r="AAD162" s="15"/>
      <c r="AAK162" s="15"/>
      <c r="AAL162" s="15"/>
      <c r="AAS162" s="15"/>
      <c r="AAT162" s="15"/>
      <c r="ABA162" s="15"/>
      <c r="ABB162" s="15"/>
      <c r="ABI162" s="15"/>
      <c r="ABJ162" s="15"/>
      <c r="ABQ162" s="15"/>
      <c r="ABR162" s="15"/>
      <c r="ABY162" s="15"/>
      <c r="ABZ162" s="15"/>
      <c r="ACG162" s="15"/>
      <c r="ACH162" s="15"/>
      <c r="ACO162" s="15"/>
      <c r="ACP162" s="15"/>
      <c r="ACW162" s="15"/>
      <c r="ACX162" s="15"/>
      <c r="ADE162" s="15"/>
      <c r="ADF162" s="15"/>
      <c r="ADM162" s="15"/>
      <c r="ADN162" s="15"/>
      <c r="ADU162" s="15"/>
      <c r="ADV162" s="15"/>
      <c r="AEC162" s="15"/>
      <c r="AED162" s="15"/>
      <c r="AEK162" s="15"/>
      <c r="AEL162" s="15"/>
      <c r="AES162" s="15"/>
      <c r="AET162" s="15"/>
      <c r="AFA162" s="15"/>
      <c r="AFB162" s="15"/>
      <c r="AFI162" s="15"/>
      <c r="AFJ162" s="15"/>
      <c r="AFQ162" s="15"/>
      <c r="AFR162" s="15"/>
      <c r="AFY162" s="15"/>
      <c r="AFZ162" s="15"/>
      <c r="AGG162" s="15"/>
      <c r="AGH162" s="15"/>
      <c r="AGO162" s="15"/>
      <c r="AGP162" s="15"/>
      <c r="AGW162" s="15"/>
      <c r="AGX162" s="15"/>
      <c r="AHE162" s="15"/>
      <c r="AHF162" s="15"/>
      <c r="AHM162" s="15"/>
      <c r="AHN162" s="15"/>
      <c r="AHU162" s="15"/>
      <c r="AHV162" s="15"/>
      <c r="AIC162" s="15"/>
      <c r="AID162" s="15"/>
      <c r="AIK162" s="15"/>
      <c r="AIL162" s="15"/>
      <c r="AIS162" s="15"/>
      <c r="AIT162" s="15"/>
      <c r="AJA162" s="15"/>
      <c r="AJB162" s="15"/>
      <c r="AJI162" s="15"/>
      <c r="AJJ162" s="15"/>
      <c r="AJQ162" s="15"/>
      <c r="AJR162" s="15"/>
      <c r="AJY162" s="15"/>
      <c r="AJZ162" s="15"/>
      <c r="AKG162" s="15"/>
      <c r="AKH162" s="15"/>
      <c r="AKO162" s="15"/>
      <c r="AKP162" s="15"/>
      <c r="AKW162" s="15"/>
      <c r="AKX162" s="15"/>
      <c r="ALE162" s="15"/>
      <c r="ALF162" s="15"/>
      <c r="ALM162" s="15"/>
      <c r="ALN162" s="15"/>
      <c r="ALU162" s="15"/>
      <c r="ALV162" s="15"/>
      <c r="AMC162" s="15"/>
      <c r="AMD162" s="15"/>
    </row>
    <row r="163" customFormat="false" ht="14.25" hidden="false" customHeight="true" outlineLevel="0" collapsed="false">
      <c r="A163" s="1" t="s">
        <v>624</v>
      </c>
      <c r="B163" s="12" t="n">
        <v>42905</v>
      </c>
      <c r="C163" s="0" t="n">
        <v>2</v>
      </c>
      <c r="D163" s="13" t="n">
        <v>42807</v>
      </c>
      <c r="E163" s="12" t="n">
        <v>31543</v>
      </c>
      <c r="F163" s="14" t="n">
        <f aca="false">(B163-E163)/365.25</f>
        <v>31.1074606433949</v>
      </c>
      <c r="G163" s="14" t="n">
        <f aca="false">(B163-D163)/365.25</f>
        <v>0.268309377138946</v>
      </c>
      <c r="H163" s="15" t="s">
        <v>181</v>
      </c>
      <c r="I163" s="15" t="s">
        <v>496</v>
      </c>
      <c r="J163" s="15" t="s">
        <v>183</v>
      </c>
      <c r="K163" s="15" t="n">
        <v>4</v>
      </c>
      <c r="L163" s="19" t="n">
        <v>72</v>
      </c>
      <c r="M163" s="0" t="n">
        <v>1.78</v>
      </c>
      <c r="N163" s="16" t="n">
        <f aca="false">L163/(M163*M163)</f>
        <v>22.7244034844085</v>
      </c>
      <c r="O163" s="19" t="n">
        <v>0</v>
      </c>
      <c r="P163" s="19" t="n">
        <v>0</v>
      </c>
      <c r="Q163" s="19" t="n">
        <v>0</v>
      </c>
      <c r="R163" s="19" t="n">
        <v>0</v>
      </c>
      <c r="S163" s="19" t="n">
        <v>0</v>
      </c>
      <c r="T163" s="19" t="n">
        <v>0</v>
      </c>
      <c r="U163" s="19" t="n">
        <v>1</v>
      </c>
      <c r="V163" s="19" t="n">
        <v>7.5</v>
      </c>
      <c r="W163" s="19" t="n">
        <v>1</v>
      </c>
      <c r="X163" s="19" t="n">
        <v>0</v>
      </c>
      <c r="Y163" s="19" t="n">
        <v>1</v>
      </c>
      <c r="Z163" s="19" t="n">
        <v>1</v>
      </c>
      <c r="AA163" s="19" t="n">
        <v>120</v>
      </c>
      <c r="AB163" s="19" t="s">
        <v>625</v>
      </c>
      <c r="AC163" s="19" t="n">
        <v>1</v>
      </c>
      <c r="AD163" s="19" t="n">
        <v>10</v>
      </c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 t="n">
        <v>3</v>
      </c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 t="n">
        <v>2</v>
      </c>
      <c r="BS163" s="19" t="n">
        <v>3</v>
      </c>
      <c r="BT163" s="19" t="n">
        <v>3</v>
      </c>
      <c r="BU163" s="19" t="n">
        <v>3</v>
      </c>
      <c r="BV163" s="19" t="n">
        <v>2</v>
      </c>
      <c r="BW163" s="19" t="n">
        <v>3</v>
      </c>
      <c r="BX163" s="19" t="n">
        <v>4</v>
      </c>
      <c r="BY163" s="19" t="n">
        <v>3</v>
      </c>
      <c r="BZ163" s="19" t="n">
        <v>3</v>
      </c>
      <c r="CA163" s="19" t="n">
        <v>3</v>
      </c>
      <c r="CB163" s="19" t="n">
        <v>3</v>
      </c>
      <c r="CC163" s="19" t="n">
        <v>3</v>
      </c>
      <c r="CD163" s="19" t="n">
        <v>3</v>
      </c>
      <c r="CE163" s="19" t="n">
        <v>3</v>
      </c>
      <c r="CF163" s="19" t="n">
        <v>3</v>
      </c>
      <c r="CG163" s="19" t="n">
        <v>3</v>
      </c>
      <c r="CH163" s="19" t="n">
        <v>5</v>
      </c>
      <c r="CI163" s="19" t="n">
        <v>5</v>
      </c>
      <c r="CJ163" s="19" t="n">
        <v>3</v>
      </c>
      <c r="CK163" s="19" t="n">
        <v>7</v>
      </c>
      <c r="CL163" s="0" t="s">
        <v>498</v>
      </c>
      <c r="CM163" s="0" t="n">
        <v>33</v>
      </c>
      <c r="CN163" s="16" t="n">
        <v>71.2</v>
      </c>
      <c r="CO163" s="16" t="n">
        <v>80.4</v>
      </c>
      <c r="CP163" s="16" t="n">
        <v>16.3</v>
      </c>
      <c r="CQ163" s="0" t="n">
        <v>83.24</v>
      </c>
      <c r="CR163" s="17" t="n">
        <v>0</v>
      </c>
      <c r="CS163" s="0" t="n">
        <v>0</v>
      </c>
      <c r="CT163" s="0" t="n">
        <v>0</v>
      </c>
      <c r="CU163" s="0" t="n">
        <v>14.14</v>
      </c>
      <c r="CV163" s="0" t="n">
        <v>0</v>
      </c>
      <c r="CW163" s="0" t="n">
        <v>2.63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2.63</v>
      </c>
      <c r="DC163" s="0" t="n">
        <v>10.16</v>
      </c>
      <c r="DD163" s="0" t="n">
        <v>20.83</v>
      </c>
      <c r="DE163" s="0" t="n">
        <v>24.81</v>
      </c>
      <c r="DF163" s="0" t="n">
        <v>0</v>
      </c>
      <c r="DG163" s="0" t="n">
        <v>11.2</v>
      </c>
      <c r="DH163" s="0" t="n">
        <v>1</v>
      </c>
      <c r="DI163" s="0" t="n">
        <v>5</v>
      </c>
      <c r="DK163" s="0" t="n">
        <v>1</v>
      </c>
      <c r="DO163" s="0" t="n">
        <v>5</v>
      </c>
      <c r="DQ163" s="0" t="n">
        <v>1</v>
      </c>
      <c r="DU163" s="0" t="n">
        <v>0</v>
      </c>
      <c r="DV163" s="0" t="n">
        <v>0</v>
      </c>
      <c r="EG163" s="18"/>
      <c r="EY163" s="0" t="n">
        <v>0</v>
      </c>
      <c r="GJ163" s="16" t="n">
        <v>2.71</v>
      </c>
      <c r="GK163" s="16" t="n">
        <v>1</v>
      </c>
      <c r="GL163" s="16" t="n">
        <v>1</v>
      </c>
      <c r="GM163" s="16"/>
      <c r="GN163" s="16" t="n">
        <f aca="false">2.11*4+0.52*2</f>
        <v>9.48</v>
      </c>
      <c r="GO163" s="16"/>
      <c r="GP163" s="16"/>
      <c r="GQ163" s="16"/>
      <c r="GR163" s="16"/>
      <c r="GS163" s="16"/>
      <c r="GT163" s="16"/>
      <c r="GU163" s="16" t="n">
        <v>2.63</v>
      </c>
      <c r="GV163" s="16" t="n">
        <v>2.6</v>
      </c>
      <c r="GW163" s="16" t="n">
        <v>0</v>
      </c>
      <c r="GX163" s="16" t="n">
        <v>0</v>
      </c>
      <c r="GY163" s="16" t="n">
        <v>0</v>
      </c>
      <c r="GZ163" s="16" t="n">
        <v>0</v>
      </c>
      <c r="HA163" s="16" t="n">
        <v>0</v>
      </c>
      <c r="HB163" s="0" t="n">
        <v>0</v>
      </c>
      <c r="HC163" s="0" t="s">
        <v>500</v>
      </c>
      <c r="HD163" s="0" t="n">
        <v>48</v>
      </c>
      <c r="HE163" s="16" t="n">
        <v>69.7</v>
      </c>
      <c r="HF163" s="16" t="n">
        <v>80.4</v>
      </c>
      <c r="HG163" s="16" t="n">
        <v>44.5</v>
      </c>
      <c r="HH163" s="0" t="n">
        <v>13.55</v>
      </c>
      <c r="HI163" s="17" t="n">
        <v>0</v>
      </c>
      <c r="HJ163" s="0" t="n">
        <v>0</v>
      </c>
      <c r="HK163" s="0" t="n">
        <v>0</v>
      </c>
      <c r="HL163" s="0" t="n">
        <v>0.1</v>
      </c>
      <c r="HM163" s="0" t="n">
        <v>0</v>
      </c>
      <c r="HN163" s="0" t="n">
        <v>86.34</v>
      </c>
      <c r="HO163" s="0" t="n">
        <v>13.26</v>
      </c>
      <c r="HP163" s="0" t="n">
        <v>28.53</v>
      </c>
      <c r="HQ163" s="0" t="n">
        <v>0</v>
      </c>
      <c r="HR163" s="0" t="n">
        <v>0</v>
      </c>
      <c r="HS163" s="0" t="n">
        <v>0.78</v>
      </c>
      <c r="HT163" s="0" t="n">
        <v>3.48</v>
      </c>
      <c r="HU163" s="0" t="n">
        <v>11.45</v>
      </c>
      <c r="HV163" s="0" t="n">
        <v>6.85</v>
      </c>
      <c r="HW163" s="0" t="n">
        <v>0</v>
      </c>
      <c r="HX163" s="0" t="n">
        <v>0</v>
      </c>
      <c r="HY163" s="0" t="n">
        <v>0</v>
      </c>
      <c r="IL163" s="0" t="n">
        <v>0</v>
      </c>
      <c r="IM163" s="0" t="n">
        <v>0</v>
      </c>
      <c r="IX163" s="18"/>
      <c r="JP163" s="0" t="n">
        <v>0</v>
      </c>
      <c r="LA163" s="16" t="n">
        <v>0.75</v>
      </c>
      <c r="LB163" s="16" t="n">
        <v>1</v>
      </c>
      <c r="LC163" s="16" t="n">
        <v>1</v>
      </c>
      <c r="LD163" s="16"/>
      <c r="LE163" s="16" t="n">
        <f aca="false">2.11+0.37</f>
        <v>2.48</v>
      </c>
      <c r="LF163" s="16"/>
      <c r="LG163" s="16"/>
      <c r="LH163" s="16"/>
      <c r="LI163" s="16"/>
      <c r="LJ163" s="16"/>
      <c r="LK163" s="16"/>
      <c r="LL163" s="16" t="n">
        <v>2.66</v>
      </c>
      <c r="LM163" s="16" t="n">
        <v>2.64</v>
      </c>
      <c r="LN163" s="16" t="n">
        <v>0</v>
      </c>
      <c r="LO163" s="16" t="n">
        <v>0</v>
      </c>
      <c r="LP163" s="16" t="n">
        <v>0</v>
      </c>
      <c r="LQ163" s="16" t="n">
        <v>0</v>
      </c>
      <c r="LR163" s="16" t="n">
        <v>0</v>
      </c>
      <c r="LS163" s="0" t="n">
        <v>0</v>
      </c>
      <c r="LT163" s="0" t="s">
        <v>503</v>
      </c>
      <c r="LU163" s="0" t="n">
        <v>47</v>
      </c>
      <c r="LV163" s="16" t="n">
        <v>54.1</v>
      </c>
      <c r="LW163" s="16" t="n">
        <v>80.4</v>
      </c>
      <c r="LX163" s="16" t="n">
        <v>34.5</v>
      </c>
      <c r="LY163" s="0" t="n">
        <v>71.45</v>
      </c>
      <c r="LZ163" s="17" t="n">
        <v>0</v>
      </c>
      <c r="MA163" s="0" t="n">
        <v>21.93</v>
      </c>
      <c r="MB163" s="0" t="n">
        <v>6.49</v>
      </c>
      <c r="MC163" s="0" t="n">
        <v>0.12</v>
      </c>
      <c r="MD163" s="0" t="n">
        <v>0</v>
      </c>
      <c r="ME163" s="0" t="n">
        <v>0</v>
      </c>
      <c r="MF163" s="0" t="n">
        <v>0</v>
      </c>
      <c r="MG163" s="0" t="n">
        <v>0</v>
      </c>
      <c r="MH163" s="0" t="n">
        <v>0</v>
      </c>
      <c r="MI163" s="0" t="n">
        <v>0</v>
      </c>
      <c r="MJ163" s="0" t="n">
        <v>1.01</v>
      </c>
      <c r="MK163" s="0" t="n">
        <v>0.45</v>
      </c>
      <c r="ML163" s="0" t="n">
        <v>18.4</v>
      </c>
      <c r="MM163" s="0" t="n">
        <v>11.28</v>
      </c>
      <c r="MN163" s="0" t="n">
        <v>0</v>
      </c>
      <c r="MO163" s="0" t="n">
        <v>0</v>
      </c>
      <c r="MP163" s="0" t="n">
        <v>0</v>
      </c>
      <c r="NC163" s="0" t="n">
        <v>6</v>
      </c>
      <c r="ND163" s="0" t="n">
        <v>1</v>
      </c>
      <c r="NE163" s="0" t="n">
        <v>35</v>
      </c>
      <c r="NF163" s="0" t="n">
        <v>8</v>
      </c>
      <c r="NG163" s="0" t="n">
        <f aca="false">0.25+0.25+0.25+0.13+0.13+0.13+0.13</f>
        <v>1.27</v>
      </c>
      <c r="NH163" s="0" t="n">
        <v>3</v>
      </c>
      <c r="NO163" s="18"/>
      <c r="OG163" s="0" t="n">
        <v>1</v>
      </c>
      <c r="OH163" s="0" t="n">
        <v>50</v>
      </c>
      <c r="OI163" s="0" t="n">
        <v>2</v>
      </c>
      <c r="OJ163" s="0" t="n">
        <f aca="false">0.76*2</f>
        <v>1.52</v>
      </c>
      <c r="OK163" s="0" t="n">
        <v>1</v>
      </c>
      <c r="PR163" s="16" t="n">
        <v>0.42</v>
      </c>
      <c r="PS163" s="16" t="n">
        <v>1</v>
      </c>
      <c r="PT163" s="16" t="n">
        <v>1</v>
      </c>
      <c r="PU163" s="16"/>
      <c r="PV163" s="16" t="n">
        <f aca="false">0.68+0.68+0.03</f>
        <v>1.39</v>
      </c>
      <c r="PW163" s="16"/>
      <c r="PX163" s="16"/>
      <c r="PY163" s="16"/>
      <c r="PZ163" s="16"/>
      <c r="QA163" s="16"/>
      <c r="QB163" s="16"/>
      <c r="QC163" s="16" t="n">
        <v>5.21</v>
      </c>
      <c r="QD163" s="16" t="n">
        <v>7.05</v>
      </c>
      <c r="QE163" s="16"/>
      <c r="QF163" s="16"/>
      <c r="QG163" s="16" t="n">
        <v>0</v>
      </c>
      <c r="QH163" s="16" t="n">
        <v>0</v>
      </c>
      <c r="QI163" s="16" t="n">
        <v>0</v>
      </c>
      <c r="QJ163" s="0" t="n">
        <v>0</v>
      </c>
      <c r="QK163" s="0" t="s">
        <v>504</v>
      </c>
      <c r="QL163" s="0" t="n">
        <v>65.5</v>
      </c>
      <c r="QM163" s="16" t="n">
        <v>92.2</v>
      </c>
      <c r="QN163" s="16" t="n">
        <v>80.4</v>
      </c>
      <c r="QO163" s="16" t="n">
        <v>61.7</v>
      </c>
      <c r="QP163" s="0" t="n">
        <v>22.46</v>
      </c>
      <c r="QQ163" s="17" t="n">
        <v>0</v>
      </c>
      <c r="QR163" s="0" t="n">
        <v>0</v>
      </c>
      <c r="QS163" s="0" t="n">
        <v>0</v>
      </c>
      <c r="QT163" s="0" t="n">
        <v>0</v>
      </c>
      <c r="QU163" s="0" t="n">
        <v>0</v>
      </c>
      <c r="QV163" s="0" t="n">
        <v>70.92</v>
      </c>
      <c r="QW163" s="0" t="n">
        <v>9.4</v>
      </c>
      <c r="QX163" s="0" t="n">
        <v>33.69</v>
      </c>
      <c r="QY163" s="0" t="n">
        <v>0</v>
      </c>
      <c r="QZ163" s="0" t="n">
        <v>0</v>
      </c>
      <c r="RA163" s="0" t="n">
        <v>14.46</v>
      </c>
      <c r="RB163" s="0" t="n">
        <v>11.32</v>
      </c>
      <c r="RC163" s="0" t="n">
        <v>6.58</v>
      </c>
      <c r="RD163" s="0" t="n">
        <v>8.88</v>
      </c>
      <c r="RE163" s="0" t="n">
        <v>6.62</v>
      </c>
      <c r="RF163" s="0" t="n">
        <v>0</v>
      </c>
      <c r="RG163" s="0" t="n">
        <v>0</v>
      </c>
      <c r="RT163" s="0" t="n">
        <v>3.2</v>
      </c>
      <c r="RU163" s="0" t="n">
        <v>0</v>
      </c>
      <c r="SF163" s="18"/>
      <c r="SX163" s="0" t="n">
        <v>1</v>
      </c>
      <c r="SY163" s="0" t="n">
        <v>60</v>
      </c>
      <c r="SZ163" s="0" t="n">
        <v>2</v>
      </c>
      <c r="TA163" s="0" t="n">
        <f aca="false">0.76*2</f>
        <v>1.52</v>
      </c>
      <c r="TB163" s="0" t="n">
        <v>3</v>
      </c>
      <c r="UI163" s="16" t="n">
        <v>0.63</v>
      </c>
      <c r="UJ163" s="16" t="n">
        <v>1</v>
      </c>
      <c r="UK163" s="16" t="n">
        <v>1</v>
      </c>
      <c r="UL163" s="16"/>
      <c r="UM163" s="16" t="n">
        <v>3.17</v>
      </c>
      <c r="UN163" s="16"/>
      <c r="UO163" s="16"/>
      <c r="UP163" s="16"/>
      <c r="UQ163" s="16"/>
      <c r="UR163" s="16"/>
      <c r="US163" s="16"/>
      <c r="UT163" s="16" t="n">
        <v>0</v>
      </c>
      <c r="UU163" s="16" t="n">
        <v>0</v>
      </c>
      <c r="UV163" s="16"/>
      <c r="UW163" s="16"/>
      <c r="UX163" s="16" t="n">
        <v>0</v>
      </c>
      <c r="UY163" s="16" t="n">
        <v>0</v>
      </c>
      <c r="UZ163" s="16" t="n">
        <v>0</v>
      </c>
      <c r="VA163" s="0" t="n">
        <v>0</v>
      </c>
      <c r="VB163" s="0" t="s">
        <v>619</v>
      </c>
      <c r="VC163" s="0" t="n">
        <v>42</v>
      </c>
      <c r="VD163" s="16" t="n">
        <v>97.3</v>
      </c>
      <c r="VE163" s="16" t="n">
        <v>80.4</v>
      </c>
      <c r="VF163" s="16" t="n">
        <v>14.9</v>
      </c>
      <c r="VG163" s="0" t="n">
        <v>88.72</v>
      </c>
      <c r="VH163" s="17" t="n">
        <v>0</v>
      </c>
      <c r="VI163" s="0" t="n">
        <v>0</v>
      </c>
      <c r="VJ163" s="0" t="n">
        <v>0</v>
      </c>
      <c r="VK163" s="0" t="n">
        <v>11.28</v>
      </c>
      <c r="VL163" s="0" t="n">
        <v>0</v>
      </c>
      <c r="VM163" s="0" t="n">
        <v>0</v>
      </c>
      <c r="VN163" s="0" t="n">
        <v>0</v>
      </c>
      <c r="VO163" s="0" t="n">
        <v>0</v>
      </c>
      <c r="VP163" s="0" t="n">
        <v>0</v>
      </c>
      <c r="VQ163" s="0" t="n">
        <v>0</v>
      </c>
      <c r="VR163" s="0" t="n">
        <v>0</v>
      </c>
      <c r="VS163" s="0" t="n">
        <v>1.14</v>
      </c>
      <c r="VT163" s="0" t="n">
        <v>50.12</v>
      </c>
      <c r="VU163" s="0" t="n">
        <v>30.38</v>
      </c>
      <c r="VV163" s="0" t="n">
        <v>0</v>
      </c>
      <c r="VW163" s="0" t="n">
        <v>0</v>
      </c>
      <c r="VX163" s="0" t="n">
        <v>1</v>
      </c>
      <c r="VY163" s="0" t="n">
        <v>2</v>
      </c>
      <c r="WA163" s="0" t="n">
        <v>4</v>
      </c>
      <c r="WE163" s="0" t="n">
        <v>2</v>
      </c>
      <c r="WG163" s="0" t="n">
        <v>4</v>
      </c>
      <c r="WK163" s="0" t="n">
        <v>0</v>
      </c>
      <c r="WL163" s="0" t="n">
        <v>0</v>
      </c>
      <c r="WW163" s="18"/>
      <c r="XO163" s="0" t="n">
        <v>0</v>
      </c>
      <c r="YZ163" s="16" t="n">
        <v>9.53</v>
      </c>
      <c r="ZA163" s="16" t="n">
        <v>1</v>
      </c>
      <c r="ZB163" s="16" t="n">
        <v>1</v>
      </c>
      <c r="ZC163" s="16"/>
      <c r="ZD163" s="16" t="n">
        <f aca="false">3.17+6.34+4.23+0.56+1.12</f>
        <v>15.42</v>
      </c>
      <c r="ZE163" s="16" t="n">
        <v>2</v>
      </c>
      <c r="ZF163" s="16"/>
      <c r="ZG163" s="16" t="n">
        <f aca="false">8.46+1.59+1.59+1.49+0.28+1.49</f>
        <v>14.9</v>
      </c>
      <c r="ZH163" s="16"/>
      <c r="ZI163" s="16"/>
      <c r="ZJ163" s="16"/>
      <c r="ZK163" s="16" t="n">
        <v>14.15</v>
      </c>
      <c r="ZL163" s="16" t="n">
        <v>35.37</v>
      </c>
      <c r="ZM163" s="16"/>
      <c r="ZN163" s="16"/>
      <c r="ZO163" s="16" t="n">
        <v>0</v>
      </c>
      <c r="ZP163" s="16" t="n">
        <v>0</v>
      </c>
      <c r="ZQ163" s="16" t="n">
        <v>0</v>
      </c>
      <c r="ZR163" s="0" t="n">
        <v>0</v>
      </c>
      <c r="ZU163" s="15"/>
      <c r="ZV163" s="15"/>
      <c r="AAC163" s="15"/>
      <c r="AAD163" s="15"/>
      <c r="AAK163" s="15"/>
      <c r="AAL163" s="15"/>
      <c r="AAS163" s="15"/>
      <c r="AAT163" s="15"/>
      <c r="ABA163" s="15"/>
      <c r="ABB163" s="15"/>
      <c r="ABI163" s="15"/>
      <c r="ABJ163" s="15"/>
      <c r="ABQ163" s="15"/>
      <c r="ABR163" s="15"/>
      <c r="ABY163" s="15"/>
      <c r="ABZ163" s="15"/>
      <c r="ACG163" s="15"/>
      <c r="ACH163" s="15"/>
      <c r="ACO163" s="15"/>
      <c r="ACP163" s="15"/>
      <c r="ACW163" s="15"/>
      <c r="ACX163" s="15"/>
      <c r="ADE163" s="15"/>
      <c r="ADF163" s="15"/>
      <c r="ADM163" s="15"/>
      <c r="ADN163" s="15"/>
      <c r="ADU163" s="15"/>
      <c r="ADV163" s="15"/>
      <c r="AEC163" s="15"/>
      <c r="AED163" s="15"/>
      <c r="AEK163" s="15"/>
      <c r="AEL163" s="15"/>
      <c r="AES163" s="15"/>
      <c r="AET163" s="15"/>
      <c r="AFA163" s="15"/>
      <c r="AFB163" s="15"/>
      <c r="AFI163" s="15"/>
      <c r="AFJ163" s="15"/>
      <c r="AFQ163" s="15"/>
      <c r="AFR163" s="15"/>
      <c r="AFY163" s="15"/>
      <c r="AFZ163" s="15"/>
      <c r="AGG163" s="15"/>
      <c r="AGH163" s="15"/>
      <c r="AGO163" s="15"/>
      <c r="AGP163" s="15"/>
      <c r="AGW163" s="15"/>
      <c r="AGX163" s="15"/>
      <c r="AHE163" s="15"/>
      <c r="AHF163" s="15"/>
      <c r="AHM163" s="15"/>
      <c r="AHN163" s="15"/>
      <c r="AHU163" s="15"/>
      <c r="AHV163" s="15"/>
      <c r="AIC163" s="15"/>
      <c r="AID163" s="15"/>
      <c r="AIK163" s="15"/>
      <c r="AIL163" s="15"/>
      <c r="AIS163" s="15"/>
      <c r="AIT163" s="15"/>
      <c r="AJA163" s="15"/>
      <c r="AJB163" s="15"/>
      <c r="AJI163" s="15"/>
      <c r="AJJ163" s="15"/>
      <c r="AJQ163" s="15"/>
      <c r="AJR163" s="15"/>
      <c r="AJY163" s="15"/>
      <c r="AJZ163" s="15"/>
      <c r="AKG163" s="15"/>
      <c r="AKH163" s="15"/>
      <c r="AKO163" s="15"/>
      <c r="AKP163" s="15"/>
      <c r="AKW163" s="15"/>
      <c r="AKX163" s="15"/>
      <c r="ALE163" s="15"/>
      <c r="ALF163" s="15"/>
      <c r="ALM163" s="15"/>
      <c r="ALN163" s="15"/>
      <c r="ALU163" s="15"/>
      <c r="ALV163" s="15"/>
      <c r="AMC163" s="15"/>
      <c r="AMD163" s="15"/>
    </row>
    <row r="164" customFormat="false" ht="13.8" hidden="false" customHeight="false" outlineLevel="0" collapsed="false">
      <c r="A164" s="1" t="s">
        <v>626</v>
      </c>
      <c r="B164" s="12" t="n">
        <v>42904</v>
      </c>
      <c r="C164" s="0" t="n">
        <v>1</v>
      </c>
      <c r="D164" s="13" t="n">
        <v>40513</v>
      </c>
      <c r="E164" s="12" t="n">
        <v>29822</v>
      </c>
      <c r="F164" s="14" t="n">
        <f aca="false">(B164-E164)/365.25</f>
        <v>35.8165639972621</v>
      </c>
      <c r="G164" s="14" t="n">
        <f aca="false">(B164-D164)/365.25</f>
        <v>6.54620123203285</v>
      </c>
      <c r="H164" s="15" t="s">
        <v>181</v>
      </c>
      <c r="I164" s="15" t="s">
        <v>496</v>
      </c>
      <c r="J164" s="15" t="s">
        <v>183</v>
      </c>
      <c r="K164" s="15" t="n">
        <v>4</v>
      </c>
      <c r="L164" s="19" t="n">
        <v>71</v>
      </c>
      <c r="M164" s="0" t="n">
        <v>1.73</v>
      </c>
      <c r="N164" s="16" t="n">
        <f aca="false">L164/(M164*M164)</f>
        <v>23.7228106518761</v>
      </c>
      <c r="O164" s="19" t="n">
        <v>0</v>
      </c>
      <c r="P164" s="19" t="n">
        <v>0</v>
      </c>
      <c r="Q164" s="19" t="n">
        <v>0</v>
      </c>
      <c r="R164" s="19" t="n">
        <v>0</v>
      </c>
      <c r="S164" s="19" t="n">
        <v>0</v>
      </c>
      <c r="T164" s="19" t="n">
        <v>0</v>
      </c>
      <c r="U164" s="19" t="n">
        <v>0</v>
      </c>
      <c r="V164" s="19" t="n">
        <v>0</v>
      </c>
      <c r="W164" s="19" t="n">
        <v>1</v>
      </c>
      <c r="X164" s="19" t="n">
        <v>0</v>
      </c>
      <c r="Y164" s="19" t="n">
        <v>1</v>
      </c>
      <c r="Z164" s="19" t="n">
        <v>2</v>
      </c>
      <c r="AA164" s="19" t="n">
        <v>40</v>
      </c>
      <c r="AB164" s="19" t="s">
        <v>215</v>
      </c>
      <c r="AC164" s="19" t="n">
        <v>1</v>
      </c>
      <c r="AD164" s="19" t="n">
        <v>10</v>
      </c>
      <c r="AE164" s="19" t="n">
        <v>1</v>
      </c>
      <c r="AF164" s="19"/>
      <c r="AG164" s="19" t="n">
        <v>0</v>
      </c>
      <c r="AH164" s="19" t="n">
        <v>0</v>
      </c>
      <c r="AI164" s="19" t="n">
        <v>3</v>
      </c>
      <c r="AJ164" s="19" t="n">
        <v>3</v>
      </c>
      <c r="AK164" s="19" t="n">
        <v>3</v>
      </c>
      <c r="AL164" s="19"/>
      <c r="AM164" s="19"/>
      <c r="AN164" s="19" t="n">
        <v>1</v>
      </c>
      <c r="AO164" s="19" t="n">
        <v>1</v>
      </c>
      <c r="AP164" s="19" t="n">
        <v>0</v>
      </c>
      <c r="AQ164" s="19" t="n">
        <v>0</v>
      </c>
      <c r="AR164" s="19" t="n">
        <v>0</v>
      </c>
      <c r="AS164" s="19" t="n">
        <v>1</v>
      </c>
      <c r="AT164" s="19" t="n">
        <v>1</v>
      </c>
      <c r="AU164" s="19" t="n">
        <v>0</v>
      </c>
      <c r="AV164" s="19" t="n">
        <v>0</v>
      </c>
      <c r="AW164" s="19" t="n">
        <v>0</v>
      </c>
      <c r="AX164" s="19" t="n">
        <v>0</v>
      </c>
      <c r="AY164" s="19" t="n">
        <v>0</v>
      </c>
      <c r="AZ164" s="19" t="n">
        <v>0</v>
      </c>
      <c r="BA164" s="19" t="n">
        <v>0</v>
      </c>
      <c r="BB164" s="19" t="n">
        <v>1</v>
      </c>
      <c r="BC164" s="19" t="n">
        <v>1</v>
      </c>
      <c r="BD164" s="19" t="n">
        <v>0</v>
      </c>
      <c r="BE164" s="19" t="n">
        <v>0</v>
      </c>
      <c r="BF164" s="19" t="n">
        <v>0</v>
      </c>
      <c r="BG164" s="19" t="n">
        <v>0</v>
      </c>
      <c r="BH164" s="19" t="n">
        <v>0</v>
      </c>
      <c r="BI164" s="19" t="n">
        <v>0</v>
      </c>
      <c r="BJ164" s="19" t="n">
        <v>1</v>
      </c>
      <c r="BK164" s="19" t="n">
        <v>1</v>
      </c>
      <c r="BL164" s="19" t="n">
        <v>0</v>
      </c>
      <c r="BM164" s="19" t="n">
        <v>0</v>
      </c>
      <c r="BN164" s="19" t="n">
        <v>1</v>
      </c>
      <c r="BO164" s="19" t="n">
        <v>1</v>
      </c>
      <c r="BP164" s="19" t="n">
        <v>0</v>
      </c>
      <c r="BQ164" s="19" t="n">
        <v>0</v>
      </c>
      <c r="BR164" s="19" t="n">
        <v>3</v>
      </c>
      <c r="BS164" s="19" t="n">
        <v>3</v>
      </c>
      <c r="BT164" s="19" t="n">
        <v>3</v>
      </c>
      <c r="BU164" s="19" t="n">
        <v>5</v>
      </c>
      <c r="BV164" s="19" t="n">
        <v>3</v>
      </c>
      <c r="BW164" s="19" t="n">
        <v>5</v>
      </c>
      <c r="BX164" s="19" t="n">
        <v>1</v>
      </c>
      <c r="BY164" s="19" t="n">
        <v>5</v>
      </c>
      <c r="BZ164" s="19" t="n">
        <v>3</v>
      </c>
      <c r="CA164" s="19" t="n">
        <v>4</v>
      </c>
      <c r="CB164" s="19" t="n">
        <v>4</v>
      </c>
      <c r="CC164" s="19" t="n">
        <v>5</v>
      </c>
      <c r="CD164" s="19" t="n">
        <v>2</v>
      </c>
      <c r="CE164" s="19" t="n">
        <v>5</v>
      </c>
      <c r="CF164" s="19" t="n">
        <v>2</v>
      </c>
      <c r="CG164" s="19" t="n">
        <v>5</v>
      </c>
      <c r="CH164" s="19" t="n">
        <v>5</v>
      </c>
      <c r="CI164" s="19" t="n">
        <v>5</v>
      </c>
      <c r="CJ164" s="19" t="n">
        <v>3</v>
      </c>
      <c r="CK164" s="19" t="n">
        <v>10</v>
      </c>
      <c r="CL164" s="0" t="s">
        <v>498</v>
      </c>
      <c r="CM164" s="0" t="n">
        <v>33</v>
      </c>
      <c r="CN164" s="16" t="n">
        <v>71.2</v>
      </c>
      <c r="CO164" s="16" t="n">
        <v>80.4</v>
      </c>
      <c r="CP164" s="16" t="n">
        <v>16.3</v>
      </c>
      <c r="CQ164" s="0" t="n">
        <v>83.24</v>
      </c>
      <c r="CR164" s="17" t="n">
        <v>0</v>
      </c>
      <c r="CS164" s="0" t="n">
        <v>0</v>
      </c>
      <c r="CT164" s="0" t="n">
        <v>0</v>
      </c>
      <c r="CU164" s="0" t="n">
        <v>14.14</v>
      </c>
      <c r="CV164" s="0" t="n">
        <v>0</v>
      </c>
      <c r="CW164" s="0" t="n">
        <v>2.63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2.63</v>
      </c>
      <c r="DC164" s="0" t="n">
        <v>10.16</v>
      </c>
      <c r="DD164" s="0" t="n">
        <v>20.83</v>
      </c>
      <c r="DE164" s="0" t="n">
        <v>24.81</v>
      </c>
      <c r="DF164" s="0" t="n">
        <v>0</v>
      </c>
      <c r="DG164" s="0" t="n">
        <v>11.2</v>
      </c>
      <c r="DH164" s="0" t="n">
        <v>1</v>
      </c>
      <c r="DI164" s="0" t="n">
        <v>5</v>
      </c>
      <c r="DK164" s="0" t="n">
        <v>1</v>
      </c>
      <c r="DO164" s="0" t="n">
        <v>5</v>
      </c>
      <c r="DQ164" s="0" t="n">
        <v>1</v>
      </c>
      <c r="DU164" s="0" t="n">
        <v>0</v>
      </c>
      <c r="DV164" s="0" t="n">
        <v>0</v>
      </c>
      <c r="EG164" s="18"/>
      <c r="EY164" s="0" t="n">
        <v>0</v>
      </c>
      <c r="GJ164" s="16" t="n">
        <v>2.71</v>
      </c>
      <c r="GK164" s="16" t="n">
        <v>1</v>
      </c>
      <c r="GL164" s="16" t="n">
        <v>1</v>
      </c>
      <c r="GM164" s="16"/>
      <c r="GN164" s="16" t="n">
        <f aca="false">2.11*4+0.52*2</f>
        <v>9.48</v>
      </c>
      <c r="GO164" s="16"/>
      <c r="GP164" s="16"/>
      <c r="GQ164" s="16"/>
      <c r="GR164" s="16"/>
      <c r="GS164" s="16"/>
      <c r="GT164" s="16"/>
      <c r="GU164" s="16" t="n">
        <v>2.63</v>
      </c>
      <c r="GV164" s="16" t="n">
        <v>2.6</v>
      </c>
      <c r="GW164" s="16" t="n">
        <v>0</v>
      </c>
      <c r="GX164" s="16" t="n">
        <v>0</v>
      </c>
      <c r="GY164" s="16" t="n">
        <v>0</v>
      </c>
      <c r="GZ164" s="16" t="n">
        <v>0</v>
      </c>
      <c r="HA164" s="16" t="n">
        <v>0</v>
      </c>
      <c r="HB164" s="0" t="n">
        <v>0</v>
      </c>
      <c r="HC164" s="0" t="s">
        <v>499</v>
      </c>
      <c r="HD164" s="0" t="n">
        <v>40</v>
      </c>
      <c r="HE164" s="16" t="n">
        <v>79.7</v>
      </c>
      <c r="HF164" s="16" t="n">
        <v>80.4</v>
      </c>
      <c r="HG164" s="16" t="n">
        <v>11.2</v>
      </c>
      <c r="HH164" s="0" t="n">
        <v>91.23</v>
      </c>
      <c r="HI164" s="17" t="n">
        <v>0</v>
      </c>
      <c r="HJ164" s="0" t="n">
        <v>0</v>
      </c>
      <c r="HK164" s="0" t="n">
        <v>0</v>
      </c>
      <c r="HL164" s="0" t="n">
        <v>8.77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  <c r="HT164" s="0" t="n">
        <v>18.64</v>
      </c>
      <c r="HU164" s="0" t="n">
        <v>42.82</v>
      </c>
      <c r="HV164" s="0" t="n">
        <v>4.61</v>
      </c>
      <c r="HW164" s="0" t="n">
        <v>0</v>
      </c>
      <c r="HX164" s="0" t="n">
        <v>0</v>
      </c>
      <c r="HY164" s="0" t="n">
        <v>0</v>
      </c>
      <c r="IL164" s="0" t="n">
        <v>23.2</v>
      </c>
      <c r="IM164" s="0" t="n">
        <v>1</v>
      </c>
      <c r="IN164" s="0" t="n">
        <v>35</v>
      </c>
      <c r="IO164" s="0" t="n">
        <f aca="false">2+4+2+2+2+4+2+2+1</f>
        <v>21</v>
      </c>
      <c r="IP164" s="0" t="n">
        <f aca="false">1.52+1.49+0.78*2+0.27+0.43+0.12+0.13</f>
        <v>5.52</v>
      </c>
      <c r="IQ164" s="0" t="n">
        <v>3</v>
      </c>
      <c r="IR164" s="0" t="n">
        <v>10</v>
      </c>
      <c r="IS164" s="0" t="n">
        <v>1</v>
      </c>
      <c r="IT164" s="0" t="n">
        <v>0.1</v>
      </c>
      <c r="IU164" s="0" t="n">
        <v>5</v>
      </c>
      <c r="IV164" s="0" t="n">
        <v>25</v>
      </c>
      <c r="IW164" s="0" t="n">
        <v>8</v>
      </c>
      <c r="IX164" s="18" t="n">
        <f aca="false">0.19*2+0.1</f>
        <v>0.48</v>
      </c>
      <c r="IY164" s="0" t="n">
        <v>1</v>
      </c>
      <c r="JP164" s="0" t="n">
        <v>0</v>
      </c>
      <c r="LA164" s="16" t="n">
        <v>1.52</v>
      </c>
      <c r="LB164" s="16" t="n">
        <v>1</v>
      </c>
      <c r="LC164" s="16" t="n">
        <v>1</v>
      </c>
      <c r="LD164" s="16"/>
      <c r="LE164" s="16" t="n">
        <f aca="false">2.11*2+0.19*3+0.1</f>
        <v>4.89</v>
      </c>
      <c r="LF164" s="16"/>
      <c r="LG164" s="16"/>
      <c r="LH164" s="16"/>
      <c r="LI164" s="16"/>
      <c r="LJ164" s="16"/>
      <c r="LK164" s="16"/>
      <c r="LL164" s="16" t="n">
        <v>0</v>
      </c>
      <c r="LM164" s="16" t="n">
        <v>0</v>
      </c>
      <c r="LN164" s="16" t="n">
        <v>0</v>
      </c>
      <c r="LO164" s="16" t="n">
        <v>0</v>
      </c>
      <c r="LP164" s="16" t="n">
        <v>0</v>
      </c>
      <c r="LQ164" s="16" t="n">
        <v>0</v>
      </c>
      <c r="LR164" s="16" t="n">
        <v>0.06</v>
      </c>
      <c r="LS164" s="0" t="n">
        <v>0</v>
      </c>
      <c r="LT164" s="0" t="s">
        <v>500</v>
      </c>
      <c r="LU164" s="0" t="n">
        <v>48</v>
      </c>
      <c r="LV164" s="16" t="n">
        <v>69.7</v>
      </c>
      <c r="LW164" s="16" t="n">
        <v>80.4</v>
      </c>
      <c r="LX164" s="16" t="n">
        <v>44.5</v>
      </c>
      <c r="LY164" s="0" t="n">
        <v>13.55</v>
      </c>
      <c r="LZ164" s="17" t="n">
        <v>0</v>
      </c>
      <c r="MA164" s="0" t="n">
        <v>0</v>
      </c>
      <c r="MB164" s="0" t="n">
        <v>0</v>
      </c>
      <c r="MC164" s="0" t="n">
        <v>0.1</v>
      </c>
      <c r="MD164" s="0" t="n">
        <v>0</v>
      </c>
      <c r="ME164" s="0" t="n">
        <v>86.34</v>
      </c>
      <c r="MF164" s="0" t="n">
        <v>13.26</v>
      </c>
      <c r="MG164" s="0" t="n">
        <v>28.53</v>
      </c>
      <c r="MH164" s="0" t="n">
        <v>0</v>
      </c>
      <c r="MI164" s="0" t="n">
        <v>0</v>
      </c>
      <c r="MJ164" s="0" t="n">
        <v>0.78</v>
      </c>
      <c r="MK164" s="0" t="n">
        <v>3.48</v>
      </c>
      <c r="ML164" s="0" t="n">
        <v>11.45</v>
      </c>
      <c r="MM164" s="0" t="n">
        <v>6.85</v>
      </c>
      <c r="MN164" s="0" t="n">
        <v>0</v>
      </c>
      <c r="MO164" s="0" t="n">
        <v>0</v>
      </c>
      <c r="MP164" s="0" t="n">
        <v>0</v>
      </c>
      <c r="NC164" s="0" t="n">
        <v>0</v>
      </c>
      <c r="ND164" s="0" t="n">
        <v>0</v>
      </c>
      <c r="NO164" s="18"/>
      <c r="OG164" s="0" t="n">
        <v>0</v>
      </c>
      <c r="PR164" s="16" t="n">
        <v>0.75</v>
      </c>
      <c r="PS164" s="16" t="n">
        <v>1</v>
      </c>
      <c r="PT164" s="16" t="n">
        <v>1</v>
      </c>
      <c r="PU164" s="16"/>
      <c r="PV164" s="16" t="n">
        <f aca="false">2.11+0.37</f>
        <v>2.48</v>
      </c>
      <c r="PW164" s="16"/>
      <c r="PX164" s="16"/>
      <c r="PY164" s="16"/>
      <c r="PZ164" s="16"/>
      <c r="QA164" s="16"/>
      <c r="QB164" s="16"/>
      <c r="QC164" s="16" t="n">
        <v>2.66</v>
      </c>
      <c r="QD164" s="16" t="n">
        <v>2.64</v>
      </c>
      <c r="QE164" s="16" t="n">
        <v>0</v>
      </c>
      <c r="QF164" s="16" t="n">
        <v>0</v>
      </c>
      <c r="QG164" s="16" t="n">
        <v>0</v>
      </c>
      <c r="QH164" s="16" t="n">
        <v>0</v>
      </c>
      <c r="QI164" s="16" t="n">
        <v>0</v>
      </c>
      <c r="QJ164" s="0" t="n">
        <v>0</v>
      </c>
      <c r="QK164" s="0" t="s">
        <v>501</v>
      </c>
      <c r="QL164" s="0" t="n">
        <v>58</v>
      </c>
      <c r="QM164" s="16" t="n">
        <v>79.9</v>
      </c>
      <c r="QN164" s="16" t="n">
        <v>80.4</v>
      </c>
      <c r="QO164" s="16" t="n">
        <v>43.6</v>
      </c>
      <c r="QP164" s="0" t="n">
        <v>26.15</v>
      </c>
      <c r="QQ164" s="17" t="n">
        <v>0</v>
      </c>
      <c r="QR164" s="0" t="n">
        <v>0</v>
      </c>
      <c r="QS164" s="0" t="n">
        <v>0</v>
      </c>
      <c r="QT164" s="0" t="n">
        <v>0</v>
      </c>
      <c r="QU164" s="0" t="n">
        <v>0</v>
      </c>
      <c r="QV164" s="0" t="n">
        <v>73.85</v>
      </c>
      <c r="QW164" s="0" t="n">
        <v>18.43</v>
      </c>
      <c r="QX164" s="0" t="n">
        <v>20.42</v>
      </c>
      <c r="QY164" s="0" t="n">
        <v>0</v>
      </c>
      <c r="QZ164" s="0" t="n">
        <v>0</v>
      </c>
      <c r="RA164" s="0" t="n">
        <v>2.44</v>
      </c>
      <c r="RB164" s="0" t="n">
        <v>0.13</v>
      </c>
      <c r="RC164" s="0" t="n">
        <v>9.71</v>
      </c>
      <c r="RD164" s="0" t="n">
        <v>18.31</v>
      </c>
      <c r="RE164" s="0" t="n">
        <v>0</v>
      </c>
      <c r="RF164" s="0" t="n">
        <v>0</v>
      </c>
      <c r="RG164" s="0" t="n">
        <v>0</v>
      </c>
      <c r="RT164" s="0" t="n">
        <v>9.1</v>
      </c>
      <c r="RU164" s="0" t="n">
        <v>1</v>
      </c>
      <c r="RV164" s="0" t="n">
        <v>68</v>
      </c>
      <c r="RW164" s="0" t="n">
        <v>1</v>
      </c>
      <c r="RX164" s="0" t="n">
        <v>0.05</v>
      </c>
      <c r="RY164" s="0" t="n">
        <v>1</v>
      </c>
      <c r="RZ164" s="0" t="n">
        <v>35</v>
      </c>
      <c r="SA164" s="0" t="n">
        <v>3</v>
      </c>
      <c r="SB164" s="0" t="n">
        <f aca="false">0.76+0.64</f>
        <v>1.4</v>
      </c>
      <c r="SC164" s="0" t="n">
        <v>3</v>
      </c>
      <c r="SD164" s="0" t="n">
        <v>47</v>
      </c>
      <c r="SE164" s="0" t="n">
        <v>2</v>
      </c>
      <c r="SF164" s="18" t="n">
        <v>0.23</v>
      </c>
      <c r="SG164" s="0" t="n">
        <v>3</v>
      </c>
      <c r="SX164" s="0" t="n">
        <v>1</v>
      </c>
      <c r="SY164" s="0" t="n">
        <v>60</v>
      </c>
      <c r="SZ164" s="0" t="n">
        <v>2</v>
      </c>
      <c r="TA164" s="0" t="n">
        <v>0.26</v>
      </c>
      <c r="TB164" s="0" t="n">
        <v>3</v>
      </c>
      <c r="UI164" s="16" t="n">
        <v>0</v>
      </c>
      <c r="UJ164" s="16" t="n">
        <v>0</v>
      </c>
      <c r="UK164" s="16"/>
      <c r="UL164" s="16"/>
      <c r="UM164" s="16"/>
      <c r="UN164" s="16"/>
      <c r="UO164" s="16"/>
      <c r="UP164" s="16"/>
      <c r="UQ164" s="16"/>
      <c r="UR164" s="16"/>
      <c r="US164" s="16"/>
      <c r="UT164" s="16" t="n">
        <v>1.97</v>
      </c>
      <c r="UU164" s="16" t="n">
        <v>1.24</v>
      </c>
      <c r="UV164" s="16" t="n">
        <v>0</v>
      </c>
      <c r="UW164" s="16" t="n">
        <v>0</v>
      </c>
      <c r="UX164" s="16" t="n">
        <v>0</v>
      </c>
      <c r="UY164" s="16" t="n">
        <v>0</v>
      </c>
      <c r="UZ164" s="16" t="n">
        <v>3</v>
      </c>
      <c r="VA164" s="0" t="n">
        <v>0</v>
      </c>
      <c r="VB164" s="0" t="s">
        <v>502</v>
      </c>
      <c r="VC164" s="0" t="n">
        <v>34.5</v>
      </c>
      <c r="VD164" s="16" t="n">
        <v>53.2</v>
      </c>
      <c r="VE164" s="16" t="n">
        <v>80.4</v>
      </c>
      <c r="VF164" s="16" t="n">
        <v>8.3</v>
      </c>
      <c r="VG164" s="0" t="n">
        <v>99.94</v>
      </c>
      <c r="VH164" s="17" t="n">
        <v>0</v>
      </c>
      <c r="VI164" s="0" t="n">
        <v>0</v>
      </c>
      <c r="VJ164" s="0" t="n">
        <v>0</v>
      </c>
      <c r="VK164" s="0" t="n">
        <v>0</v>
      </c>
      <c r="VL164" s="0" t="n">
        <v>0</v>
      </c>
      <c r="VM164" s="0" t="n">
        <v>0</v>
      </c>
      <c r="VN164" s="0" t="n">
        <v>0</v>
      </c>
      <c r="VO164" s="0" t="n">
        <v>0</v>
      </c>
      <c r="VP164" s="0" t="n">
        <v>0</v>
      </c>
      <c r="VQ164" s="0" t="n">
        <v>0</v>
      </c>
      <c r="VR164" s="0" t="n">
        <v>0</v>
      </c>
      <c r="VS164" s="0" t="n">
        <v>9.15</v>
      </c>
      <c r="VT164" s="0" t="n">
        <v>18.41</v>
      </c>
      <c r="VU164" s="0" t="n">
        <v>11.73</v>
      </c>
      <c r="VV164" s="0" t="n">
        <v>0</v>
      </c>
      <c r="VW164" s="0" t="n">
        <v>0</v>
      </c>
      <c r="VX164" s="0" t="n">
        <v>0</v>
      </c>
      <c r="WK164" s="0" t="n">
        <v>11.9</v>
      </c>
      <c r="WL164" s="0" t="n">
        <v>1</v>
      </c>
      <c r="WM164" s="0" t="n">
        <v>47</v>
      </c>
      <c r="WN164" s="0" t="n">
        <v>3</v>
      </c>
      <c r="WO164" s="0" t="n">
        <v>1.52</v>
      </c>
      <c r="WP164" s="0" t="n">
        <v>2</v>
      </c>
      <c r="WW164" s="18"/>
      <c r="XO164" s="0" t="n">
        <v>0</v>
      </c>
      <c r="YZ164" s="16" t="n">
        <v>5.7</v>
      </c>
      <c r="ZA164" s="16" t="n">
        <v>1</v>
      </c>
      <c r="ZB164" s="16" t="n">
        <v>1</v>
      </c>
      <c r="ZC164" s="16"/>
      <c r="ZD164" s="16" t="n">
        <f aca="false">2.11+2.11+0.05+0.05+0.37</f>
        <v>4.69</v>
      </c>
      <c r="ZE164" s="16" t="n">
        <v>2</v>
      </c>
      <c r="ZF164" s="16"/>
      <c r="ZG164" s="16" t="n">
        <f aca="false">3.17+3.17+0.56+0.56+0.33</f>
        <v>7.79</v>
      </c>
      <c r="ZH164" s="16"/>
      <c r="ZI164" s="16"/>
      <c r="ZJ164" s="16"/>
      <c r="ZK164" s="16" t="n">
        <v>0</v>
      </c>
      <c r="ZL164" s="16" t="n">
        <v>0</v>
      </c>
      <c r="ZM164" s="16"/>
      <c r="ZN164" s="16"/>
      <c r="ZO164" s="16" t="n">
        <v>5.97</v>
      </c>
      <c r="ZP164" s="16" t="n">
        <v>0</v>
      </c>
      <c r="ZQ164" s="16" t="n">
        <v>0</v>
      </c>
      <c r="ZR164" s="0" t="n">
        <v>1</v>
      </c>
      <c r="ZS164" s="0" t="s">
        <v>503</v>
      </c>
      <c r="ZT164" s="0" t="n">
        <v>47</v>
      </c>
      <c r="ZU164" s="16" t="n">
        <v>54.1</v>
      </c>
      <c r="ZV164" s="16" t="n">
        <v>80.4</v>
      </c>
      <c r="ZW164" s="16" t="n">
        <v>34.5</v>
      </c>
      <c r="ZX164" s="0" t="n">
        <v>71.45</v>
      </c>
      <c r="ZY164" s="17" t="n">
        <v>0</v>
      </c>
      <c r="ZZ164" s="0" t="n">
        <v>21.93</v>
      </c>
      <c r="AAA164" s="0" t="n">
        <v>6.49</v>
      </c>
      <c r="AAB164" s="0" t="n">
        <v>0.12</v>
      </c>
      <c r="AAC164" s="0" t="n">
        <v>0</v>
      </c>
      <c r="AAD164" s="0" t="n">
        <v>0</v>
      </c>
      <c r="AAE164" s="0" t="n">
        <v>0</v>
      </c>
      <c r="AAF164" s="0" t="n">
        <v>0</v>
      </c>
      <c r="AAG164" s="0" t="n">
        <v>0</v>
      </c>
      <c r="AAH164" s="0" t="n">
        <v>0</v>
      </c>
      <c r="AAI164" s="0" t="n">
        <v>1.01</v>
      </c>
      <c r="AAJ164" s="0" t="n">
        <v>0.45</v>
      </c>
      <c r="AAK164" s="0" t="n">
        <v>18.4</v>
      </c>
      <c r="AAL164" s="0" t="n">
        <v>11.28</v>
      </c>
      <c r="AAM164" s="0" t="n">
        <v>0</v>
      </c>
      <c r="AAN164" s="0" t="n">
        <v>0</v>
      </c>
      <c r="AAO164" s="0" t="n">
        <v>0</v>
      </c>
      <c r="ABB164" s="0" t="n">
        <v>6</v>
      </c>
      <c r="ABC164" s="0" t="n">
        <v>1</v>
      </c>
      <c r="ABD164" s="0" t="n">
        <v>35</v>
      </c>
      <c r="ABE164" s="0" t="n">
        <v>8</v>
      </c>
      <c r="ABF164" s="0" t="n">
        <f aca="false">0.25+0.25+0.25+0.13+0.13+0.13+0.13</f>
        <v>1.27</v>
      </c>
      <c r="ABG164" s="0" t="n">
        <v>3</v>
      </c>
      <c r="ABN164" s="18"/>
      <c r="ACF164" s="0" t="n">
        <v>1</v>
      </c>
      <c r="ACG164" s="0" t="n">
        <v>50</v>
      </c>
      <c r="ACH164" s="0" t="n">
        <v>2</v>
      </c>
      <c r="ACI164" s="0" t="n">
        <f aca="false">0.76*2</f>
        <v>1.52</v>
      </c>
      <c r="ACJ164" s="0" t="n">
        <v>1</v>
      </c>
      <c r="ADQ164" s="16" t="n">
        <v>0.42</v>
      </c>
      <c r="ADR164" s="16" t="n">
        <v>1</v>
      </c>
      <c r="ADS164" s="16" t="n">
        <v>1</v>
      </c>
      <c r="ADT164" s="16"/>
      <c r="ADU164" s="16" t="n">
        <f aca="false">0.68+0.68+0.03</f>
        <v>1.39</v>
      </c>
      <c r="ADV164" s="16"/>
      <c r="ADW164" s="16"/>
      <c r="ADX164" s="16"/>
      <c r="ADY164" s="16"/>
      <c r="ADZ164" s="16"/>
      <c r="AEA164" s="16"/>
      <c r="AEB164" s="16" t="n">
        <v>5.21</v>
      </c>
      <c r="AEC164" s="16" t="n">
        <v>7.05</v>
      </c>
      <c r="AED164" s="16"/>
      <c r="AEE164" s="16"/>
      <c r="AEF164" s="16" t="n">
        <v>0</v>
      </c>
      <c r="AEG164" s="16" t="n">
        <v>0</v>
      </c>
      <c r="AEH164" s="16" t="n">
        <v>0</v>
      </c>
      <c r="AEI164" s="0" t="n">
        <v>0</v>
      </c>
      <c r="AEJ164" s="0" t="s">
        <v>504</v>
      </c>
      <c r="AEK164" s="0" t="n">
        <v>65.5</v>
      </c>
      <c r="AEL164" s="16" t="n">
        <v>92.2</v>
      </c>
      <c r="AEM164" s="16" t="n">
        <v>80.4</v>
      </c>
      <c r="AEN164" s="16" t="n">
        <v>61.7</v>
      </c>
      <c r="AEO164" s="0" t="n">
        <v>22.46</v>
      </c>
      <c r="AEP164" s="17" t="n">
        <v>0</v>
      </c>
      <c r="AEQ164" s="0" t="n">
        <v>0</v>
      </c>
      <c r="AER164" s="0" t="n">
        <v>0</v>
      </c>
      <c r="AES164" s="0" t="n">
        <v>0</v>
      </c>
      <c r="AET164" s="0" t="n">
        <v>0</v>
      </c>
      <c r="AEU164" s="0" t="n">
        <v>70.92</v>
      </c>
      <c r="AEV164" s="0" t="n">
        <v>9.4</v>
      </c>
      <c r="AEW164" s="0" t="n">
        <v>33.69</v>
      </c>
      <c r="AEX164" s="0" t="n">
        <v>0</v>
      </c>
      <c r="AEY164" s="0" t="n">
        <v>0</v>
      </c>
      <c r="AEZ164" s="0" t="n">
        <v>14.46</v>
      </c>
      <c r="AFA164" s="0" t="n">
        <v>11.32</v>
      </c>
      <c r="AFB164" s="0" t="n">
        <v>6.58</v>
      </c>
      <c r="AFC164" s="0" t="n">
        <v>8.88</v>
      </c>
      <c r="AFD164" s="0" t="n">
        <v>6.62</v>
      </c>
      <c r="AFE164" s="0" t="n">
        <v>0</v>
      </c>
      <c r="AFF164" s="0" t="n">
        <v>0</v>
      </c>
      <c r="AFS164" s="0" t="n">
        <v>3.2</v>
      </c>
      <c r="AFT164" s="0" t="n">
        <v>0</v>
      </c>
      <c r="AGE164" s="18"/>
      <c r="AGW164" s="0" t="n">
        <v>1</v>
      </c>
      <c r="AGX164" s="0" t="n">
        <v>60</v>
      </c>
      <c r="AGY164" s="0" t="n">
        <v>2</v>
      </c>
      <c r="AGZ164" s="0" t="n">
        <f aca="false">0.76*2</f>
        <v>1.52</v>
      </c>
      <c r="AHA164" s="0" t="n">
        <v>3</v>
      </c>
      <c r="AIH164" s="16" t="n">
        <v>0.63</v>
      </c>
      <c r="AII164" s="16" t="n">
        <v>1</v>
      </c>
      <c r="AIJ164" s="16" t="n">
        <v>1</v>
      </c>
      <c r="AIK164" s="16"/>
      <c r="AIL164" s="16" t="n">
        <v>3.17</v>
      </c>
      <c r="AIM164" s="16"/>
      <c r="AIN164" s="16"/>
      <c r="AIO164" s="16"/>
      <c r="AIP164" s="16"/>
      <c r="AIQ164" s="16"/>
      <c r="AIR164" s="16"/>
      <c r="AIS164" s="16" t="n">
        <v>0</v>
      </c>
      <c r="AIT164" s="16" t="n">
        <v>0</v>
      </c>
      <c r="AIU164" s="16"/>
      <c r="AIV164" s="16"/>
      <c r="AIW164" s="16" t="n">
        <v>0</v>
      </c>
      <c r="AIX164" s="16" t="n">
        <v>0</v>
      </c>
      <c r="AIY164" s="16" t="n">
        <v>0</v>
      </c>
      <c r="AIZ164" s="0" t="n">
        <v>0</v>
      </c>
      <c r="AJA164" s="0" t="s">
        <v>505</v>
      </c>
      <c r="AJB164" s="0" t="n">
        <v>59</v>
      </c>
      <c r="AJC164" s="16" t="n">
        <v>90.4</v>
      </c>
      <c r="AJD164" s="16" t="n">
        <v>80.4</v>
      </c>
      <c r="AJE164" s="16" t="n">
        <v>54.7</v>
      </c>
      <c r="AJF164" s="0" t="n">
        <v>26.42</v>
      </c>
      <c r="AJG164" s="17" t="n">
        <v>0</v>
      </c>
      <c r="AJH164" s="0" t="n">
        <v>0</v>
      </c>
      <c r="AJI164" s="0" t="n">
        <v>0</v>
      </c>
      <c r="AJJ164" s="0" t="n">
        <v>0</v>
      </c>
      <c r="AJK164" s="0" t="n">
        <v>0</v>
      </c>
      <c r="AJL164" s="0" t="n">
        <v>66.96</v>
      </c>
      <c r="AJM164" s="0" t="n">
        <v>6.55</v>
      </c>
      <c r="AJN164" s="0" t="n">
        <v>30.83</v>
      </c>
      <c r="AJO164" s="0" t="n">
        <v>0</v>
      </c>
      <c r="AJP164" s="0" t="n">
        <v>0</v>
      </c>
      <c r="AJQ164" s="0" t="n">
        <v>14.46</v>
      </c>
      <c r="AJR164" s="0" t="n">
        <v>11.57</v>
      </c>
      <c r="AJS164" s="0" t="n">
        <v>6.5</v>
      </c>
      <c r="AJT164" s="0" t="n">
        <v>6.03</v>
      </c>
      <c r="AJU164" s="0" t="n">
        <v>6.62</v>
      </c>
      <c r="AJV164" s="0" t="n">
        <v>0</v>
      </c>
      <c r="AJW164" s="0" t="n">
        <v>0</v>
      </c>
      <c r="AKJ164" s="0" t="n">
        <v>3.2</v>
      </c>
      <c r="AKK164" s="0" t="n">
        <v>0</v>
      </c>
      <c r="AKV164" s="18"/>
      <c r="ALN164" s="0" t="n">
        <v>1</v>
      </c>
      <c r="ALO164" s="0" t="n">
        <v>60</v>
      </c>
      <c r="ALP164" s="0" t="n">
        <v>2</v>
      </c>
      <c r="ALQ164" s="0" t="n">
        <v>1.52</v>
      </c>
      <c r="ALR164" s="0" t="n">
        <v>3</v>
      </c>
    </row>
    <row r="165" customFormat="false" ht="13.8" hidden="false" customHeight="false" outlineLevel="0" collapsed="false">
      <c r="A165" s="36" t="s">
        <v>627</v>
      </c>
      <c r="B165" s="12" t="n">
        <v>42899</v>
      </c>
      <c r="C165" s="0" t="n">
        <v>2</v>
      </c>
      <c r="D165" s="13" t="n">
        <v>42837</v>
      </c>
      <c r="E165" s="12" t="n">
        <v>27642</v>
      </c>
      <c r="F165" s="14" t="n">
        <f aca="false">(B165-E165)/365.25</f>
        <v>41.7713894592745</v>
      </c>
      <c r="G165" s="14" t="n">
        <f aca="false">(B165-D165)/365.25</f>
        <v>0.16974674880219</v>
      </c>
      <c r="H165" s="15" t="s">
        <v>228</v>
      </c>
      <c r="I165" s="15" t="s">
        <v>447</v>
      </c>
      <c r="J165" s="15" t="s">
        <v>183</v>
      </c>
      <c r="K165" s="15" t="n">
        <v>8</v>
      </c>
      <c r="L165" s="19" t="n">
        <v>85</v>
      </c>
      <c r="M165" s="0" t="n">
        <v>1.7</v>
      </c>
      <c r="N165" s="16" t="n">
        <f aca="false">L165/(M165*M165)</f>
        <v>29.4117647058823</v>
      </c>
      <c r="O165" s="19" t="n">
        <v>0</v>
      </c>
      <c r="P165" s="19" t="n">
        <v>0</v>
      </c>
      <c r="Q165" s="19" t="n">
        <v>0</v>
      </c>
      <c r="R165" s="19" t="n">
        <v>0</v>
      </c>
      <c r="S165" s="19" t="n">
        <v>0</v>
      </c>
      <c r="T165" s="19" t="n">
        <v>0</v>
      </c>
      <c r="U165" s="19" t="n">
        <v>0</v>
      </c>
      <c r="V165" s="19" t="n">
        <v>0</v>
      </c>
      <c r="W165" s="19" t="n">
        <v>0</v>
      </c>
      <c r="X165" s="19" t="n">
        <v>0</v>
      </c>
      <c r="Y165" s="19" t="n">
        <v>0</v>
      </c>
      <c r="Z165" s="19" t="n">
        <v>0</v>
      </c>
      <c r="AA165" s="19" t="n">
        <v>0</v>
      </c>
      <c r="AB165" s="19" t="n">
        <v>0</v>
      </c>
      <c r="AC165" s="19" t="n">
        <v>0</v>
      </c>
      <c r="AD165" s="19" t="n">
        <v>0</v>
      </c>
      <c r="AE165" s="19" t="n">
        <v>0</v>
      </c>
      <c r="AF165" s="19"/>
      <c r="AG165" s="19"/>
      <c r="AH165" s="19"/>
      <c r="AI165" s="19" t="n">
        <v>1</v>
      </c>
      <c r="AJ165" s="19" t="n">
        <v>0</v>
      </c>
      <c r="AK165" s="19" t="n">
        <v>0</v>
      </c>
      <c r="AL165" s="19" t="n">
        <v>0</v>
      </c>
      <c r="AM165" s="19" t="n">
        <v>0</v>
      </c>
      <c r="AN165" s="19" t="n">
        <v>0</v>
      </c>
      <c r="AO165" s="19" t="n">
        <v>0</v>
      </c>
      <c r="AP165" s="19" t="n">
        <v>0</v>
      </c>
      <c r="AQ165" s="19" t="n">
        <v>0</v>
      </c>
      <c r="AR165" s="19" t="n">
        <v>0</v>
      </c>
      <c r="AS165" s="19" t="n">
        <v>3</v>
      </c>
      <c r="AT165" s="19" t="n">
        <v>0</v>
      </c>
      <c r="AU165" s="19" t="n">
        <v>3</v>
      </c>
      <c r="AV165" s="19" t="n">
        <v>2</v>
      </c>
      <c r="AW165" s="19" t="n">
        <v>2</v>
      </c>
      <c r="AX165" s="19" t="n">
        <v>0</v>
      </c>
      <c r="AY165" s="19" t="n">
        <v>0</v>
      </c>
      <c r="AZ165" s="19" t="n">
        <v>0</v>
      </c>
      <c r="BA165" s="19" t="n">
        <v>0</v>
      </c>
      <c r="BB165" s="19" t="n">
        <v>0</v>
      </c>
      <c r="BC165" s="19" t="n">
        <v>0</v>
      </c>
      <c r="BD165" s="19" t="n">
        <v>0</v>
      </c>
      <c r="BE165" s="19" t="n">
        <v>0</v>
      </c>
      <c r="BF165" s="19" t="n">
        <v>0</v>
      </c>
      <c r="BG165" s="19" t="n">
        <v>0</v>
      </c>
      <c r="BH165" s="19" t="n">
        <v>0</v>
      </c>
      <c r="BI165" s="19" t="n">
        <v>0</v>
      </c>
      <c r="BJ165" s="19" t="n">
        <v>0</v>
      </c>
      <c r="BK165" s="19" t="n">
        <v>0</v>
      </c>
      <c r="BL165" s="19" t="n">
        <v>0</v>
      </c>
      <c r="BM165" s="19" t="n">
        <v>0</v>
      </c>
      <c r="BN165" s="19" t="n">
        <v>0</v>
      </c>
      <c r="BO165" s="19" t="n">
        <v>0</v>
      </c>
      <c r="BP165" s="19" t="n">
        <v>0</v>
      </c>
      <c r="BQ165" s="19" t="n">
        <v>0</v>
      </c>
      <c r="BR165" s="19" t="n">
        <v>2</v>
      </c>
      <c r="BS165" s="19" t="n">
        <v>1</v>
      </c>
      <c r="BT165" s="19" t="n">
        <v>2</v>
      </c>
      <c r="BU165" s="19" t="n">
        <v>4</v>
      </c>
      <c r="BV165" s="19" t="n">
        <v>3</v>
      </c>
      <c r="BW165" s="19" t="n">
        <v>1</v>
      </c>
      <c r="BX165" s="19" t="n">
        <v>5</v>
      </c>
      <c r="BY165" s="19" t="n">
        <v>5</v>
      </c>
      <c r="BZ165" s="19" t="n">
        <v>5</v>
      </c>
      <c r="CA165" s="19" t="n">
        <v>4</v>
      </c>
      <c r="CB165" s="19" t="n">
        <v>5</v>
      </c>
      <c r="CC165" s="19" t="n">
        <v>5</v>
      </c>
      <c r="CD165" s="19" t="n">
        <v>4</v>
      </c>
      <c r="CE165" s="19" t="n">
        <v>5</v>
      </c>
      <c r="CF165" s="19" t="n">
        <v>5</v>
      </c>
      <c r="CG165" s="19" t="n">
        <v>5</v>
      </c>
      <c r="CH165" s="19" t="n">
        <v>5</v>
      </c>
      <c r="CI165" s="19" t="n">
        <v>5</v>
      </c>
      <c r="CJ165" s="19" t="n">
        <v>4</v>
      </c>
      <c r="CK165" s="19" t="n">
        <v>10</v>
      </c>
      <c r="CL165" s="0" t="s">
        <v>455</v>
      </c>
      <c r="CM165" s="0" t="n">
        <v>48.5</v>
      </c>
      <c r="CN165" s="16" t="n">
        <v>90.8</v>
      </c>
      <c r="CO165" s="16" t="n">
        <v>80.4</v>
      </c>
      <c r="CP165" s="16" t="n">
        <v>27.5</v>
      </c>
      <c r="CQ165" s="0" t="n">
        <v>74.34</v>
      </c>
      <c r="CR165" s="0" t="n">
        <v>0</v>
      </c>
      <c r="CS165" s="0" t="n">
        <v>12.29</v>
      </c>
      <c r="CT165" s="0" t="n">
        <v>0</v>
      </c>
      <c r="CU165" s="0" t="n">
        <v>13.37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14.01</v>
      </c>
      <c r="DE165" s="0" t="n">
        <v>63.09</v>
      </c>
      <c r="DF165" s="0" t="n">
        <v>0</v>
      </c>
      <c r="DG165" s="0" t="n">
        <v>0</v>
      </c>
      <c r="DH165" s="0" t="n">
        <v>0</v>
      </c>
      <c r="DU165" s="0" t="n">
        <v>13</v>
      </c>
      <c r="DV165" s="0" t="n">
        <v>1</v>
      </c>
      <c r="DW165" s="0" t="n">
        <v>34</v>
      </c>
      <c r="DX165" s="0" t="n">
        <v>11</v>
      </c>
      <c r="DY165" s="0" t="n">
        <f aca="false">11.42+1.34</f>
        <v>12.76</v>
      </c>
      <c r="DZ165" s="0" t="n">
        <v>1</v>
      </c>
      <c r="EA165" s="0" t="n">
        <v>68</v>
      </c>
      <c r="EB165" s="0" t="n">
        <v>15</v>
      </c>
      <c r="EC165" s="0" t="n">
        <v>2.8</v>
      </c>
      <c r="ED165" s="0" t="n">
        <v>1</v>
      </c>
      <c r="EG165" s="18"/>
      <c r="EY165" s="0" t="n">
        <v>1</v>
      </c>
      <c r="EZ165" s="0" t="n">
        <v>60</v>
      </c>
      <c r="FA165" s="0" t="n">
        <v>20</v>
      </c>
      <c r="FB165" s="0" t="n">
        <v>15.23</v>
      </c>
      <c r="FC165" s="0" t="n">
        <v>3</v>
      </c>
      <c r="GJ165" s="16" t="n">
        <v>0</v>
      </c>
      <c r="GK165" s="16" t="n">
        <v>0</v>
      </c>
      <c r="GL165" s="16"/>
      <c r="GM165" s="16"/>
      <c r="GN165" s="16"/>
      <c r="GO165" s="16"/>
      <c r="GP165" s="16"/>
      <c r="GQ165" s="16"/>
      <c r="GR165" s="16"/>
      <c r="GS165" s="16"/>
      <c r="GT165" s="16"/>
      <c r="GU165" s="16" t="n">
        <v>0</v>
      </c>
      <c r="GV165" s="16" t="n">
        <v>0</v>
      </c>
      <c r="GW165" s="16"/>
      <c r="GX165" s="16"/>
      <c r="GY165" s="16" t="n">
        <v>7.46</v>
      </c>
      <c r="GZ165" s="16" t="n">
        <v>0</v>
      </c>
      <c r="HA165" s="16" t="n">
        <v>0</v>
      </c>
      <c r="HB165" s="0" t="n">
        <v>1</v>
      </c>
      <c r="HC165" s="0" t="s">
        <v>448</v>
      </c>
      <c r="HD165" s="0" t="n">
        <v>47</v>
      </c>
      <c r="HE165" s="16" t="n">
        <v>90.2</v>
      </c>
      <c r="HF165" s="16" t="n">
        <v>80.4</v>
      </c>
      <c r="HG165" s="16" t="n">
        <v>15.2</v>
      </c>
      <c r="HH165" s="0" t="n">
        <v>86.39</v>
      </c>
      <c r="HI165" s="0" t="n">
        <v>0</v>
      </c>
      <c r="HJ165" s="0" t="n">
        <v>0</v>
      </c>
      <c r="HK165" s="0" t="n">
        <v>0</v>
      </c>
      <c r="HL165" s="0" t="n">
        <v>13.61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  <c r="HT165" s="0" t="n">
        <v>16.36</v>
      </c>
      <c r="HU165" s="0" t="n">
        <v>23.57</v>
      </c>
      <c r="HV165" s="0" t="n">
        <v>29.14</v>
      </c>
      <c r="HW165" s="0" t="n">
        <v>0</v>
      </c>
      <c r="HX165" s="0" t="n">
        <v>0</v>
      </c>
      <c r="HY165" s="0" t="n">
        <v>0</v>
      </c>
      <c r="IL165" s="0" t="n">
        <v>23.6</v>
      </c>
      <c r="IM165" s="0" t="n">
        <v>1</v>
      </c>
      <c r="IN165" s="0" t="n">
        <v>68</v>
      </c>
      <c r="IO165" s="0" t="n">
        <v>8</v>
      </c>
      <c r="IP165" s="0" t="n">
        <f aca="false">0.76+0.03+0.27+0.05+0.03</f>
        <v>1.14</v>
      </c>
      <c r="IQ165" s="0" t="n">
        <v>1</v>
      </c>
      <c r="IR165" s="0" t="n">
        <v>35</v>
      </c>
      <c r="IS165" s="0" t="n">
        <v>4</v>
      </c>
      <c r="IT165" s="0" t="n">
        <f aca="false">1.52+0.27</f>
        <v>1.79</v>
      </c>
      <c r="IU165" s="0" t="n">
        <v>3</v>
      </c>
      <c r="IV165" s="0" t="n">
        <v>103</v>
      </c>
      <c r="IW165" s="0" t="n">
        <v>3</v>
      </c>
      <c r="IX165" s="18" t="n">
        <v>2.02</v>
      </c>
      <c r="IY165" s="0" t="n">
        <v>3</v>
      </c>
      <c r="JP165" s="0" t="n">
        <v>1</v>
      </c>
      <c r="JQ165" s="0" t="n">
        <v>80</v>
      </c>
      <c r="JR165" s="0" t="n">
        <v>3</v>
      </c>
      <c r="JS165" s="0" t="n">
        <f aca="false">0.04*2+0.45</f>
        <v>0.53</v>
      </c>
      <c r="JT165" s="0" t="n">
        <v>3</v>
      </c>
      <c r="LA165" s="16" t="n">
        <v>0.4</v>
      </c>
      <c r="LB165" s="16" t="n">
        <v>1</v>
      </c>
      <c r="LC165" s="16" t="n">
        <v>1</v>
      </c>
      <c r="LD165" s="16"/>
      <c r="LE165" s="16" t="n">
        <f aca="false">1.25+0.1</f>
        <v>1.35</v>
      </c>
      <c r="LF165" s="16"/>
      <c r="LG165" s="16"/>
      <c r="LH165" s="16"/>
      <c r="LI165" s="16"/>
      <c r="LJ165" s="16"/>
      <c r="LK165" s="16"/>
      <c r="LL165" s="16" t="n">
        <v>4.96</v>
      </c>
      <c r="LM165" s="16" t="n">
        <v>2.6</v>
      </c>
      <c r="LN165" s="16"/>
      <c r="LO165" s="16"/>
      <c r="LP165" s="16" t="n">
        <v>0</v>
      </c>
      <c r="LQ165" s="16" t="n">
        <v>0</v>
      </c>
      <c r="LR165" s="16" t="n">
        <v>0</v>
      </c>
      <c r="LS165" s="0" t="n">
        <v>0</v>
      </c>
      <c r="LT165" s="0" t="s">
        <v>449</v>
      </c>
      <c r="LU165" s="0" t="n">
        <v>46.5</v>
      </c>
      <c r="LV165" s="16" t="n">
        <v>82.8</v>
      </c>
      <c r="LW165" s="16" t="n">
        <v>80.4</v>
      </c>
      <c r="LX165" s="16" t="n">
        <v>14.9</v>
      </c>
      <c r="LY165" s="0" t="n">
        <v>82.52</v>
      </c>
      <c r="LZ165" s="0" t="n">
        <v>0</v>
      </c>
      <c r="MA165" s="0" t="n">
        <v>0</v>
      </c>
      <c r="MB165" s="0" t="n">
        <v>0</v>
      </c>
      <c r="MC165" s="0" t="n">
        <v>17.48</v>
      </c>
      <c r="MD165" s="0" t="n">
        <v>0</v>
      </c>
      <c r="ME165" s="0" t="n">
        <v>0</v>
      </c>
      <c r="MF165" s="0" t="n">
        <v>0</v>
      </c>
      <c r="MG165" s="0" t="n">
        <v>0</v>
      </c>
      <c r="MH165" s="0" t="n">
        <v>0</v>
      </c>
      <c r="MI165" s="0" t="n">
        <v>0</v>
      </c>
      <c r="MJ165" s="0" t="n">
        <v>0</v>
      </c>
      <c r="MK165" s="0" t="n">
        <v>37.3</v>
      </c>
      <c r="ML165" s="0" t="n">
        <v>16.79</v>
      </c>
      <c r="MM165" s="0" t="n">
        <v>15.04</v>
      </c>
      <c r="MN165" s="0" t="n">
        <v>0</v>
      </c>
      <c r="MO165" s="0" t="n">
        <v>0</v>
      </c>
      <c r="MP165" s="0" t="n">
        <v>0</v>
      </c>
      <c r="NC165" s="0" t="n">
        <v>18.9</v>
      </c>
      <c r="ND165" s="0" t="n">
        <v>1</v>
      </c>
      <c r="NE165" s="0" t="n">
        <v>68</v>
      </c>
      <c r="NF165" s="0" t="n">
        <v>1</v>
      </c>
      <c r="NG165" s="0" t="n">
        <v>0.13</v>
      </c>
      <c r="NH165" s="0" t="n">
        <v>1</v>
      </c>
      <c r="NI165" s="0" t="n">
        <v>35</v>
      </c>
      <c r="NJ165" s="0" t="n">
        <v>3</v>
      </c>
      <c r="NK165" s="0" t="n">
        <v>2.25</v>
      </c>
      <c r="NL165" s="0" t="n">
        <v>3</v>
      </c>
      <c r="NM165" s="0" t="n">
        <v>47</v>
      </c>
      <c r="NN165" s="0" t="n">
        <v>10</v>
      </c>
      <c r="NO165" s="18" t="n">
        <f aca="false">0.27+0.08+0.08+0.11+0.61+0.04</f>
        <v>1.19</v>
      </c>
      <c r="NP165" s="0" t="n">
        <v>3</v>
      </c>
      <c r="OG165" s="0" t="n">
        <v>1</v>
      </c>
      <c r="OH165" s="0" t="n">
        <v>80</v>
      </c>
      <c r="OI165" s="0" t="n">
        <v>1</v>
      </c>
      <c r="OJ165" s="0" t="n">
        <v>0.13</v>
      </c>
      <c r="OK165" s="0" t="n">
        <v>3</v>
      </c>
      <c r="PR165" s="16" t="n">
        <v>1.15</v>
      </c>
      <c r="PS165" s="16" t="n">
        <v>1</v>
      </c>
      <c r="PT165" s="16" t="n">
        <v>3</v>
      </c>
      <c r="PU165" s="16"/>
      <c r="PV165" s="16" t="n">
        <f aca="false">1.06+0.37*2</f>
        <v>1.8</v>
      </c>
      <c r="PW165" s="16"/>
      <c r="PX165" s="16"/>
      <c r="PY165" s="16"/>
      <c r="PZ165" s="16"/>
      <c r="QA165" s="16"/>
      <c r="QB165" s="16"/>
      <c r="QC165" s="16" t="n">
        <v>9.75</v>
      </c>
      <c r="QD165" s="16" t="n">
        <v>11.26</v>
      </c>
      <c r="QE165" s="16"/>
      <c r="QF165" s="16"/>
      <c r="QG165" s="16" t="n">
        <v>0</v>
      </c>
      <c r="QH165" s="16" t="n">
        <v>0</v>
      </c>
      <c r="QI165" s="16" t="n">
        <v>0</v>
      </c>
      <c r="QJ165" s="0" t="n">
        <v>0</v>
      </c>
      <c r="QK165" s="0" t="s">
        <v>456</v>
      </c>
      <c r="QL165" s="0" t="n">
        <v>79.5</v>
      </c>
      <c r="QM165" s="16" t="n">
        <v>92.6</v>
      </c>
      <c r="QN165" s="16" t="n">
        <v>80.4</v>
      </c>
      <c r="QO165" s="16" t="n">
        <v>25.3</v>
      </c>
      <c r="QP165" s="0" t="n">
        <v>77.91</v>
      </c>
      <c r="QQ165" s="0" t="n">
        <v>0</v>
      </c>
      <c r="QR165" s="0" t="n">
        <v>0.76</v>
      </c>
      <c r="QS165" s="0" t="n">
        <v>0</v>
      </c>
      <c r="QT165" s="0" t="n">
        <v>21.33</v>
      </c>
      <c r="QU165" s="0" t="n">
        <v>0</v>
      </c>
      <c r="QV165" s="0" t="n">
        <v>0</v>
      </c>
      <c r="QW165" s="0" t="n">
        <v>0</v>
      </c>
      <c r="QX165" s="0" t="n">
        <v>0</v>
      </c>
      <c r="QY165" s="0" t="n">
        <v>0</v>
      </c>
      <c r="QZ165" s="0" t="n">
        <v>0</v>
      </c>
      <c r="RA165" s="0" t="n">
        <v>4.99</v>
      </c>
      <c r="RB165" s="0" t="n">
        <v>0</v>
      </c>
      <c r="RC165" s="0" t="n">
        <v>5.93</v>
      </c>
      <c r="RD165" s="0" t="n">
        <v>41.31</v>
      </c>
      <c r="RE165" s="0" t="n">
        <v>0</v>
      </c>
      <c r="RF165" s="0" t="n">
        <v>10.6</v>
      </c>
      <c r="RG165" s="0" t="n">
        <v>2</v>
      </c>
      <c r="RH165" s="0" t="n">
        <v>3</v>
      </c>
      <c r="RI165" s="0" t="n">
        <v>6.39</v>
      </c>
      <c r="RN165" s="0" t="n">
        <v>3</v>
      </c>
      <c r="RO165" s="0" t="n">
        <v>6.39</v>
      </c>
      <c r="RT165" s="0" t="n">
        <v>19.9</v>
      </c>
      <c r="RU165" s="0" t="n">
        <v>1</v>
      </c>
      <c r="RV165" s="0" t="n">
        <v>52</v>
      </c>
      <c r="RW165" s="0" t="n">
        <v>2</v>
      </c>
      <c r="RX165" s="0" t="n">
        <f aca="false">0.05+0.08</f>
        <v>0.13</v>
      </c>
      <c r="RY165" s="0" t="n">
        <v>2</v>
      </c>
      <c r="RZ165" s="0" t="n">
        <v>47</v>
      </c>
      <c r="SA165" s="0" t="n">
        <v>12</v>
      </c>
      <c r="SB165" s="0" t="n">
        <f aca="false">1.52+0.11+0.27+0.07+0.1+0.16+0.13+0.13</f>
        <v>2.49</v>
      </c>
      <c r="SC165" s="0" t="n">
        <v>3</v>
      </c>
      <c r="SF165" s="18"/>
      <c r="SX165" s="0" t="n">
        <v>0</v>
      </c>
      <c r="UI165" s="16" t="n">
        <v>6.39</v>
      </c>
      <c r="UJ165" s="16" t="n">
        <v>1</v>
      </c>
      <c r="UK165" s="16" t="n">
        <v>2</v>
      </c>
      <c r="UL165" s="16"/>
      <c r="UM165" s="16" t="n">
        <f aca="false">2.11+1.52+2.11+0.3+0.22*2</f>
        <v>6.48</v>
      </c>
      <c r="UN165" s="16"/>
      <c r="UO165" s="16"/>
      <c r="UP165" s="16"/>
      <c r="UQ165" s="16"/>
      <c r="UR165" s="16"/>
      <c r="US165" s="16"/>
      <c r="UT165" s="16" t="n">
        <v>14.55</v>
      </c>
      <c r="UU165" s="16" t="n">
        <v>28.78</v>
      </c>
      <c r="UV165" s="16"/>
      <c r="UW165" s="16"/>
      <c r="UX165" s="16" t="n">
        <v>0</v>
      </c>
      <c r="UY165" s="16" t="n">
        <v>0</v>
      </c>
      <c r="UZ165" s="16" t="n">
        <v>0</v>
      </c>
      <c r="VA165" s="0" t="n">
        <v>0</v>
      </c>
      <c r="VB165" s="0" t="s">
        <v>450</v>
      </c>
      <c r="VC165" s="0" t="n">
        <v>33.5</v>
      </c>
      <c r="VD165" s="16" t="n">
        <v>82.2</v>
      </c>
      <c r="VE165" s="16" t="n">
        <v>80.4</v>
      </c>
      <c r="VF165" s="16" t="n">
        <v>19.5</v>
      </c>
      <c r="VG165" s="0" t="n">
        <v>80.12</v>
      </c>
      <c r="VH165" s="0" t="n">
        <v>0</v>
      </c>
      <c r="VI165" s="0" t="n">
        <v>0</v>
      </c>
      <c r="VJ165" s="0" t="n">
        <v>0</v>
      </c>
      <c r="VK165" s="0" t="n">
        <v>19.88</v>
      </c>
      <c r="VL165" s="0" t="n">
        <v>0</v>
      </c>
      <c r="VM165" s="0" t="n">
        <v>0</v>
      </c>
      <c r="VN165" s="0" t="n">
        <v>0</v>
      </c>
      <c r="VO165" s="0" t="n">
        <v>0</v>
      </c>
      <c r="VP165" s="0" t="n">
        <v>0</v>
      </c>
      <c r="VQ165" s="0" t="n">
        <v>0</v>
      </c>
      <c r="VR165" s="0" t="n">
        <v>0</v>
      </c>
      <c r="VS165" s="0" t="n">
        <v>0</v>
      </c>
      <c r="VT165" s="0" t="n">
        <v>16.82</v>
      </c>
      <c r="VU165" s="0" t="n">
        <v>20.29</v>
      </c>
      <c r="VV165" s="0" t="n">
        <v>0</v>
      </c>
      <c r="VW165" s="0" t="n">
        <v>0</v>
      </c>
      <c r="VX165" s="0" t="n">
        <v>0</v>
      </c>
      <c r="WK165" s="0" t="n">
        <v>0</v>
      </c>
      <c r="WL165" s="0" t="n">
        <v>0</v>
      </c>
      <c r="WW165" s="18"/>
      <c r="XO165" s="0" t="n">
        <v>0</v>
      </c>
      <c r="YZ165" s="16" t="n">
        <v>2.43</v>
      </c>
      <c r="ZA165" s="16" t="n">
        <v>1</v>
      </c>
      <c r="ZB165" s="16" t="n">
        <v>2</v>
      </c>
      <c r="ZC165" s="16"/>
      <c r="ZD165" s="16" t="n">
        <f aca="false">8.46+0.21+0.37</f>
        <v>9.04</v>
      </c>
      <c r="ZE165" s="16"/>
      <c r="ZF165" s="16"/>
      <c r="ZG165" s="16"/>
      <c r="ZH165" s="16"/>
      <c r="ZI165" s="16"/>
      <c r="ZJ165" s="16"/>
      <c r="ZK165" s="16" t="n">
        <v>9.41</v>
      </c>
      <c r="ZL165" s="16" t="n">
        <v>22.76</v>
      </c>
      <c r="ZM165" s="16"/>
      <c r="ZN165" s="16"/>
      <c r="ZO165" s="16" t="n">
        <v>0</v>
      </c>
      <c r="ZP165" s="16" t="n">
        <v>0</v>
      </c>
      <c r="ZQ165" s="16" t="n">
        <v>0</v>
      </c>
      <c r="ZR165" s="0" t="n">
        <v>0</v>
      </c>
      <c r="ZS165" s="0" t="s">
        <v>457</v>
      </c>
      <c r="ZT165" s="0" t="n">
        <v>21</v>
      </c>
      <c r="ZU165" s="16" t="n">
        <v>68.8</v>
      </c>
      <c r="ZV165" s="16" t="n">
        <v>80.4</v>
      </c>
      <c r="ZW165" s="16" t="n">
        <v>11.1</v>
      </c>
      <c r="ZX165" s="0" t="n">
        <v>92.71</v>
      </c>
      <c r="ZY165" s="0" t="n">
        <v>0</v>
      </c>
      <c r="ZZ165" s="0" t="n">
        <v>0</v>
      </c>
      <c r="AAA165" s="0" t="n">
        <v>0</v>
      </c>
      <c r="AAB165" s="0" t="n">
        <v>7.29</v>
      </c>
      <c r="AAC165" s="0" t="n">
        <v>0</v>
      </c>
      <c r="AAD165" s="0" t="n">
        <v>0</v>
      </c>
      <c r="AAE165" s="0" t="n">
        <v>0</v>
      </c>
      <c r="AAF165" s="0" t="n">
        <v>0</v>
      </c>
      <c r="AAG165" s="0" t="n">
        <v>0</v>
      </c>
      <c r="AAH165" s="0" t="n">
        <v>0</v>
      </c>
      <c r="AAI165" s="0" t="n">
        <v>0</v>
      </c>
      <c r="AAJ165" s="0" t="n">
        <v>0</v>
      </c>
      <c r="AAK165" s="0" t="n">
        <v>2.43</v>
      </c>
      <c r="AAL165" s="0" t="n">
        <v>9.89</v>
      </c>
      <c r="AAM165" s="0" t="n">
        <v>0</v>
      </c>
      <c r="AAN165" s="0" t="n">
        <v>0</v>
      </c>
      <c r="AAO165" s="0" t="n">
        <v>0</v>
      </c>
      <c r="ABB165" s="0" t="n">
        <v>1</v>
      </c>
      <c r="ABC165" s="0" t="n">
        <v>1</v>
      </c>
      <c r="ABD165" s="0" t="n">
        <v>68</v>
      </c>
      <c r="ABE165" s="0" t="n">
        <v>7</v>
      </c>
      <c r="ABF165" s="0" t="n">
        <f aca="false">0.05+0.03+0.27+0.03</f>
        <v>0.38</v>
      </c>
      <c r="ABG165" s="0" t="n">
        <v>1</v>
      </c>
      <c r="ABN165" s="18"/>
      <c r="ACF165" s="0" t="n">
        <v>0</v>
      </c>
      <c r="ADQ165" s="16" t="n">
        <v>0.67</v>
      </c>
      <c r="ADR165" s="16" t="n">
        <v>1</v>
      </c>
      <c r="ADS165" s="16" t="n">
        <v>2</v>
      </c>
      <c r="ADT165" s="16"/>
      <c r="ADU165" s="16" t="n">
        <f aca="false">0.28*2</f>
        <v>0.56</v>
      </c>
      <c r="ADV165" s="16"/>
      <c r="ADW165" s="16"/>
      <c r="ADX165" s="16"/>
      <c r="ADY165" s="16"/>
      <c r="ADZ165" s="16"/>
      <c r="AEA165" s="16"/>
      <c r="AEB165" s="16" t="n">
        <v>7.38</v>
      </c>
      <c r="AEC165" s="16" t="n">
        <v>10.32</v>
      </c>
      <c r="AED165" s="16"/>
      <c r="AEE165" s="16"/>
      <c r="AEF165" s="16" t="n">
        <v>0</v>
      </c>
      <c r="AEG165" s="16" t="n">
        <v>0</v>
      </c>
      <c r="AEH165" s="16" t="n">
        <v>0</v>
      </c>
      <c r="AEI165" s="0" t="n">
        <v>0</v>
      </c>
      <c r="AEJ165" s="0" t="s">
        <v>451</v>
      </c>
      <c r="AEK165" s="0" t="n">
        <v>48.5</v>
      </c>
      <c r="AEL165" s="16" t="n">
        <v>83.8</v>
      </c>
      <c r="AEM165" s="16" t="n">
        <v>80.4</v>
      </c>
      <c r="AEN165" s="16" t="n">
        <v>34.3</v>
      </c>
      <c r="AEO165" s="0" t="n">
        <v>70.08</v>
      </c>
      <c r="AEP165" s="0" t="n">
        <v>0</v>
      </c>
      <c r="AEQ165" s="0" t="n">
        <v>18.24</v>
      </c>
      <c r="AER165" s="0" t="n">
        <v>1.05</v>
      </c>
      <c r="AES165" s="0" t="n">
        <v>1.14</v>
      </c>
      <c r="AET165" s="0" t="n">
        <v>0</v>
      </c>
      <c r="AEU165" s="0" t="n">
        <v>0</v>
      </c>
      <c r="AEV165" s="0" t="n">
        <v>0</v>
      </c>
      <c r="AEW165" s="0" t="n">
        <v>0</v>
      </c>
      <c r="AEX165" s="0" t="n">
        <v>0</v>
      </c>
      <c r="AEY165" s="0" t="n">
        <v>0</v>
      </c>
      <c r="AEZ165" s="0" t="n">
        <v>19.39</v>
      </c>
      <c r="AFA165" s="0" t="n">
        <v>3.64</v>
      </c>
      <c r="AFB165" s="0" t="n">
        <v>13.61</v>
      </c>
      <c r="AFC165" s="0" t="n">
        <v>5.23</v>
      </c>
      <c r="AFD165" s="0" t="n">
        <v>9.49</v>
      </c>
      <c r="AFE165" s="0" t="n">
        <v>2.6</v>
      </c>
      <c r="AFF165" s="0" t="n">
        <v>2</v>
      </c>
      <c r="AFG165" s="0" t="n">
        <v>3</v>
      </c>
      <c r="AFH165" s="0" t="n">
        <v>1.01</v>
      </c>
      <c r="AFM165" s="0" t="n">
        <v>3</v>
      </c>
      <c r="AFN165" s="0" t="n">
        <v>1.01</v>
      </c>
      <c r="AFS165" s="0" t="n">
        <v>1.7</v>
      </c>
      <c r="AFT165" s="0" t="n">
        <v>0</v>
      </c>
      <c r="AGE165" s="18"/>
      <c r="AGW165" s="0" t="n">
        <v>1</v>
      </c>
      <c r="AGX165" s="0" t="n">
        <v>60</v>
      </c>
      <c r="AGY165" s="0" t="n">
        <v>1</v>
      </c>
      <c r="AGZ165" s="0" t="n">
        <v>1.05</v>
      </c>
      <c r="AHA165" s="0" t="n">
        <v>1</v>
      </c>
      <c r="AIH165" s="16" t="n">
        <v>3.52</v>
      </c>
      <c r="AII165" s="16" t="n">
        <v>1</v>
      </c>
      <c r="AIJ165" s="16" t="n">
        <v>2</v>
      </c>
      <c r="AIK165" s="16"/>
      <c r="AIL165" s="16" t="n">
        <f aca="false">4.23+0.13</f>
        <v>4.36</v>
      </c>
      <c r="AIM165" s="16"/>
      <c r="AIN165" s="16"/>
      <c r="AIO165" s="16"/>
      <c r="AIP165" s="16"/>
      <c r="AIQ165" s="16"/>
      <c r="AIR165" s="16"/>
      <c r="AIS165" s="16" t="n">
        <v>0</v>
      </c>
      <c r="AIT165" s="16" t="n">
        <v>0</v>
      </c>
      <c r="AIU165" s="16"/>
      <c r="AIV165" s="16"/>
      <c r="AIW165" s="16" t="n">
        <v>5.97</v>
      </c>
      <c r="AIX165" s="16" t="n">
        <v>0</v>
      </c>
      <c r="AIY165" s="16" t="n">
        <v>0</v>
      </c>
      <c r="AIZ165" s="0" t="n">
        <v>1</v>
      </c>
      <c r="AJA165" s="0" t="s">
        <v>452</v>
      </c>
      <c r="AJB165" s="0" t="n">
        <v>48</v>
      </c>
      <c r="AJC165" s="16" t="n">
        <v>86.2</v>
      </c>
      <c r="AJD165" s="16" t="n">
        <v>80.4</v>
      </c>
      <c r="AJE165" s="16" t="n">
        <v>34.3</v>
      </c>
      <c r="AJF165" s="0" t="n">
        <v>70.08</v>
      </c>
      <c r="AJG165" s="0" t="n">
        <v>0</v>
      </c>
      <c r="AJH165" s="0" t="n">
        <v>18.24</v>
      </c>
      <c r="AJI165" s="0" t="n">
        <v>1.05</v>
      </c>
      <c r="AJJ165" s="0" t="n">
        <v>1.14</v>
      </c>
      <c r="AJK165" s="0" t="n">
        <v>0</v>
      </c>
      <c r="AJL165" s="0" t="n">
        <v>0</v>
      </c>
      <c r="AJM165" s="0" t="n">
        <v>0</v>
      </c>
      <c r="AJN165" s="0" t="n">
        <v>0</v>
      </c>
      <c r="AJO165" s="0" t="n">
        <v>0</v>
      </c>
      <c r="AJP165" s="0" t="n">
        <v>0</v>
      </c>
      <c r="AJQ165" s="0" t="n">
        <v>19.39</v>
      </c>
      <c r="AJR165" s="0" t="n">
        <v>3.64</v>
      </c>
      <c r="AJS165" s="0" t="n">
        <v>13.61</v>
      </c>
      <c r="AJT165" s="0" t="n">
        <v>5.23</v>
      </c>
      <c r="AJU165" s="0" t="n">
        <v>9.49</v>
      </c>
      <c r="AJV165" s="0" t="n">
        <v>2.6</v>
      </c>
      <c r="AJW165" s="0" t="n">
        <v>2</v>
      </c>
      <c r="AJX165" s="0" t="n">
        <v>3</v>
      </c>
      <c r="AJY165" s="0" t="n">
        <v>1.01</v>
      </c>
      <c r="AKD165" s="0" t="n">
        <v>3</v>
      </c>
      <c r="AKE165" s="0" t="n">
        <v>1.01</v>
      </c>
      <c r="AKJ165" s="0" t="n">
        <v>1.7</v>
      </c>
      <c r="AKK165" s="0" t="n">
        <v>0</v>
      </c>
      <c r="AKV165" s="18"/>
      <c r="ALN165" s="0" t="n">
        <v>1</v>
      </c>
      <c r="ALO165" s="0" t="n">
        <v>60</v>
      </c>
      <c r="ALP165" s="0" t="n">
        <v>1</v>
      </c>
      <c r="ALQ165" s="0" t="n">
        <v>1.05</v>
      </c>
      <c r="ALR165" s="0" t="n">
        <v>1</v>
      </c>
    </row>
    <row r="166" s="24" customFormat="true" ht="14.25" hidden="false" customHeight="true" outlineLevel="0" collapsed="false">
      <c r="A166" s="37" t="s">
        <v>628</v>
      </c>
      <c r="B166" s="23" t="n">
        <v>42900</v>
      </c>
      <c r="C166" s="24" t="n">
        <v>2</v>
      </c>
      <c r="D166" s="25" t="n">
        <v>42857</v>
      </c>
      <c r="E166" s="23" t="n">
        <v>33395</v>
      </c>
      <c r="F166" s="14" t="n">
        <f aca="false">(B166-E166)/365.25</f>
        <v>26.0232717316906</v>
      </c>
      <c r="G166" s="14" t="n">
        <f aca="false">(B166-D166)/365.25</f>
        <v>0.11772758384668</v>
      </c>
      <c r="H166" s="21" t="s">
        <v>228</v>
      </c>
      <c r="I166" s="21" t="s">
        <v>240</v>
      </c>
      <c r="J166" s="21" t="s">
        <v>183</v>
      </c>
      <c r="K166" s="21" t="n">
        <v>8</v>
      </c>
      <c r="L166" s="26" t="n">
        <v>85</v>
      </c>
      <c r="M166" s="24" t="n">
        <v>1.68</v>
      </c>
      <c r="N166" s="27" t="n">
        <f aca="false">L166/(M166*M166)</f>
        <v>30.1162131519274</v>
      </c>
      <c r="O166" s="26" t="n">
        <v>0</v>
      </c>
      <c r="P166" s="26" t="n">
        <v>0</v>
      </c>
      <c r="Q166" s="26" t="n">
        <v>0</v>
      </c>
      <c r="R166" s="26" t="n">
        <v>0</v>
      </c>
      <c r="S166" s="26" t="n">
        <v>0</v>
      </c>
      <c r="T166" s="26" t="n">
        <v>0</v>
      </c>
      <c r="U166" s="19" t="n">
        <v>0</v>
      </c>
      <c r="V166" s="19" t="n">
        <v>0</v>
      </c>
      <c r="W166" s="26" t="n">
        <v>0</v>
      </c>
      <c r="X166" s="26" t="n">
        <v>0</v>
      </c>
      <c r="Y166" s="26" t="n">
        <v>1</v>
      </c>
      <c r="Z166" s="26" t="n">
        <v>2</v>
      </c>
      <c r="AA166" s="26" t="n">
        <v>90</v>
      </c>
      <c r="AB166" s="26" t="s">
        <v>308</v>
      </c>
      <c r="AC166" s="26" t="n">
        <v>1</v>
      </c>
      <c r="AD166" s="26" t="n">
        <v>10</v>
      </c>
      <c r="AE166" s="26" t="n">
        <v>1</v>
      </c>
      <c r="AF166" s="26" t="n">
        <v>0</v>
      </c>
      <c r="AG166" s="26" t="n">
        <v>1</v>
      </c>
      <c r="AH166" s="26" t="n">
        <v>4</v>
      </c>
      <c r="AI166" s="26" t="n">
        <v>0</v>
      </c>
      <c r="AJ166" s="26" t="n">
        <v>0</v>
      </c>
      <c r="AK166" s="26" t="n">
        <v>0</v>
      </c>
      <c r="AL166" s="26" t="n">
        <v>0</v>
      </c>
      <c r="AM166" s="26" t="n">
        <v>0</v>
      </c>
      <c r="AN166" s="26" t="n">
        <v>0</v>
      </c>
      <c r="AO166" s="26" t="n">
        <v>0</v>
      </c>
      <c r="AP166" s="26" t="n">
        <v>0</v>
      </c>
      <c r="AQ166" s="26" t="n">
        <v>0</v>
      </c>
      <c r="AR166" s="26" t="n">
        <v>0</v>
      </c>
      <c r="AS166" s="26" t="n">
        <v>0</v>
      </c>
      <c r="AT166" s="26" t="n">
        <v>0</v>
      </c>
      <c r="AU166" s="26" t="n">
        <v>0</v>
      </c>
      <c r="AV166" s="26" t="n">
        <v>0</v>
      </c>
      <c r="AW166" s="26" t="n">
        <v>0</v>
      </c>
      <c r="AX166" s="26" t="n">
        <v>0</v>
      </c>
      <c r="AY166" s="26" t="n">
        <v>0</v>
      </c>
      <c r="AZ166" s="26" t="n">
        <v>0</v>
      </c>
      <c r="BA166" s="26" t="n">
        <v>0</v>
      </c>
      <c r="BB166" s="26" t="n">
        <v>1</v>
      </c>
      <c r="BC166" s="26" t="n">
        <v>0</v>
      </c>
      <c r="BD166" s="26" t="n">
        <v>1</v>
      </c>
      <c r="BE166" s="26" t="n">
        <v>4</v>
      </c>
      <c r="BF166" s="26" t="n">
        <v>0</v>
      </c>
      <c r="BG166" s="26" t="n">
        <v>0</v>
      </c>
      <c r="BH166" s="26" t="n">
        <v>0</v>
      </c>
      <c r="BI166" s="26" t="n">
        <v>0</v>
      </c>
      <c r="BJ166" s="26" t="n">
        <v>1</v>
      </c>
      <c r="BK166" s="26" t="n">
        <v>0</v>
      </c>
      <c r="BL166" s="26" t="n">
        <v>1</v>
      </c>
      <c r="BM166" s="26" t="n">
        <v>5</v>
      </c>
      <c r="BN166" s="26" t="n">
        <v>1</v>
      </c>
      <c r="BO166" s="26" t="n">
        <v>0</v>
      </c>
      <c r="BP166" s="26" t="n">
        <v>1</v>
      </c>
      <c r="BQ166" s="26" t="n">
        <v>3</v>
      </c>
      <c r="BR166" s="26" t="n">
        <v>1</v>
      </c>
      <c r="BS166" s="26" t="n">
        <v>2</v>
      </c>
      <c r="BT166" s="26" t="n">
        <v>3</v>
      </c>
      <c r="BU166" s="26" t="n">
        <v>3</v>
      </c>
      <c r="BV166" s="26" t="n">
        <v>1</v>
      </c>
      <c r="BW166" s="26" t="n">
        <v>1</v>
      </c>
      <c r="BX166" s="26" t="n">
        <v>3</v>
      </c>
      <c r="BY166" s="26" t="n">
        <v>3</v>
      </c>
      <c r="BZ166" s="26" t="n">
        <v>3</v>
      </c>
      <c r="CA166" s="26" t="n">
        <v>4</v>
      </c>
      <c r="CB166" s="26" t="n">
        <v>5</v>
      </c>
      <c r="CC166" s="26" t="n">
        <v>5</v>
      </c>
      <c r="CD166" s="26" t="n">
        <v>5</v>
      </c>
      <c r="CE166" s="26" t="n">
        <v>5</v>
      </c>
      <c r="CF166" s="26" t="n">
        <v>5</v>
      </c>
      <c r="CG166" s="26" t="n">
        <v>5</v>
      </c>
      <c r="CH166" s="26" t="n">
        <v>5</v>
      </c>
      <c r="CI166" s="26" t="n">
        <v>5</v>
      </c>
      <c r="CJ166" s="26" t="n">
        <v>5</v>
      </c>
      <c r="CK166" s="26" t="n">
        <v>10</v>
      </c>
      <c r="CL166" s="24" t="s">
        <v>242</v>
      </c>
      <c r="CM166" s="24" t="n">
        <v>36.5</v>
      </c>
      <c r="CN166" s="27" t="n">
        <v>88.3</v>
      </c>
      <c r="CO166" s="27" t="n">
        <v>80.4</v>
      </c>
      <c r="CP166" s="27" t="n">
        <v>28.2</v>
      </c>
      <c r="CQ166" s="24" t="n">
        <v>73.82</v>
      </c>
      <c r="CR166" s="24" t="n">
        <v>0</v>
      </c>
      <c r="CS166" s="24" t="n">
        <v>25.61</v>
      </c>
      <c r="CT166" s="24" t="n">
        <v>0</v>
      </c>
      <c r="CU166" s="24" t="n">
        <v>0.57</v>
      </c>
      <c r="CV166" s="24" t="n">
        <v>0</v>
      </c>
      <c r="CW166" s="24" t="n">
        <v>0</v>
      </c>
      <c r="CX166" s="24" t="n">
        <v>0</v>
      </c>
      <c r="CY166" s="24" t="n">
        <v>0</v>
      </c>
      <c r="CZ166" s="24" t="n">
        <v>0</v>
      </c>
      <c r="DA166" s="24" t="n">
        <v>0</v>
      </c>
      <c r="DB166" s="24" t="n">
        <v>1.17</v>
      </c>
      <c r="DC166" s="24" t="n">
        <v>31.76</v>
      </c>
      <c r="DD166" s="24" t="n">
        <v>23.3</v>
      </c>
      <c r="DE166" s="24" t="n">
        <v>26.08</v>
      </c>
      <c r="DF166" s="24" t="n">
        <v>0</v>
      </c>
      <c r="DG166" s="24" t="n">
        <v>0</v>
      </c>
      <c r="DH166" s="24" t="n">
        <v>0</v>
      </c>
      <c r="DU166" s="24" t="n">
        <v>2.1</v>
      </c>
      <c r="DV166" s="24" t="n">
        <v>1</v>
      </c>
      <c r="DW166" s="24" t="n">
        <v>47</v>
      </c>
      <c r="DX166" s="24" t="n">
        <v>2</v>
      </c>
      <c r="DY166" s="24" t="n">
        <v>0.27</v>
      </c>
      <c r="DZ166" s="24" t="n">
        <v>3</v>
      </c>
      <c r="EG166" s="28"/>
      <c r="EY166" s="24" t="n">
        <v>0</v>
      </c>
      <c r="GJ166" s="27" t="n">
        <v>1.9</v>
      </c>
      <c r="GK166" s="27" t="n">
        <v>1</v>
      </c>
      <c r="GL166" s="27" t="n">
        <v>1</v>
      </c>
      <c r="GM166" s="27"/>
      <c r="GN166" s="27" t="n">
        <f aca="false">5.29*3</f>
        <v>15.87</v>
      </c>
      <c r="GO166" s="27"/>
      <c r="GP166" s="27"/>
      <c r="GQ166" s="27"/>
      <c r="GR166" s="27"/>
      <c r="GS166" s="27"/>
      <c r="GT166" s="27"/>
      <c r="GU166" s="27" t="n">
        <v>0.57</v>
      </c>
      <c r="GV166" s="27" t="n">
        <v>0.56</v>
      </c>
      <c r="GW166" s="27"/>
      <c r="GX166" s="27"/>
      <c r="GY166" s="27" t="n">
        <v>0</v>
      </c>
      <c r="GZ166" s="27" t="n">
        <v>0</v>
      </c>
      <c r="HA166" s="27" t="n">
        <v>0</v>
      </c>
      <c r="HB166" s="24" t="n">
        <v>0</v>
      </c>
      <c r="HC166" s="24" t="s">
        <v>243</v>
      </c>
      <c r="HD166" s="24" t="n">
        <v>38</v>
      </c>
      <c r="HE166" s="27" t="n">
        <v>87.8</v>
      </c>
      <c r="HF166" s="27" t="n">
        <v>80.4</v>
      </c>
      <c r="HG166" s="27" t="n">
        <v>29.1</v>
      </c>
      <c r="HH166" s="24" t="n">
        <v>71.17</v>
      </c>
      <c r="HI166" s="24" t="n">
        <v>0</v>
      </c>
      <c r="HJ166" s="24" t="n">
        <v>25.61</v>
      </c>
      <c r="HK166" s="24" t="n">
        <v>0</v>
      </c>
      <c r="HL166" s="24" t="n">
        <v>3.22</v>
      </c>
      <c r="HM166" s="24" t="n">
        <v>0</v>
      </c>
      <c r="HN166" s="24" t="n">
        <v>0</v>
      </c>
      <c r="HO166" s="24" t="n">
        <v>0</v>
      </c>
      <c r="HP166" s="24" t="n">
        <v>0</v>
      </c>
      <c r="HQ166" s="24" t="n">
        <v>0</v>
      </c>
      <c r="HR166" s="24" t="n">
        <v>0</v>
      </c>
      <c r="HS166" s="24" t="n">
        <v>1.08</v>
      </c>
      <c r="HT166" s="24" t="n">
        <v>31.76</v>
      </c>
      <c r="HU166" s="24" t="n">
        <v>22.19</v>
      </c>
      <c r="HV166" s="24" t="n">
        <v>26.38</v>
      </c>
      <c r="HW166" s="24" t="n">
        <v>0</v>
      </c>
      <c r="HX166" s="24" t="n">
        <v>0</v>
      </c>
      <c r="HY166" s="24" t="n">
        <v>0</v>
      </c>
      <c r="IL166" s="24" t="n">
        <v>2.1</v>
      </c>
      <c r="IM166" s="24" t="n">
        <v>1</v>
      </c>
      <c r="IN166" s="24" t="n">
        <v>47</v>
      </c>
      <c r="IO166" s="24" t="n">
        <v>2</v>
      </c>
      <c r="IP166" s="24" t="n">
        <v>0.27</v>
      </c>
      <c r="IQ166" s="24" t="n">
        <v>3</v>
      </c>
      <c r="IX166" s="28"/>
      <c r="JP166" s="24" t="n">
        <v>0</v>
      </c>
      <c r="LA166" s="27" t="n">
        <v>1.9</v>
      </c>
      <c r="LB166" s="27" t="n">
        <v>1</v>
      </c>
      <c r="LC166" s="27" t="n">
        <v>1</v>
      </c>
      <c r="LD166" s="27"/>
      <c r="LE166" s="27" t="n">
        <f aca="false">5.29*3</f>
        <v>15.87</v>
      </c>
      <c r="LF166" s="27"/>
      <c r="LG166" s="27"/>
      <c r="LH166" s="27"/>
      <c r="LI166" s="27"/>
      <c r="LJ166" s="27"/>
      <c r="LK166" s="27"/>
      <c r="LL166" s="27" t="n">
        <v>1.12</v>
      </c>
      <c r="LM166" s="27" t="n">
        <v>0.27</v>
      </c>
      <c r="LN166" s="27"/>
      <c r="LO166" s="27"/>
      <c r="LP166" s="27" t="n">
        <v>0</v>
      </c>
      <c r="LQ166" s="27" t="n">
        <v>0</v>
      </c>
      <c r="LR166" s="27" t="n">
        <v>0</v>
      </c>
      <c r="LS166" s="24" t="n">
        <v>0</v>
      </c>
      <c r="LT166" s="24" t="s">
        <v>244</v>
      </c>
      <c r="LU166" s="24" t="n">
        <v>24.5</v>
      </c>
      <c r="LV166" s="27" t="n">
        <v>84.2</v>
      </c>
      <c r="LW166" s="27" t="n">
        <v>80.4</v>
      </c>
      <c r="LX166" s="27" t="n">
        <v>11.9</v>
      </c>
      <c r="LY166" s="24" t="n">
        <v>97.51</v>
      </c>
      <c r="LZ166" s="24" t="n">
        <v>0</v>
      </c>
      <c r="MA166" s="24" t="n">
        <v>2.49</v>
      </c>
      <c r="MB166" s="24" t="n">
        <v>0</v>
      </c>
      <c r="MC166" s="24" t="n">
        <v>0</v>
      </c>
      <c r="MD166" s="24" t="n">
        <v>0</v>
      </c>
      <c r="ME166" s="24" t="n">
        <v>0</v>
      </c>
      <c r="MF166" s="24" t="n">
        <v>0</v>
      </c>
      <c r="MG166" s="24" t="n">
        <v>0</v>
      </c>
      <c r="MH166" s="24" t="n">
        <v>0</v>
      </c>
      <c r="MI166" s="24" t="n">
        <v>0</v>
      </c>
      <c r="MJ166" s="24" t="n">
        <v>0</v>
      </c>
      <c r="MK166" s="24" t="n">
        <v>3.13</v>
      </c>
      <c r="ML166" s="24" t="n">
        <v>26.34</v>
      </c>
      <c r="MM166" s="24" t="n">
        <v>45.74</v>
      </c>
      <c r="MN166" s="24" t="n">
        <v>0</v>
      </c>
      <c r="MO166" s="24" t="n">
        <v>0</v>
      </c>
      <c r="MP166" s="24" t="n">
        <v>0</v>
      </c>
      <c r="NC166" s="24" t="n">
        <v>0</v>
      </c>
      <c r="ND166" s="24" t="n">
        <v>0</v>
      </c>
      <c r="NO166" s="28"/>
      <c r="OG166" s="24" t="n">
        <v>0</v>
      </c>
      <c r="PR166" s="27" t="n">
        <v>6.4</v>
      </c>
      <c r="PS166" s="27" t="n">
        <v>1</v>
      </c>
      <c r="PT166" s="27" t="n">
        <v>2</v>
      </c>
      <c r="PU166" s="27"/>
      <c r="PV166" s="27" t="n">
        <f aca="false">1.24*2</f>
        <v>2.48</v>
      </c>
      <c r="PW166" s="27" t="n">
        <v>1</v>
      </c>
      <c r="PX166" s="27"/>
      <c r="PY166" s="27" t="n">
        <f aca="false">1.24*3+0.62+0.93+3.18+1.59+3.73+7.46</f>
        <v>21.23</v>
      </c>
      <c r="PZ166" s="27"/>
      <c r="QA166" s="27"/>
      <c r="QB166" s="27"/>
      <c r="QC166" s="27" t="n">
        <v>1.61</v>
      </c>
      <c r="QD166" s="27" t="n">
        <v>1.46</v>
      </c>
      <c r="QE166" s="27"/>
      <c r="QF166" s="27"/>
      <c r="QG166" s="27" t="n">
        <v>0</v>
      </c>
      <c r="QH166" s="27" t="n">
        <v>0</v>
      </c>
      <c r="QI166" s="27" t="n">
        <v>0</v>
      </c>
      <c r="QJ166" s="24" t="n">
        <v>0</v>
      </c>
      <c r="QK166" s="24" t="s">
        <v>245</v>
      </c>
      <c r="QL166" s="24" t="n">
        <v>19.5</v>
      </c>
      <c r="QM166" s="27" t="n">
        <v>76</v>
      </c>
      <c r="QN166" s="27" t="n">
        <v>80.4</v>
      </c>
      <c r="QO166" s="27" t="n">
        <v>10.9</v>
      </c>
      <c r="QP166" s="24" t="n">
        <v>99.87</v>
      </c>
      <c r="QQ166" s="24" t="n">
        <v>0</v>
      </c>
      <c r="QR166" s="24" t="n">
        <v>0</v>
      </c>
      <c r="QS166" s="24" t="n">
        <v>0</v>
      </c>
      <c r="QT166" s="24" t="n">
        <v>0.13</v>
      </c>
      <c r="QU166" s="24" t="n">
        <v>0</v>
      </c>
      <c r="QV166" s="24" t="n">
        <v>0</v>
      </c>
      <c r="QW166" s="24" t="n">
        <v>0</v>
      </c>
      <c r="QX166" s="24" t="n">
        <v>0</v>
      </c>
      <c r="QY166" s="24" t="n">
        <v>0</v>
      </c>
      <c r="QZ166" s="24" t="n">
        <v>0</v>
      </c>
      <c r="RA166" s="24" t="n">
        <v>0.1</v>
      </c>
      <c r="RB166" s="24" t="n">
        <v>0</v>
      </c>
      <c r="RC166" s="24" t="n">
        <v>17.25</v>
      </c>
      <c r="RD166" s="24" t="n">
        <v>40.01</v>
      </c>
      <c r="RE166" s="24" t="n">
        <v>0</v>
      </c>
      <c r="RF166" s="24" t="n">
        <v>0</v>
      </c>
      <c r="RG166" s="24" t="n">
        <v>0</v>
      </c>
      <c r="RT166" s="24" t="n">
        <v>4.5</v>
      </c>
      <c r="RU166" s="24" t="n">
        <v>1</v>
      </c>
      <c r="RV166" s="24" t="n">
        <v>34</v>
      </c>
      <c r="RW166" s="24" t="n">
        <v>2</v>
      </c>
      <c r="RX166" s="24" t="n">
        <v>0.13</v>
      </c>
      <c r="RY166" s="24" t="n">
        <v>1</v>
      </c>
      <c r="RZ166" s="24" t="n">
        <v>52</v>
      </c>
      <c r="SA166" s="24" t="n">
        <v>2</v>
      </c>
      <c r="SB166" s="24" t="n">
        <v>1.52</v>
      </c>
      <c r="SC166" s="24" t="n">
        <v>2</v>
      </c>
      <c r="SF166" s="28"/>
      <c r="SX166" s="24" t="n">
        <v>1</v>
      </c>
      <c r="SY166" s="24" t="n">
        <v>70</v>
      </c>
      <c r="SZ166" s="24" t="n">
        <v>7</v>
      </c>
      <c r="TA166" s="24" t="n">
        <v>0.7</v>
      </c>
      <c r="TB166" s="24" t="n">
        <v>3</v>
      </c>
      <c r="UI166" s="27" t="n">
        <v>0.72</v>
      </c>
      <c r="UJ166" s="27" t="n">
        <v>1</v>
      </c>
      <c r="UK166" s="27" t="n">
        <v>1</v>
      </c>
      <c r="UL166" s="27"/>
      <c r="UM166" s="27" t="n">
        <f aca="false">1.15+0.56+0.29</f>
        <v>2</v>
      </c>
      <c r="UN166" s="27"/>
      <c r="UO166" s="27"/>
      <c r="UP166" s="27"/>
      <c r="UQ166" s="27"/>
      <c r="UR166" s="27"/>
      <c r="US166" s="27"/>
      <c r="UT166" s="27" t="n">
        <v>0.17</v>
      </c>
      <c r="UU166" s="27" t="n">
        <v>0.17</v>
      </c>
      <c r="UV166" s="27"/>
      <c r="UW166" s="27"/>
      <c r="UX166" s="27" t="n">
        <v>0</v>
      </c>
      <c r="UY166" s="27" t="n">
        <v>0</v>
      </c>
      <c r="UZ166" s="27" t="n">
        <v>0</v>
      </c>
      <c r="VA166" s="24" t="n">
        <v>0</v>
      </c>
      <c r="VB166" s="24" t="s">
        <v>246</v>
      </c>
      <c r="VC166" s="24" t="n">
        <v>27</v>
      </c>
      <c r="VD166" s="27" t="n">
        <v>72</v>
      </c>
      <c r="VE166" s="27" t="n">
        <v>80.4</v>
      </c>
      <c r="VF166" s="27" t="n">
        <v>19.2</v>
      </c>
      <c r="VG166" s="24" t="n">
        <v>86.83</v>
      </c>
      <c r="VH166" s="24" t="n">
        <v>0</v>
      </c>
      <c r="VI166" s="24" t="n">
        <v>0</v>
      </c>
      <c r="VJ166" s="24" t="n">
        <v>0</v>
      </c>
      <c r="VK166" s="24" t="n">
        <v>13.17</v>
      </c>
      <c r="VL166" s="24" t="n">
        <v>0</v>
      </c>
      <c r="VM166" s="24" t="n">
        <v>0</v>
      </c>
      <c r="VN166" s="24" t="n">
        <v>0</v>
      </c>
      <c r="VO166" s="24" t="n">
        <v>0</v>
      </c>
      <c r="VP166" s="24" t="n">
        <v>0</v>
      </c>
      <c r="VQ166" s="24" t="n">
        <v>0</v>
      </c>
      <c r="VR166" s="24" t="n">
        <v>18.28</v>
      </c>
      <c r="VS166" s="24" t="n">
        <v>16.81</v>
      </c>
      <c r="VT166" s="24" t="n">
        <v>9.64</v>
      </c>
      <c r="VU166" s="24" t="n">
        <v>19.74</v>
      </c>
      <c r="VV166" s="24" t="n">
        <v>0</v>
      </c>
      <c r="VW166" s="24" t="n">
        <v>0</v>
      </c>
      <c r="VX166" s="24" t="n">
        <v>0</v>
      </c>
      <c r="WK166" s="24" t="n">
        <v>0</v>
      </c>
      <c r="WL166" s="24" t="n">
        <v>0</v>
      </c>
      <c r="WW166" s="28"/>
      <c r="XO166" s="24" t="n">
        <v>0</v>
      </c>
      <c r="YZ166" s="27" t="n">
        <v>1.43</v>
      </c>
      <c r="ZA166" s="27" t="n">
        <v>1</v>
      </c>
      <c r="ZB166" s="27" t="n">
        <v>1</v>
      </c>
      <c r="ZC166" s="27"/>
      <c r="ZD166" s="27" t="n">
        <f aca="false">6.34+2.11+0.08+0.37</f>
        <v>8.9</v>
      </c>
      <c r="ZE166" s="27"/>
      <c r="ZF166" s="27"/>
      <c r="ZG166" s="27"/>
      <c r="ZH166" s="27"/>
      <c r="ZI166" s="27"/>
      <c r="ZJ166" s="27"/>
      <c r="ZK166" s="27" t="n">
        <v>3.5</v>
      </c>
      <c r="ZL166" s="27" t="n">
        <v>3.5</v>
      </c>
      <c r="ZM166" s="27"/>
      <c r="ZN166" s="27"/>
      <c r="ZO166" s="27" t="n">
        <v>0</v>
      </c>
      <c r="ZP166" s="27" t="n">
        <v>0</v>
      </c>
      <c r="ZQ166" s="27" t="n">
        <v>0</v>
      </c>
      <c r="ZR166" s="24" t="n">
        <v>0</v>
      </c>
      <c r="ZS166" s="24" t="s">
        <v>247</v>
      </c>
      <c r="ZT166" s="24" t="n">
        <v>37</v>
      </c>
      <c r="ZU166" s="27" t="n">
        <v>79.2</v>
      </c>
      <c r="ZV166" s="27" t="n">
        <v>80.4</v>
      </c>
      <c r="ZW166" s="27" t="n">
        <v>12.1</v>
      </c>
      <c r="ZX166" s="24" t="n">
        <v>96.75</v>
      </c>
      <c r="ZY166" s="24" t="n">
        <v>0</v>
      </c>
      <c r="ZZ166" s="24" t="n">
        <v>0</v>
      </c>
      <c r="AAA166" s="24" t="n">
        <v>0</v>
      </c>
      <c r="AAB166" s="24" t="n">
        <v>3.25</v>
      </c>
      <c r="AAC166" s="24" t="n">
        <v>0</v>
      </c>
      <c r="AAD166" s="24" t="n">
        <v>0</v>
      </c>
      <c r="AAE166" s="24" t="n">
        <v>0</v>
      </c>
      <c r="AAF166" s="24" t="n">
        <v>0</v>
      </c>
      <c r="AAG166" s="24" t="n">
        <v>0</v>
      </c>
      <c r="AAH166" s="24" t="n">
        <v>0</v>
      </c>
      <c r="AAI166" s="24" t="n">
        <v>9.06</v>
      </c>
      <c r="AAJ166" s="24" t="n">
        <v>18.15</v>
      </c>
      <c r="AAK166" s="24" t="n">
        <v>25.66</v>
      </c>
      <c r="AAL166" s="24" t="n">
        <v>15.61</v>
      </c>
      <c r="AAM166" s="24" t="n">
        <v>0</v>
      </c>
      <c r="AAN166" s="24" t="n">
        <v>0</v>
      </c>
      <c r="AAO166" s="24" t="n">
        <v>0</v>
      </c>
      <c r="ABB166" s="24" t="n">
        <v>17.8</v>
      </c>
      <c r="ABC166" s="24" t="n">
        <v>1</v>
      </c>
      <c r="ABD166" s="24" t="n">
        <v>47</v>
      </c>
      <c r="ABE166" s="24" t="n">
        <v>3</v>
      </c>
      <c r="ABF166" s="24" t="n">
        <v>2.28</v>
      </c>
      <c r="ABG166" s="24" t="n">
        <v>3</v>
      </c>
      <c r="ABH166" s="24" t="n">
        <v>26</v>
      </c>
      <c r="ABI166" s="24" t="n">
        <v>1</v>
      </c>
      <c r="ABJ166" s="24" t="n">
        <v>0.76</v>
      </c>
      <c r="ABK166" s="24" t="n">
        <v>2</v>
      </c>
      <c r="ABN166" s="28"/>
      <c r="ACF166" s="24" t="n">
        <v>0</v>
      </c>
      <c r="ADQ166" s="27" t="n">
        <v>1.27</v>
      </c>
      <c r="ADR166" s="27" t="n">
        <v>1</v>
      </c>
      <c r="ADS166" s="27" t="n">
        <v>1</v>
      </c>
      <c r="ADT166" s="27"/>
      <c r="ADU166" s="27" t="n">
        <f aca="false">6.34+1.06</f>
        <v>7.4</v>
      </c>
      <c r="ADV166" s="27"/>
      <c r="ADW166" s="27"/>
      <c r="ADX166" s="27"/>
      <c r="ADY166" s="27"/>
      <c r="ADZ166" s="27"/>
      <c r="AEA166" s="27"/>
      <c r="AEB166" s="27" t="n">
        <v>2.86</v>
      </c>
      <c r="AEC166" s="27" t="n">
        <v>2.86</v>
      </c>
      <c r="AED166" s="27"/>
      <c r="AEE166" s="27"/>
      <c r="AEF166" s="27" t="n">
        <v>0</v>
      </c>
      <c r="AEG166" s="27" t="n">
        <v>0</v>
      </c>
      <c r="AEH166" s="27" t="n">
        <v>0</v>
      </c>
      <c r="AEI166" s="24" t="n">
        <v>0</v>
      </c>
      <c r="AEJ166" s="24" t="s">
        <v>248</v>
      </c>
      <c r="AEK166" s="24" t="n">
        <v>33</v>
      </c>
      <c r="AEL166" s="27" t="n">
        <v>122.1</v>
      </c>
      <c r="AEM166" s="27" t="n">
        <v>80.4</v>
      </c>
      <c r="AEN166" s="27" t="n">
        <v>14.1</v>
      </c>
      <c r="AEO166" s="24" t="n">
        <v>91.87</v>
      </c>
      <c r="AEP166" s="24" t="n">
        <v>0</v>
      </c>
      <c r="AEQ166" s="24" t="n">
        <v>5.85</v>
      </c>
      <c r="AER166" s="24" t="n">
        <v>0</v>
      </c>
      <c r="AES166" s="24" t="n">
        <v>2.28</v>
      </c>
      <c r="AET166" s="24" t="n">
        <v>0</v>
      </c>
      <c r="AEU166" s="24" t="n">
        <v>0</v>
      </c>
      <c r="AEV166" s="24" t="n">
        <v>0</v>
      </c>
      <c r="AEW166" s="24" t="n">
        <v>0</v>
      </c>
      <c r="AEX166" s="24" t="n">
        <v>0</v>
      </c>
      <c r="AEY166" s="24" t="n">
        <v>0</v>
      </c>
      <c r="AEZ166" s="24" t="n">
        <v>0</v>
      </c>
      <c r="AFA166" s="24" t="n">
        <v>23.39</v>
      </c>
      <c r="AFB166" s="24" t="n">
        <v>10.3</v>
      </c>
      <c r="AFC166" s="24" t="n">
        <v>49.9</v>
      </c>
      <c r="AFD166" s="24" t="n">
        <v>0</v>
      </c>
      <c r="AFE166" s="24" t="n">
        <v>0</v>
      </c>
      <c r="AFF166" s="24" t="n">
        <v>0</v>
      </c>
      <c r="AFS166" s="24" t="n">
        <v>0</v>
      </c>
      <c r="AFT166" s="24" t="n">
        <v>1</v>
      </c>
      <c r="AFU166" s="24" t="n">
        <v>34</v>
      </c>
      <c r="AFV166" s="24" t="n">
        <v>1</v>
      </c>
      <c r="AFW166" s="24" t="n">
        <v>1.14</v>
      </c>
      <c r="AFX166" s="24" t="n">
        <v>1</v>
      </c>
      <c r="AGE166" s="28"/>
      <c r="AGW166" s="24" t="n">
        <v>0</v>
      </c>
      <c r="AIH166" s="27" t="n">
        <v>4.78</v>
      </c>
      <c r="AII166" s="27" t="n">
        <v>1</v>
      </c>
      <c r="AIJ166" s="27" t="n">
        <v>1</v>
      </c>
      <c r="AIK166" s="27"/>
      <c r="AIL166" s="27" t="n">
        <v>4.23</v>
      </c>
      <c r="AIM166" s="27" t="n">
        <v>2</v>
      </c>
      <c r="AIN166" s="27"/>
      <c r="AIO166" s="27" t="n">
        <f aca="false">1.14+9.52+1.68</f>
        <v>12.34</v>
      </c>
      <c r="AIP166" s="27"/>
      <c r="AIQ166" s="27"/>
      <c r="AIR166" s="27"/>
      <c r="AIS166" s="27" t="n">
        <v>10.43</v>
      </c>
      <c r="AIT166" s="27" t="n">
        <v>22.43</v>
      </c>
      <c r="AIU166" s="27"/>
      <c r="AIV166" s="27"/>
      <c r="AIW166" s="27" t="n">
        <v>0</v>
      </c>
      <c r="AIX166" s="27" t="n">
        <v>0</v>
      </c>
      <c r="AIY166" s="27" t="n">
        <v>0</v>
      </c>
      <c r="AIZ166" s="24" t="n">
        <v>0</v>
      </c>
      <c r="AJA166" s="24" t="s">
        <v>249</v>
      </c>
      <c r="AJB166" s="24" t="n">
        <v>25</v>
      </c>
      <c r="AJC166" s="27" t="n">
        <v>87.3</v>
      </c>
      <c r="AJD166" s="27" t="n">
        <v>80.4</v>
      </c>
      <c r="AJE166" s="27" t="n">
        <v>8.8</v>
      </c>
      <c r="AJF166" s="24" t="n">
        <v>100</v>
      </c>
      <c r="AJG166" s="24" t="n">
        <v>0</v>
      </c>
      <c r="AJH166" s="24" t="n">
        <v>0</v>
      </c>
      <c r="AJI166" s="24" t="n">
        <v>0</v>
      </c>
      <c r="AJJ166" s="24" t="n">
        <v>0</v>
      </c>
      <c r="AJK166" s="24" t="n">
        <v>0</v>
      </c>
      <c r="AJL166" s="24" t="n">
        <v>0</v>
      </c>
      <c r="AJM166" s="24" t="n">
        <v>0</v>
      </c>
      <c r="AJN166" s="24" t="n">
        <v>0</v>
      </c>
      <c r="AJO166" s="24" t="n">
        <v>0</v>
      </c>
      <c r="AJP166" s="24" t="n">
        <v>0</v>
      </c>
      <c r="AJQ166" s="24" t="n">
        <v>0</v>
      </c>
      <c r="AJR166" s="24" t="n">
        <v>11.94</v>
      </c>
      <c r="AJS166" s="24" t="n">
        <v>34.17</v>
      </c>
      <c r="AJT166" s="24" t="n">
        <v>24.72</v>
      </c>
      <c r="AJU166" s="24" t="n">
        <v>0</v>
      </c>
      <c r="AJV166" s="24" t="n">
        <v>6.9</v>
      </c>
      <c r="AJW166" s="24" t="n">
        <v>3</v>
      </c>
      <c r="AJX166" s="24" t="n">
        <v>50</v>
      </c>
      <c r="AJZ166" s="24" t="n">
        <v>2</v>
      </c>
      <c r="AKD166" s="24" t="n">
        <v>50</v>
      </c>
      <c r="AKF166" s="24" t="n">
        <v>2</v>
      </c>
      <c r="AKJ166" s="24" t="n">
        <v>0</v>
      </c>
      <c r="AKK166" s="24" t="n">
        <v>0</v>
      </c>
      <c r="AKV166" s="28"/>
      <c r="ALN166" s="24" t="n">
        <v>1</v>
      </c>
      <c r="ALO166" s="24" t="n">
        <v>50</v>
      </c>
      <c r="ALP166" s="24" t="n">
        <v>1</v>
      </c>
      <c r="ALQ166" s="24" t="n">
        <v>1.86</v>
      </c>
      <c r="ALR166" s="24" t="n">
        <v>3</v>
      </c>
    </row>
    <row r="167" customFormat="false" ht="13.8" hidden="false" customHeight="false" outlineLevel="0" collapsed="false">
      <c r="A167" s="36" t="s">
        <v>629</v>
      </c>
      <c r="B167" s="12" t="n">
        <v>42904</v>
      </c>
      <c r="C167" s="0" t="n">
        <v>1</v>
      </c>
      <c r="D167" s="13" t="n">
        <v>42849</v>
      </c>
      <c r="E167" s="12" t="n">
        <v>31551</v>
      </c>
      <c r="F167" s="14" t="n">
        <f aca="false">(B167-E167)/365.25</f>
        <v>31.0828199863107</v>
      </c>
      <c r="G167" s="14" t="n">
        <f aca="false">(B167-D167)/365.25</f>
        <v>0.150581793292266</v>
      </c>
      <c r="H167" s="15" t="s">
        <v>183</v>
      </c>
      <c r="I167" s="15" t="s">
        <v>523</v>
      </c>
      <c r="J167" s="15" t="s">
        <v>181</v>
      </c>
      <c r="K167" s="15" t="n">
        <v>8</v>
      </c>
      <c r="L167" s="19" t="n">
        <v>56</v>
      </c>
      <c r="M167" s="0" t="n">
        <v>1.61</v>
      </c>
      <c r="N167" s="16" t="n">
        <f aca="false">L167/(M167*M167)</f>
        <v>21.6041047799082</v>
      </c>
      <c r="O167" s="19" t="n">
        <v>0</v>
      </c>
      <c r="P167" s="19" t="n">
        <v>0</v>
      </c>
      <c r="Q167" s="19" t="n">
        <v>0</v>
      </c>
      <c r="R167" s="19" t="n">
        <v>0</v>
      </c>
      <c r="S167" s="19" t="n">
        <v>0</v>
      </c>
      <c r="T167" s="19" t="n">
        <v>0</v>
      </c>
      <c r="U167" s="19" t="n">
        <v>0</v>
      </c>
      <c r="V167" s="19" t="n">
        <v>0</v>
      </c>
      <c r="W167" s="19" t="n">
        <v>0</v>
      </c>
      <c r="X167" s="19" t="n">
        <v>0</v>
      </c>
      <c r="Y167" s="19" t="n">
        <v>0</v>
      </c>
      <c r="Z167" s="19" t="n">
        <v>0</v>
      </c>
      <c r="AA167" s="19" t="n">
        <v>0</v>
      </c>
      <c r="AB167" s="19" t="n">
        <v>0</v>
      </c>
      <c r="AC167" s="19" t="n">
        <v>0</v>
      </c>
      <c r="AD167" s="19" t="n">
        <v>0</v>
      </c>
      <c r="AE167" s="19" t="n">
        <v>1</v>
      </c>
      <c r="AF167" s="19" t="n">
        <v>0</v>
      </c>
      <c r="AG167" s="19" t="n">
        <v>1</v>
      </c>
      <c r="AH167" s="19" t="n">
        <v>10</v>
      </c>
      <c r="AI167" s="19" t="n">
        <v>1</v>
      </c>
      <c r="AJ167" s="19" t="n">
        <v>0</v>
      </c>
      <c r="AK167" s="19" t="n">
        <v>1</v>
      </c>
      <c r="AL167" s="19" t="n">
        <v>10</v>
      </c>
      <c r="AM167" s="19" t="n">
        <v>0</v>
      </c>
      <c r="AN167" s="19" t="n">
        <v>0</v>
      </c>
      <c r="AO167" s="19" t="n">
        <v>0</v>
      </c>
      <c r="AP167" s="19" t="n">
        <v>0</v>
      </c>
      <c r="AQ167" s="19" t="n">
        <v>0</v>
      </c>
      <c r="AR167" s="19" t="n">
        <v>0</v>
      </c>
      <c r="AS167" s="19" t="n">
        <v>0</v>
      </c>
      <c r="AT167" s="19" t="n">
        <v>0</v>
      </c>
      <c r="AU167" s="19" t="n">
        <v>0</v>
      </c>
      <c r="AV167" s="19" t="n">
        <v>0</v>
      </c>
      <c r="AW167" s="19" t="n">
        <v>0</v>
      </c>
      <c r="AX167" s="19" t="n">
        <v>0</v>
      </c>
      <c r="AY167" s="19" t="n">
        <v>0</v>
      </c>
      <c r="AZ167" s="19" t="n">
        <v>0</v>
      </c>
      <c r="BA167" s="19" t="n">
        <v>0</v>
      </c>
      <c r="BB167" s="19" t="n">
        <v>0</v>
      </c>
      <c r="BC167" s="19" t="n">
        <v>0</v>
      </c>
      <c r="BD167" s="19" t="n">
        <v>0</v>
      </c>
      <c r="BE167" s="19" t="n">
        <v>0</v>
      </c>
      <c r="BF167" s="19" t="n">
        <v>0</v>
      </c>
      <c r="BG167" s="19" t="n">
        <v>0</v>
      </c>
      <c r="BH167" s="19" t="n">
        <v>0</v>
      </c>
      <c r="BI167" s="19" t="n">
        <v>0</v>
      </c>
      <c r="BJ167" s="19" t="n">
        <v>0</v>
      </c>
      <c r="BK167" s="19" t="n">
        <v>0</v>
      </c>
      <c r="BL167" s="19" t="n">
        <v>0</v>
      </c>
      <c r="BM167" s="19" t="n">
        <v>0</v>
      </c>
      <c r="BN167" s="19" t="n">
        <v>0</v>
      </c>
      <c r="BO167" s="19" t="n">
        <v>0</v>
      </c>
      <c r="BP167" s="19" t="n">
        <v>0</v>
      </c>
      <c r="BQ167" s="19" t="n">
        <v>0</v>
      </c>
      <c r="BR167" s="19" t="n">
        <v>3</v>
      </c>
      <c r="BS167" s="19" t="n">
        <v>2</v>
      </c>
      <c r="BT167" s="19" t="n">
        <v>5</v>
      </c>
      <c r="BU167" s="19" t="n">
        <v>5</v>
      </c>
      <c r="BV167" s="19" t="n">
        <v>2</v>
      </c>
      <c r="BW167" s="19" t="n">
        <v>2</v>
      </c>
      <c r="BX167" s="19" t="n">
        <v>1</v>
      </c>
      <c r="BY167" s="19" t="n">
        <v>1</v>
      </c>
      <c r="BZ167" s="19" t="n">
        <v>2</v>
      </c>
      <c r="CA167" s="19" t="n">
        <v>2</v>
      </c>
      <c r="CB167" s="19" t="n">
        <v>5</v>
      </c>
      <c r="CC167" s="19" t="n">
        <v>5</v>
      </c>
      <c r="CD167" s="19" t="n">
        <v>3</v>
      </c>
      <c r="CE167" s="19" t="n">
        <v>3</v>
      </c>
      <c r="CF167" s="19" t="n">
        <v>5</v>
      </c>
      <c r="CG167" s="19" t="n">
        <v>5</v>
      </c>
      <c r="CH167" s="19" t="n">
        <v>3</v>
      </c>
      <c r="CI167" s="19" t="n">
        <v>4</v>
      </c>
      <c r="CJ167" s="19" t="n">
        <v>2</v>
      </c>
      <c r="CK167" s="19" t="n">
        <v>8</v>
      </c>
      <c r="CL167" s="0" t="s">
        <v>299</v>
      </c>
      <c r="CM167" s="0" t="n">
        <v>17.5</v>
      </c>
      <c r="CN167" s="16" t="n">
        <v>81.9</v>
      </c>
      <c r="CO167" s="16" t="n">
        <v>80.4</v>
      </c>
      <c r="CP167" s="16" t="n">
        <v>12.5</v>
      </c>
      <c r="CQ167" s="0" t="n">
        <v>85.79</v>
      </c>
      <c r="CR167" s="17" t="n">
        <v>0</v>
      </c>
      <c r="CS167" s="0" t="n">
        <v>10.02</v>
      </c>
      <c r="CT167" s="0" t="n">
        <v>0</v>
      </c>
      <c r="CU167" s="0" t="n">
        <v>0</v>
      </c>
      <c r="CV167" s="0" t="n">
        <v>0</v>
      </c>
      <c r="CW167" s="0" t="n">
        <v>4.19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53.51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U167" s="0" t="n">
        <v>0</v>
      </c>
      <c r="DV167" s="0" t="n">
        <v>0</v>
      </c>
      <c r="EG167" s="20"/>
      <c r="EY167" s="0" t="n">
        <v>0</v>
      </c>
      <c r="GJ167" s="16" t="n">
        <v>3.38</v>
      </c>
      <c r="GK167" s="16" t="n">
        <v>1</v>
      </c>
      <c r="GL167" s="16" t="n">
        <v>1</v>
      </c>
      <c r="GM167" s="16"/>
      <c r="GN167" s="16" t="n">
        <v>12.64</v>
      </c>
      <c r="GO167" s="16"/>
      <c r="GP167" s="16"/>
      <c r="GQ167" s="16"/>
      <c r="GR167" s="16"/>
      <c r="GS167" s="16"/>
      <c r="GT167" s="16"/>
      <c r="GU167" s="16" t="n">
        <v>0</v>
      </c>
      <c r="GV167" s="16" t="n">
        <v>0</v>
      </c>
      <c r="GW167" s="16" t="n">
        <v>0</v>
      </c>
      <c r="GX167" s="16" t="n">
        <v>0</v>
      </c>
      <c r="GY167" s="16" t="n">
        <v>0</v>
      </c>
      <c r="GZ167" s="16" t="n">
        <v>0</v>
      </c>
      <c r="HA167" s="16" t="n">
        <v>0</v>
      </c>
      <c r="HB167" s="0" t="n">
        <v>0</v>
      </c>
      <c r="HC167" s="0" t="s">
        <v>300</v>
      </c>
      <c r="HD167" s="0" t="n">
        <v>31</v>
      </c>
      <c r="HE167" s="16" t="n">
        <v>86.2</v>
      </c>
      <c r="HF167" s="16" t="n">
        <v>80.4</v>
      </c>
      <c r="HG167" s="16" t="n">
        <v>19.4</v>
      </c>
      <c r="HH167" s="0" t="n">
        <v>23.44</v>
      </c>
      <c r="HI167" s="17" t="n">
        <v>0</v>
      </c>
      <c r="HJ167" s="0" t="n">
        <v>0</v>
      </c>
      <c r="HK167" s="0" t="n">
        <v>0</v>
      </c>
      <c r="HL167" s="0" t="n">
        <v>0.94</v>
      </c>
      <c r="HM167" s="0" t="n">
        <v>0</v>
      </c>
      <c r="HN167" s="0" t="n">
        <v>75.62</v>
      </c>
      <c r="HO167" s="0" t="n">
        <v>16.83</v>
      </c>
      <c r="HP167" s="0" t="n">
        <v>0</v>
      </c>
      <c r="HQ167" s="0" t="n">
        <v>0</v>
      </c>
      <c r="HR167" s="0" t="n">
        <v>0</v>
      </c>
      <c r="HS167" s="0" t="n">
        <v>0</v>
      </c>
      <c r="HT167" s="0" t="n">
        <v>6.9</v>
      </c>
      <c r="HU167" s="0" t="n">
        <v>42.32</v>
      </c>
      <c r="HV167" s="0" t="n">
        <v>0</v>
      </c>
      <c r="HW167" s="0" t="n">
        <v>0</v>
      </c>
      <c r="HX167" s="0" t="n">
        <v>0</v>
      </c>
      <c r="HY167" s="0" t="n">
        <v>0</v>
      </c>
      <c r="IL167" s="0" t="n">
        <v>0</v>
      </c>
      <c r="IM167" s="0" t="n">
        <v>0</v>
      </c>
      <c r="IX167" s="20"/>
      <c r="JP167" s="0" t="n">
        <v>0</v>
      </c>
      <c r="LA167" s="16" t="n">
        <v>5.06</v>
      </c>
      <c r="LB167" s="16" t="n">
        <v>1</v>
      </c>
      <c r="LC167" s="16" t="n">
        <v>1</v>
      </c>
      <c r="LD167" s="16"/>
      <c r="LE167" s="16" t="n">
        <v>6.74</v>
      </c>
      <c r="LF167" s="16" t="n">
        <v>2</v>
      </c>
      <c r="LG167" s="16"/>
      <c r="LH167" s="16" t="n">
        <v>10.7</v>
      </c>
      <c r="LI167" s="16"/>
      <c r="LJ167" s="16"/>
      <c r="LK167" s="16"/>
      <c r="LL167" s="16" t="n">
        <v>0</v>
      </c>
      <c r="LM167" s="16" t="n">
        <v>0</v>
      </c>
      <c r="LN167" s="16" t="n">
        <v>0</v>
      </c>
      <c r="LO167" s="16" t="n">
        <v>0</v>
      </c>
      <c r="LP167" s="16" t="n">
        <v>5.97</v>
      </c>
      <c r="LQ167" s="16" t="n">
        <v>0</v>
      </c>
      <c r="LR167" s="16" t="n">
        <v>0</v>
      </c>
      <c r="LS167" s="0" t="n">
        <v>1</v>
      </c>
      <c r="LT167" s="0" t="s">
        <v>301</v>
      </c>
      <c r="LU167" s="0" t="n">
        <v>44</v>
      </c>
      <c r="LV167" s="16" t="n">
        <v>88.4</v>
      </c>
      <c r="LW167" s="16" t="n">
        <v>80.4</v>
      </c>
      <c r="LX167" s="16" t="n">
        <v>40</v>
      </c>
      <c r="LY167" s="0" t="n">
        <v>11.38</v>
      </c>
      <c r="LZ167" s="17" t="n">
        <v>0</v>
      </c>
      <c r="MA167" s="0" t="n">
        <v>0</v>
      </c>
      <c r="MB167" s="0" t="n">
        <v>0</v>
      </c>
      <c r="MC167" s="0" t="n">
        <v>0</v>
      </c>
      <c r="MD167" s="0" t="n">
        <v>0</v>
      </c>
      <c r="ME167" s="0" t="n">
        <v>88.62</v>
      </c>
      <c r="MF167" s="0" t="n">
        <v>22.58</v>
      </c>
      <c r="MG167" s="0" t="n">
        <v>24.22</v>
      </c>
      <c r="MH167" s="0" t="n">
        <v>0</v>
      </c>
      <c r="MI167" s="0" t="n">
        <v>0</v>
      </c>
      <c r="MJ167" s="0" t="n">
        <v>0</v>
      </c>
      <c r="MK167" s="0" t="n">
        <v>26.59</v>
      </c>
      <c r="ML167" s="0" t="n">
        <v>0.54</v>
      </c>
      <c r="MM167" s="0" t="n">
        <v>0</v>
      </c>
      <c r="MN167" s="0" t="n">
        <v>0</v>
      </c>
      <c r="MO167" s="0" t="n">
        <v>0</v>
      </c>
      <c r="MP167" s="0" t="n">
        <v>0</v>
      </c>
      <c r="NC167" s="0" t="n">
        <v>0</v>
      </c>
      <c r="ND167" s="0" t="n">
        <v>0</v>
      </c>
      <c r="NO167" s="20"/>
      <c r="OG167" s="0" t="n">
        <v>1</v>
      </c>
      <c r="OH167" s="0" t="n">
        <v>40</v>
      </c>
      <c r="OI167" s="0" t="n">
        <v>2</v>
      </c>
      <c r="OJ167" s="0" t="n">
        <v>0.26</v>
      </c>
      <c r="OK167" s="0" t="n">
        <v>3</v>
      </c>
      <c r="PR167" s="16" t="n">
        <v>3.77</v>
      </c>
      <c r="PS167" s="16" t="n">
        <v>1</v>
      </c>
      <c r="PT167" s="16" t="n">
        <v>1</v>
      </c>
      <c r="PU167" s="16"/>
      <c r="PV167" s="16" t="n">
        <v>25.78</v>
      </c>
      <c r="PW167" s="16"/>
      <c r="PX167" s="16"/>
      <c r="PY167" s="16"/>
      <c r="PZ167" s="16"/>
      <c r="QA167" s="16"/>
      <c r="QB167" s="16"/>
      <c r="QC167" s="16" t="n">
        <v>0</v>
      </c>
      <c r="QD167" s="16" t="n">
        <v>0</v>
      </c>
      <c r="QE167" s="16" t="n">
        <v>0</v>
      </c>
      <c r="QF167" s="16" t="n">
        <v>0</v>
      </c>
      <c r="QG167" s="16" t="n">
        <v>0</v>
      </c>
      <c r="QH167" s="16" t="n">
        <v>0</v>
      </c>
      <c r="QI167" s="16" t="n">
        <v>0</v>
      </c>
      <c r="QJ167" s="0" t="n">
        <v>0</v>
      </c>
      <c r="QK167" s="0" t="s">
        <v>207</v>
      </c>
      <c r="QL167" s="0" t="n">
        <v>20.5</v>
      </c>
      <c r="QM167" s="16" t="n">
        <v>85.6</v>
      </c>
      <c r="QN167" s="16" t="n">
        <v>80.4</v>
      </c>
      <c r="QO167" s="16" t="n">
        <v>17.7</v>
      </c>
      <c r="QP167" s="0" t="n">
        <v>63.65</v>
      </c>
      <c r="QQ167" s="17" t="n">
        <v>0</v>
      </c>
      <c r="QR167" s="0" t="n">
        <v>0</v>
      </c>
      <c r="QS167" s="0" t="n">
        <v>0</v>
      </c>
      <c r="QT167" s="0" t="n">
        <v>47.03</v>
      </c>
      <c r="QU167" s="0" t="n">
        <v>0</v>
      </c>
      <c r="QV167" s="0" t="n">
        <v>11.64</v>
      </c>
      <c r="QW167" s="0" t="n">
        <v>0</v>
      </c>
      <c r="QX167" s="0" t="n">
        <v>0</v>
      </c>
      <c r="QY167" s="0" t="n">
        <v>5.03</v>
      </c>
      <c r="QZ167" s="0" t="n">
        <v>0</v>
      </c>
      <c r="RA167" s="0" t="n">
        <v>2.93</v>
      </c>
      <c r="RB167" s="0" t="n">
        <v>24.27</v>
      </c>
      <c r="RC167" s="0" t="n">
        <v>17.25</v>
      </c>
      <c r="RD167" s="0" t="n">
        <v>0</v>
      </c>
      <c r="RE167" s="0" t="n">
        <v>0</v>
      </c>
      <c r="RF167" s="0" t="n">
        <v>0</v>
      </c>
      <c r="RG167" s="0" t="n">
        <v>0</v>
      </c>
      <c r="RT167" s="0" t="n">
        <v>0</v>
      </c>
      <c r="RU167" s="0" t="n">
        <v>0</v>
      </c>
      <c r="SF167" s="20"/>
      <c r="SX167" s="0" t="n">
        <v>0</v>
      </c>
      <c r="UI167" s="16" t="n">
        <v>1.47</v>
      </c>
      <c r="UJ167" s="16" t="n">
        <v>1</v>
      </c>
      <c r="UK167" s="16" t="n">
        <v>1</v>
      </c>
      <c r="UL167" s="16"/>
      <c r="UM167" s="16" t="n">
        <v>2.94</v>
      </c>
      <c r="UN167" s="16"/>
      <c r="UO167" s="16"/>
      <c r="UP167" s="16"/>
      <c r="UQ167" s="16"/>
      <c r="UR167" s="16"/>
      <c r="US167" s="16"/>
      <c r="UT167" s="16" t="n">
        <v>0</v>
      </c>
      <c r="UU167" s="16" t="n">
        <v>0</v>
      </c>
      <c r="UV167" s="16" t="n">
        <v>0</v>
      </c>
      <c r="UW167" s="16" t="n">
        <v>0</v>
      </c>
      <c r="UX167" s="16" t="n">
        <v>0</v>
      </c>
      <c r="UY167" s="16" t="n">
        <v>0</v>
      </c>
      <c r="UZ167" s="16" t="n">
        <v>0</v>
      </c>
      <c r="VA167" s="0" t="n">
        <v>0</v>
      </c>
      <c r="VB167" s="0" t="s">
        <v>208</v>
      </c>
      <c r="VC167" s="0" t="n">
        <v>35</v>
      </c>
      <c r="VD167" s="16" t="n">
        <v>69.2</v>
      </c>
      <c r="VE167" s="16" t="n">
        <v>80.4</v>
      </c>
      <c r="VF167" s="16" t="n">
        <v>24</v>
      </c>
      <c r="VG167" s="0" t="n">
        <v>71.73</v>
      </c>
      <c r="VH167" s="17" t="n">
        <v>0</v>
      </c>
      <c r="VI167" s="0" t="n">
        <v>0</v>
      </c>
      <c r="VJ167" s="0" t="n">
        <v>6.09</v>
      </c>
      <c r="VK167" s="0" t="n">
        <v>19.28</v>
      </c>
      <c r="VL167" s="0" t="n">
        <v>0</v>
      </c>
      <c r="VM167" s="0" t="n">
        <v>2.83</v>
      </c>
      <c r="VN167" s="0" t="n">
        <v>0</v>
      </c>
      <c r="VO167" s="0" t="n">
        <v>0</v>
      </c>
      <c r="VP167" s="0" t="n">
        <v>0</v>
      </c>
      <c r="VQ167" s="0" t="n">
        <v>0</v>
      </c>
      <c r="VR167" s="0" t="n">
        <v>14.46</v>
      </c>
      <c r="VS167" s="0" t="n">
        <v>19.89</v>
      </c>
      <c r="VT167" s="0" t="n">
        <v>24.43</v>
      </c>
      <c r="VU167" s="0" t="n">
        <v>0</v>
      </c>
      <c r="VV167" s="0" t="n">
        <v>0.07</v>
      </c>
      <c r="VW167" s="0" t="n">
        <v>0</v>
      </c>
      <c r="VX167" s="0" t="n">
        <v>0</v>
      </c>
      <c r="WK167" s="0" t="n">
        <v>2</v>
      </c>
      <c r="WL167" s="0" t="n">
        <v>0</v>
      </c>
      <c r="WW167" s="20"/>
      <c r="XO167" s="0" t="n">
        <v>1</v>
      </c>
      <c r="XP167" s="0" t="n">
        <v>40</v>
      </c>
      <c r="XQ167" s="0" t="n">
        <v>2</v>
      </c>
      <c r="XR167" s="0" t="n">
        <v>1.52</v>
      </c>
      <c r="XS167" s="0" t="n">
        <v>3</v>
      </c>
      <c r="XT167" s="0" t="n">
        <v>50</v>
      </c>
      <c r="XU167" s="0" t="n">
        <v>4</v>
      </c>
      <c r="XV167" s="0" t="n">
        <v>0.54</v>
      </c>
      <c r="XW167" s="0" t="n">
        <v>1</v>
      </c>
      <c r="YZ167" s="16" t="n">
        <v>1.6</v>
      </c>
      <c r="ZA167" s="16" t="n">
        <v>1</v>
      </c>
      <c r="ZB167" s="16" t="n">
        <v>1</v>
      </c>
      <c r="ZC167" s="16"/>
      <c r="ZD167" s="16" t="n">
        <v>7.09</v>
      </c>
      <c r="ZE167" s="16"/>
      <c r="ZF167" s="16"/>
      <c r="ZG167" s="16"/>
      <c r="ZH167" s="16"/>
      <c r="ZI167" s="16"/>
      <c r="ZJ167" s="16"/>
      <c r="ZK167" s="16" t="n">
        <v>1.12</v>
      </c>
      <c r="ZL167" s="16" t="n">
        <v>0.27</v>
      </c>
      <c r="ZM167" s="16" t="n">
        <v>0</v>
      </c>
      <c r="ZN167" s="16" t="n">
        <v>0</v>
      </c>
      <c r="ZO167" s="16" t="n">
        <v>0</v>
      </c>
      <c r="ZP167" s="16" t="n">
        <v>0</v>
      </c>
      <c r="ZQ167" s="16" t="n">
        <v>3</v>
      </c>
      <c r="ZR167" s="0" t="n">
        <v>0</v>
      </c>
      <c r="ZS167" s="0" t="s">
        <v>302</v>
      </c>
      <c r="ZT167" s="0" t="n">
        <v>22</v>
      </c>
      <c r="ZU167" s="16" t="n">
        <v>87.6</v>
      </c>
      <c r="ZV167" s="16" t="n">
        <v>80.4</v>
      </c>
      <c r="ZW167" s="16" t="n">
        <v>4.5</v>
      </c>
      <c r="ZX167" s="0" t="n">
        <v>100</v>
      </c>
      <c r="ZY167" s="17" t="n">
        <v>0</v>
      </c>
      <c r="ZZ167" s="0" t="n">
        <v>0</v>
      </c>
      <c r="AAA167" s="0" t="n">
        <v>0</v>
      </c>
      <c r="AAB167" s="0" t="n">
        <v>0</v>
      </c>
      <c r="AAC167" s="0" t="n">
        <v>0</v>
      </c>
      <c r="AAD167" s="0" t="n">
        <v>0</v>
      </c>
      <c r="AAE167" s="0" t="n">
        <v>0</v>
      </c>
      <c r="AAF167" s="0" t="n">
        <v>0</v>
      </c>
      <c r="AAG167" s="0" t="n">
        <v>0</v>
      </c>
      <c r="AAH167" s="0" t="n">
        <v>0</v>
      </c>
      <c r="AAI167" s="0" t="n">
        <v>1.14</v>
      </c>
      <c r="AAJ167" s="0" t="n">
        <v>27.07</v>
      </c>
      <c r="AAK167" s="0" t="n">
        <v>1.9</v>
      </c>
      <c r="AAL167" s="0" t="n">
        <v>0</v>
      </c>
      <c r="AAM167" s="0" t="n">
        <v>0</v>
      </c>
      <c r="AAN167" s="0" t="n">
        <v>0</v>
      </c>
      <c r="AAO167" s="0" t="n">
        <v>0</v>
      </c>
      <c r="ABB167" s="0" t="n">
        <v>8</v>
      </c>
      <c r="ABC167" s="0" t="n">
        <v>1</v>
      </c>
      <c r="ABD167" s="0" t="n">
        <v>35</v>
      </c>
      <c r="ABE167" s="0" t="n">
        <v>2</v>
      </c>
      <c r="ABF167" s="0" t="n">
        <v>1.52</v>
      </c>
      <c r="ABG167" s="0" t="n">
        <v>3</v>
      </c>
      <c r="ABN167" s="20"/>
      <c r="ACF167" s="0" t="n">
        <v>1</v>
      </c>
      <c r="ACG167" s="0" t="n">
        <v>40</v>
      </c>
      <c r="ACH167" s="0" t="n">
        <v>3</v>
      </c>
      <c r="ACI167" s="0" t="n">
        <v>2.28</v>
      </c>
      <c r="ACJ167" s="0" t="n">
        <v>3</v>
      </c>
      <c r="ADQ167" s="16" t="n">
        <v>1.12</v>
      </c>
      <c r="ADR167" s="16" t="n">
        <v>1</v>
      </c>
      <c r="ADS167" s="16" t="n">
        <v>1</v>
      </c>
      <c r="ADT167" s="16"/>
      <c r="ADU167" s="16" t="n">
        <v>2.24</v>
      </c>
      <c r="ADV167" s="16"/>
      <c r="ADW167" s="16"/>
      <c r="ADX167" s="16"/>
      <c r="ADY167" s="16"/>
      <c r="ADZ167" s="16"/>
      <c r="AEA167" s="16"/>
      <c r="AEB167" s="16" t="n">
        <v>6.72</v>
      </c>
      <c r="AEC167" s="16" t="n">
        <v>0</v>
      </c>
      <c r="AED167" s="16" t="n">
        <v>0</v>
      </c>
      <c r="AEE167" s="16" t="n">
        <v>0</v>
      </c>
      <c r="AEF167" s="16" t="n">
        <v>0</v>
      </c>
      <c r="AEG167" s="16" t="n">
        <v>0</v>
      </c>
      <c r="AEH167" s="16" t="n">
        <v>0</v>
      </c>
      <c r="AEI167" s="0" t="n">
        <v>1</v>
      </c>
      <c r="AEJ167" s="0" t="s">
        <v>303</v>
      </c>
      <c r="AEK167" s="0" t="n">
        <v>18</v>
      </c>
      <c r="AEL167" s="16" t="n">
        <v>84.7</v>
      </c>
      <c r="AEM167" s="16" t="n">
        <v>80.4</v>
      </c>
      <c r="AEN167" s="16" t="n">
        <v>6.7</v>
      </c>
      <c r="AEO167" s="0" t="n">
        <v>100</v>
      </c>
      <c r="AEP167" s="17" t="n">
        <v>0</v>
      </c>
      <c r="AEQ167" s="0" t="n">
        <v>0</v>
      </c>
      <c r="AER167" s="0" t="n">
        <v>0</v>
      </c>
      <c r="AES167" s="0" t="n">
        <v>0</v>
      </c>
      <c r="AET167" s="0" t="n">
        <v>0</v>
      </c>
      <c r="AEU167" s="0" t="n">
        <v>0</v>
      </c>
      <c r="AEV167" s="0" t="n">
        <v>0</v>
      </c>
      <c r="AEW167" s="0" t="n">
        <v>0</v>
      </c>
      <c r="AEX167" s="0" t="n">
        <v>0</v>
      </c>
      <c r="AEY167" s="0" t="n">
        <v>0</v>
      </c>
      <c r="AEZ167" s="0" t="n">
        <v>14.84</v>
      </c>
      <c r="AFA167" s="0" t="n">
        <v>28.79</v>
      </c>
      <c r="AFB167" s="0" t="n">
        <v>1.9</v>
      </c>
      <c r="AFC167" s="0" t="n">
        <v>0</v>
      </c>
      <c r="AFD167" s="0" t="n">
        <v>0</v>
      </c>
      <c r="AFE167" s="0" t="n">
        <v>0</v>
      </c>
      <c r="AFF167" s="0" t="n">
        <v>0</v>
      </c>
      <c r="AFS167" s="0" t="n">
        <v>1.9</v>
      </c>
      <c r="AFT167" s="0" t="n">
        <v>0</v>
      </c>
      <c r="AGE167" s="20"/>
      <c r="AGW167" s="0" t="n">
        <v>1</v>
      </c>
      <c r="AGX167" s="0" t="n">
        <v>50</v>
      </c>
      <c r="AGY167" s="0" t="n">
        <v>3</v>
      </c>
      <c r="AGZ167" s="0" t="n">
        <v>2.28</v>
      </c>
      <c r="AHA167" s="0" t="n">
        <v>3</v>
      </c>
      <c r="AIH167" s="16" t="n">
        <v>1.12</v>
      </c>
      <c r="AII167" s="16" t="n">
        <v>1</v>
      </c>
      <c r="AIJ167" s="16" t="n">
        <v>1</v>
      </c>
      <c r="AIK167" s="16"/>
      <c r="AIL167" s="16" t="n">
        <v>2.24</v>
      </c>
      <c r="AIM167" s="16"/>
      <c r="AIN167" s="16"/>
      <c r="AIO167" s="16"/>
      <c r="AIP167" s="16"/>
      <c r="AIQ167" s="16"/>
      <c r="AIR167" s="16"/>
      <c r="AIS167" s="16" t="n">
        <v>0</v>
      </c>
      <c r="AIT167" s="16" t="n">
        <v>0</v>
      </c>
      <c r="AIU167" s="16" t="n">
        <v>0</v>
      </c>
      <c r="AIV167" s="16" t="n">
        <v>0</v>
      </c>
      <c r="AIW167" s="16" t="n">
        <v>6.72</v>
      </c>
      <c r="AIX167" s="16" t="n">
        <v>0</v>
      </c>
      <c r="AIY167" s="16" t="n">
        <v>0</v>
      </c>
      <c r="AIZ167" s="0" t="n">
        <v>1</v>
      </c>
      <c r="AJA167" s="0" t="s">
        <v>304</v>
      </c>
      <c r="AJB167" s="0" t="n">
        <v>29</v>
      </c>
      <c r="AJC167" s="16" t="n">
        <v>84.9</v>
      </c>
      <c r="AJD167" s="16" t="n">
        <v>80.4</v>
      </c>
      <c r="AJE167" s="16" t="n">
        <v>22.7</v>
      </c>
      <c r="AJF167" s="0" t="n">
        <v>47.69</v>
      </c>
      <c r="AJG167" s="17" t="n">
        <v>0</v>
      </c>
      <c r="AJH167" s="0" t="n">
        <v>0</v>
      </c>
      <c r="AJI167" s="0" t="n">
        <v>0</v>
      </c>
      <c r="AJJ167" s="0" t="n">
        <v>22.69</v>
      </c>
      <c r="AJK167" s="0" t="n">
        <v>0</v>
      </c>
      <c r="AJL167" s="0" t="n">
        <v>28.56</v>
      </c>
      <c r="AJM167" s="0" t="n">
        <v>0</v>
      </c>
      <c r="AJN167" s="0" t="n">
        <v>0</v>
      </c>
      <c r="AJO167" s="0" t="n">
        <v>0</v>
      </c>
      <c r="AJP167" s="0" t="n">
        <v>0</v>
      </c>
      <c r="AJQ167" s="0" t="n">
        <v>30.64</v>
      </c>
      <c r="AJR167" s="0" t="n">
        <v>8.38</v>
      </c>
      <c r="AJS167" s="0" t="n">
        <v>43.35</v>
      </c>
      <c r="AJT167" s="0" t="n">
        <v>6.09</v>
      </c>
      <c r="AJU167" s="0" t="n">
        <v>0</v>
      </c>
      <c r="AJV167" s="0" t="n">
        <v>0</v>
      </c>
      <c r="AJW167" s="0" t="n">
        <v>0</v>
      </c>
      <c r="AKJ167" s="0" t="n">
        <v>2.5</v>
      </c>
      <c r="AKK167" s="0" t="n">
        <v>1</v>
      </c>
      <c r="AKL167" s="0" t="n">
        <v>35</v>
      </c>
      <c r="AKM167" s="0" t="n">
        <v>4</v>
      </c>
      <c r="AKN167" s="0" t="n">
        <v>0.54</v>
      </c>
      <c r="AKO167" s="0" t="n">
        <v>3</v>
      </c>
      <c r="AKV167" s="20"/>
      <c r="ALN167" s="0" t="n">
        <v>1</v>
      </c>
      <c r="ALO167" s="0" t="n">
        <v>40</v>
      </c>
      <c r="ALP167" s="0" t="n">
        <v>2</v>
      </c>
      <c r="ALQ167" s="0" t="n">
        <v>0.26</v>
      </c>
      <c r="ALR167" s="0" t="n">
        <v>3</v>
      </c>
    </row>
    <row r="168" customFormat="false" ht="14.25" hidden="false" customHeight="true" outlineLevel="0" collapsed="false">
      <c r="A168" s="36" t="s">
        <v>630</v>
      </c>
      <c r="B168" s="12" t="n">
        <v>42894</v>
      </c>
      <c r="C168" s="0" t="n">
        <v>2</v>
      </c>
      <c r="D168" s="13" t="n">
        <v>42856</v>
      </c>
      <c r="E168" s="12" t="n">
        <v>32620</v>
      </c>
      <c r="F168" s="14" t="n">
        <f aca="false">(B168-E168)/365.25</f>
        <v>28.1286789869952</v>
      </c>
      <c r="G168" s="14" t="n">
        <f aca="false">(B168-D168)/365.25</f>
        <v>0.10403832991102</v>
      </c>
      <c r="H168" s="15" t="s">
        <v>183</v>
      </c>
      <c r="I168" s="15" t="s">
        <v>347</v>
      </c>
      <c r="J168" s="15" t="s">
        <v>183</v>
      </c>
      <c r="K168" s="15" t="n">
        <v>8</v>
      </c>
      <c r="L168" s="19" t="n">
        <v>65</v>
      </c>
      <c r="M168" s="0" t="n">
        <v>1.68</v>
      </c>
      <c r="N168" s="16" t="n">
        <f aca="false">L168/(M168*M168)</f>
        <v>23.0300453514739</v>
      </c>
      <c r="O168" s="19" t="n">
        <v>0</v>
      </c>
      <c r="P168" s="19" t="n">
        <v>0</v>
      </c>
      <c r="Q168" s="19" t="n">
        <v>0</v>
      </c>
      <c r="R168" s="19" t="n">
        <v>0</v>
      </c>
      <c r="S168" s="19" t="n">
        <v>0</v>
      </c>
      <c r="T168" s="19" t="n">
        <v>0</v>
      </c>
      <c r="U168" s="19" t="n">
        <v>0</v>
      </c>
      <c r="V168" s="19" t="n">
        <v>0</v>
      </c>
      <c r="W168" s="19" t="n">
        <v>1</v>
      </c>
      <c r="X168" s="19" t="n">
        <v>1</v>
      </c>
      <c r="Y168" s="19" t="n">
        <v>0</v>
      </c>
      <c r="Z168" s="19" t="n">
        <v>0</v>
      </c>
      <c r="AA168" s="19" t="n">
        <v>0</v>
      </c>
      <c r="AB168" s="19" t="n">
        <v>0</v>
      </c>
      <c r="AC168" s="19" t="n">
        <v>1</v>
      </c>
      <c r="AD168" s="19" t="n">
        <v>5</v>
      </c>
      <c r="AE168" s="19" t="n">
        <v>0</v>
      </c>
      <c r="AF168" s="19"/>
      <c r="AG168" s="19"/>
      <c r="AH168" s="19"/>
      <c r="AI168" s="19" t="n">
        <v>0</v>
      </c>
      <c r="AJ168" s="19" t="n">
        <v>0</v>
      </c>
      <c r="AK168" s="19" t="n">
        <v>0</v>
      </c>
      <c r="AL168" s="19" t="n">
        <v>0</v>
      </c>
      <c r="AM168" s="19" t="n">
        <v>0</v>
      </c>
      <c r="AN168" s="19"/>
      <c r="AO168" s="19"/>
      <c r="AP168" s="19"/>
      <c r="AQ168" s="19"/>
      <c r="AR168" s="19"/>
      <c r="AS168" s="19" t="n">
        <v>1</v>
      </c>
      <c r="AT168" s="19" t="n">
        <v>0</v>
      </c>
      <c r="AU168" s="19" t="n">
        <v>1</v>
      </c>
      <c r="AV168" s="19" t="n">
        <v>4</v>
      </c>
      <c r="AW168" s="19" t="n">
        <v>0</v>
      </c>
      <c r="AX168" s="19" t="n">
        <v>0</v>
      </c>
      <c r="AY168" s="19" t="n">
        <v>0</v>
      </c>
      <c r="AZ168" s="19" t="n">
        <v>0</v>
      </c>
      <c r="BA168" s="19" t="n">
        <v>0</v>
      </c>
      <c r="BB168" s="19" t="n">
        <v>0</v>
      </c>
      <c r="BC168" s="19" t="n">
        <v>0</v>
      </c>
      <c r="BD168" s="19" t="n">
        <v>0</v>
      </c>
      <c r="BE168" s="19" t="n">
        <v>0</v>
      </c>
      <c r="BF168" s="19" t="n">
        <v>0</v>
      </c>
      <c r="BG168" s="19" t="n">
        <v>0</v>
      </c>
      <c r="BH168" s="19" t="n">
        <v>0</v>
      </c>
      <c r="BI168" s="19" t="n">
        <v>0</v>
      </c>
      <c r="BJ168" s="19" t="n">
        <v>0</v>
      </c>
      <c r="BK168" s="19" t="n">
        <v>0</v>
      </c>
      <c r="BL168" s="19" t="n">
        <v>0</v>
      </c>
      <c r="BM168" s="19" t="n">
        <v>0</v>
      </c>
      <c r="BN168" s="19" t="n">
        <v>0</v>
      </c>
      <c r="BO168" s="19" t="n">
        <v>0</v>
      </c>
      <c r="BP168" s="19" t="n">
        <v>0</v>
      </c>
      <c r="BQ168" s="19" t="n">
        <v>0</v>
      </c>
      <c r="BR168" s="19" t="n">
        <v>2</v>
      </c>
      <c r="BS168" s="19" t="n">
        <v>3</v>
      </c>
      <c r="BT168" s="19" t="n">
        <v>4</v>
      </c>
      <c r="BU168" s="19" t="n">
        <v>5</v>
      </c>
      <c r="BV168" s="19" t="n">
        <v>2</v>
      </c>
      <c r="BW168" s="19" t="n">
        <v>1</v>
      </c>
      <c r="BX168" s="19" t="n">
        <v>3</v>
      </c>
      <c r="BY168" s="19" t="n">
        <v>4</v>
      </c>
      <c r="BZ168" s="19" t="n">
        <v>4</v>
      </c>
      <c r="CA168" s="19" t="n">
        <v>5</v>
      </c>
      <c r="CB168" s="19" t="n">
        <v>5</v>
      </c>
      <c r="CC168" s="19" t="n">
        <v>4</v>
      </c>
      <c r="CD168" s="19" t="n">
        <v>4</v>
      </c>
      <c r="CE168" s="19" t="n">
        <v>5</v>
      </c>
      <c r="CF168" s="19" t="n">
        <v>4</v>
      </c>
      <c r="CG168" s="19" t="n">
        <v>4</v>
      </c>
      <c r="CH168" s="19" t="n">
        <v>4</v>
      </c>
      <c r="CI168" s="19" t="n">
        <v>4</v>
      </c>
      <c r="CJ168" s="19" t="n">
        <v>4</v>
      </c>
      <c r="CK168" s="19" t="n">
        <v>7</v>
      </c>
      <c r="CL168" s="0" t="s">
        <v>355</v>
      </c>
      <c r="CM168" s="0" t="n">
        <v>37</v>
      </c>
      <c r="CN168" s="16" t="n">
        <v>95.1</v>
      </c>
      <c r="CO168" s="16" t="n">
        <v>80.4</v>
      </c>
      <c r="CP168" s="16" t="n">
        <v>15.9</v>
      </c>
      <c r="CQ168" s="0" t="n">
        <v>82.71</v>
      </c>
      <c r="CR168" s="17" t="n">
        <v>0</v>
      </c>
      <c r="CS168" s="0" t="n">
        <v>10.32</v>
      </c>
      <c r="CT168" s="0" t="n">
        <v>0.39</v>
      </c>
      <c r="CU168" s="0" t="n">
        <v>10.32</v>
      </c>
      <c r="CV168" s="0" t="n">
        <v>0</v>
      </c>
      <c r="CW168" s="0" t="n">
        <v>0</v>
      </c>
      <c r="CY168" s="0" t="n">
        <v>0</v>
      </c>
      <c r="CZ168" s="0" t="n">
        <v>0</v>
      </c>
      <c r="DA168" s="0" t="n">
        <v>0</v>
      </c>
      <c r="DB168" s="0" t="n">
        <v>1.9</v>
      </c>
      <c r="DC168" s="0" t="n">
        <v>26.26</v>
      </c>
      <c r="DD168" s="0" t="n">
        <v>6.04</v>
      </c>
      <c r="DE168" s="0" t="n">
        <v>2.19</v>
      </c>
      <c r="DF168" s="0" t="n">
        <v>0</v>
      </c>
      <c r="DG168" s="0" t="n">
        <v>0</v>
      </c>
      <c r="DH168" s="0" t="n">
        <v>0</v>
      </c>
      <c r="DU168" s="0" t="n">
        <v>14.7</v>
      </c>
      <c r="DV168" s="0" t="n">
        <v>1</v>
      </c>
      <c r="DW168" s="0" t="n">
        <v>35</v>
      </c>
      <c r="DX168" s="0" t="n">
        <v>2</v>
      </c>
      <c r="DY168" s="0" t="n">
        <v>1.8</v>
      </c>
      <c r="DZ168" s="0" t="n">
        <v>3</v>
      </c>
      <c r="EG168" s="20"/>
      <c r="EY168" s="0" t="n">
        <v>1</v>
      </c>
      <c r="EZ168" s="0" t="n">
        <v>50</v>
      </c>
      <c r="FA168" s="0" t="n">
        <v>1</v>
      </c>
      <c r="FB168" s="0" t="n">
        <v>1.34</v>
      </c>
      <c r="FC168" s="0" t="n">
        <v>2</v>
      </c>
      <c r="FD168" s="0" t="n">
        <v>40</v>
      </c>
      <c r="FE168" s="0" t="n">
        <v>1</v>
      </c>
      <c r="FF168" s="0" t="n">
        <v>0.9</v>
      </c>
      <c r="FG168" s="0" t="n">
        <v>3</v>
      </c>
      <c r="FH168" s="0" t="n">
        <v>50</v>
      </c>
      <c r="FI168" s="0" t="n">
        <v>1</v>
      </c>
      <c r="FJ168" s="0" t="n">
        <v>0.9</v>
      </c>
      <c r="FK168" s="0" t="n">
        <v>3</v>
      </c>
      <c r="FL168" s="0" t="n">
        <v>80</v>
      </c>
      <c r="FM168" s="0" t="n">
        <v>2</v>
      </c>
      <c r="FN168" s="0" t="n">
        <v>2.68</v>
      </c>
      <c r="FO168" s="0" t="n">
        <v>2</v>
      </c>
      <c r="FP168" s="0" t="n">
        <v>100</v>
      </c>
      <c r="FQ168" s="0" t="n">
        <v>1</v>
      </c>
      <c r="FR168" s="0" t="n">
        <v>2.57</v>
      </c>
      <c r="FS168" s="0" t="n">
        <v>2</v>
      </c>
      <c r="GJ168" s="0" t="n">
        <v>0</v>
      </c>
      <c r="GK168" s="19" t="n">
        <v>0</v>
      </c>
      <c r="GL168" s="19"/>
      <c r="GM168" s="13"/>
      <c r="GN168" s="13"/>
      <c r="GO168" s="19"/>
      <c r="GP168" s="13"/>
      <c r="GQ168" s="13"/>
      <c r="GR168" s="13"/>
      <c r="GS168" s="13"/>
      <c r="GT168" s="13"/>
      <c r="GU168" s="16" t="n">
        <v>5.11</v>
      </c>
      <c r="GV168" s="0" t="n">
        <v>4.81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s">
        <v>363</v>
      </c>
      <c r="HD168" s="0" t="n">
        <v>34.5</v>
      </c>
      <c r="HE168" s="16" t="n">
        <v>88.3</v>
      </c>
      <c r="HF168" s="16" t="n">
        <v>80.4</v>
      </c>
      <c r="HG168" s="16" t="n">
        <v>22.8</v>
      </c>
      <c r="HH168" s="0" t="n">
        <v>73.89</v>
      </c>
      <c r="HI168" s="17" t="n">
        <v>0</v>
      </c>
      <c r="HJ168" s="0" t="n">
        <v>14.94</v>
      </c>
      <c r="HK168" s="0" t="n">
        <v>0.5</v>
      </c>
      <c r="HL168" s="0" t="n">
        <v>10.66</v>
      </c>
      <c r="HM168" s="0" t="n">
        <v>0</v>
      </c>
      <c r="HN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  <c r="HT168" s="0" t="n">
        <v>46.29</v>
      </c>
      <c r="HU168" s="0" t="n">
        <v>23.15</v>
      </c>
      <c r="HV168" s="0" t="n">
        <v>0</v>
      </c>
      <c r="HW168" s="0" t="n">
        <v>0</v>
      </c>
      <c r="HX168" s="0" t="n">
        <v>0</v>
      </c>
      <c r="HY168" s="0" t="n">
        <v>0</v>
      </c>
      <c r="IL168" s="0" t="n">
        <v>2.8</v>
      </c>
      <c r="IM168" s="0" t="n">
        <v>1</v>
      </c>
      <c r="IN168" s="0" t="n">
        <v>35</v>
      </c>
      <c r="IO168" s="0" t="n">
        <v>1</v>
      </c>
      <c r="IP168" s="0" t="n">
        <v>0.5</v>
      </c>
      <c r="IQ168" s="0" t="n">
        <v>3</v>
      </c>
      <c r="IX168" s="20"/>
      <c r="JP168" s="0" t="n">
        <v>1</v>
      </c>
      <c r="JQ168" s="0" t="n">
        <v>60</v>
      </c>
      <c r="JR168" s="0" t="n">
        <v>4</v>
      </c>
      <c r="JS168" s="0" t="n">
        <v>0.54</v>
      </c>
      <c r="JT168" s="0" t="n">
        <v>3</v>
      </c>
      <c r="LA168" s="16" t="n">
        <v>3.05</v>
      </c>
      <c r="LB168" s="16" t="n">
        <v>1</v>
      </c>
      <c r="LC168" s="16" t="n">
        <v>1</v>
      </c>
      <c r="LD168" s="16" t="n">
        <v>5</v>
      </c>
      <c r="LE168" s="16" t="n">
        <v>8.71</v>
      </c>
      <c r="LF168" s="16" t="n">
        <v>2</v>
      </c>
      <c r="LG168" s="16" t="n">
        <v>25</v>
      </c>
      <c r="LH168" s="16" t="n">
        <v>12.44</v>
      </c>
      <c r="LI168" s="16"/>
      <c r="LJ168" s="16"/>
      <c r="LK168" s="16"/>
      <c r="LL168" s="16" t="n">
        <v>4.5</v>
      </c>
      <c r="LM168" s="16" t="n">
        <v>1.2</v>
      </c>
      <c r="LN168" s="16" t="n">
        <v>0</v>
      </c>
      <c r="LO168" s="16" t="n">
        <v>0</v>
      </c>
      <c r="LP168" s="16" t="n">
        <v>0</v>
      </c>
      <c r="LQ168" s="16" t="n">
        <v>0</v>
      </c>
      <c r="LR168" s="16" t="n">
        <v>0</v>
      </c>
      <c r="LS168" s="0" t="n">
        <v>0</v>
      </c>
      <c r="LT168" s="0" t="s">
        <v>364</v>
      </c>
      <c r="LU168" s="0" t="n">
        <v>32</v>
      </c>
      <c r="LV168" s="16" t="n">
        <v>75</v>
      </c>
      <c r="LW168" s="16" t="n">
        <v>80.4</v>
      </c>
      <c r="LX168" s="16" t="n">
        <v>22.6</v>
      </c>
      <c r="LY168" s="0" t="n">
        <v>76.24</v>
      </c>
      <c r="LZ168" s="17" t="n">
        <v>0</v>
      </c>
      <c r="MA168" s="0" t="n">
        <v>15.36</v>
      </c>
      <c r="MB168" s="0" t="n">
        <v>1.93</v>
      </c>
      <c r="MC168" s="0" t="n">
        <v>6.47</v>
      </c>
      <c r="MD168" s="0" t="n">
        <v>0</v>
      </c>
      <c r="ME168" s="0" t="n">
        <v>0</v>
      </c>
      <c r="MG168" s="0" t="n">
        <v>0</v>
      </c>
      <c r="MH168" s="0" t="n">
        <v>0</v>
      </c>
      <c r="MI168" s="0" t="n">
        <v>0</v>
      </c>
      <c r="MJ168" s="0" t="n">
        <v>0</v>
      </c>
      <c r="MK168" s="0" t="n">
        <v>32.86</v>
      </c>
      <c r="ML168" s="0" t="n">
        <v>26.39</v>
      </c>
      <c r="MM168" s="0" t="n">
        <v>0</v>
      </c>
      <c r="MN168" s="0" t="n">
        <v>0</v>
      </c>
      <c r="MO168" s="0" t="n">
        <v>0</v>
      </c>
      <c r="MP168" s="0" t="n">
        <v>0</v>
      </c>
      <c r="NC168" s="0" t="n">
        <v>5.6</v>
      </c>
      <c r="ND168" s="0" t="n">
        <v>1</v>
      </c>
      <c r="NE168" s="0" t="n">
        <v>35</v>
      </c>
      <c r="NF168" s="0" t="n">
        <v>1</v>
      </c>
      <c r="NG168" s="0" t="n">
        <v>0.5</v>
      </c>
      <c r="NH168" s="0" t="n">
        <v>3</v>
      </c>
      <c r="NO168" s="20"/>
      <c r="OG168" s="0" t="n">
        <v>1</v>
      </c>
      <c r="OH168" s="0" t="n">
        <v>60</v>
      </c>
      <c r="OI168" s="0" t="n">
        <v>5</v>
      </c>
      <c r="OJ168" s="0" t="n">
        <v>3.13</v>
      </c>
      <c r="OK168" s="0" t="n">
        <v>2</v>
      </c>
      <c r="OL168" s="0" t="n">
        <v>50</v>
      </c>
      <c r="OM168" s="0" t="n">
        <v>2</v>
      </c>
      <c r="ON168" s="0" t="n">
        <v>0.67</v>
      </c>
      <c r="OO168" s="0" t="n">
        <v>2</v>
      </c>
      <c r="PR168" s="16" t="n">
        <v>1.43</v>
      </c>
      <c r="PS168" s="16" t="n">
        <v>1</v>
      </c>
      <c r="PT168" s="16" t="n">
        <v>1</v>
      </c>
      <c r="PU168" s="16" t="n">
        <v>4</v>
      </c>
      <c r="PV168" s="16" t="n">
        <v>17.43</v>
      </c>
      <c r="PW168" s="16"/>
      <c r="PX168" s="16"/>
      <c r="PY168" s="16"/>
      <c r="PZ168" s="16"/>
      <c r="QA168" s="16"/>
      <c r="QB168" s="16"/>
      <c r="QC168" s="16" t="n">
        <v>1.7</v>
      </c>
      <c r="QD168" s="16" t="n">
        <v>1.7</v>
      </c>
      <c r="QE168" s="16" t="n">
        <v>0</v>
      </c>
      <c r="QF168" s="16" t="n">
        <v>0</v>
      </c>
      <c r="QG168" s="16" t="n">
        <v>0</v>
      </c>
      <c r="QH168" s="16" t="n">
        <v>0</v>
      </c>
      <c r="QI168" s="16" t="n">
        <v>0</v>
      </c>
      <c r="QJ168" s="0" t="n">
        <v>0</v>
      </c>
      <c r="QK168" s="0" t="s">
        <v>350</v>
      </c>
      <c r="QL168" s="0" t="n">
        <v>75</v>
      </c>
      <c r="QM168" s="16" t="n">
        <v>87.9</v>
      </c>
      <c r="QN168" s="16" t="n">
        <v>80.4</v>
      </c>
      <c r="QO168" s="16" t="n">
        <v>45.2</v>
      </c>
      <c r="QP168" s="0" t="n">
        <v>50.83</v>
      </c>
      <c r="QQ168" s="0" t="n">
        <v>0.05</v>
      </c>
      <c r="QR168" s="0" t="n">
        <v>46.44</v>
      </c>
      <c r="QS168" s="0" t="n">
        <v>2.67</v>
      </c>
      <c r="QT168" s="0" t="n">
        <v>0</v>
      </c>
      <c r="QU168" s="0" t="n">
        <v>0</v>
      </c>
      <c r="QV168" s="0" t="n">
        <v>0</v>
      </c>
      <c r="QX168" s="0" t="n">
        <v>0</v>
      </c>
      <c r="QY168" s="0" t="n">
        <v>0</v>
      </c>
      <c r="QZ168" s="0" t="n">
        <v>0</v>
      </c>
      <c r="RA168" s="0" t="n">
        <v>0</v>
      </c>
      <c r="RB168" s="0" t="n">
        <v>25.21</v>
      </c>
      <c r="RC168" s="0" t="n">
        <v>43.57</v>
      </c>
      <c r="RD168" s="0" t="n">
        <v>6.27</v>
      </c>
      <c r="RE168" s="0" t="n">
        <v>0</v>
      </c>
      <c r="RF168" s="0" t="n">
        <v>0</v>
      </c>
      <c r="RG168" s="0" t="n">
        <v>0</v>
      </c>
      <c r="RT168" s="0" t="n">
        <v>17.8</v>
      </c>
      <c r="RU168" s="0" t="n">
        <v>1</v>
      </c>
      <c r="RV168" s="0" t="n">
        <v>35</v>
      </c>
      <c r="RW168" s="0" t="n">
        <v>9</v>
      </c>
      <c r="RX168" s="0" t="n">
        <v>2.55</v>
      </c>
      <c r="RY168" s="0" t="n">
        <v>3</v>
      </c>
      <c r="SF168" s="20"/>
      <c r="SX168" s="0" t="n">
        <v>1</v>
      </c>
      <c r="SY168" s="0" t="n">
        <v>50</v>
      </c>
      <c r="SZ168" s="0" t="n">
        <v>8</v>
      </c>
      <c r="TA168" s="0" t="n">
        <v>2.12</v>
      </c>
      <c r="TB168" s="0" t="n">
        <v>3</v>
      </c>
      <c r="UI168" s="16" t="n">
        <v>3.43</v>
      </c>
      <c r="UJ168" s="16" t="n">
        <v>1</v>
      </c>
      <c r="UK168" s="16" t="n">
        <v>1</v>
      </c>
      <c r="UL168" s="16"/>
      <c r="UM168" s="16" t="n">
        <v>26.11</v>
      </c>
      <c r="UN168" s="16" t="n">
        <v>2</v>
      </c>
      <c r="UO168" s="16"/>
      <c r="UP168" s="16" t="n">
        <v>11.19</v>
      </c>
      <c r="UQ168" s="16"/>
      <c r="UR168" s="16"/>
      <c r="US168" s="16"/>
      <c r="UT168" s="16" t="n">
        <v>6.39</v>
      </c>
      <c r="UU168" s="16" t="n">
        <v>3.31</v>
      </c>
      <c r="UV168" s="16" t="n">
        <v>0</v>
      </c>
      <c r="UW168" s="16" t="n">
        <v>0</v>
      </c>
      <c r="UX168" s="16" t="n">
        <v>0</v>
      </c>
      <c r="UY168" s="16" t="n">
        <v>0</v>
      </c>
      <c r="UZ168" s="16" t="n">
        <v>0</v>
      </c>
      <c r="VA168" s="0" t="n">
        <v>0</v>
      </c>
      <c r="VB168" s="0" t="s">
        <v>361</v>
      </c>
      <c r="VC168" s="0" t="n">
        <v>74.5</v>
      </c>
      <c r="VD168" s="16" t="n">
        <v>76.2</v>
      </c>
      <c r="VE168" s="16" t="n">
        <v>80.4</v>
      </c>
      <c r="VF168" s="16" t="n">
        <v>42.8</v>
      </c>
      <c r="VG168" s="0" t="n">
        <v>57.15</v>
      </c>
      <c r="VH168" s="0" t="n">
        <v>0.45</v>
      </c>
      <c r="VI168" s="0" t="n">
        <v>39.09</v>
      </c>
      <c r="VJ168" s="0" t="n">
        <v>3.3</v>
      </c>
      <c r="VK168" s="0" t="n">
        <v>0</v>
      </c>
      <c r="VL168" s="0" t="n">
        <v>0</v>
      </c>
      <c r="VM168" s="0" t="n">
        <v>0</v>
      </c>
      <c r="VO168" s="0" t="n">
        <v>0</v>
      </c>
      <c r="VP168" s="0" t="n">
        <v>0</v>
      </c>
      <c r="VQ168" s="0" t="n">
        <v>0</v>
      </c>
      <c r="VR168" s="0" t="n">
        <v>0</v>
      </c>
      <c r="VS168" s="0" t="n">
        <v>18.26</v>
      </c>
      <c r="VT168" s="0" t="n">
        <v>34.4</v>
      </c>
      <c r="VU168" s="0" t="n">
        <v>6.27</v>
      </c>
      <c r="VV168" s="0" t="n">
        <v>0</v>
      </c>
      <c r="VW168" s="0" t="n">
        <v>0</v>
      </c>
      <c r="VX168" s="0" t="n">
        <v>0</v>
      </c>
      <c r="WK168" s="0" t="n">
        <v>18.2</v>
      </c>
      <c r="WL168" s="0" t="n">
        <v>1</v>
      </c>
      <c r="WM168" s="0" t="n">
        <v>35</v>
      </c>
      <c r="WN168" s="0" t="n">
        <v>9</v>
      </c>
      <c r="WO168" s="0" t="n">
        <v>2.55</v>
      </c>
      <c r="WP168" s="0" t="n">
        <v>3</v>
      </c>
      <c r="WW168" s="20"/>
      <c r="XO168" s="0" t="n">
        <v>1</v>
      </c>
      <c r="XP168" s="0" t="n">
        <v>50</v>
      </c>
      <c r="XQ168" s="0" t="n">
        <v>8</v>
      </c>
      <c r="XR168" s="0" t="n">
        <v>2.54</v>
      </c>
      <c r="XS168" s="0" t="n">
        <v>3</v>
      </c>
      <c r="YZ168" s="16" t="n">
        <v>7.59</v>
      </c>
      <c r="ZA168" s="16" t="n">
        <v>1</v>
      </c>
      <c r="ZB168" s="16" t="n">
        <v>1</v>
      </c>
      <c r="ZC168" s="16"/>
      <c r="ZD168" s="16" t="n">
        <v>22.38</v>
      </c>
      <c r="ZE168" s="16" t="n">
        <v>2</v>
      </c>
      <c r="ZF168" s="16"/>
      <c r="ZG168" s="16" t="n">
        <v>14.92</v>
      </c>
      <c r="ZH168" s="16"/>
      <c r="ZI168" s="16"/>
      <c r="ZJ168" s="16"/>
      <c r="ZK168" s="16" t="n">
        <v>5.05</v>
      </c>
      <c r="ZL168" s="16" t="n">
        <v>1.54</v>
      </c>
      <c r="ZM168" s="16" t="n">
        <v>0</v>
      </c>
      <c r="ZN168" s="16" t="n">
        <v>0</v>
      </c>
      <c r="ZO168" s="16" t="n">
        <v>0</v>
      </c>
      <c r="ZP168" s="16" t="n">
        <v>0</v>
      </c>
      <c r="ZQ168" s="16" t="n">
        <v>0</v>
      </c>
      <c r="ZR168" s="0" t="n">
        <v>0</v>
      </c>
      <c r="ZS168" s="0" t="s">
        <v>365</v>
      </c>
      <c r="ZT168" s="0" t="n">
        <v>75</v>
      </c>
      <c r="ZU168" s="16" t="n">
        <v>76.8</v>
      </c>
      <c r="ZV168" s="16" t="n">
        <v>80.4</v>
      </c>
      <c r="ZW168" s="16" t="n">
        <v>30.8</v>
      </c>
      <c r="ZX168" s="0" t="n">
        <v>74.74</v>
      </c>
      <c r="ZY168" s="17" t="n">
        <v>0</v>
      </c>
      <c r="ZZ168" s="0" t="n">
        <v>4.24</v>
      </c>
      <c r="AAA168" s="0" t="n">
        <v>16.45</v>
      </c>
      <c r="AAB168" s="0" t="n">
        <v>4.57</v>
      </c>
      <c r="AAC168" s="0" t="n">
        <v>0</v>
      </c>
      <c r="AAD168" s="0" t="n">
        <v>0</v>
      </c>
      <c r="AAF168" s="0" t="n">
        <v>0</v>
      </c>
      <c r="AAG168" s="0" t="n">
        <v>0</v>
      </c>
      <c r="AAH168" s="0" t="n">
        <v>0</v>
      </c>
      <c r="AAI168" s="0" t="n">
        <v>0</v>
      </c>
      <c r="AAJ168" s="0" t="n">
        <v>35.23</v>
      </c>
      <c r="AAK168" s="0" t="n">
        <v>6.53</v>
      </c>
      <c r="AAL168" s="0" t="n">
        <v>4.97</v>
      </c>
      <c r="AAM168" s="0" t="n">
        <v>0</v>
      </c>
      <c r="AAN168" s="0" t="n">
        <v>0</v>
      </c>
      <c r="AAO168" s="0" t="n">
        <v>0</v>
      </c>
      <c r="ABB168" s="0" t="n">
        <v>38.4</v>
      </c>
      <c r="ABC168" s="0" t="n">
        <v>1</v>
      </c>
      <c r="ABD168" s="0" t="n">
        <v>47</v>
      </c>
      <c r="ABE168" s="0" t="n">
        <v>7</v>
      </c>
      <c r="ABF168" s="0" t="n">
        <v>5.33</v>
      </c>
      <c r="ABG168" s="0" t="n">
        <v>3</v>
      </c>
      <c r="ABN168" s="20"/>
      <c r="ACF168" s="0" t="n">
        <v>0</v>
      </c>
      <c r="ADQ168" s="16" t="n">
        <v>2.02</v>
      </c>
      <c r="ADR168" s="16" t="n">
        <v>1</v>
      </c>
      <c r="ADS168" s="16" t="n">
        <v>1</v>
      </c>
      <c r="ADT168" s="16"/>
      <c r="ADU168" s="16" t="n">
        <v>9.95</v>
      </c>
      <c r="ADV168" s="16" t="n">
        <v>2</v>
      </c>
      <c r="ADW168" s="16"/>
      <c r="ADX168" s="16" t="n">
        <v>9.95</v>
      </c>
      <c r="ADY168" s="16"/>
      <c r="ADZ168" s="16"/>
      <c r="AEA168" s="16"/>
      <c r="AEB168" s="16" t="n">
        <v>0</v>
      </c>
      <c r="AEC168" s="16" t="n">
        <v>0</v>
      </c>
      <c r="AED168" s="16" t="n">
        <v>0</v>
      </c>
      <c r="AEE168" s="16" t="n">
        <v>0</v>
      </c>
      <c r="AEF168" s="16" t="n">
        <v>0</v>
      </c>
      <c r="AEG168" s="16" t="n">
        <v>0</v>
      </c>
      <c r="AEH168" s="16" t="n">
        <v>0</v>
      </c>
      <c r="AEI168" s="0" t="n">
        <v>0</v>
      </c>
      <c r="AEJ168" s="0" t="s">
        <v>351</v>
      </c>
      <c r="AEK168" s="0" t="n">
        <v>30.5</v>
      </c>
      <c r="AEL168" s="16" t="n">
        <v>68.4</v>
      </c>
      <c r="AEM168" s="16" t="n">
        <v>80.4</v>
      </c>
      <c r="AEN168" s="16" t="n">
        <v>19.8</v>
      </c>
      <c r="AEO168" s="0" t="n">
        <v>72.42</v>
      </c>
      <c r="AEP168" s="17" t="n">
        <v>0</v>
      </c>
      <c r="AEQ168" s="0" t="n">
        <v>0.94</v>
      </c>
      <c r="AER168" s="0" t="n">
        <v>0.94</v>
      </c>
      <c r="AES168" s="0" t="n">
        <v>25.7</v>
      </c>
      <c r="AET168" s="0" t="n">
        <v>0</v>
      </c>
      <c r="AEU168" s="0" t="n">
        <v>0</v>
      </c>
      <c r="AEW168" s="0" t="n">
        <v>0</v>
      </c>
      <c r="AEX168" s="0" t="n">
        <v>0</v>
      </c>
      <c r="AEY168" s="0" t="n">
        <v>0</v>
      </c>
      <c r="AEZ168" s="0" t="n">
        <v>0</v>
      </c>
      <c r="AFA168" s="0" t="n">
        <v>28.26</v>
      </c>
      <c r="AFB168" s="0" t="n">
        <v>10.55</v>
      </c>
      <c r="AFC168" s="0" t="n">
        <v>14.21</v>
      </c>
      <c r="AFD168" s="0" t="n">
        <v>0</v>
      </c>
      <c r="AFE168" s="0" t="n">
        <v>0</v>
      </c>
      <c r="AFF168" s="0" t="n">
        <v>0</v>
      </c>
      <c r="AFS168" s="0" t="n">
        <v>3.3</v>
      </c>
      <c r="AFT168" s="0" t="n">
        <v>1</v>
      </c>
      <c r="AFU168" s="0" t="n">
        <v>68</v>
      </c>
      <c r="AFV168" s="0" t="n">
        <v>2</v>
      </c>
      <c r="AFW168" s="0" t="n">
        <v>1.52</v>
      </c>
      <c r="AFX168" s="0" t="n">
        <v>1</v>
      </c>
      <c r="AGE168" s="20"/>
      <c r="AGW168" s="0" t="n">
        <v>0</v>
      </c>
      <c r="AIH168" s="16" t="n">
        <v>0</v>
      </c>
      <c r="AII168" s="16" t="n">
        <v>0</v>
      </c>
      <c r="AIJ168" s="16"/>
      <c r="AIK168" s="16"/>
      <c r="AIL168" s="16"/>
      <c r="AIM168" s="16"/>
      <c r="AIN168" s="16"/>
      <c r="AIO168" s="16"/>
      <c r="AIP168" s="16"/>
      <c r="AIQ168" s="16"/>
      <c r="AIR168" s="16"/>
      <c r="AIS168" s="16" t="n">
        <v>0.81</v>
      </c>
      <c r="AIT168" s="16" t="n">
        <v>0.8</v>
      </c>
      <c r="AIU168" s="16" t="n">
        <v>0</v>
      </c>
      <c r="AIV168" s="16" t="n">
        <v>0</v>
      </c>
      <c r="AIW168" s="16" t="n">
        <v>2.99</v>
      </c>
      <c r="AIX168" s="16" t="n">
        <v>5.71</v>
      </c>
      <c r="AIY168" s="16" t="n">
        <v>0</v>
      </c>
      <c r="AIZ168" s="0" t="n">
        <v>0</v>
      </c>
      <c r="AJA168" s="0" t="s">
        <v>356</v>
      </c>
      <c r="AJB168" s="0" t="n">
        <v>39.5</v>
      </c>
      <c r="AJC168" s="16" t="n">
        <v>85.1</v>
      </c>
      <c r="AJD168" s="16" t="n">
        <v>80.4</v>
      </c>
      <c r="AJE168" s="16" t="n">
        <v>13.6</v>
      </c>
      <c r="AJF168" s="0" t="n">
        <v>87.38</v>
      </c>
      <c r="AJG168" s="17" t="n">
        <v>0</v>
      </c>
      <c r="AJH168" s="0" t="n">
        <v>8.05</v>
      </c>
      <c r="AJI168" s="0" t="n">
        <v>0</v>
      </c>
      <c r="AJJ168" s="0" t="n">
        <v>4.57</v>
      </c>
      <c r="AJK168" s="0" t="n">
        <v>0</v>
      </c>
      <c r="AJL168" s="0" t="n">
        <v>0</v>
      </c>
      <c r="AJN168" s="0" t="n">
        <v>0</v>
      </c>
      <c r="AJO168" s="0" t="n">
        <v>0</v>
      </c>
      <c r="AJP168" s="0" t="n">
        <v>0</v>
      </c>
      <c r="AJQ168" s="0" t="n">
        <v>0</v>
      </c>
      <c r="AJR168" s="0" t="n">
        <v>45</v>
      </c>
      <c r="AJS168" s="0" t="n">
        <v>10.1</v>
      </c>
      <c r="AJT168" s="0" t="n">
        <v>11.8</v>
      </c>
      <c r="AJU168" s="0" t="n">
        <v>0</v>
      </c>
      <c r="AJV168" s="0" t="n">
        <v>0</v>
      </c>
      <c r="AJW168" s="0" t="n">
        <v>0</v>
      </c>
      <c r="AKJ168" s="0" t="n">
        <v>17.8</v>
      </c>
      <c r="AKK168" s="0" t="n">
        <v>1</v>
      </c>
      <c r="AKL168" s="0" t="n">
        <v>30</v>
      </c>
      <c r="AKM168" s="0" t="n">
        <v>7</v>
      </c>
      <c r="AKN168" s="0" t="n">
        <v>5.33</v>
      </c>
      <c r="AKO168" s="0" t="n">
        <v>3</v>
      </c>
      <c r="AKV168" s="20"/>
      <c r="ALN168" s="0" t="n">
        <v>1</v>
      </c>
      <c r="ALO168" s="0" t="n">
        <v>50</v>
      </c>
      <c r="ALP168" s="0" t="n">
        <v>1</v>
      </c>
      <c r="ALQ168" s="0" t="n">
        <v>0.03</v>
      </c>
      <c r="ALR168" s="0" t="n">
        <v>1</v>
      </c>
    </row>
    <row r="169" customFormat="false" ht="13.8" hidden="false" customHeight="false" outlineLevel="0" collapsed="false">
      <c r="A169" s="36" t="s">
        <v>631</v>
      </c>
      <c r="B169" s="12" t="n">
        <v>42900</v>
      </c>
      <c r="C169" s="0" t="n">
        <v>2</v>
      </c>
      <c r="D169" s="13" t="n">
        <v>42849</v>
      </c>
      <c r="E169" s="12" t="n">
        <v>31473</v>
      </c>
      <c r="F169" s="14" t="n">
        <f aca="false">(B169-E169)/365.25</f>
        <v>31.2854209445585</v>
      </c>
      <c r="G169" s="14" t="n">
        <f aca="false">(B169-D169)/365.25</f>
        <v>0.139630390143737</v>
      </c>
      <c r="H169" s="15" t="s">
        <v>228</v>
      </c>
      <c r="I169" s="15" t="s">
        <v>447</v>
      </c>
      <c r="J169" s="15" t="s">
        <v>181</v>
      </c>
      <c r="K169" s="15" t="n">
        <v>4</v>
      </c>
      <c r="L169" s="19" t="n">
        <v>79</v>
      </c>
      <c r="M169" s="0" t="n">
        <v>1.84</v>
      </c>
      <c r="N169" s="16" t="n">
        <f aca="false">L169/(M169*M169)</f>
        <v>23.3341209829868</v>
      </c>
      <c r="O169" s="19" t="n">
        <v>0</v>
      </c>
      <c r="P169" s="19" t="n">
        <v>0</v>
      </c>
      <c r="Q169" s="19" t="n">
        <v>0</v>
      </c>
      <c r="R169" s="19" t="n">
        <v>0</v>
      </c>
      <c r="S169" s="19" t="n">
        <v>0</v>
      </c>
      <c r="T169" s="19" t="n">
        <v>0</v>
      </c>
      <c r="U169" s="19" t="n">
        <v>1</v>
      </c>
      <c r="V169" s="19" t="n">
        <v>1</v>
      </c>
      <c r="W169" s="19" t="n">
        <v>1</v>
      </c>
      <c r="X169" s="19" t="n">
        <v>0</v>
      </c>
      <c r="Y169" s="19" t="n">
        <v>1</v>
      </c>
      <c r="Z169" s="19" t="n">
        <v>2</v>
      </c>
      <c r="AA169" s="19" t="n">
        <v>90</v>
      </c>
      <c r="AB169" s="19" t="s">
        <v>184</v>
      </c>
      <c r="AC169" s="19" t="n">
        <v>0</v>
      </c>
      <c r="AD169" s="19" t="n">
        <v>0</v>
      </c>
      <c r="AE169" s="19" t="n">
        <v>1</v>
      </c>
      <c r="AF169" s="19" t="n">
        <v>1</v>
      </c>
      <c r="AG169" s="19" t="n">
        <v>1</v>
      </c>
      <c r="AH169" s="19" t="n">
        <v>2</v>
      </c>
      <c r="AI169" s="19" t="n">
        <v>1</v>
      </c>
      <c r="AJ169" s="19" t="n">
        <v>1</v>
      </c>
      <c r="AK169" s="19" t="n">
        <v>1</v>
      </c>
      <c r="AL169" s="19" t="n">
        <v>4</v>
      </c>
      <c r="AM169" s="19" t="n">
        <v>0</v>
      </c>
      <c r="AN169" s="19" t="n">
        <v>0</v>
      </c>
      <c r="AO169" s="19" t="n">
        <v>0</v>
      </c>
      <c r="AP169" s="19" t="n">
        <v>0</v>
      </c>
      <c r="AQ169" s="19" t="n">
        <v>0</v>
      </c>
      <c r="AR169" s="19" t="n">
        <v>0</v>
      </c>
      <c r="AS169" s="19" t="n">
        <v>1</v>
      </c>
      <c r="AT169" s="19" t="n">
        <v>0</v>
      </c>
      <c r="AU169" s="19" t="n">
        <v>1</v>
      </c>
      <c r="AV169" s="19" t="n">
        <v>5</v>
      </c>
      <c r="AW169" s="19" t="n">
        <v>0</v>
      </c>
      <c r="AX169" s="19" t="n">
        <v>0</v>
      </c>
      <c r="AY169" s="19" t="n">
        <v>0</v>
      </c>
      <c r="AZ169" s="19" t="n">
        <v>0</v>
      </c>
      <c r="BA169" s="19" t="n">
        <v>0</v>
      </c>
      <c r="BB169" s="19" t="n">
        <v>1</v>
      </c>
      <c r="BC169" s="19" t="n">
        <v>0</v>
      </c>
      <c r="BD169" s="19" t="n">
        <v>1</v>
      </c>
      <c r="BE169" s="19" t="n">
        <v>4</v>
      </c>
      <c r="BF169" s="19" t="n">
        <v>1</v>
      </c>
      <c r="BG169" s="19" t="n">
        <v>0</v>
      </c>
      <c r="BH169" s="19" t="n">
        <v>1</v>
      </c>
      <c r="BI169" s="19" t="n">
        <v>3</v>
      </c>
      <c r="BJ169" s="19" t="n">
        <v>0</v>
      </c>
      <c r="BK169" s="19" t="n">
        <v>0</v>
      </c>
      <c r="BL169" s="19" t="n">
        <v>0</v>
      </c>
      <c r="BM169" s="19" t="n">
        <v>0</v>
      </c>
      <c r="BN169" s="19" t="n">
        <v>1</v>
      </c>
      <c r="BO169" s="19" t="n">
        <v>0</v>
      </c>
      <c r="BP169" s="19" t="n">
        <v>1</v>
      </c>
      <c r="BQ169" s="19" t="n">
        <v>4</v>
      </c>
      <c r="BR169" s="19" t="n">
        <v>1</v>
      </c>
      <c r="BS169" s="19" t="n">
        <v>1</v>
      </c>
      <c r="BT169" s="19" t="n">
        <v>2</v>
      </c>
      <c r="BU169" s="19" t="n">
        <v>1</v>
      </c>
      <c r="BV169" s="19" t="n">
        <v>1</v>
      </c>
      <c r="BW169" s="19" t="n">
        <v>3</v>
      </c>
      <c r="BX169" s="19" t="n">
        <v>1</v>
      </c>
      <c r="BY169" s="19" t="n">
        <v>2</v>
      </c>
      <c r="BZ169" s="19" t="n">
        <v>2</v>
      </c>
      <c r="CA169" s="19" t="n">
        <v>2</v>
      </c>
      <c r="CB169" s="19" t="n">
        <v>4</v>
      </c>
      <c r="CC169" s="19" t="n">
        <v>3</v>
      </c>
      <c r="CD169" s="19" t="n">
        <v>3</v>
      </c>
      <c r="CE169" s="19" t="n">
        <v>4</v>
      </c>
      <c r="CF169" s="19" t="n">
        <v>3</v>
      </c>
      <c r="CG169" s="19" t="n">
        <v>4</v>
      </c>
      <c r="CH169" s="19" t="n">
        <v>3</v>
      </c>
      <c r="CI169" s="19" t="n">
        <v>3</v>
      </c>
      <c r="CJ169" s="19" t="n">
        <v>3</v>
      </c>
      <c r="CK169" s="19" t="n">
        <v>10</v>
      </c>
      <c r="CL169" s="0" t="s">
        <v>451</v>
      </c>
      <c r="CM169" s="0" t="n">
        <v>48.5</v>
      </c>
      <c r="CN169" s="16" t="n">
        <v>83.8</v>
      </c>
      <c r="CO169" s="16" t="n">
        <v>80.4</v>
      </c>
      <c r="CP169" s="16" t="n">
        <v>34.3</v>
      </c>
      <c r="CQ169" s="0" t="n">
        <v>70.08</v>
      </c>
      <c r="CR169" s="0" t="n">
        <v>0</v>
      </c>
      <c r="CS169" s="0" t="n">
        <v>18.24</v>
      </c>
      <c r="CT169" s="0" t="n">
        <v>1.05</v>
      </c>
      <c r="CU169" s="0" t="n">
        <v>1.14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19.39</v>
      </c>
      <c r="DC169" s="0" t="n">
        <v>3.64</v>
      </c>
      <c r="DD169" s="0" t="n">
        <v>13.61</v>
      </c>
      <c r="DE169" s="0" t="n">
        <v>5.23</v>
      </c>
      <c r="DF169" s="0" t="n">
        <v>9.49</v>
      </c>
      <c r="DG169" s="0" t="n">
        <v>2.6</v>
      </c>
      <c r="DH169" s="0" t="n">
        <v>2</v>
      </c>
      <c r="DI169" s="0" t="n">
        <v>3</v>
      </c>
      <c r="DJ169" s="0" t="n">
        <v>1.01</v>
      </c>
      <c r="DO169" s="0" t="n">
        <v>3</v>
      </c>
      <c r="DP169" s="0" t="n">
        <v>1.01</v>
      </c>
      <c r="DU169" s="0" t="n">
        <v>1.7</v>
      </c>
      <c r="DV169" s="0" t="n">
        <v>0</v>
      </c>
      <c r="EG169" s="18"/>
      <c r="EY169" s="0" t="n">
        <v>1</v>
      </c>
      <c r="EZ169" s="0" t="n">
        <v>60</v>
      </c>
      <c r="FA169" s="0" t="n">
        <v>1</v>
      </c>
      <c r="FB169" s="0" t="n">
        <v>1.05</v>
      </c>
      <c r="FC169" s="0" t="n">
        <v>1</v>
      </c>
      <c r="GJ169" s="16" t="n">
        <v>3.52</v>
      </c>
      <c r="GK169" s="16" t="n">
        <v>1</v>
      </c>
      <c r="GL169" s="16" t="n">
        <v>2</v>
      </c>
      <c r="GM169" s="16"/>
      <c r="GN169" s="16" t="n">
        <f aca="false">4.23+0.13</f>
        <v>4.36</v>
      </c>
      <c r="GO169" s="16"/>
      <c r="GP169" s="16"/>
      <c r="GQ169" s="16"/>
      <c r="GR169" s="16"/>
      <c r="GS169" s="16"/>
      <c r="GT169" s="16"/>
      <c r="GU169" s="16" t="n">
        <v>0</v>
      </c>
      <c r="GV169" s="16" t="n">
        <v>0</v>
      </c>
      <c r="GW169" s="16"/>
      <c r="GX169" s="16"/>
      <c r="GY169" s="16" t="n">
        <v>5.97</v>
      </c>
      <c r="GZ169" s="16" t="n">
        <v>0</v>
      </c>
      <c r="HA169" s="16" t="n">
        <v>0</v>
      </c>
      <c r="HB169" s="0" t="n">
        <v>1</v>
      </c>
      <c r="HC169" s="0" t="s">
        <v>452</v>
      </c>
      <c r="HD169" s="0" t="n">
        <v>48</v>
      </c>
      <c r="HE169" s="16" t="n">
        <v>86.2</v>
      </c>
      <c r="HF169" s="16" t="n">
        <v>80.4</v>
      </c>
      <c r="HG169" s="16" t="n">
        <v>34.3</v>
      </c>
      <c r="HH169" s="0" t="n">
        <v>70.08</v>
      </c>
      <c r="HI169" s="0" t="n">
        <v>0</v>
      </c>
      <c r="HJ169" s="0" t="n">
        <v>18.24</v>
      </c>
      <c r="HK169" s="0" t="n">
        <v>1.05</v>
      </c>
      <c r="HL169" s="0" t="n">
        <v>1.14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19.39</v>
      </c>
      <c r="HT169" s="0" t="n">
        <v>3.64</v>
      </c>
      <c r="HU169" s="0" t="n">
        <v>13.61</v>
      </c>
      <c r="HV169" s="0" t="n">
        <v>5.23</v>
      </c>
      <c r="HW169" s="0" t="n">
        <v>9.49</v>
      </c>
      <c r="HX169" s="0" t="n">
        <v>2.6</v>
      </c>
      <c r="HY169" s="0" t="n">
        <v>2</v>
      </c>
      <c r="HZ169" s="0" t="n">
        <v>3</v>
      </c>
      <c r="IA169" s="0" t="n">
        <v>1.01</v>
      </c>
      <c r="IF169" s="0" t="n">
        <v>3</v>
      </c>
      <c r="IG169" s="0" t="n">
        <v>1.01</v>
      </c>
      <c r="IL169" s="0" t="n">
        <v>1.7</v>
      </c>
      <c r="IM169" s="0" t="n">
        <v>0</v>
      </c>
      <c r="IX169" s="18"/>
      <c r="JP169" s="0" t="n">
        <v>1</v>
      </c>
      <c r="JQ169" s="0" t="n">
        <v>60</v>
      </c>
      <c r="JR169" s="0" t="n">
        <v>1</v>
      </c>
      <c r="JS169" s="0" t="n">
        <v>1.05</v>
      </c>
      <c r="JT169" s="0" t="n">
        <v>1</v>
      </c>
      <c r="LA169" s="16" t="n">
        <v>3.52</v>
      </c>
      <c r="LB169" s="16" t="n">
        <v>1</v>
      </c>
      <c r="LC169" s="16" t="n">
        <v>2</v>
      </c>
      <c r="LD169" s="16"/>
      <c r="LE169" s="16" t="n">
        <f aca="false">4.23+0.13</f>
        <v>4.36</v>
      </c>
      <c r="LF169" s="16"/>
      <c r="LG169" s="16"/>
      <c r="LH169" s="16"/>
      <c r="LI169" s="16"/>
      <c r="LJ169" s="16"/>
      <c r="LK169" s="16"/>
      <c r="LL169" s="16" t="n">
        <v>0</v>
      </c>
      <c r="LM169" s="16" t="n">
        <v>0</v>
      </c>
      <c r="LN169" s="16"/>
      <c r="LO169" s="16"/>
      <c r="LP169" s="16" t="n">
        <v>5.97</v>
      </c>
      <c r="LQ169" s="16" t="n">
        <v>0</v>
      </c>
      <c r="LR169" s="16" t="n">
        <v>0</v>
      </c>
      <c r="LS169" s="0" t="n">
        <v>0</v>
      </c>
      <c r="LT169" s="0" t="n">
        <v>57</v>
      </c>
      <c r="LU169" s="0" t="n">
        <v>24.5</v>
      </c>
      <c r="LV169" s="16" t="n">
        <v>70</v>
      </c>
      <c r="LW169" s="16" t="n">
        <v>80.4</v>
      </c>
      <c r="LX169" s="16" t="n">
        <v>15.5</v>
      </c>
      <c r="LY169" s="0" t="n">
        <v>85.6</v>
      </c>
      <c r="LZ169" s="0" t="n">
        <v>0</v>
      </c>
      <c r="MA169" s="0" t="n">
        <v>0</v>
      </c>
      <c r="MB169" s="0" t="n">
        <v>0</v>
      </c>
      <c r="MC169" s="0" t="n">
        <v>14.4</v>
      </c>
      <c r="MD169" s="0" t="n">
        <v>0</v>
      </c>
      <c r="ME169" s="0" t="n">
        <v>0</v>
      </c>
      <c r="MF169" s="0" t="n">
        <v>0</v>
      </c>
      <c r="MG169" s="0" t="n">
        <v>0</v>
      </c>
      <c r="MH169" s="0" t="n">
        <v>0</v>
      </c>
      <c r="MI169" s="0" t="n">
        <v>0</v>
      </c>
      <c r="MJ169" s="0" t="n">
        <v>0</v>
      </c>
      <c r="MK169" s="0" t="n">
        <v>6.46</v>
      </c>
      <c r="ML169" s="0" t="n">
        <v>24.97</v>
      </c>
      <c r="MM169" s="0" t="n">
        <v>15</v>
      </c>
      <c r="MN169" s="0" t="n">
        <v>0</v>
      </c>
      <c r="MO169" s="0" t="n">
        <v>0</v>
      </c>
      <c r="MP169" s="0" t="n">
        <v>0</v>
      </c>
      <c r="NC169" s="0" t="n">
        <v>3.6</v>
      </c>
      <c r="ND169" s="0" t="n">
        <v>1</v>
      </c>
      <c r="NE169" s="0" t="n">
        <v>35</v>
      </c>
      <c r="NF169" s="0" t="n">
        <v>1</v>
      </c>
      <c r="NG169" s="0" t="n">
        <v>0.76</v>
      </c>
      <c r="NH169" s="0" t="n">
        <v>3</v>
      </c>
      <c r="NO169" s="18"/>
      <c r="OG169" s="0" t="n">
        <v>1</v>
      </c>
      <c r="OH169" s="0" t="n">
        <v>60</v>
      </c>
      <c r="OI169" s="0" t="n">
        <v>5</v>
      </c>
      <c r="OJ169" s="0" t="n">
        <f aca="false">2.04+0.14</f>
        <v>2.18</v>
      </c>
      <c r="OK169" s="0" t="n">
        <v>3</v>
      </c>
      <c r="PR169" s="16" t="n">
        <v>0.63</v>
      </c>
      <c r="PS169" s="16" t="n">
        <v>1</v>
      </c>
      <c r="PT169" s="16" t="n">
        <v>1</v>
      </c>
      <c r="PU169" s="16"/>
      <c r="PV169" s="16" t="n">
        <v>4.23</v>
      </c>
      <c r="PW169" s="16"/>
      <c r="PX169" s="16"/>
      <c r="PY169" s="16"/>
      <c r="PZ169" s="16"/>
      <c r="QA169" s="16"/>
      <c r="QB169" s="16"/>
      <c r="QC169" s="16" t="n">
        <v>3.25</v>
      </c>
      <c r="QD169" s="16" t="n">
        <v>3.26</v>
      </c>
      <c r="QE169" s="16"/>
      <c r="QF169" s="16"/>
      <c r="QG169" s="16" t="n">
        <v>0</v>
      </c>
      <c r="QH169" s="16" t="n">
        <v>0</v>
      </c>
      <c r="QI169" s="16" t="n">
        <v>0</v>
      </c>
      <c r="QJ169" s="0" t="n">
        <v>0</v>
      </c>
      <c r="QO169" s="15"/>
      <c r="QP169" s="15"/>
      <c r="QW169" s="15"/>
      <c r="QX169" s="15"/>
      <c r="RE169" s="15"/>
      <c r="RF169" s="15"/>
      <c r="RM169" s="15"/>
      <c r="RN169" s="15"/>
      <c r="RU169" s="15"/>
      <c r="RV169" s="15"/>
      <c r="SC169" s="15"/>
      <c r="SD169" s="15"/>
      <c r="SK169" s="15"/>
      <c r="SL169" s="15"/>
      <c r="SS169" s="15"/>
      <c r="ST169" s="15"/>
      <c r="TA169" s="15"/>
      <c r="TB169" s="15"/>
      <c r="TI169" s="15"/>
      <c r="TJ169" s="15"/>
      <c r="TQ169" s="15"/>
      <c r="TR169" s="15"/>
      <c r="TY169" s="15"/>
      <c r="TZ169" s="15"/>
      <c r="UG169" s="15"/>
      <c r="UH169" s="15"/>
      <c r="UO169" s="15"/>
      <c r="UP169" s="15"/>
      <c r="UW169" s="15"/>
      <c r="UX169" s="15"/>
      <c r="VE169" s="15"/>
      <c r="VF169" s="15"/>
      <c r="VM169" s="15"/>
      <c r="VN169" s="15"/>
      <c r="VU169" s="15"/>
      <c r="VV169" s="15"/>
      <c r="WC169" s="15"/>
      <c r="WD169" s="15"/>
      <c r="WK169" s="15"/>
      <c r="WL169" s="15"/>
      <c r="WS169" s="15"/>
      <c r="WT169" s="15"/>
      <c r="XA169" s="15"/>
      <c r="XB169" s="15"/>
      <c r="XI169" s="15"/>
      <c r="XJ169" s="15"/>
      <c r="XQ169" s="15"/>
      <c r="XR169" s="15"/>
      <c r="XY169" s="15"/>
      <c r="XZ169" s="15"/>
      <c r="YG169" s="15"/>
      <c r="YH169" s="15"/>
      <c r="YO169" s="15"/>
      <c r="YP169" s="15"/>
      <c r="YW169" s="15"/>
      <c r="YX169" s="15"/>
      <c r="ZE169" s="15"/>
      <c r="ZF169" s="15"/>
      <c r="ZM169" s="15"/>
      <c r="ZN169" s="15"/>
      <c r="ZU169" s="15"/>
      <c r="ZV169" s="15"/>
      <c r="AAC169" s="15"/>
      <c r="AAD169" s="15"/>
      <c r="AAK169" s="15"/>
      <c r="AAL169" s="15"/>
      <c r="AAS169" s="15"/>
      <c r="AAT169" s="15"/>
      <c r="ABA169" s="15"/>
      <c r="ABB169" s="15"/>
      <c r="ABI169" s="15"/>
      <c r="ABJ169" s="15"/>
      <c r="ABQ169" s="15"/>
      <c r="ABR169" s="15"/>
      <c r="ABY169" s="15"/>
      <c r="ABZ169" s="15"/>
      <c r="ACG169" s="15"/>
      <c r="ACH169" s="15"/>
      <c r="ACO169" s="15"/>
      <c r="ACP169" s="15"/>
      <c r="ACW169" s="15"/>
      <c r="ACX169" s="15"/>
      <c r="ADE169" s="15"/>
      <c r="ADF169" s="15"/>
      <c r="ADM169" s="15"/>
      <c r="ADN169" s="15"/>
      <c r="ADU169" s="15"/>
      <c r="ADV169" s="15"/>
      <c r="AEC169" s="15"/>
      <c r="AED169" s="15"/>
      <c r="AEK169" s="15"/>
      <c r="AEL169" s="15"/>
      <c r="AES169" s="15"/>
      <c r="AET169" s="15"/>
      <c r="AFA169" s="15"/>
      <c r="AFB169" s="15"/>
      <c r="AFI169" s="15"/>
      <c r="AFJ169" s="15"/>
      <c r="AFQ169" s="15"/>
      <c r="AFR169" s="15"/>
      <c r="AFY169" s="15"/>
      <c r="AFZ169" s="15"/>
      <c r="AGG169" s="15"/>
      <c r="AGH169" s="15"/>
      <c r="AGO169" s="15"/>
      <c r="AGP169" s="15"/>
      <c r="AGW169" s="15"/>
      <c r="AGX169" s="15"/>
      <c r="AHE169" s="15"/>
      <c r="AHF169" s="15"/>
      <c r="AHM169" s="15"/>
      <c r="AHN169" s="15"/>
      <c r="AHU169" s="15"/>
      <c r="AHV169" s="15"/>
      <c r="AIC169" s="15"/>
      <c r="AID169" s="15"/>
      <c r="AIK169" s="15"/>
      <c r="AIL169" s="15"/>
      <c r="AIS169" s="15"/>
      <c r="AIT169" s="15"/>
      <c r="AJA169" s="15"/>
      <c r="AJB169" s="15"/>
      <c r="AJI169" s="15"/>
      <c r="AJJ169" s="15"/>
      <c r="AJQ169" s="15"/>
      <c r="AJR169" s="15"/>
      <c r="AJY169" s="15"/>
      <c r="AJZ169" s="15"/>
      <c r="AKG169" s="15"/>
      <c r="AKH169" s="15"/>
      <c r="AKO169" s="15"/>
      <c r="AKP169" s="15"/>
      <c r="AKW169" s="15"/>
      <c r="AKX169" s="15"/>
      <c r="ALE169" s="15"/>
      <c r="ALF169" s="15"/>
      <c r="ALM169" s="15"/>
      <c r="ALN169" s="15"/>
      <c r="ALU169" s="15"/>
      <c r="ALV169" s="15"/>
      <c r="AMC169" s="15"/>
      <c r="AMD169" s="15"/>
    </row>
    <row r="170" customFormat="false" ht="14.25" hidden="false" customHeight="true" outlineLevel="0" collapsed="false">
      <c r="A170" s="36" t="s">
        <v>632</v>
      </c>
      <c r="B170" s="12" t="n">
        <v>42899</v>
      </c>
      <c r="C170" s="0" t="n">
        <v>2</v>
      </c>
      <c r="D170" s="13" t="n">
        <v>42837</v>
      </c>
      <c r="E170" s="12" t="n">
        <v>31905</v>
      </c>
      <c r="F170" s="14" t="n">
        <f aca="false">(B170-E170)/365.25</f>
        <v>30.0999315537303</v>
      </c>
      <c r="G170" s="14" t="n">
        <f aca="false">(B170-D170)/365.25</f>
        <v>0.16974674880219</v>
      </c>
      <c r="H170" s="15" t="s">
        <v>228</v>
      </c>
      <c r="I170" s="15" t="s">
        <v>447</v>
      </c>
      <c r="J170" s="15" t="s">
        <v>183</v>
      </c>
      <c r="K170" s="15" t="n">
        <v>8</v>
      </c>
      <c r="L170" s="19" t="n">
        <v>120</v>
      </c>
      <c r="M170" s="0" t="n">
        <v>1.83</v>
      </c>
      <c r="N170" s="16" t="n">
        <f aca="false">L170/(M170*M170)</f>
        <v>35.8326614709308</v>
      </c>
      <c r="O170" s="19" t="n">
        <v>0</v>
      </c>
      <c r="P170" s="19" t="n">
        <v>0</v>
      </c>
      <c r="Q170" s="19" t="n">
        <v>0</v>
      </c>
      <c r="R170" s="19" t="n">
        <v>0</v>
      </c>
      <c r="S170" s="19" t="n">
        <v>0</v>
      </c>
      <c r="T170" s="19" t="n">
        <v>0</v>
      </c>
      <c r="U170" s="19" t="n">
        <v>0</v>
      </c>
      <c r="V170" s="19" t="n">
        <v>0</v>
      </c>
      <c r="W170" s="19" t="n">
        <v>0</v>
      </c>
      <c r="X170" s="19" t="n">
        <v>0</v>
      </c>
      <c r="Y170" s="19" t="n">
        <v>0</v>
      </c>
      <c r="Z170" s="19" t="n">
        <v>0</v>
      </c>
      <c r="AA170" s="19" t="n">
        <v>0</v>
      </c>
      <c r="AB170" s="19" t="n">
        <v>0</v>
      </c>
      <c r="AC170" s="19" t="n">
        <v>1</v>
      </c>
      <c r="AD170" s="19" t="n">
        <v>20</v>
      </c>
      <c r="AE170" s="19" t="n">
        <v>0</v>
      </c>
      <c r="AF170" s="19" t="n">
        <v>0</v>
      </c>
      <c r="AG170" s="19" t="n">
        <v>0</v>
      </c>
      <c r="AH170" s="19" t="n">
        <v>0</v>
      </c>
      <c r="AI170" s="19" t="n">
        <v>1</v>
      </c>
      <c r="AJ170" s="19" t="n">
        <v>0</v>
      </c>
      <c r="AK170" s="19" t="n">
        <v>0</v>
      </c>
      <c r="AL170" s="19" t="n">
        <v>0</v>
      </c>
      <c r="AM170" s="19"/>
      <c r="AN170" s="19" t="n">
        <v>0</v>
      </c>
      <c r="AO170" s="19" t="n">
        <v>0</v>
      </c>
      <c r="AP170" s="19" t="n">
        <v>0</v>
      </c>
      <c r="AQ170" s="19" t="n">
        <v>0</v>
      </c>
      <c r="AR170" s="19" t="n">
        <v>0</v>
      </c>
      <c r="AS170" s="19" t="n">
        <v>0</v>
      </c>
      <c r="AT170" s="19" t="n">
        <v>0</v>
      </c>
      <c r="AU170" s="19" t="n">
        <v>0</v>
      </c>
      <c r="AV170" s="19" t="n">
        <v>0</v>
      </c>
      <c r="AW170" s="19" t="n">
        <v>0</v>
      </c>
      <c r="AX170" s="19" t="n">
        <v>0</v>
      </c>
      <c r="AY170" s="19" t="n">
        <v>0</v>
      </c>
      <c r="AZ170" s="19" t="n">
        <v>0</v>
      </c>
      <c r="BA170" s="19" t="n">
        <v>0</v>
      </c>
      <c r="BB170" s="19" t="n">
        <v>0</v>
      </c>
      <c r="BC170" s="19" t="n">
        <v>0</v>
      </c>
      <c r="BD170" s="19" t="n">
        <v>0</v>
      </c>
      <c r="BE170" s="19" t="n">
        <v>0</v>
      </c>
      <c r="BF170" s="19" t="n">
        <v>0</v>
      </c>
      <c r="BG170" s="19" t="n">
        <v>0</v>
      </c>
      <c r="BH170" s="19" t="n">
        <v>0</v>
      </c>
      <c r="BI170" s="19" t="n">
        <v>0</v>
      </c>
      <c r="BJ170" s="19" t="n">
        <v>0</v>
      </c>
      <c r="BK170" s="19" t="n">
        <v>0</v>
      </c>
      <c r="BL170" s="19" t="n">
        <v>0</v>
      </c>
      <c r="BM170" s="19" t="n">
        <v>0</v>
      </c>
      <c r="BN170" s="19" t="n">
        <v>0</v>
      </c>
      <c r="BO170" s="19" t="n">
        <v>0</v>
      </c>
      <c r="BP170" s="19" t="n">
        <v>0</v>
      </c>
      <c r="BQ170" s="19" t="n">
        <v>0</v>
      </c>
      <c r="BR170" s="19" t="n">
        <v>1</v>
      </c>
      <c r="BS170" s="19" t="n">
        <v>1</v>
      </c>
      <c r="BT170" s="19" t="n">
        <v>2</v>
      </c>
      <c r="BU170" s="19" t="n">
        <v>5</v>
      </c>
      <c r="BV170" s="19" t="n">
        <v>1</v>
      </c>
      <c r="BW170" s="19" t="n">
        <v>2</v>
      </c>
      <c r="BX170" s="19"/>
      <c r="BY170" s="19" t="n">
        <v>5</v>
      </c>
      <c r="BZ170" s="19" t="n">
        <v>5</v>
      </c>
      <c r="CA170" s="19" t="n">
        <v>5</v>
      </c>
      <c r="CB170" s="19" t="n">
        <v>5</v>
      </c>
      <c r="CC170" s="19" t="n">
        <v>5</v>
      </c>
      <c r="CD170" s="19" t="n">
        <v>5</v>
      </c>
      <c r="CE170" s="19" t="n">
        <v>5</v>
      </c>
      <c r="CF170" s="19" t="n">
        <v>4</v>
      </c>
      <c r="CG170" s="19" t="n">
        <v>5</v>
      </c>
      <c r="CH170" s="19" t="n">
        <v>5</v>
      </c>
      <c r="CI170" s="19" t="n">
        <v>5</v>
      </c>
      <c r="CJ170" s="19" t="n">
        <v>5</v>
      </c>
      <c r="CK170" s="19" t="n">
        <v>10</v>
      </c>
      <c r="CL170" s="0" t="n">
        <v>57</v>
      </c>
      <c r="CM170" s="0" t="n">
        <v>24.5</v>
      </c>
      <c r="CN170" s="16" t="n">
        <v>70</v>
      </c>
      <c r="CO170" s="16" t="n">
        <v>80.4</v>
      </c>
      <c r="CP170" s="16" t="n">
        <v>15.5</v>
      </c>
      <c r="CQ170" s="0" t="n">
        <v>85.6</v>
      </c>
      <c r="CR170" s="0" t="n">
        <v>0</v>
      </c>
      <c r="CS170" s="0" t="n">
        <v>0</v>
      </c>
      <c r="CT170" s="0" t="n">
        <v>0</v>
      </c>
      <c r="CU170" s="0" t="n">
        <v>14.4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6.46</v>
      </c>
      <c r="DD170" s="0" t="n">
        <v>24.97</v>
      </c>
      <c r="DE170" s="0" t="n">
        <v>15</v>
      </c>
      <c r="DF170" s="0" t="n">
        <v>0</v>
      </c>
      <c r="DG170" s="0" t="n">
        <v>0</v>
      </c>
      <c r="DH170" s="0" t="n">
        <v>0</v>
      </c>
      <c r="DU170" s="0" t="n">
        <v>3.6</v>
      </c>
      <c r="DV170" s="0" t="n">
        <v>1</v>
      </c>
      <c r="DW170" s="0" t="n">
        <v>35</v>
      </c>
      <c r="DX170" s="0" t="n">
        <v>1</v>
      </c>
      <c r="DY170" s="0" t="n">
        <v>0.76</v>
      </c>
      <c r="DZ170" s="0" t="n">
        <v>3</v>
      </c>
      <c r="EG170" s="18"/>
      <c r="EY170" s="0" t="n">
        <v>1</v>
      </c>
      <c r="EZ170" s="0" t="n">
        <v>60</v>
      </c>
      <c r="FA170" s="0" t="n">
        <v>5</v>
      </c>
      <c r="FB170" s="0" t="n">
        <f aca="false">2.04+0.14</f>
        <v>2.18</v>
      </c>
      <c r="FC170" s="0" t="n">
        <v>3</v>
      </c>
      <c r="GJ170" s="16" t="n">
        <v>0.63</v>
      </c>
      <c r="GK170" s="16" t="n">
        <v>1</v>
      </c>
      <c r="GL170" s="16" t="n">
        <v>1</v>
      </c>
      <c r="GM170" s="16"/>
      <c r="GN170" s="16" t="n">
        <v>4.23</v>
      </c>
      <c r="GO170" s="16"/>
      <c r="GP170" s="16"/>
      <c r="GQ170" s="16"/>
      <c r="GR170" s="16"/>
      <c r="GS170" s="16"/>
      <c r="GT170" s="16"/>
      <c r="GU170" s="16" t="n">
        <v>3.25</v>
      </c>
      <c r="GV170" s="16" t="n">
        <v>3.26</v>
      </c>
      <c r="GW170" s="16"/>
      <c r="GX170" s="16"/>
      <c r="GY170" s="16" t="n">
        <v>0</v>
      </c>
      <c r="GZ170" s="16" t="n">
        <v>0</v>
      </c>
      <c r="HA170" s="16" t="n">
        <v>0</v>
      </c>
      <c r="HB170" s="0" t="n">
        <v>0</v>
      </c>
      <c r="HC170" s="0" t="s">
        <v>455</v>
      </c>
      <c r="HD170" s="0" t="n">
        <v>48.5</v>
      </c>
      <c r="HE170" s="16" t="n">
        <v>90.8</v>
      </c>
      <c r="HF170" s="16" t="n">
        <v>80.4</v>
      </c>
      <c r="HG170" s="16" t="n">
        <v>27.5</v>
      </c>
      <c r="HH170" s="0" t="n">
        <v>74.34</v>
      </c>
      <c r="HI170" s="0" t="n">
        <v>0</v>
      </c>
      <c r="HJ170" s="0" t="n">
        <v>12.29</v>
      </c>
      <c r="HK170" s="0" t="n">
        <v>0</v>
      </c>
      <c r="HL170" s="0" t="n">
        <v>13.37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  <c r="HT170" s="0" t="n">
        <v>0</v>
      </c>
      <c r="HU170" s="0" t="n">
        <v>14.01</v>
      </c>
      <c r="HV170" s="0" t="n">
        <v>63.09</v>
      </c>
      <c r="HW170" s="0" t="n">
        <v>0</v>
      </c>
      <c r="HX170" s="0" t="n">
        <v>0</v>
      </c>
      <c r="HY170" s="0" t="n">
        <v>0</v>
      </c>
      <c r="IL170" s="0" t="n">
        <v>13</v>
      </c>
      <c r="IM170" s="0" t="n">
        <v>1</v>
      </c>
      <c r="IN170" s="0" t="n">
        <v>34</v>
      </c>
      <c r="IO170" s="0" t="n">
        <v>11</v>
      </c>
      <c r="IP170" s="0" t="n">
        <f aca="false">11.42+1.34</f>
        <v>12.76</v>
      </c>
      <c r="IQ170" s="0" t="n">
        <v>1</v>
      </c>
      <c r="IR170" s="0" t="n">
        <v>68</v>
      </c>
      <c r="IS170" s="0" t="n">
        <v>15</v>
      </c>
      <c r="IT170" s="0" t="n">
        <v>2.8</v>
      </c>
      <c r="IU170" s="0" t="n">
        <v>1</v>
      </c>
      <c r="IX170" s="18"/>
      <c r="JP170" s="0" t="n">
        <v>1</v>
      </c>
      <c r="JQ170" s="0" t="n">
        <v>60</v>
      </c>
      <c r="JR170" s="0" t="n">
        <v>20</v>
      </c>
      <c r="JS170" s="0" t="n">
        <v>15.23</v>
      </c>
      <c r="JT170" s="0" t="n">
        <v>3</v>
      </c>
      <c r="LA170" s="16" t="n">
        <v>0</v>
      </c>
      <c r="LB170" s="16" t="n">
        <v>0</v>
      </c>
      <c r="LC170" s="16"/>
      <c r="LD170" s="16"/>
      <c r="LE170" s="16"/>
      <c r="LF170" s="16"/>
      <c r="LG170" s="16"/>
      <c r="LH170" s="16"/>
      <c r="LI170" s="16"/>
      <c r="LJ170" s="16"/>
      <c r="LK170" s="16"/>
      <c r="LL170" s="16" t="n">
        <v>0</v>
      </c>
      <c r="LM170" s="16" t="n">
        <v>0</v>
      </c>
      <c r="LN170" s="16"/>
      <c r="LO170" s="16"/>
      <c r="LP170" s="16" t="n">
        <v>7.46</v>
      </c>
      <c r="LQ170" s="16" t="n">
        <v>0</v>
      </c>
      <c r="LR170" s="16" t="n">
        <v>0</v>
      </c>
      <c r="LS170" s="0" t="n">
        <v>1</v>
      </c>
      <c r="LT170" s="0" t="s">
        <v>448</v>
      </c>
      <c r="LU170" s="0" t="n">
        <v>47</v>
      </c>
      <c r="LV170" s="16" t="n">
        <v>90.2</v>
      </c>
      <c r="LW170" s="16" t="n">
        <v>80.4</v>
      </c>
      <c r="LX170" s="16" t="n">
        <v>15.2</v>
      </c>
      <c r="LY170" s="0" t="n">
        <v>86.39</v>
      </c>
      <c r="LZ170" s="0" t="n">
        <v>0</v>
      </c>
      <c r="MA170" s="0" t="n">
        <v>0</v>
      </c>
      <c r="MB170" s="0" t="n">
        <v>0</v>
      </c>
      <c r="MC170" s="0" t="n">
        <v>13.61</v>
      </c>
      <c r="MD170" s="0" t="n">
        <v>0</v>
      </c>
      <c r="ME170" s="0" t="n">
        <v>0</v>
      </c>
      <c r="MF170" s="0" t="n">
        <v>0</v>
      </c>
      <c r="MG170" s="0" t="n">
        <v>0</v>
      </c>
      <c r="MH170" s="0" t="n">
        <v>0</v>
      </c>
      <c r="MI170" s="0" t="n">
        <v>0</v>
      </c>
      <c r="MJ170" s="0" t="n">
        <v>0</v>
      </c>
      <c r="MK170" s="0" t="n">
        <v>16.36</v>
      </c>
      <c r="ML170" s="0" t="n">
        <v>23.57</v>
      </c>
      <c r="MM170" s="0" t="n">
        <v>29.14</v>
      </c>
      <c r="MN170" s="0" t="n">
        <v>0</v>
      </c>
      <c r="MO170" s="0" t="n">
        <v>0</v>
      </c>
      <c r="MP170" s="0" t="n">
        <v>0</v>
      </c>
      <c r="NC170" s="0" t="n">
        <v>23.6</v>
      </c>
      <c r="ND170" s="0" t="n">
        <v>1</v>
      </c>
      <c r="NE170" s="0" t="n">
        <v>68</v>
      </c>
      <c r="NF170" s="0" t="n">
        <v>8</v>
      </c>
      <c r="NG170" s="0" t="n">
        <f aca="false">0.76+0.03+0.27+0.05+0.03</f>
        <v>1.14</v>
      </c>
      <c r="NH170" s="0" t="n">
        <v>1</v>
      </c>
      <c r="NI170" s="0" t="n">
        <v>35</v>
      </c>
      <c r="NJ170" s="0" t="n">
        <v>4</v>
      </c>
      <c r="NK170" s="0" t="n">
        <f aca="false">1.52+0.27</f>
        <v>1.79</v>
      </c>
      <c r="NL170" s="0" t="n">
        <v>3</v>
      </c>
      <c r="NM170" s="0" t="n">
        <v>103</v>
      </c>
      <c r="NN170" s="0" t="n">
        <v>3</v>
      </c>
      <c r="NO170" s="18" t="n">
        <v>2.02</v>
      </c>
      <c r="NP170" s="0" t="n">
        <v>3</v>
      </c>
      <c r="OG170" s="0" t="n">
        <v>1</v>
      </c>
      <c r="OH170" s="0" t="n">
        <v>80</v>
      </c>
      <c r="OI170" s="0" t="n">
        <v>3</v>
      </c>
      <c r="OJ170" s="0" t="n">
        <f aca="false">0.04*2+0.45</f>
        <v>0.53</v>
      </c>
      <c r="OK170" s="0" t="n">
        <v>3</v>
      </c>
      <c r="PR170" s="16" t="n">
        <v>0.4</v>
      </c>
      <c r="PS170" s="16" t="n">
        <v>1</v>
      </c>
      <c r="PT170" s="16" t="n">
        <v>1</v>
      </c>
      <c r="PU170" s="16"/>
      <c r="PV170" s="16" t="n">
        <f aca="false">1.25+0.1</f>
        <v>1.35</v>
      </c>
      <c r="PW170" s="16"/>
      <c r="PX170" s="16"/>
      <c r="PY170" s="16"/>
      <c r="PZ170" s="16"/>
      <c r="QA170" s="16"/>
      <c r="QB170" s="16"/>
      <c r="QC170" s="16" t="n">
        <v>4.96</v>
      </c>
      <c r="QD170" s="16" t="n">
        <v>2.6</v>
      </c>
      <c r="QE170" s="16"/>
      <c r="QF170" s="16"/>
      <c r="QG170" s="16" t="n">
        <v>0</v>
      </c>
      <c r="QH170" s="16" t="n">
        <v>0</v>
      </c>
      <c r="QI170" s="16" t="n">
        <v>0</v>
      </c>
      <c r="QJ170" s="0" t="n">
        <v>0</v>
      </c>
      <c r="QK170" s="0" t="s">
        <v>449</v>
      </c>
      <c r="QL170" s="0" t="n">
        <v>46.5</v>
      </c>
      <c r="QM170" s="16" t="n">
        <v>82.8</v>
      </c>
      <c r="QN170" s="16" t="n">
        <v>80.4</v>
      </c>
      <c r="QO170" s="16" t="n">
        <v>14.9</v>
      </c>
      <c r="QP170" s="0" t="n">
        <v>82.52</v>
      </c>
      <c r="QQ170" s="0" t="n">
        <v>0</v>
      </c>
      <c r="QR170" s="0" t="n">
        <v>0</v>
      </c>
      <c r="QS170" s="0" t="n">
        <v>0</v>
      </c>
      <c r="QT170" s="0" t="n">
        <v>17.48</v>
      </c>
      <c r="QU170" s="0" t="n">
        <v>0</v>
      </c>
      <c r="QV170" s="0" t="n">
        <v>0</v>
      </c>
      <c r="QW170" s="0" t="n">
        <v>0</v>
      </c>
      <c r="QX170" s="0" t="n">
        <v>0</v>
      </c>
      <c r="QY170" s="0" t="n">
        <v>0</v>
      </c>
      <c r="QZ170" s="0" t="n">
        <v>0</v>
      </c>
      <c r="RA170" s="0" t="n">
        <v>0</v>
      </c>
      <c r="RB170" s="0" t="n">
        <v>37.3</v>
      </c>
      <c r="RC170" s="0" t="n">
        <v>16.79</v>
      </c>
      <c r="RD170" s="0" t="n">
        <v>15.04</v>
      </c>
      <c r="RE170" s="0" t="n">
        <v>0</v>
      </c>
      <c r="RF170" s="0" t="n">
        <v>0</v>
      </c>
      <c r="RG170" s="0" t="n">
        <v>0</v>
      </c>
      <c r="RT170" s="0" t="n">
        <v>18.9</v>
      </c>
      <c r="RU170" s="0" t="n">
        <v>1</v>
      </c>
      <c r="RV170" s="0" t="n">
        <v>68</v>
      </c>
      <c r="RW170" s="0" t="n">
        <v>1</v>
      </c>
      <c r="RX170" s="0" t="n">
        <v>0.13</v>
      </c>
      <c r="RY170" s="0" t="n">
        <v>1</v>
      </c>
      <c r="RZ170" s="0" t="n">
        <v>35</v>
      </c>
      <c r="SA170" s="0" t="n">
        <v>3</v>
      </c>
      <c r="SB170" s="0" t="n">
        <v>2.25</v>
      </c>
      <c r="SC170" s="0" t="n">
        <v>3</v>
      </c>
      <c r="SD170" s="0" t="n">
        <v>47</v>
      </c>
      <c r="SE170" s="0" t="n">
        <v>10</v>
      </c>
      <c r="SF170" s="18" t="n">
        <f aca="false">0.27+0.08+0.08+0.11+0.61+0.04</f>
        <v>1.19</v>
      </c>
      <c r="SG170" s="0" t="n">
        <v>3</v>
      </c>
      <c r="SX170" s="0" t="n">
        <v>1</v>
      </c>
      <c r="SY170" s="0" t="n">
        <v>80</v>
      </c>
      <c r="SZ170" s="0" t="n">
        <v>1</v>
      </c>
      <c r="TA170" s="0" t="n">
        <v>0.13</v>
      </c>
      <c r="TB170" s="0" t="n">
        <v>3</v>
      </c>
      <c r="UI170" s="16" t="n">
        <v>1.15</v>
      </c>
      <c r="UJ170" s="16" t="n">
        <v>1</v>
      </c>
      <c r="UK170" s="16" t="n">
        <v>3</v>
      </c>
      <c r="UL170" s="16"/>
      <c r="UM170" s="16" t="n">
        <f aca="false">1.06+0.37*2</f>
        <v>1.8</v>
      </c>
      <c r="UN170" s="16"/>
      <c r="UO170" s="16"/>
      <c r="UP170" s="16"/>
      <c r="UQ170" s="16"/>
      <c r="UR170" s="16"/>
      <c r="US170" s="16"/>
      <c r="UT170" s="16" t="n">
        <v>9.75</v>
      </c>
      <c r="UU170" s="16" t="n">
        <v>11.26</v>
      </c>
      <c r="UV170" s="16"/>
      <c r="UW170" s="16"/>
      <c r="UX170" s="16" t="n">
        <v>0</v>
      </c>
      <c r="UY170" s="16" t="n">
        <v>0</v>
      </c>
      <c r="UZ170" s="16" t="n">
        <v>0</v>
      </c>
      <c r="VA170" s="0" t="n">
        <v>0</v>
      </c>
      <c r="VB170" s="0" t="s">
        <v>456</v>
      </c>
      <c r="VC170" s="0" t="n">
        <v>79.5</v>
      </c>
      <c r="VD170" s="16" t="n">
        <v>92.6</v>
      </c>
      <c r="VE170" s="16" t="n">
        <v>80.4</v>
      </c>
      <c r="VF170" s="16" t="n">
        <v>25.3</v>
      </c>
      <c r="VG170" s="0" t="n">
        <v>77.91</v>
      </c>
      <c r="VH170" s="0" t="n">
        <v>0</v>
      </c>
      <c r="VI170" s="0" t="n">
        <v>0.76</v>
      </c>
      <c r="VJ170" s="0" t="n">
        <v>0</v>
      </c>
      <c r="VK170" s="0" t="n">
        <v>21.33</v>
      </c>
      <c r="VL170" s="0" t="n">
        <v>0</v>
      </c>
      <c r="VM170" s="0" t="n">
        <v>0</v>
      </c>
      <c r="VN170" s="0" t="n">
        <v>0</v>
      </c>
      <c r="VO170" s="0" t="n">
        <v>0</v>
      </c>
      <c r="VP170" s="0" t="n">
        <v>0</v>
      </c>
      <c r="VQ170" s="0" t="n">
        <v>0</v>
      </c>
      <c r="VR170" s="0" t="n">
        <v>4.99</v>
      </c>
      <c r="VS170" s="0" t="n">
        <v>0</v>
      </c>
      <c r="VT170" s="0" t="n">
        <v>5.93</v>
      </c>
      <c r="VU170" s="0" t="n">
        <v>41.31</v>
      </c>
      <c r="VV170" s="0" t="n">
        <v>0</v>
      </c>
      <c r="VW170" s="0" t="n">
        <v>10.6</v>
      </c>
      <c r="VX170" s="0" t="n">
        <v>2</v>
      </c>
      <c r="VY170" s="0" t="n">
        <v>3</v>
      </c>
      <c r="VZ170" s="0" t="n">
        <v>6.39</v>
      </c>
      <c r="WE170" s="0" t="n">
        <v>3</v>
      </c>
      <c r="WF170" s="0" t="n">
        <v>6.39</v>
      </c>
      <c r="WK170" s="0" t="n">
        <v>19.9</v>
      </c>
      <c r="WL170" s="0" t="n">
        <v>1</v>
      </c>
      <c r="WM170" s="0" t="n">
        <v>52</v>
      </c>
      <c r="WN170" s="0" t="n">
        <v>2</v>
      </c>
      <c r="WO170" s="0" t="n">
        <f aca="false">0.05+0.08</f>
        <v>0.13</v>
      </c>
      <c r="WP170" s="0" t="n">
        <v>2</v>
      </c>
      <c r="WQ170" s="0" t="n">
        <v>47</v>
      </c>
      <c r="WR170" s="0" t="n">
        <v>12</v>
      </c>
      <c r="WS170" s="0" t="n">
        <f aca="false">1.52+0.11+0.27+0.07+0.1+0.16+0.13+0.13</f>
        <v>2.49</v>
      </c>
      <c r="WT170" s="0" t="n">
        <v>3</v>
      </c>
      <c r="WW170" s="18"/>
      <c r="XO170" s="0" t="n">
        <v>0</v>
      </c>
      <c r="YZ170" s="16" t="n">
        <v>6.39</v>
      </c>
      <c r="ZA170" s="16" t="n">
        <v>1</v>
      </c>
      <c r="ZB170" s="16" t="n">
        <v>2</v>
      </c>
      <c r="ZC170" s="16"/>
      <c r="ZD170" s="16" t="n">
        <f aca="false">2.11+1.52+2.11+0.3+0.22*2</f>
        <v>6.48</v>
      </c>
      <c r="ZE170" s="16"/>
      <c r="ZF170" s="16"/>
      <c r="ZG170" s="16"/>
      <c r="ZH170" s="16"/>
      <c r="ZI170" s="16"/>
      <c r="ZJ170" s="16"/>
      <c r="ZK170" s="16" t="n">
        <v>14.55</v>
      </c>
      <c r="ZL170" s="16" t="n">
        <v>28.78</v>
      </c>
      <c r="ZM170" s="16"/>
      <c r="ZN170" s="16"/>
      <c r="ZO170" s="16" t="n">
        <v>0</v>
      </c>
      <c r="ZP170" s="16" t="n">
        <v>0</v>
      </c>
      <c r="ZQ170" s="16" t="n">
        <v>0</v>
      </c>
      <c r="ZR170" s="0" t="n">
        <v>0</v>
      </c>
      <c r="ZS170" s="0" t="s">
        <v>450</v>
      </c>
      <c r="ZT170" s="0" t="n">
        <v>33.5</v>
      </c>
      <c r="ZU170" s="16" t="n">
        <v>82.2</v>
      </c>
      <c r="ZV170" s="16" t="n">
        <v>80.4</v>
      </c>
      <c r="ZW170" s="16" t="n">
        <v>19.5</v>
      </c>
      <c r="ZX170" s="0" t="n">
        <v>80.12</v>
      </c>
      <c r="ZY170" s="0" t="n">
        <v>0</v>
      </c>
      <c r="ZZ170" s="0" t="n">
        <v>0</v>
      </c>
      <c r="AAA170" s="0" t="n">
        <v>0</v>
      </c>
      <c r="AAB170" s="0" t="n">
        <v>19.88</v>
      </c>
      <c r="AAC170" s="0" t="n">
        <v>0</v>
      </c>
      <c r="AAD170" s="0" t="n">
        <v>0</v>
      </c>
      <c r="AAE170" s="0" t="n">
        <v>0</v>
      </c>
      <c r="AAF170" s="0" t="n">
        <v>0</v>
      </c>
      <c r="AAG170" s="0" t="n">
        <v>0</v>
      </c>
      <c r="AAH170" s="0" t="n">
        <v>0</v>
      </c>
      <c r="AAI170" s="0" t="n">
        <v>0</v>
      </c>
      <c r="AAJ170" s="0" t="n">
        <v>0</v>
      </c>
      <c r="AAK170" s="0" t="n">
        <v>16.82</v>
      </c>
      <c r="AAL170" s="0" t="n">
        <v>20.29</v>
      </c>
      <c r="AAM170" s="0" t="n">
        <v>0</v>
      </c>
      <c r="AAN170" s="0" t="n">
        <v>0</v>
      </c>
      <c r="AAO170" s="0" t="n">
        <v>0</v>
      </c>
      <c r="ABB170" s="0" t="n">
        <v>0</v>
      </c>
      <c r="ABC170" s="0" t="n">
        <v>0</v>
      </c>
      <c r="ABN170" s="18"/>
      <c r="ACF170" s="0" t="n">
        <v>0</v>
      </c>
      <c r="ADQ170" s="16" t="n">
        <v>2.43</v>
      </c>
      <c r="ADR170" s="16" t="n">
        <v>1</v>
      </c>
      <c r="ADS170" s="16" t="n">
        <v>2</v>
      </c>
      <c r="ADT170" s="16"/>
      <c r="ADU170" s="16" t="n">
        <f aca="false">8.46+0.21+0.37</f>
        <v>9.04</v>
      </c>
      <c r="ADV170" s="16"/>
      <c r="ADW170" s="16"/>
      <c r="ADX170" s="16"/>
      <c r="ADY170" s="16"/>
      <c r="ADZ170" s="16"/>
      <c r="AEA170" s="16"/>
      <c r="AEB170" s="16" t="n">
        <v>9.41</v>
      </c>
      <c r="AEC170" s="16" t="n">
        <v>22.76</v>
      </c>
      <c r="AED170" s="16"/>
      <c r="AEE170" s="16"/>
      <c r="AEF170" s="16" t="n">
        <v>0</v>
      </c>
      <c r="AEG170" s="16" t="n">
        <v>0</v>
      </c>
      <c r="AEH170" s="16" t="n">
        <v>0</v>
      </c>
      <c r="AEI170" s="0" t="n">
        <v>0</v>
      </c>
      <c r="AEJ170" s="0" t="s">
        <v>457</v>
      </c>
      <c r="AEK170" s="0" t="n">
        <v>21</v>
      </c>
      <c r="AEL170" s="16" t="n">
        <v>68.8</v>
      </c>
      <c r="AEM170" s="16" t="n">
        <v>80.4</v>
      </c>
      <c r="AEN170" s="16" t="n">
        <v>11.1</v>
      </c>
      <c r="AEO170" s="0" t="n">
        <v>92.71</v>
      </c>
      <c r="AEP170" s="0" t="n">
        <v>0</v>
      </c>
      <c r="AEQ170" s="0" t="n">
        <v>0</v>
      </c>
      <c r="AER170" s="0" t="n">
        <v>0</v>
      </c>
      <c r="AES170" s="0" t="n">
        <v>7.29</v>
      </c>
      <c r="AET170" s="0" t="n">
        <v>0</v>
      </c>
      <c r="AEU170" s="0" t="n">
        <v>0</v>
      </c>
      <c r="AEV170" s="0" t="n">
        <v>0</v>
      </c>
      <c r="AEW170" s="0" t="n">
        <v>0</v>
      </c>
      <c r="AEX170" s="0" t="n">
        <v>0</v>
      </c>
      <c r="AEY170" s="0" t="n">
        <v>0</v>
      </c>
      <c r="AEZ170" s="0" t="n">
        <v>0</v>
      </c>
      <c r="AFA170" s="0" t="n">
        <v>0</v>
      </c>
      <c r="AFB170" s="0" t="n">
        <v>2.43</v>
      </c>
      <c r="AFC170" s="0" t="n">
        <v>9.89</v>
      </c>
      <c r="AFD170" s="0" t="n">
        <v>0</v>
      </c>
      <c r="AFE170" s="0" t="n">
        <v>0</v>
      </c>
      <c r="AFF170" s="0" t="n">
        <v>0</v>
      </c>
      <c r="AFS170" s="0" t="n">
        <v>1</v>
      </c>
      <c r="AFT170" s="0" t="n">
        <v>1</v>
      </c>
      <c r="AFU170" s="0" t="n">
        <v>68</v>
      </c>
      <c r="AFV170" s="0" t="n">
        <v>7</v>
      </c>
      <c r="AFW170" s="0" t="n">
        <f aca="false">0.05+0.03+0.27+0.03</f>
        <v>0.38</v>
      </c>
      <c r="AFX170" s="0" t="n">
        <v>1</v>
      </c>
      <c r="AGE170" s="18"/>
      <c r="AGW170" s="0" t="n">
        <v>0</v>
      </c>
      <c r="AIH170" s="16" t="n">
        <v>0.67</v>
      </c>
      <c r="AII170" s="16" t="n">
        <v>1</v>
      </c>
      <c r="AIJ170" s="16" t="n">
        <v>2</v>
      </c>
      <c r="AIK170" s="16"/>
      <c r="AIL170" s="16" t="n">
        <f aca="false">0.28*2</f>
        <v>0.56</v>
      </c>
      <c r="AIM170" s="16"/>
      <c r="AIN170" s="16"/>
      <c r="AIO170" s="16"/>
      <c r="AIP170" s="16"/>
      <c r="AIQ170" s="16"/>
      <c r="AIR170" s="16"/>
      <c r="AIS170" s="16" t="n">
        <v>7.38</v>
      </c>
      <c r="AIT170" s="16" t="n">
        <v>10.32</v>
      </c>
      <c r="AIU170" s="16"/>
      <c r="AIV170" s="16"/>
      <c r="AIW170" s="16" t="n">
        <v>0</v>
      </c>
      <c r="AIX170" s="16" t="n">
        <v>0</v>
      </c>
      <c r="AIY170" s="16" t="n">
        <v>0</v>
      </c>
      <c r="AIZ170" s="0" t="n">
        <v>0</v>
      </c>
      <c r="AJA170" s="0" t="s">
        <v>451</v>
      </c>
      <c r="AJB170" s="0" t="n">
        <v>48.5</v>
      </c>
      <c r="AJC170" s="16" t="n">
        <v>83.8</v>
      </c>
      <c r="AJD170" s="16" t="n">
        <v>80.4</v>
      </c>
      <c r="AJE170" s="16" t="n">
        <v>34.3</v>
      </c>
      <c r="AJF170" s="0" t="n">
        <v>70.08</v>
      </c>
      <c r="AJG170" s="0" t="n">
        <v>0</v>
      </c>
      <c r="AJH170" s="0" t="n">
        <v>18.24</v>
      </c>
      <c r="AJI170" s="0" t="n">
        <v>1.05</v>
      </c>
      <c r="AJJ170" s="0" t="n">
        <v>1.14</v>
      </c>
      <c r="AJK170" s="0" t="n">
        <v>0</v>
      </c>
      <c r="AJL170" s="0" t="n">
        <v>0</v>
      </c>
      <c r="AJM170" s="0" t="n">
        <v>0</v>
      </c>
      <c r="AJN170" s="0" t="n">
        <v>0</v>
      </c>
      <c r="AJO170" s="0" t="n">
        <v>0</v>
      </c>
      <c r="AJP170" s="0" t="n">
        <v>0</v>
      </c>
      <c r="AJQ170" s="0" t="n">
        <v>19.39</v>
      </c>
      <c r="AJR170" s="0" t="n">
        <v>3.64</v>
      </c>
      <c r="AJS170" s="0" t="n">
        <v>13.61</v>
      </c>
      <c r="AJT170" s="0" t="n">
        <v>5.23</v>
      </c>
      <c r="AJU170" s="0" t="n">
        <v>9.49</v>
      </c>
      <c r="AJV170" s="0" t="n">
        <v>2.6</v>
      </c>
      <c r="AJW170" s="0" t="n">
        <v>2</v>
      </c>
      <c r="AJX170" s="0" t="n">
        <v>3</v>
      </c>
      <c r="AJY170" s="0" t="n">
        <v>1.01</v>
      </c>
      <c r="AKD170" s="0" t="n">
        <v>3</v>
      </c>
      <c r="AKE170" s="0" t="n">
        <v>1.01</v>
      </c>
      <c r="AKJ170" s="0" t="n">
        <v>1.7</v>
      </c>
      <c r="AKK170" s="0" t="n">
        <v>0</v>
      </c>
      <c r="AKV170" s="18"/>
      <c r="ALN170" s="0" t="n">
        <v>1</v>
      </c>
      <c r="ALO170" s="0" t="n">
        <v>60</v>
      </c>
      <c r="ALP170" s="0" t="n">
        <v>1</v>
      </c>
      <c r="ALQ170" s="0" t="n">
        <v>1.05</v>
      </c>
      <c r="ALR170" s="0" t="n">
        <v>1</v>
      </c>
    </row>
    <row r="171" customFormat="false" ht="13.8" hidden="false" customHeight="false" outlineLevel="0" collapsed="false">
      <c r="A171" s="1" t="s">
        <v>633</v>
      </c>
      <c r="B171" s="12" t="n">
        <v>42902</v>
      </c>
      <c r="C171" s="0" t="n">
        <v>1</v>
      </c>
      <c r="D171" s="13" t="n">
        <v>42797</v>
      </c>
      <c r="E171" s="12" t="n">
        <v>29537</v>
      </c>
      <c r="F171" s="14" t="n">
        <f aca="false">(B171-E171)/365.25</f>
        <v>36.5913757700205</v>
      </c>
      <c r="G171" s="14" t="n">
        <f aca="false">(B171-D171)/365.25</f>
        <v>0.287474332648871</v>
      </c>
      <c r="H171" s="15" t="s">
        <v>181</v>
      </c>
      <c r="I171" s="15" t="s">
        <v>182</v>
      </c>
      <c r="J171" s="15" t="s">
        <v>181</v>
      </c>
      <c r="K171" s="15" t="n">
        <v>8</v>
      </c>
      <c r="L171" s="19" t="n">
        <v>82</v>
      </c>
      <c r="M171" s="0" t="n">
        <v>1.53</v>
      </c>
      <c r="N171" s="16" t="n">
        <f aca="false">L171/(M171*M171)</f>
        <v>35.0292622495621</v>
      </c>
      <c r="O171" s="19" t="n">
        <v>0</v>
      </c>
      <c r="P171" s="19" t="n">
        <v>0</v>
      </c>
      <c r="Q171" s="19" t="n">
        <v>0</v>
      </c>
      <c r="R171" s="19" t="n">
        <v>0</v>
      </c>
      <c r="S171" s="19" t="n">
        <v>0</v>
      </c>
      <c r="T171" s="19" t="n">
        <v>0</v>
      </c>
      <c r="U171" s="19" t="n">
        <v>0</v>
      </c>
      <c r="V171" s="19" t="n">
        <v>0</v>
      </c>
      <c r="W171" s="19" t="n">
        <v>0</v>
      </c>
      <c r="X171" s="19" t="n">
        <v>0</v>
      </c>
      <c r="Y171" s="19" t="n">
        <v>0</v>
      </c>
      <c r="Z171" s="19" t="n">
        <v>0</v>
      </c>
      <c r="AA171" s="19" t="n">
        <v>0</v>
      </c>
      <c r="AB171" s="19" t="n">
        <v>0</v>
      </c>
      <c r="AC171" s="19" t="n">
        <v>1</v>
      </c>
      <c r="AD171" s="19" t="n">
        <v>8</v>
      </c>
      <c r="AE171" s="19" t="n">
        <v>0</v>
      </c>
      <c r="AF171" s="19" t="n">
        <v>0</v>
      </c>
      <c r="AG171" s="19" t="n">
        <v>0</v>
      </c>
      <c r="AH171" s="19" t="n">
        <v>0</v>
      </c>
      <c r="AI171" s="19" t="n">
        <v>0</v>
      </c>
      <c r="AJ171" s="19" t="n">
        <v>0</v>
      </c>
      <c r="AK171" s="19" t="n">
        <v>0</v>
      </c>
      <c r="AL171" s="19" t="n">
        <v>0</v>
      </c>
      <c r="AM171" s="19" t="n">
        <v>0</v>
      </c>
      <c r="AN171" s="19" t="n">
        <v>0</v>
      </c>
      <c r="AO171" s="19" t="n">
        <v>0</v>
      </c>
      <c r="AP171" s="19" t="n">
        <v>0</v>
      </c>
      <c r="AQ171" s="19" t="n">
        <v>0</v>
      </c>
      <c r="AR171" s="19" t="n">
        <v>0</v>
      </c>
      <c r="AS171" s="19" t="n">
        <v>3</v>
      </c>
      <c r="AT171" s="19" t="n">
        <v>0</v>
      </c>
      <c r="AU171" s="19" t="n">
        <v>0</v>
      </c>
      <c r="AV171" s="19" t="n">
        <v>0</v>
      </c>
      <c r="AW171" s="19" t="n">
        <v>0</v>
      </c>
      <c r="AX171" s="19" t="n">
        <v>0</v>
      </c>
      <c r="AY171" s="19" t="n">
        <v>0</v>
      </c>
      <c r="AZ171" s="19" t="n">
        <v>0</v>
      </c>
      <c r="BA171" s="19" t="n">
        <v>0</v>
      </c>
      <c r="BB171" s="19" t="n">
        <v>0</v>
      </c>
      <c r="BC171" s="19" t="n">
        <v>0</v>
      </c>
      <c r="BD171" s="19" t="n">
        <v>0</v>
      </c>
      <c r="BE171" s="19" t="n">
        <v>0</v>
      </c>
      <c r="BF171" s="19" t="n">
        <v>0</v>
      </c>
      <c r="BG171" s="19" t="n">
        <v>0</v>
      </c>
      <c r="BH171" s="19" t="n">
        <v>0</v>
      </c>
      <c r="BI171" s="19" t="n">
        <v>0</v>
      </c>
      <c r="BJ171" s="19" t="n">
        <v>0</v>
      </c>
      <c r="BK171" s="19" t="n">
        <v>0</v>
      </c>
      <c r="BL171" s="19" t="n">
        <v>0</v>
      </c>
      <c r="BM171" s="19" t="n">
        <v>0</v>
      </c>
      <c r="BN171" s="19" t="n">
        <v>0</v>
      </c>
      <c r="BO171" s="19" t="n">
        <v>0</v>
      </c>
      <c r="BP171" s="19" t="n">
        <v>0</v>
      </c>
      <c r="BQ171" s="19" t="n">
        <v>0</v>
      </c>
      <c r="BR171" s="19" t="n">
        <v>1</v>
      </c>
      <c r="BS171" s="19" t="n">
        <v>1</v>
      </c>
      <c r="BT171" s="19" t="n">
        <v>1</v>
      </c>
      <c r="BU171" s="19" t="n">
        <v>1</v>
      </c>
      <c r="BV171" s="19" t="n">
        <v>1</v>
      </c>
      <c r="BW171" s="19" t="n">
        <v>1</v>
      </c>
      <c r="BX171" s="19" t="n">
        <v>1</v>
      </c>
      <c r="BY171" s="19" t="n">
        <v>5</v>
      </c>
      <c r="BZ171" s="19" t="n">
        <v>5</v>
      </c>
      <c r="CA171" s="19" t="n">
        <v>5</v>
      </c>
      <c r="CB171" s="19" t="n">
        <v>5</v>
      </c>
      <c r="CC171" s="19" t="n">
        <v>5</v>
      </c>
      <c r="CD171" s="19" t="n">
        <v>5</v>
      </c>
      <c r="CE171" s="19" t="n">
        <v>5</v>
      </c>
      <c r="CF171" s="19" t="n">
        <v>5</v>
      </c>
      <c r="CG171" s="19" t="n">
        <v>5</v>
      </c>
      <c r="CH171" s="19" t="n">
        <v>5</v>
      </c>
      <c r="CI171" s="19" t="n">
        <v>5</v>
      </c>
      <c r="CJ171" s="19" t="n">
        <v>5</v>
      </c>
      <c r="CK171" s="19" t="n">
        <v>8</v>
      </c>
      <c r="CL171" s="0" t="s">
        <v>185</v>
      </c>
      <c r="CM171" s="0" t="n">
        <v>21.5</v>
      </c>
      <c r="CN171" s="16" t="n">
        <v>54.9</v>
      </c>
      <c r="CO171" s="16" t="n">
        <v>80.4</v>
      </c>
      <c r="CP171" s="16" t="n">
        <v>17.9</v>
      </c>
      <c r="CQ171" s="0" t="n">
        <v>90.61</v>
      </c>
      <c r="CR171" s="17" t="n">
        <v>0</v>
      </c>
      <c r="CS171" s="0" t="n">
        <v>0</v>
      </c>
      <c r="CT171" s="0" t="n">
        <v>2.45</v>
      </c>
      <c r="CU171" s="0" t="n">
        <v>6.94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12.16</v>
      </c>
      <c r="DC171" s="0" t="n">
        <v>24.45</v>
      </c>
      <c r="DD171" s="0" t="n">
        <v>4.8</v>
      </c>
      <c r="DE171" s="0" t="n">
        <v>5.11</v>
      </c>
      <c r="DF171" s="0" t="n">
        <v>0</v>
      </c>
      <c r="DG171" s="0" t="n">
        <v>0</v>
      </c>
      <c r="DH171" s="0" t="n">
        <v>0</v>
      </c>
      <c r="DU171" s="0" t="n">
        <v>2.9</v>
      </c>
      <c r="DV171" s="0" t="n">
        <v>1</v>
      </c>
      <c r="DW171" s="0" t="n">
        <v>68</v>
      </c>
      <c r="DX171" s="0" t="n">
        <v>2</v>
      </c>
      <c r="DY171" s="0" t="n">
        <f aca="false">0.38+0.07</f>
        <v>0.45</v>
      </c>
      <c r="DZ171" s="0" t="n">
        <v>1</v>
      </c>
      <c r="EG171" s="18"/>
      <c r="EY171" s="0" t="n">
        <v>1</v>
      </c>
      <c r="EZ171" s="0" t="n">
        <v>40</v>
      </c>
      <c r="FA171" s="0" t="n">
        <v>1</v>
      </c>
      <c r="FB171" s="0" t="n">
        <v>0.06</v>
      </c>
      <c r="FC171" s="0" t="n">
        <v>1</v>
      </c>
      <c r="FD171" s="0" t="n">
        <v>60</v>
      </c>
      <c r="FE171" s="0" t="n">
        <v>1</v>
      </c>
      <c r="FF171" s="0" t="n">
        <v>0.11</v>
      </c>
      <c r="FG171" s="0" t="n">
        <v>1</v>
      </c>
      <c r="FH171" s="0" t="n">
        <v>40</v>
      </c>
      <c r="FI171" s="0" t="n">
        <v>1</v>
      </c>
      <c r="FJ171" s="0" t="n">
        <v>0.58</v>
      </c>
      <c r="FK171" s="0" t="n">
        <v>6</v>
      </c>
      <c r="GJ171" s="16" t="n">
        <v>0</v>
      </c>
      <c r="GK171" s="16" t="n">
        <v>0</v>
      </c>
      <c r="GL171" s="16"/>
      <c r="GM171" s="16"/>
      <c r="GN171" s="16"/>
      <c r="GO171" s="16"/>
      <c r="GP171" s="16"/>
      <c r="GQ171" s="16"/>
      <c r="GR171" s="16"/>
      <c r="GS171" s="16"/>
      <c r="GT171" s="16"/>
      <c r="GU171" s="16" t="n">
        <v>0.67</v>
      </c>
      <c r="GV171" s="16" t="n">
        <v>0.65</v>
      </c>
      <c r="GW171" s="16"/>
      <c r="GX171" s="16"/>
      <c r="GY171" s="16" t="n">
        <v>0</v>
      </c>
      <c r="GZ171" s="16" t="n">
        <v>0</v>
      </c>
      <c r="HA171" s="16" t="n">
        <v>0</v>
      </c>
      <c r="HB171" s="0" t="n">
        <v>0</v>
      </c>
      <c r="HC171" s="0" t="s">
        <v>188</v>
      </c>
      <c r="HD171" s="0" t="n">
        <v>40</v>
      </c>
      <c r="HE171" s="16" t="n">
        <v>84.1</v>
      </c>
      <c r="HF171" s="16" t="n">
        <v>80.4</v>
      </c>
      <c r="HG171" s="16" t="n">
        <v>35.1</v>
      </c>
      <c r="HH171" s="0" t="n">
        <v>66.11</v>
      </c>
      <c r="HI171" s="17" t="n">
        <v>0</v>
      </c>
      <c r="HJ171" s="0" t="n">
        <v>13.11</v>
      </c>
      <c r="HK171" s="0" t="n">
        <v>6.27</v>
      </c>
      <c r="HL171" s="0" t="n">
        <v>8.02</v>
      </c>
      <c r="HM171" s="0" t="n">
        <v>0</v>
      </c>
      <c r="HN171" s="0" t="n">
        <v>6.47</v>
      </c>
      <c r="HO171" s="0" t="n">
        <v>2.85</v>
      </c>
      <c r="HP171" s="0" t="n">
        <v>3.1</v>
      </c>
      <c r="HQ171" s="0" t="n">
        <v>0</v>
      </c>
      <c r="HR171" s="0" t="n">
        <v>0</v>
      </c>
      <c r="HS171" s="0" t="n">
        <v>10.49</v>
      </c>
      <c r="HT171" s="0" t="n">
        <v>26.72</v>
      </c>
      <c r="HU171" s="0" t="n">
        <v>13.38</v>
      </c>
      <c r="HV171" s="0" t="n">
        <v>10.67</v>
      </c>
      <c r="HW171" s="0" t="n">
        <v>0</v>
      </c>
      <c r="HX171" s="0" t="n">
        <v>0</v>
      </c>
      <c r="HY171" s="0" t="n">
        <v>0</v>
      </c>
      <c r="IL171" s="0" t="n">
        <v>3.9</v>
      </c>
      <c r="IM171" s="0" t="n">
        <v>1</v>
      </c>
      <c r="IN171" s="0" t="n">
        <v>68</v>
      </c>
      <c r="IO171" s="0" t="n">
        <v>4</v>
      </c>
      <c r="IP171" s="0" t="n">
        <f aca="false">1.9+0.34</f>
        <v>2.24</v>
      </c>
      <c r="IQ171" s="0" t="n">
        <v>1</v>
      </c>
      <c r="IR171" s="0" t="n">
        <v>34</v>
      </c>
      <c r="IS171" s="0" t="n">
        <v>8</v>
      </c>
      <c r="IT171" s="0" t="n">
        <v>0.27</v>
      </c>
      <c r="IU171" s="0" t="n">
        <v>1</v>
      </c>
      <c r="IX171" s="18"/>
      <c r="JP171" s="0" t="n">
        <v>1</v>
      </c>
      <c r="JQ171" s="0" t="n">
        <v>50</v>
      </c>
      <c r="JR171" s="0" t="n">
        <v>4</v>
      </c>
      <c r="JS171" s="0" t="n">
        <f aca="false">1.52*2</f>
        <v>3.04</v>
      </c>
      <c r="JT171" s="0" t="n">
        <v>3</v>
      </c>
      <c r="LA171" s="16" t="n">
        <v>0.04</v>
      </c>
      <c r="LB171" s="16" t="n">
        <v>1</v>
      </c>
      <c r="LC171" s="16" t="n">
        <v>1</v>
      </c>
      <c r="LD171" s="16"/>
      <c r="LE171" s="16" t="n">
        <f aca="false">0.3</f>
        <v>0.3</v>
      </c>
      <c r="LF171" s="16"/>
      <c r="LG171" s="16"/>
      <c r="LH171" s="16"/>
      <c r="LI171" s="16"/>
      <c r="LJ171" s="16"/>
      <c r="LK171" s="16"/>
      <c r="LL171" s="16" t="n">
        <v>0.03</v>
      </c>
      <c r="LM171" s="16" t="n">
        <v>0.03</v>
      </c>
      <c r="LN171" s="16"/>
      <c r="LO171" s="16"/>
      <c r="LP171" s="16" t="n">
        <v>0</v>
      </c>
      <c r="LQ171" s="16" t="n">
        <v>0</v>
      </c>
      <c r="LR171" s="16" t="n">
        <v>0</v>
      </c>
      <c r="LS171" s="0" t="n">
        <v>0</v>
      </c>
      <c r="LT171" s="0" t="s">
        <v>189</v>
      </c>
      <c r="LU171" s="0" t="n">
        <v>31</v>
      </c>
      <c r="LV171" s="16" t="n">
        <v>80.2</v>
      </c>
      <c r="LW171" s="16" t="n">
        <v>80.4</v>
      </c>
      <c r="LX171" s="16" t="n">
        <v>6.5</v>
      </c>
      <c r="LY171" s="0" t="n">
        <v>99.3</v>
      </c>
      <c r="LZ171" s="17" t="n">
        <v>0</v>
      </c>
      <c r="MA171" s="0" t="n">
        <v>0.7</v>
      </c>
      <c r="MB171" s="0" t="n">
        <v>0</v>
      </c>
      <c r="MC171" s="0" t="n">
        <v>0</v>
      </c>
      <c r="MD171" s="0" t="n">
        <v>0</v>
      </c>
      <c r="ME171" s="0" t="n">
        <v>0</v>
      </c>
      <c r="MF171" s="0" t="n">
        <v>0</v>
      </c>
      <c r="MG171" s="0" t="n">
        <v>0</v>
      </c>
      <c r="MH171" s="0" t="n">
        <v>0</v>
      </c>
      <c r="MI171" s="0" t="n">
        <v>0</v>
      </c>
      <c r="MJ171" s="0" t="n">
        <v>0</v>
      </c>
      <c r="MK171" s="0" t="n">
        <v>31.92</v>
      </c>
      <c r="ML171" s="0" t="n">
        <v>23.7</v>
      </c>
      <c r="MM171" s="0" t="n">
        <v>1.95</v>
      </c>
      <c r="MN171" s="0" t="n">
        <v>0</v>
      </c>
      <c r="MO171" s="0" t="n">
        <v>18.7</v>
      </c>
      <c r="MP171" s="0" t="n">
        <v>4</v>
      </c>
      <c r="MQ171" s="0" t="n">
        <v>49</v>
      </c>
      <c r="MS171" s="0" t="n">
        <v>1</v>
      </c>
      <c r="MW171" s="0" t="n">
        <v>49</v>
      </c>
      <c r="MY171" s="0" t="n">
        <v>1</v>
      </c>
      <c r="NC171" s="0" t="n">
        <v>0</v>
      </c>
      <c r="ND171" s="0" t="n">
        <v>0</v>
      </c>
      <c r="NO171" s="18"/>
      <c r="OG171" s="0" t="n">
        <v>0</v>
      </c>
      <c r="PR171" s="16" t="n">
        <v>0</v>
      </c>
      <c r="PS171" s="16" t="n">
        <v>0</v>
      </c>
      <c r="PT171" s="16"/>
      <c r="PU171" s="16"/>
      <c r="PV171" s="16"/>
      <c r="PW171" s="16"/>
      <c r="PX171" s="16"/>
      <c r="PY171" s="16"/>
      <c r="PZ171" s="16"/>
      <c r="QA171" s="16"/>
      <c r="QB171" s="16"/>
      <c r="QC171" s="16" t="n">
        <v>5.42</v>
      </c>
      <c r="QD171" s="16" t="n">
        <v>6.61</v>
      </c>
      <c r="QE171" s="16"/>
      <c r="QF171" s="16"/>
      <c r="QG171" s="16" t="n">
        <v>0</v>
      </c>
      <c r="QH171" s="16" t="n">
        <v>0</v>
      </c>
      <c r="QI171" s="16" t="n">
        <v>0</v>
      </c>
      <c r="QJ171" s="0" t="n">
        <v>0</v>
      </c>
      <c r="QK171" s="0" t="s">
        <v>634</v>
      </c>
      <c r="QL171" s="0" t="n">
        <v>25</v>
      </c>
      <c r="QM171" s="16" t="n">
        <v>67</v>
      </c>
      <c r="QN171" s="16" t="n">
        <v>80.4</v>
      </c>
      <c r="QO171" s="16" t="n">
        <v>7.6</v>
      </c>
      <c r="QP171" s="0" t="n">
        <v>97.19</v>
      </c>
      <c r="QQ171" s="17" t="n">
        <v>0</v>
      </c>
      <c r="QR171" s="0" t="n">
        <v>0</v>
      </c>
      <c r="QS171" s="0" t="n">
        <v>0</v>
      </c>
      <c r="QT171" s="0" t="n">
        <v>2.81</v>
      </c>
      <c r="QU171" s="0" t="n">
        <v>0</v>
      </c>
      <c r="QV171" s="0" t="n">
        <v>0</v>
      </c>
      <c r="QW171" s="0" t="n">
        <v>0</v>
      </c>
      <c r="QX171" s="0" t="n">
        <v>0</v>
      </c>
      <c r="QY171" s="0" t="n">
        <v>0</v>
      </c>
      <c r="QZ171" s="0" t="n">
        <v>0</v>
      </c>
      <c r="RA171" s="0" t="n">
        <v>0</v>
      </c>
      <c r="RB171" s="0" t="n">
        <v>4.69</v>
      </c>
      <c r="RC171" s="0" t="n">
        <v>46.88</v>
      </c>
      <c r="RD171" s="0" t="n">
        <v>0</v>
      </c>
      <c r="RE171" s="0" t="n">
        <v>0</v>
      </c>
      <c r="RF171" s="0" t="n">
        <v>11.6</v>
      </c>
      <c r="RG171" s="0" t="n">
        <v>2</v>
      </c>
      <c r="RH171" s="0" t="n">
        <v>5</v>
      </c>
      <c r="RJ171" s="0" t="n">
        <v>1</v>
      </c>
      <c r="RN171" s="0" t="n">
        <v>5</v>
      </c>
      <c r="RP171" s="0" t="n">
        <v>1</v>
      </c>
      <c r="RT171" s="0" t="n">
        <v>0</v>
      </c>
      <c r="RU171" s="0" t="n">
        <v>1</v>
      </c>
      <c r="RV171" s="0" t="n">
        <v>34</v>
      </c>
      <c r="RW171" s="0" t="n">
        <v>4</v>
      </c>
      <c r="RX171" s="0" t="n">
        <v>2.25</v>
      </c>
      <c r="RY171" s="0" t="n">
        <v>1</v>
      </c>
      <c r="SF171" s="18"/>
      <c r="SX171" s="0" t="n">
        <v>0</v>
      </c>
      <c r="UI171" s="16" t="n">
        <v>0.01</v>
      </c>
      <c r="UJ171" s="16" t="n">
        <v>1</v>
      </c>
      <c r="UK171" s="16" t="n">
        <v>1</v>
      </c>
      <c r="UL171" s="16"/>
      <c r="UM171" s="16" t="n">
        <v>0.14</v>
      </c>
      <c r="UN171" s="16"/>
      <c r="UO171" s="16"/>
      <c r="UP171" s="16"/>
      <c r="UQ171" s="16"/>
      <c r="UR171" s="16"/>
      <c r="US171" s="16"/>
      <c r="UT171" s="16" t="n">
        <v>5.7</v>
      </c>
      <c r="UU171" s="16" t="n">
        <v>0</v>
      </c>
      <c r="UV171" s="16"/>
      <c r="UW171" s="16"/>
      <c r="UX171" s="16" t="n">
        <v>0</v>
      </c>
      <c r="UY171" s="16" t="n">
        <v>0</v>
      </c>
      <c r="UZ171" s="16" t="n">
        <v>0</v>
      </c>
      <c r="VA171" s="0" t="n">
        <v>0</v>
      </c>
      <c r="VE171" s="15"/>
      <c r="VF171" s="15"/>
      <c r="VM171" s="15"/>
      <c r="VN171" s="15"/>
      <c r="VU171" s="15"/>
      <c r="VV171" s="15"/>
      <c r="WC171" s="15"/>
      <c r="WD171" s="15"/>
      <c r="WK171" s="15"/>
      <c r="WL171" s="15"/>
      <c r="WS171" s="15"/>
      <c r="WT171" s="15"/>
      <c r="XA171" s="15"/>
      <c r="XB171" s="15"/>
      <c r="XI171" s="15"/>
      <c r="XJ171" s="15"/>
      <c r="XQ171" s="15"/>
      <c r="XR171" s="15"/>
      <c r="XY171" s="15"/>
      <c r="XZ171" s="15"/>
      <c r="YG171" s="15"/>
      <c r="YH171" s="15"/>
      <c r="YO171" s="15"/>
      <c r="YP171" s="15"/>
      <c r="YW171" s="15"/>
      <c r="YX171" s="15"/>
      <c r="ZE171" s="15"/>
      <c r="ZF171" s="15"/>
      <c r="ZM171" s="15"/>
      <c r="ZN171" s="15"/>
      <c r="ZU171" s="15"/>
      <c r="ZV171" s="15"/>
      <c r="AAC171" s="15"/>
      <c r="AAD171" s="15"/>
      <c r="AAK171" s="15"/>
      <c r="AAL171" s="15"/>
      <c r="AAS171" s="15"/>
      <c r="AAT171" s="15"/>
      <c r="ABA171" s="15"/>
      <c r="ABB171" s="15"/>
      <c r="ABI171" s="15"/>
      <c r="ABJ171" s="15"/>
      <c r="ABQ171" s="15"/>
      <c r="ABR171" s="15"/>
      <c r="ABY171" s="15"/>
      <c r="ABZ171" s="15"/>
      <c r="ACG171" s="15"/>
      <c r="ACH171" s="15"/>
      <c r="ACO171" s="15"/>
      <c r="ACP171" s="15"/>
      <c r="ACW171" s="15"/>
      <c r="ACX171" s="15"/>
      <c r="ADE171" s="15"/>
      <c r="ADF171" s="15"/>
      <c r="ADM171" s="15"/>
      <c r="ADN171" s="15"/>
      <c r="ADU171" s="15"/>
      <c r="ADV171" s="15"/>
      <c r="AEC171" s="15"/>
      <c r="AED171" s="15"/>
      <c r="AEK171" s="15"/>
      <c r="AEL171" s="15"/>
      <c r="AES171" s="15"/>
      <c r="AET171" s="15"/>
      <c r="AFA171" s="15"/>
      <c r="AFB171" s="15"/>
      <c r="AFI171" s="15"/>
      <c r="AFJ171" s="15"/>
      <c r="AFQ171" s="15"/>
      <c r="AFR171" s="15"/>
      <c r="AFY171" s="15"/>
      <c r="AFZ171" s="15"/>
      <c r="AGG171" s="15"/>
      <c r="AGH171" s="15"/>
      <c r="AGO171" s="15"/>
      <c r="AGP171" s="15"/>
      <c r="AGW171" s="15"/>
      <c r="AGX171" s="15"/>
      <c r="AHE171" s="15"/>
      <c r="AHF171" s="15"/>
      <c r="AHM171" s="15"/>
      <c r="AHN171" s="15"/>
      <c r="AHU171" s="15"/>
      <c r="AHV171" s="15"/>
      <c r="AIC171" s="15"/>
      <c r="AID171" s="15"/>
      <c r="AIK171" s="15"/>
      <c r="AIL171" s="15"/>
      <c r="AIS171" s="15"/>
      <c r="AIT171" s="15"/>
      <c r="AJA171" s="15"/>
      <c r="AJB171" s="15"/>
      <c r="AJI171" s="15"/>
      <c r="AJJ171" s="15"/>
      <c r="AJQ171" s="15"/>
      <c r="AJR171" s="15"/>
      <c r="AJY171" s="15"/>
      <c r="AJZ171" s="15"/>
      <c r="AKG171" s="15"/>
      <c r="AKH171" s="15"/>
      <c r="AKO171" s="15"/>
      <c r="AKP171" s="15"/>
      <c r="AKW171" s="15"/>
      <c r="AKX171" s="15"/>
      <c r="ALE171" s="15"/>
      <c r="ALF171" s="15"/>
      <c r="ALM171" s="15"/>
      <c r="ALN171" s="15"/>
      <c r="ALU171" s="15"/>
      <c r="ALV171" s="15"/>
      <c r="AMC171" s="15"/>
      <c r="AMD171" s="15"/>
    </row>
    <row r="172" customFormat="false" ht="14.25" hidden="false" customHeight="true" outlineLevel="0" collapsed="false">
      <c r="A172" s="1" t="s">
        <v>635</v>
      </c>
      <c r="B172" s="12" t="n">
        <v>42902</v>
      </c>
      <c r="C172" s="0" t="n">
        <v>2</v>
      </c>
      <c r="D172" s="13" t="n">
        <v>42818</v>
      </c>
      <c r="E172" s="12" t="n">
        <v>31800</v>
      </c>
      <c r="F172" s="14" t="n">
        <f aca="false">(B172-E172)/365.25</f>
        <v>30.3956194387406</v>
      </c>
      <c r="G172" s="14" t="n">
        <f aca="false">(B172-D172)/365.25</f>
        <v>0.229979466119096</v>
      </c>
      <c r="H172" s="15" t="s">
        <v>181</v>
      </c>
      <c r="I172" s="15" t="s">
        <v>182</v>
      </c>
      <c r="J172" s="15" t="s">
        <v>181</v>
      </c>
      <c r="K172" s="15" t="n">
        <v>8</v>
      </c>
      <c r="L172" s="19" t="n">
        <v>88</v>
      </c>
      <c r="M172" s="0" t="n">
        <v>1.73</v>
      </c>
      <c r="N172" s="16" t="n">
        <f aca="false">L172/(M172*M172)</f>
        <v>29.4029202445788</v>
      </c>
      <c r="O172" s="19" t="n">
        <v>0</v>
      </c>
      <c r="P172" s="19" t="n">
        <v>0</v>
      </c>
      <c r="Q172" s="19" t="n">
        <v>0</v>
      </c>
      <c r="R172" s="19" t="n">
        <v>0</v>
      </c>
      <c r="S172" s="19" t="n">
        <v>0</v>
      </c>
      <c r="T172" s="19" t="n">
        <v>0</v>
      </c>
      <c r="U172" s="19" t="n">
        <v>0</v>
      </c>
      <c r="V172" s="19" t="n">
        <v>0</v>
      </c>
      <c r="W172" s="19" t="n">
        <v>0</v>
      </c>
      <c r="X172" s="19" t="n">
        <v>0</v>
      </c>
      <c r="Y172" s="19" t="n">
        <v>1</v>
      </c>
      <c r="Z172" s="19" t="n">
        <v>2</v>
      </c>
      <c r="AA172" s="19" t="n">
        <v>60</v>
      </c>
      <c r="AB172" s="19" t="s">
        <v>184</v>
      </c>
      <c r="AC172" s="19" t="n">
        <v>0</v>
      </c>
      <c r="AD172" s="19" t="n">
        <v>0</v>
      </c>
      <c r="AE172" s="19" t="n">
        <v>0</v>
      </c>
      <c r="AF172" s="19" t="n">
        <v>0</v>
      </c>
      <c r="AG172" s="19" t="n">
        <v>0</v>
      </c>
      <c r="AH172" s="19" t="n">
        <v>0</v>
      </c>
      <c r="AI172" s="19" t="n">
        <v>0</v>
      </c>
      <c r="AJ172" s="19" t="n">
        <v>0</v>
      </c>
      <c r="AK172" s="19" t="n">
        <v>0</v>
      </c>
      <c r="AL172" s="19" t="n">
        <v>0</v>
      </c>
      <c r="AM172" s="19" t="n">
        <v>0</v>
      </c>
      <c r="AN172" s="19" t="n">
        <v>0</v>
      </c>
      <c r="AO172" s="19" t="n">
        <v>0</v>
      </c>
      <c r="AP172" s="19" t="n">
        <v>0</v>
      </c>
      <c r="AQ172" s="19" t="n">
        <v>0</v>
      </c>
      <c r="AR172" s="19" t="n">
        <v>0</v>
      </c>
      <c r="AS172" s="19" t="n">
        <v>1</v>
      </c>
      <c r="AT172" s="19" t="n">
        <v>0</v>
      </c>
      <c r="AU172" s="19" t="n">
        <v>1</v>
      </c>
      <c r="AV172" s="19" t="n">
        <v>2</v>
      </c>
      <c r="AW172" s="19" t="n">
        <v>0</v>
      </c>
      <c r="AX172" s="19" t="n">
        <v>0</v>
      </c>
      <c r="AY172" s="19" t="n">
        <v>0</v>
      </c>
      <c r="AZ172" s="19" t="n">
        <v>0</v>
      </c>
      <c r="BA172" s="19" t="n">
        <v>0</v>
      </c>
      <c r="BB172" s="19" t="n">
        <v>0</v>
      </c>
      <c r="BC172" s="19" t="n">
        <v>0</v>
      </c>
      <c r="BD172" s="19" t="n">
        <v>0</v>
      </c>
      <c r="BE172" s="19" t="n">
        <v>0</v>
      </c>
      <c r="BF172" s="19" t="n">
        <v>0</v>
      </c>
      <c r="BG172" s="19" t="n">
        <v>0</v>
      </c>
      <c r="BH172" s="19" t="n">
        <v>0</v>
      </c>
      <c r="BI172" s="19" t="n">
        <v>0</v>
      </c>
      <c r="BJ172" s="19" t="n">
        <v>0</v>
      </c>
      <c r="BK172" s="19" t="n">
        <v>0</v>
      </c>
      <c r="BL172" s="19" t="n">
        <v>0</v>
      </c>
      <c r="BM172" s="19" t="n">
        <v>0</v>
      </c>
      <c r="BN172" s="19" t="n">
        <v>0</v>
      </c>
      <c r="BO172" s="19" t="n">
        <v>0</v>
      </c>
      <c r="BP172" s="19" t="n">
        <v>0</v>
      </c>
      <c r="BQ172" s="19" t="n">
        <v>0</v>
      </c>
      <c r="BR172" s="19" t="n">
        <v>1</v>
      </c>
      <c r="BS172" s="19" t="n">
        <v>2</v>
      </c>
      <c r="BT172" s="19"/>
      <c r="BU172" s="19" t="n">
        <v>5</v>
      </c>
      <c r="BV172" s="19" t="n">
        <v>2</v>
      </c>
      <c r="BW172" s="19" t="n">
        <v>1</v>
      </c>
      <c r="BX172" s="19" t="n">
        <v>1</v>
      </c>
      <c r="BY172" s="19" t="n">
        <v>5</v>
      </c>
      <c r="BZ172" s="19" t="n">
        <v>5</v>
      </c>
      <c r="CA172" s="19" t="n">
        <v>5</v>
      </c>
      <c r="CB172" s="19" t="n">
        <v>5</v>
      </c>
      <c r="CC172" s="19" t="n">
        <v>5</v>
      </c>
      <c r="CD172" s="19" t="n">
        <v>5</v>
      </c>
      <c r="CE172" s="19" t="n">
        <v>5</v>
      </c>
      <c r="CF172" s="19" t="n">
        <v>5</v>
      </c>
      <c r="CG172" s="19" t="n">
        <v>5</v>
      </c>
      <c r="CH172" s="19" t="n">
        <v>5</v>
      </c>
      <c r="CI172" s="19" t="n">
        <v>5</v>
      </c>
      <c r="CJ172" s="19" t="n">
        <v>5</v>
      </c>
      <c r="CK172" s="19" t="n">
        <v>10</v>
      </c>
      <c r="CL172" s="0" t="s">
        <v>188</v>
      </c>
      <c r="CM172" s="0" t="n">
        <v>40</v>
      </c>
      <c r="CN172" s="16" t="n">
        <v>84.1</v>
      </c>
      <c r="CO172" s="16" t="n">
        <v>80.4</v>
      </c>
      <c r="CP172" s="16" t="n">
        <v>35.1</v>
      </c>
      <c r="CQ172" s="0" t="n">
        <v>66.11</v>
      </c>
      <c r="CR172" s="17" t="n">
        <v>0</v>
      </c>
      <c r="CS172" s="0" t="n">
        <v>13.11</v>
      </c>
      <c r="CT172" s="0" t="n">
        <v>6.27</v>
      </c>
      <c r="CU172" s="0" t="n">
        <v>8.02</v>
      </c>
      <c r="CV172" s="0" t="n">
        <v>0</v>
      </c>
      <c r="CW172" s="0" t="n">
        <v>6.47</v>
      </c>
      <c r="CX172" s="0" t="n">
        <v>2.85</v>
      </c>
      <c r="CY172" s="0" t="n">
        <v>3.1</v>
      </c>
      <c r="CZ172" s="0" t="n">
        <v>0</v>
      </c>
      <c r="DA172" s="0" t="n">
        <v>0</v>
      </c>
      <c r="DB172" s="0" t="n">
        <v>10.49</v>
      </c>
      <c r="DC172" s="0" t="n">
        <v>26.72</v>
      </c>
      <c r="DD172" s="0" t="n">
        <v>13.38</v>
      </c>
      <c r="DE172" s="0" t="n">
        <v>10.67</v>
      </c>
      <c r="DF172" s="0" t="n">
        <v>0</v>
      </c>
      <c r="DG172" s="0" t="n">
        <v>0</v>
      </c>
      <c r="DH172" s="0" t="n">
        <v>0</v>
      </c>
      <c r="DU172" s="0" t="n">
        <v>3.9</v>
      </c>
      <c r="DV172" s="0" t="n">
        <v>1</v>
      </c>
      <c r="DW172" s="0" t="n">
        <v>68</v>
      </c>
      <c r="DX172" s="0" t="n">
        <v>4</v>
      </c>
      <c r="DY172" s="0" t="n">
        <f aca="false">1.9+0.34</f>
        <v>2.24</v>
      </c>
      <c r="DZ172" s="0" t="n">
        <v>1</v>
      </c>
      <c r="EA172" s="0" t="n">
        <v>34</v>
      </c>
      <c r="EB172" s="0" t="n">
        <v>8</v>
      </c>
      <c r="EC172" s="0" t="n">
        <v>0.27</v>
      </c>
      <c r="ED172" s="0" t="n">
        <v>1</v>
      </c>
      <c r="EG172" s="18"/>
      <c r="EY172" s="0" t="n">
        <v>1</v>
      </c>
      <c r="EZ172" s="0" t="n">
        <v>50</v>
      </c>
      <c r="FA172" s="0" t="n">
        <v>4</v>
      </c>
      <c r="FB172" s="0" t="n">
        <f aca="false">1.52*2</f>
        <v>3.04</v>
      </c>
      <c r="FC172" s="0" t="n">
        <v>3</v>
      </c>
      <c r="GJ172" s="16" t="n">
        <v>0.04</v>
      </c>
      <c r="GK172" s="16" t="n">
        <v>1</v>
      </c>
      <c r="GL172" s="16" t="n">
        <v>1</v>
      </c>
      <c r="GM172" s="16"/>
      <c r="GN172" s="16" t="n">
        <f aca="false">0.3</f>
        <v>0.3</v>
      </c>
      <c r="GO172" s="16"/>
      <c r="GP172" s="16"/>
      <c r="GQ172" s="16"/>
      <c r="GR172" s="16"/>
      <c r="GS172" s="16"/>
      <c r="GT172" s="16"/>
      <c r="GU172" s="16" t="n">
        <v>0.03</v>
      </c>
      <c r="GV172" s="16" t="n">
        <v>0.03</v>
      </c>
      <c r="GW172" s="16"/>
      <c r="GX172" s="16"/>
      <c r="GY172" s="16" t="n">
        <v>0</v>
      </c>
      <c r="GZ172" s="16" t="n">
        <v>0</v>
      </c>
      <c r="HA172" s="16" t="n">
        <v>0</v>
      </c>
      <c r="HB172" s="0" t="n">
        <v>0</v>
      </c>
      <c r="HC172" s="0" t="s">
        <v>190</v>
      </c>
      <c r="HD172" s="0" t="n">
        <v>38.5</v>
      </c>
      <c r="HE172" s="16" t="n">
        <v>92</v>
      </c>
      <c r="HF172" s="16" t="n">
        <v>80.4</v>
      </c>
      <c r="HG172" s="16" t="n">
        <v>11</v>
      </c>
      <c r="HH172" s="0" t="n">
        <v>95.37</v>
      </c>
      <c r="HI172" s="17" t="n">
        <v>0</v>
      </c>
      <c r="HJ172" s="0" t="n">
        <v>4.63</v>
      </c>
      <c r="HK172" s="0" t="n">
        <v>0</v>
      </c>
      <c r="HL172" s="0" t="n">
        <v>0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2.85</v>
      </c>
      <c r="HT172" s="0" t="n">
        <v>16.15</v>
      </c>
      <c r="HU172" s="0" t="n">
        <v>42.55</v>
      </c>
      <c r="HV172" s="0" t="n">
        <v>4.63</v>
      </c>
      <c r="HW172" s="0" t="n">
        <v>0</v>
      </c>
      <c r="HX172" s="0" t="n">
        <v>5.7</v>
      </c>
      <c r="HY172" s="0" t="n">
        <v>1</v>
      </c>
      <c r="HZ172" s="0" t="n">
        <v>3</v>
      </c>
      <c r="IB172" s="0" t="n">
        <v>1</v>
      </c>
      <c r="IF172" s="0" t="n">
        <v>3</v>
      </c>
      <c r="IH172" s="0" t="n">
        <v>1</v>
      </c>
      <c r="IL172" s="0" t="n">
        <v>4.8</v>
      </c>
      <c r="IM172" s="0" t="n">
        <v>0</v>
      </c>
      <c r="IX172" s="18"/>
      <c r="JP172" s="0" t="n">
        <v>1</v>
      </c>
      <c r="JQ172" s="0" t="n">
        <v>70</v>
      </c>
      <c r="JR172" s="0" t="n">
        <v>3</v>
      </c>
      <c r="JS172" s="0" t="n">
        <f aca="false">14.97+0.86+0.7</f>
        <v>16.53</v>
      </c>
      <c r="JT172" s="0" t="n">
        <v>3</v>
      </c>
      <c r="JU172" s="0" t="n">
        <v>60</v>
      </c>
      <c r="JV172" s="0" t="n">
        <v>3</v>
      </c>
      <c r="JW172" s="0" t="n">
        <f aca="false">3.02+0.97+0.6</f>
        <v>4.59</v>
      </c>
      <c r="JX172" s="0" t="n">
        <v>3</v>
      </c>
      <c r="LA172" s="16" t="n">
        <v>2.82</v>
      </c>
      <c r="LB172" s="16" t="n">
        <v>1</v>
      </c>
      <c r="LC172" s="16" t="n">
        <v>1</v>
      </c>
      <c r="LD172" s="16"/>
      <c r="LE172" s="16" t="n">
        <f aca="false">0.93*2</f>
        <v>1.86</v>
      </c>
      <c r="LF172" s="16" t="n">
        <v>2</v>
      </c>
      <c r="LG172" s="16"/>
      <c r="LH172" s="16" t="n">
        <f aca="false">9.6+1.93</f>
        <v>11.53</v>
      </c>
      <c r="LI172" s="16"/>
      <c r="LJ172" s="16"/>
      <c r="LK172" s="16"/>
      <c r="LL172" s="16" t="n">
        <v>13.91</v>
      </c>
      <c r="LM172" s="16" t="n">
        <v>17.31</v>
      </c>
      <c r="LN172" s="16"/>
      <c r="LO172" s="16"/>
      <c r="LP172" s="16" t="n">
        <v>0</v>
      </c>
      <c r="LQ172" s="16" t="n">
        <v>0</v>
      </c>
      <c r="LR172" s="16" t="n">
        <v>0</v>
      </c>
      <c r="LS172" s="0" t="n">
        <v>0</v>
      </c>
      <c r="LT172" s="0" t="s">
        <v>191</v>
      </c>
      <c r="LU172" s="0" t="n">
        <v>44</v>
      </c>
      <c r="LV172" s="16" t="n">
        <v>75.8</v>
      </c>
      <c r="LW172" s="16" t="n">
        <v>80.4</v>
      </c>
      <c r="LX172" s="16" t="n">
        <v>12.2</v>
      </c>
      <c r="LY172" s="0" t="n">
        <v>90.24</v>
      </c>
      <c r="LZ172" s="17" t="n">
        <v>0</v>
      </c>
      <c r="MA172" s="0" t="n">
        <v>6.27</v>
      </c>
      <c r="MB172" s="0" t="n">
        <v>0</v>
      </c>
      <c r="MC172" s="0" t="n">
        <v>3.49</v>
      </c>
      <c r="MD172" s="0" t="n">
        <v>0</v>
      </c>
      <c r="ME172" s="0" t="n">
        <v>0</v>
      </c>
      <c r="MF172" s="0" t="n">
        <v>0</v>
      </c>
      <c r="MG172" s="0" t="n">
        <v>0</v>
      </c>
      <c r="MH172" s="0" t="n">
        <v>0</v>
      </c>
      <c r="MI172" s="0" t="n">
        <v>0</v>
      </c>
      <c r="MJ172" s="0" t="n">
        <v>0</v>
      </c>
      <c r="MK172" s="0" t="n">
        <v>24.37</v>
      </c>
      <c r="ML172" s="0" t="n">
        <v>32.21</v>
      </c>
      <c r="MM172" s="0" t="n">
        <v>3.56</v>
      </c>
      <c r="MN172" s="0" t="n">
        <v>0</v>
      </c>
      <c r="MO172" s="0" t="n">
        <v>0</v>
      </c>
      <c r="MP172" s="0" t="n">
        <v>0</v>
      </c>
      <c r="NC172" s="0" t="n">
        <v>20.3</v>
      </c>
      <c r="ND172" s="0" t="n">
        <v>1</v>
      </c>
      <c r="NE172" s="0" t="n">
        <v>30</v>
      </c>
      <c r="NF172" s="0" t="n">
        <v>4</v>
      </c>
      <c r="NG172" s="0" t="n">
        <v>3.01</v>
      </c>
      <c r="NH172" s="0" t="n">
        <v>5</v>
      </c>
      <c r="NI172" s="0" t="n">
        <v>68</v>
      </c>
      <c r="NJ172" s="0" t="n">
        <v>2</v>
      </c>
      <c r="NK172" s="0" t="n">
        <v>1.52</v>
      </c>
      <c r="NL172" s="0" t="n">
        <v>1</v>
      </c>
      <c r="NM172" s="0" t="n">
        <v>47</v>
      </c>
      <c r="NN172" s="0" t="n">
        <v>1</v>
      </c>
      <c r="NO172" s="18" t="n">
        <v>0.07</v>
      </c>
      <c r="NP172" s="0" t="n">
        <v>3</v>
      </c>
      <c r="OG172" s="0" t="n">
        <v>0</v>
      </c>
      <c r="PR172" s="16" t="n">
        <v>1.88</v>
      </c>
      <c r="PS172" s="16" t="n">
        <v>1</v>
      </c>
      <c r="PT172" s="16" t="n">
        <v>2</v>
      </c>
      <c r="PU172" s="16"/>
      <c r="PV172" s="16" t="n">
        <v>4.18</v>
      </c>
      <c r="PW172" s="16"/>
      <c r="PX172" s="16"/>
      <c r="PY172" s="16"/>
      <c r="PZ172" s="16"/>
      <c r="QA172" s="16"/>
      <c r="QB172" s="16"/>
      <c r="QC172" s="16" t="n">
        <v>7.15</v>
      </c>
      <c r="QD172" s="16" t="n">
        <v>6.06</v>
      </c>
      <c r="QE172" s="16"/>
      <c r="QF172" s="16"/>
      <c r="QG172" s="16" t="n">
        <v>0</v>
      </c>
      <c r="QH172" s="16" t="n">
        <v>0</v>
      </c>
      <c r="QI172" s="16" t="n">
        <v>0</v>
      </c>
      <c r="QJ172" s="0" t="n">
        <v>0</v>
      </c>
      <c r="QK172" s="0" t="s">
        <v>192</v>
      </c>
      <c r="QL172" s="0" t="n">
        <v>47.5</v>
      </c>
      <c r="QM172" s="16" t="n">
        <v>79.3</v>
      </c>
      <c r="QN172" s="16" t="n">
        <v>80.4</v>
      </c>
      <c r="QO172" s="16" t="n">
        <v>36.3</v>
      </c>
      <c r="QP172" s="0" t="n">
        <v>66.23</v>
      </c>
      <c r="QQ172" s="17" t="n">
        <v>0</v>
      </c>
      <c r="QR172" s="0" t="n">
        <v>33.77</v>
      </c>
      <c r="QS172" s="0" t="n">
        <v>0</v>
      </c>
      <c r="QT172" s="0" t="n">
        <v>0</v>
      </c>
      <c r="QU172" s="0" t="n">
        <v>0</v>
      </c>
      <c r="QV172" s="0" t="n">
        <v>0</v>
      </c>
      <c r="QW172" s="0" t="n">
        <v>0</v>
      </c>
      <c r="QX172" s="0" t="n">
        <v>0</v>
      </c>
      <c r="QY172" s="0" t="n">
        <v>0</v>
      </c>
      <c r="QZ172" s="0" t="n">
        <v>0</v>
      </c>
      <c r="RA172" s="0" t="n">
        <v>0</v>
      </c>
      <c r="RB172" s="0" t="n">
        <v>38.37</v>
      </c>
      <c r="RC172" s="0" t="n">
        <v>20.04</v>
      </c>
      <c r="RD172" s="0" t="n">
        <v>11.21</v>
      </c>
      <c r="RE172" s="0" t="n">
        <v>0</v>
      </c>
      <c r="RF172" s="0" t="n">
        <v>0</v>
      </c>
      <c r="RG172" s="0" t="n">
        <v>0</v>
      </c>
      <c r="RT172" s="0" t="n">
        <v>6.9</v>
      </c>
      <c r="RU172" s="0" t="n">
        <v>1</v>
      </c>
      <c r="RV172" s="0" t="n">
        <v>47</v>
      </c>
      <c r="RW172" s="0" t="n">
        <v>3</v>
      </c>
      <c r="RX172" s="0" t="n">
        <f aca="false">0.11+0.74+0.08</f>
        <v>0.93</v>
      </c>
      <c r="RY172" s="0" t="n">
        <v>3</v>
      </c>
      <c r="RZ172" s="0" t="n">
        <v>68</v>
      </c>
      <c r="SA172" s="0" t="n">
        <v>1</v>
      </c>
      <c r="SB172" s="0" t="n">
        <v>0.76</v>
      </c>
      <c r="SC172" s="0" t="n">
        <v>1</v>
      </c>
      <c r="SF172" s="18"/>
      <c r="SX172" s="0" t="n">
        <v>0</v>
      </c>
      <c r="UI172" s="16" t="n">
        <v>2.61</v>
      </c>
      <c r="UJ172" s="16" t="n">
        <v>1</v>
      </c>
      <c r="UK172" s="16" t="n">
        <v>2</v>
      </c>
      <c r="UL172" s="16"/>
      <c r="UM172" s="16" t="n">
        <f aca="false">5.22+0.29</f>
        <v>5.51</v>
      </c>
      <c r="UN172" s="16" t="n">
        <v>2</v>
      </c>
      <c r="UO172" s="16"/>
      <c r="UP172" s="16" t="n">
        <f aca="false">0.61+3.74</f>
        <v>4.35</v>
      </c>
      <c r="UQ172" s="16"/>
      <c r="UR172" s="16"/>
      <c r="US172" s="16"/>
      <c r="UT172" s="16" t="n">
        <v>0</v>
      </c>
      <c r="UU172" s="16" t="n">
        <v>0</v>
      </c>
      <c r="UV172" s="16"/>
      <c r="UW172" s="16"/>
      <c r="UX172" s="16" t="n">
        <v>0</v>
      </c>
      <c r="UY172" s="16" t="n">
        <v>0</v>
      </c>
      <c r="UZ172" s="16" t="n">
        <v>0</v>
      </c>
      <c r="VA172" s="0" t="n">
        <v>0</v>
      </c>
      <c r="VB172" s="0" t="s">
        <v>636</v>
      </c>
      <c r="VC172" s="0" t="n">
        <v>48</v>
      </c>
      <c r="VD172" s="16" t="n">
        <v>66.2</v>
      </c>
      <c r="VE172" s="16" t="n">
        <v>80.4</v>
      </c>
      <c r="VF172" s="16" t="n">
        <v>40.1</v>
      </c>
      <c r="VG172" s="0" t="n">
        <v>62.33</v>
      </c>
      <c r="VH172" s="17" t="n">
        <v>0</v>
      </c>
      <c r="VI172" s="0" t="n">
        <v>37.67</v>
      </c>
      <c r="VJ172" s="0" t="n">
        <v>0</v>
      </c>
      <c r="VK172" s="0" t="n">
        <v>0</v>
      </c>
      <c r="VL172" s="0" t="n">
        <v>0</v>
      </c>
      <c r="VM172" s="0" t="n">
        <v>0</v>
      </c>
      <c r="VN172" s="0" t="n">
        <v>0</v>
      </c>
      <c r="VO172" s="0" t="n">
        <v>0</v>
      </c>
      <c r="VP172" s="0" t="n">
        <v>0</v>
      </c>
      <c r="VQ172" s="0" t="n">
        <v>0</v>
      </c>
      <c r="VR172" s="0" t="n">
        <v>0</v>
      </c>
      <c r="VS172" s="0" t="n">
        <v>6.02</v>
      </c>
      <c r="VT172" s="0" t="n">
        <v>19.5</v>
      </c>
      <c r="VU172" s="0" t="n">
        <v>10.54</v>
      </c>
      <c r="VV172" s="0" t="n">
        <v>0</v>
      </c>
      <c r="VW172" s="0" t="n">
        <v>0</v>
      </c>
      <c r="VX172" s="0" t="n">
        <v>0</v>
      </c>
      <c r="WK172" s="0" t="n">
        <v>4.6</v>
      </c>
      <c r="WL172" s="0" t="n">
        <v>1</v>
      </c>
      <c r="WM172" s="0" t="n">
        <v>68</v>
      </c>
      <c r="WN172" s="0" t="n">
        <v>2</v>
      </c>
      <c r="WO172" s="0" t="n">
        <v>1.5</v>
      </c>
      <c r="WP172" s="0" t="n">
        <v>1</v>
      </c>
      <c r="WQ172" s="0" t="n">
        <v>35</v>
      </c>
      <c r="WR172" s="0" t="n">
        <v>1</v>
      </c>
      <c r="WS172" s="0" t="n">
        <v>0.45</v>
      </c>
      <c r="WT172" s="0" t="n">
        <v>3</v>
      </c>
      <c r="WW172" s="18"/>
      <c r="XO172" s="0" t="n">
        <v>0</v>
      </c>
      <c r="YZ172" s="16" t="n">
        <v>0</v>
      </c>
      <c r="ZA172" s="16" t="n">
        <v>0</v>
      </c>
      <c r="ZB172" s="16"/>
      <c r="ZC172" s="16"/>
      <c r="ZD172" s="16"/>
      <c r="ZE172" s="16"/>
      <c r="ZF172" s="16"/>
      <c r="ZG172" s="16"/>
      <c r="ZH172" s="16"/>
      <c r="ZI172" s="16"/>
      <c r="ZJ172" s="16"/>
      <c r="ZK172" s="16" t="n">
        <v>1.88</v>
      </c>
      <c r="ZL172" s="16" t="n">
        <v>1.88</v>
      </c>
      <c r="ZM172" s="16"/>
      <c r="ZN172" s="16"/>
      <c r="ZO172" s="16" t="n">
        <v>0</v>
      </c>
      <c r="ZP172" s="16" t="n">
        <v>0</v>
      </c>
      <c r="ZQ172" s="16" t="n">
        <v>0</v>
      </c>
      <c r="ZR172" s="0" t="n">
        <v>0</v>
      </c>
      <c r="ZS172" s="0" t="s">
        <v>634</v>
      </c>
      <c r="ZT172" s="0" t="n">
        <v>25</v>
      </c>
      <c r="ZU172" s="16" t="n">
        <v>67</v>
      </c>
      <c r="ZV172" s="16" t="n">
        <v>80.4</v>
      </c>
      <c r="ZW172" s="16" t="n">
        <v>7.6</v>
      </c>
      <c r="ZX172" s="0" t="n">
        <v>97.19</v>
      </c>
      <c r="ZY172" s="17" t="n">
        <v>0</v>
      </c>
      <c r="ZZ172" s="0" t="n">
        <v>0</v>
      </c>
      <c r="AAA172" s="0" t="n">
        <v>0</v>
      </c>
      <c r="AAB172" s="0" t="n">
        <v>2.81</v>
      </c>
      <c r="AAC172" s="0" t="n">
        <v>0</v>
      </c>
      <c r="AAD172" s="0" t="n">
        <v>0</v>
      </c>
      <c r="AAE172" s="0" t="n">
        <v>0</v>
      </c>
      <c r="AAF172" s="0" t="n">
        <v>0</v>
      </c>
      <c r="AAG172" s="0" t="n">
        <v>0</v>
      </c>
      <c r="AAH172" s="0" t="n">
        <v>0</v>
      </c>
      <c r="AAI172" s="0" t="n">
        <v>0</v>
      </c>
      <c r="AAJ172" s="0" t="n">
        <v>4.69</v>
      </c>
      <c r="AAK172" s="0" t="n">
        <v>46.88</v>
      </c>
      <c r="AAL172" s="0" t="n">
        <v>0</v>
      </c>
      <c r="AAM172" s="0" t="n">
        <v>0</v>
      </c>
      <c r="AAN172" s="0" t="n">
        <v>11.6</v>
      </c>
      <c r="AAO172" s="0" t="n">
        <v>2</v>
      </c>
      <c r="AAP172" s="0" t="n">
        <v>5</v>
      </c>
      <c r="AAR172" s="0" t="n">
        <v>1</v>
      </c>
      <c r="AAV172" s="0" t="n">
        <v>5</v>
      </c>
      <c r="AAX172" s="0" t="n">
        <v>1</v>
      </c>
      <c r="ABB172" s="0" t="n">
        <v>0</v>
      </c>
      <c r="ABC172" s="0" t="n">
        <v>1</v>
      </c>
      <c r="ABD172" s="0" t="n">
        <v>34</v>
      </c>
      <c r="ABE172" s="0" t="n">
        <v>4</v>
      </c>
      <c r="ABF172" s="0" t="n">
        <v>2.25</v>
      </c>
      <c r="ABG172" s="0" t="n">
        <v>1</v>
      </c>
      <c r="ABN172" s="18"/>
      <c r="ACF172" s="0" t="n">
        <v>0</v>
      </c>
      <c r="ADQ172" s="16" t="n">
        <v>0.01</v>
      </c>
      <c r="ADR172" s="16" t="n">
        <v>1</v>
      </c>
      <c r="ADS172" s="16" t="n">
        <v>1</v>
      </c>
      <c r="ADT172" s="16"/>
      <c r="ADU172" s="16" t="n">
        <v>0.14</v>
      </c>
      <c r="ADV172" s="16"/>
      <c r="ADW172" s="16"/>
      <c r="ADX172" s="16"/>
      <c r="ADY172" s="16"/>
      <c r="ADZ172" s="16"/>
      <c r="AEA172" s="16"/>
      <c r="AEB172" s="16" t="n">
        <v>5.7</v>
      </c>
      <c r="AEC172" s="16" t="n">
        <v>0</v>
      </c>
      <c r="AED172" s="16"/>
      <c r="AEE172" s="16"/>
      <c r="AEF172" s="16" t="n">
        <v>0</v>
      </c>
      <c r="AEG172" s="16" t="n">
        <v>0</v>
      </c>
      <c r="AEH172" s="16" t="n">
        <v>0</v>
      </c>
      <c r="AEI172" s="0" t="n">
        <v>0</v>
      </c>
      <c r="AEK172" s="15"/>
      <c r="AEL172" s="15"/>
      <c r="AES172" s="15"/>
      <c r="AET172" s="15"/>
      <c r="AFA172" s="15"/>
      <c r="AFB172" s="15"/>
      <c r="AFI172" s="15"/>
      <c r="AFJ172" s="15"/>
      <c r="AFQ172" s="15"/>
      <c r="AFR172" s="15"/>
      <c r="AFY172" s="15"/>
      <c r="AFZ172" s="15"/>
      <c r="AGG172" s="15"/>
      <c r="AGH172" s="15"/>
      <c r="AGO172" s="15"/>
      <c r="AGP172" s="15"/>
      <c r="AGW172" s="15"/>
      <c r="AGX172" s="15"/>
      <c r="AHE172" s="15"/>
      <c r="AHF172" s="15"/>
      <c r="AHM172" s="15"/>
      <c r="AHN172" s="15"/>
      <c r="AHU172" s="15"/>
      <c r="AHV172" s="15"/>
      <c r="AIC172" s="15"/>
      <c r="AID172" s="15"/>
      <c r="AIK172" s="15"/>
      <c r="AIL172" s="15"/>
      <c r="AIS172" s="15"/>
      <c r="AIT172" s="15"/>
      <c r="AJA172" s="15"/>
      <c r="AJB172" s="15"/>
      <c r="AJI172" s="15"/>
      <c r="AJJ172" s="15"/>
      <c r="AJQ172" s="15"/>
      <c r="AJR172" s="15"/>
      <c r="AJY172" s="15"/>
      <c r="AJZ172" s="15"/>
      <c r="AKG172" s="15"/>
      <c r="AKH172" s="15"/>
      <c r="AKO172" s="15"/>
      <c r="AKP172" s="15"/>
      <c r="AKW172" s="15"/>
      <c r="AKX172" s="15"/>
      <c r="ALE172" s="15"/>
      <c r="ALF172" s="15"/>
      <c r="ALM172" s="15"/>
      <c r="ALN172" s="15"/>
      <c r="ALU172" s="15"/>
      <c r="ALV172" s="15"/>
      <c r="AMC172" s="15"/>
      <c r="AMD172" s="15"/>
    </row>
    <row r="173" customFormat="false" ht="14.25" hidden="false" customHeight="true" outlineLevel="0" collapsed="false">
      <c r="A173" s="1" t="s">
        <v>637</v>
      </c>
      <c r="B173" s="12" t="n">
        <v>42902</v>
      </c>
      <c r="C173" s="0" t="n">
        <v>1</v>
      </c>
      <c r="D173" s="13" t="n">
        <v>39622</v>
      </c>
      <c r="E173" s="12" t="n">
        <v>28924</v>
      </c>
      <c r="F173" s="14" t="n">
        <f aca="false">(B173-E173)/365.25</f>
        <v>38.2696783025325</v>
      </c>
      <c r="G173" s="14" t="n">
        <f aca="false">(B173-D173)/365.25</f>
        <v>8.98015058179329</v>
      </c>
      <c r="H173" s="15" t="s">
        <v>181</v>
      </c>
      <c r="I173" s="15" t="s">
        <v>182</v>
      </c>
      <c r="J173" s="15" t="s">
        <v>181</v>
      </c>
      <c r="K173" s="15" t="n">
        <v>8</v>
      </c>
      <c r="L173" s="19" t="n">
        <v>63</v>
      </c>
      <c r="M173" s="0" t="n">
        <v>1.6</v>
      </c>
      <c r="N173" s="16" t="n">
        <f aca="false">L173/(M173*M173)</f>
        <v>24.609375</v>
      </c>
      <c r="O173" s="19" t="n">
        <v>0</v>
      </c>
      <c r="P173" s="19" t="n">
        <v>0</v>
      </c>
      <c r="Q173" s="19" t="n">
        <v>0</v>
      </c>
      <c r="R173" s="19" t="n">
        <v>0</v>
      </c>
      <c r="S173" s="19" t="n">
        <v>0</v>
      </c>
      <c r="T173" s="19" t="n">
        <v>0</v>
      </c>
      <c r="U173" s="19" t="n">
        <v>0</v>
      </c>
      <c r="V173" s="19" t="n">
        <v>0</v>
      </c>
      <c r="W173" s="19" t="n">
        <v>1</v>
      </c>
      <c r="X173" s="19" t="n">
        <v>0</v>
      </c>
      <c r="Y173" s="19" t="n">
        <v>0</v>
      </c>
      <c r="Z173" s="19" t="n">
        <v>0</v>
      </c>
      <c r="AA173" s="19" t="n">
        <v>0</v>
      </c>
      <c r="AB173" s="19" t="n">
        <v>0</v>
      </c>
      <c r="AC173" s="19" t="n">
        <v>1</v>
      </c>
      <c r="AD173" s="19" t="n">
        <v>20</v>
      </c>
      <c r="AE173" s="19" t="n">
        <v>1</v>
      </c>
      <c r="AF173" s="19" t="n">
        <v>0</v>
      </c>
      <c r="AG173" s="19" t="n">
        <v>0</v>
      </c>
      <c r="AH173" s="19" t="n">
        <v>0</v>
      </c>
      <c r="AI173" s="19" t="n">
        <v>3</v>
      </c>
      <c r="AJ173" s="19" t="n">
        <v>3</v>
      </c>
      <c r="AK173" s="19" t="n">
        <v>3</v>
      </c>
      <c r="AL173" s="19" t="n">
        <v>7</v>
      </c>
      <c r="AM173" s="19" t="n">
        <v>9</v>
      </c>
      <c r="AN173" s="19" t="n">
        <v>3</v>
      </c>
      <c r="AO173" s="19" t="n">
        <v>0</v>
      </c>
      <c r="AP173" s="19" t="n">
        <v>0</v>
      </c>
      <c r="AQ173" s="19" t="n">
        <v>0</v>
      </c>
      <c r="AR173" s="19" t="n">
        <v>0</v>
      </c>
      <c r="AS173" s="19" t="n">
        <v>3</v>
      </c>
      <c r="AT173" s="19" t="n">
        <v>0</v>
      </c>
      <c r="AU173" s="19" t="n">
        <v>0</v>
      </c>
      <c r="AV173" s="19" t="n">
        <v>0</v>
      </c>
      <c r="AW173" s="19" t="n">
        <v>0</v>
      </c>
      <c r="AX173" s="19" t="n">
        <v>0</v>
      </c>
      <c r="AY173" s="19" t="n">
        <v>0</v>
      </c>
      <c r="AZ173" s="19" t="n">
        <v>0</v>
      </c>
      <c r="BA173" s="19" t="n">
        <v>0</v>
      </c>
      <c r="BB173" s="19" t="n">
        <v>1</v>
      </c>
      <c r="BC173" s="19" t="n">
        <v>0</v>
      </c>
      <c r="BD173" s="19" t="n">
        <v>0</v>
      </c>
      <c r="BE173" s="19" t="n">
        <v>0</v>
      </c>
      <c r="BF173" s="19" t="n">
        <v>0</v>
      </c>
      <c r="BG173" s="19" t="n">
        <v>0</v>
      </c>
      <c r="BH173" s="19" t="n">
        <v>0</v>
      </c>
      <c r="BI173" s="19" t="n">
        <v>0</v>
      </c>
      <c r="BJ173" s="19" t="n">
        <v>0</v>
      </c>
      <c r="BK173" s="19" t="n">
        <v>0</v>
      </c>
      <c r="BL173" s="19" t="n">
        <v>0</v>
      </c>
      <c r="BM173" s="19" t="n">
        <v>0</v>
      </c>
      <c r="BN173" s="19" t="n">
        <v>1</v>
      </c>
      <c r="BO173" s="19" t="n">
        <v>1</v>
      </c>
      <c r="BP173" s="19" t="n">
        <v>1</v>
      </c>
      <c r="BQ173" s="19" t="n">
        <v>8</v>
      </c>
      <c r="BR173" s="19" t="n">
        <v>1</v>
      </c>
      <c r="BS173" s="19" t="n">
        <v>2</v>
      </c>
      <c r="BT173" s="19" t="n">
        <v>3</v>
      </c>
      <c r="BU173" s="19" t="n">
        <v>5</v>
      </c>
      <c r="BV173" s="19" t="n">
        <v>3</v>
      </c>
      <c r="BW173" s="19" t="n">
        <v>3</v>
      </c>
      <c r="BX173" s="19" t="n">
        <v>2</v>
      </c>
      <c r="BY173" s="19" t="n">
        <v>3</v>
      </c>
      <c r="BZ173" s="19" t="n">
        <v>3</v>
      </c>
      <c r="CA173" s="19" t="n">
        <v>3</v>
      </c>
      <c r="CB173" s="19" t="n">
        <v>4</v>
      </c>
      <c r="CC173" s="19" t="n">
        <v>5</v>
      </c>
      <c r="CD173" s="19" t="n">
        <v>5</v>
      </c>
      <c r="CE173" s="19" t="n">
        <v>5</v>
      </c>
      <c r="CF173" s="19" t="n">
        <v>5</v>
      </c>
      <c r="CG173" s="19" t="n">
        <v>5</v>
      </c>
      <c r="CH173" s="19" t="n">
        <v>5</v>
      </c>
      <c r="CI173" s="19" t="n">
        <v>5</v>
      </c>
      <c r="CJ173" s="19" t="n">
        <v>5</v>
      </c>
      <c r="CK173" s="19" t="n">
        <v>5</v>
      </c>
      <c r="CL173" s="0" t="s">
        <v>185</v>
      </c>
      <c r="CM173" s="0" t="n">
        <v>21.5</v>
      </c>
      <c r="CN173" s="16" t="n">
        <v>54.9</v>
      </c>
      <c r="CO173" s="16" t="n">
        <v>80.4</v>
      </c>
      <c r="CP173" s="16" t="n">
        <v>17.9</v>
      </c>
      <c r="CQ173" s="0" t="n">
        <v>90.61</v>
      </c>
      <c r="CR173" s="17" t="n">
        <v>0</v>
      </c>
      <c r="CS173" s="0" t="n">
        <v>0</v>
      </c>
      <c r="CT173" s="0" t="n">
        <v>2.45</v>
      </c>
      <c r="CU173" s="0" t="n">
        <v>6.94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12.16</v>
      </c>
      <c r="DC173" s="0" t="n">
        <v>24.45</v>
      </c>
      <c r="DD173" s="0" t="n">
        <v>4.8</v>
      </c>
      <c r="DE173" s="0" t="n">
        <v>5.11</v>
      </c>
      <c r="DF173" s="0" t="n">
        <v>0</v>
      </c>
      <c r="DG173" s="0" t="n">
        <v>0</v>
      </c>
      <c r="DH173" s="0" t="n">
        <v>0</v>
      </c>
      <c r="DU173" s="0" t="n">
        <v>2.9</v>
      </c>
      <c r="DV173" s="0" t="n">
        <v>1</v>
      </c>
      <c r="DW173" s="0" t="n">
        <v>68</v>
      </c>
      <c r="DX173" s="0" t="n">
        <v>2</v>
      </c>
      <c r="DY173" s="0" t="n">
        <f aca="false">0.38+0.07</f>
        <v>0.45</v>
      </c>
      <c r="DZ173" s="0" t="n">
        <v>1</v>
      </c>
      <c r="EG173" s="18"/>
      <c r="EY173" s="0" t="n">
        <v>1</v>
      </c>
      <c r="EZ173" s="0" t="n">
        <v>40</v>
      </c>
      <c r="FA173" s="0" t="n">
        <v>1</v>
      </c>
      <c r="FB173" s="0" t="n">
        <v>0.06</v>
      </c>
      <c r="FC173" s="0" t="n">
        <v>1</v>
      </c>
      <c r="FD173" s="0" t="n">
        <v>60</v>
      </c>
      <c r="FE173" s="0" t="n">
        <v>1</v>
      </c>
      <c r="FF173" s="0" t="n">
        <v>0.11</v>
      </c>
      <c r="FG173" s="0" t="n">
        <v>1</v>
      </c>
      <c r="FH173" s="0" t="n">
        <v>40</v>
      </c>
      <c r="FI173" s="0" t="n">
        <v>1</v>
      </c>
      <c r="FJ173" s="0" t="n">
        <v>0.58</v>
      </c>
      <c r="FK173" s="0" t="n">
        <v>6</v>
      </c>
      <c r="GJ173" s="16" t="n">
        <v>0</v>
      </c>
      <c r="GK173" s="16" t="n">
        <v>0</v>
      </c>
      <c r="GL173" s="16"/>
      <c r="GM173" s="16"/>
      <c r="GN173" s="16"/>
      <c r="GO173" s="16"/>
      <c r="GP173" s="16"/>
      <c r="GQ173" s="16"/>
      <c r="GR173" s="16"/>
      <c r="GS173" s="16"/>
      <c r="GT173" s="16"/>
      <c r="GU173" s="16" t="n">
        <v>0.67</v>
      </c>
      <c r="GV173" s="16" t="n">
        <v>0.65</v>
      </c>
      <c r="GW173" s="16"/>
      <c r="GX173" s="16"/>
      <c r="GY173" s="16" t="n">
        <v>0</v>
      </c>
      <c r="GZ173" s="16" t="n">
        <v>0</v>
      </c>
      <c r="HA173" s="16" t="n">
        <v>0</v>
      </c>
      <c r="HB173" s="0" t="n">
        <v>0</v>
      </c>
      <c r="HC173" s="0" t="s">
        <v>186</v>
      </c>
      <c r="HD173" s="0" t="n">
        <v>52.5</v>
      </c>
      <c r="HE173" s="16" t="n">
        <v>78.3</v>
      </c>
      <c r="HF173" s="16" t="n">
        <v>80.4</v>
      </c>
      <c r="HG173" s="16" t="n">
        <v>33.2</v>
      </c>
      <c r="HH173" s="0" t="n">
        <v>67.5</v>
      </c>
      <c r="HI173" s="17" t="n">
        <v>0</v>
      </c>
      <c r="HJ173" s="0" t="n">
        <v>21.37</v>
      </c>
      <c r="HK173" s="0" t="n">
        <v>0</v>
      </c>
      <c r="HL173" s="0" t="n">
        <v>3.99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  <c r="HT173" s="0" t="n">
        <v>5.93</v>
      </c>
      <c r="HU173" s="0" t="n">
        <v>42.2</v>
      </c>
      <c r="HV173" s="0" t="n">
        <v>15.97</v>
      </c>
      <c r="HW173" s="0" t="n">
        <v>7.14</v>
      </c>
      <c r="HX173" s="0" t="n">
        <v>0</v>
      </c>
      <c r="HY173" s="0" t="n">
        <v>0</v>
      </c>
      <c r="IL173" s="0" t="n">
        <v>1.7</v>
      </c>
      <c r="IM173" s="0" t="n">
        <v>1</v>
      </c>
      <c r="IN173" s="0" t="n">
        <v>34</v>
      </c>
      <c r="IO173" s="0" t="n">
        <v>5</v>
      </c>
      <c r="IP173" s="0" t="n">
        <v>0.21</v>
      </c>
      <c r="IQ173" s="0" t="n">
        <v>1</v>
      </c>
      <c r="IR173" s="0" t="n">
        <v>68</v>
      </c>
      <c r="IS173" s="0" t="n">
        <v>3</v>
      </c>
      <c r="IT173" s="0" t="n">
        <v>0.3</v>
      </c>
      <c r="IU173" s="0" t="n">
        <v>1</v>
      </c>
      <c r="IV173" s="0" t="n">
        <v>47</v>
      </c>
      <c r="IW173" s="0" t="n">
        <v>4</v>
      </c>
      <c r="IX173" s="18" t="n">
        <v>0.11</v>
      </c>
      <c r="IY173" s="0" t="n">
        <v>1</v>
      </c>
      <c r="IZ173" s="0" t="n">
        <v>35</v>
      </c>
      <c r="JA173" s="0" t="n">
        <v>2</v>
      </c>
      <c r="JB173" s="0" t="n">
        <v>0.1</v>
      </c>
      <c r="JC173" s="0" t="n">
        <v>1</v>
      </c>
      <c r="JP173" s="0" t="n">
        <v>0</v>
      </c>
      <c r="LA173" s="16" t="n">
        <v>1.04</v>
      </c>
      <c r="LB173" s="16" t="n">
        <v>1</v>
      </c>
      <c r="LC173" s="16" t="n">
        <v>1</v>
      </c>
      <c r="LD173" s="16"/>
      <c r="LE173" s="16" t="n">
        <f aca="false">3.74+3.17+0.1</f>
        <v>7.01</v>
      </c>
      <c r="LF173" s="16"/>
      <c r="LG173" s="16"/>
      <c r="LH173" s="16"/>
      <c r="LI173" s="16"/>
      <c r="LJ173" s="16"/>
      <c r="LK173" s="16"/>
      <c r="LL173" s="16" t="n">
        <v>8.9</v>
      </c>
      <c r="LM173" s="16" t="n">
        <v>9.79</v>
      </c>
      <c r="LN173" s="16"/>
      <c r="LO173" s="16"/>
      <c r="LP173" s="16" t="n">
        <v>2.99</v>
      </c>
      <c r="LQ173" s="16" t="n">
        <v>4</v>
      </c>
      <c r="LR173" s="16" t="n">
        <v>3</v>
      </c>
      <c r="LS173" s="0" t="n">
        <v>0</v>
      </c>
      <c r="LT173" s="0" t="s">
        <v>187</v>
      </c>
      <c r="LU173" s="0" t="n">
        <v>53.5</v>
      </c>
      <c r="LV173" s="16" t="n">
        <v>73.5</v>
      </c>
      <c r="LW173" s="16" t="n">
        <v>80.4</v>
      </c>
      <c r="LX173" s="16" t="n">
        <v>26.1</v>
      </c>
      <c r="LY173" s="0" t="n">
        <v>78.89</v>
      </c>
      <c r="LZ173" s="17" t="n">
        <v>0</v>
      </c>
      <c r="MA173" s="0" t="n">
        <v>2.36</v>
      </c>
      <c r="MB173" s="0" t="n">
        <v>0</v>
      </c>
      <c r="MC173" s="0" t="n">
        <v>11.6</v>
      </c>
      <c r="MD173" s="0" t="n">
        <v>0</v>
      </c>
      <c r="ME173" s="0" t="n">
        <v>0</v>
      </c>
      <c r="MF173" s="0" t="n">
        <v>0</v>
      </c>
      <c r="MG173" s="0" t="n">
        <v>0</v>
      </c>
      <c r="MH173" s="0" t="n">
        <v>0</v>
      </c>
      <c r="MI173" s="0" t="n">
        <v>0</v>
      </c>
      <c r="MJ173" s="0" t="n">
        <v>7.86</v>
      </c>
      <c r="MK173" s="0" t="n">
        <v>12.08</v>
      </c>
      <c r="ML173" s="0" t="n">
        <v>18.1</v>
      </c>
      <c r="MM173" s="0" t="n">
        <v>28.51</v>
      </c>
      <c r="MN173" s="0" t="n">
        <v>7.14</v>
      </c>
      <c r="MO173" s="0" t="n">
        <v>0</v>
      </c>
      <c r="MP173" s="0" t="n">
        <v>0</v>
      </c>
      <c r="NC173" s="0" t="n">
        <v>11.6</v>
      </c>
      <c r="ND173" s="0" t="n">
        <v>1</v>
      </c>
      <c r="NE173" s="0" t="n">
        <v>47</v>
      </c>
      <c r="NF173" s="0" t="n">
        <v>4</v>
      </c>
      <c r="NG173" s="0" t="n">
        <f aca="false">1.15+0.34</f>
        <v>1.49</v>
      </c>
      <c r="NH173" s="0" t="n">
        <v>3</v>
      </c>
      <c r="NO173" s="18"/>
      <c r="OG173" s="0" t="n">
        <v>1</v>
      </c>
      <c r="OH173" s="0" t="n">
        <v>50</v>
      </c>
      <c r="OI173" s="0" t="n">
        <v>1</v>
      </c>
      <c r="OJ173" s="0" t="n">
        <v>0.19</v>
      </c>
      <c r="OK173" s="0" t="n">
        <v>3</v>
      </c>
      <c r="PR173" s="16" t="n">
        <v>7.27</v>
      </c>
      <c r="PS173" s="16" t="n">
        <v>1</v>
      </c>
      <c r="PT173" s="16" t="n">
        <v>1</v>
      </c>
      <c r="PU173" s="16"/>
      <c r="PV173" s="16" t="n">
        <f aca="false">2.11*2+0.37*2</f>
        <v>4.96</v>
      </c>
      <c r="PW173" s="16" t="n">
        <v>3</v>
      </c>
      <c r="PX173" s="16"/>
      <c r="PY173" s="16" t="n">
        <f aca="false">1.44+0.72</f>
        <v>2.16</v>
      </c>
      <c r="PZ173" s="16"/>
      <c r="QA173" s="16"/>
      <c r="QB173" s="16"/>
      <c r="QC173" s="16" t="n">
        <v>5.39</v>
      </c>
      <c r="QD173" s="16" t="n">
        <v>8.11</v>
      </c>
      <c r="QE173" s="16"/>
      <c r="QF173" s="16"/>
      <c r="QG173" s="16" t="n">
        <v>0</v>
      </c>
      <c r="QH173" s="16" t="n">
        <v>0</v>
      </c>
      <c r="QI173" s="16" t="n">
        <v>3</v>
      </c>
      <c r="QJ173" s="0" t="n">
        <v>0</v>
      </c>
      <c r="QK173" s="0" t="s">
        <v>188</v>
      </c>
      <c r="QL173" s="0" t="n">
        <v>40</v>
      </c>
      <c r="QM173" s="16" t="n">
        <v>84.1</v>
      </c>
      <c r="QN173" s="16" t="n">
        <v>80.4</v>
      </c>
      <c r="QO173" s="16" t="n">
        <v>35.1</v>
      </c>
      <c r="QP173" s="0" t="n">
        <v>66.11</v>
      </c>
      <c r="QQ173" s="17" t="n">
        <v>0</v>
      </c>
      <c r="QR173" s="0" t="n">
        <v>13.11</v>
      </c>
      <c r="QS173" s="0" t="n">
        <v>6.27</v>
      </c>
      <c r="QT173" s="0" t="n">
        <v>8.02</v>
      </c>
      <c r="QU173" s="0" t="n">
        <v>0</v>
      </c>
      <c r="QV173" s="0" t="n">
        <v>6.47</v>
      </c>
      <c r="QW173" s="0" t="n">
        <v>2.85</v>
      </c>
      <c r="QX173" s="0" t="n">
        <v>3.1</v>
      </c>
      <c r="QY173" s="0" t="n">
        <v>0</v>
      </c>
      <c r="QZ173" s="0" t="n">
        <v>0</v>
      </c>
      <c r="RA173" s="0" t="n">
        <v>10.49</v>
      </c>
      <c r="RB173" s="0" t="n">
        <v>26.72</v>
      </c>
      <c r="RC173" s="0" t="n">
        <v>13.38</v>
      </c>
      <c r="RD173" s="0" t="n">
        <v>10.67</v>
      </c>
      <c r="RE173" s="0" t="n">
        <v>0</v>
      </c>
      <c r="RF173" s="0" t="n">
        <v>0</v>
      </c>
      <c r="RG173" s="0" t="n">
        <v>0</v>
      </c>
      <c r="RT173" s="0" t="n">
        <v>3.9</v>
      </c>
      <c r="RU173" s="0" t="n">
        <v>1</v>
      </c>
      <c r="RV173" s="0" t="n">
        <v>68</v>
      </c>
      <c r="RW173" s="0" t="n">
        <v>4</v>
      </c>
      <c r="RX173" s="0" t="n">
        <f aca="false">1.9+0.34</f>
        <v>2.24</v>
      </c>
      <c r="RY173" s="0" t="n">
        <v>1</v>
      </c>
      <c r="RZ173" s="0" t="n">
        <v>34</v>
      </c>
      <c r="SA173" s="0" t="n">
        <v>8</v>
      </c>
      <c r="SB173" s="0" t="n">
        <v>0.27</v>
      </c>
      <c r="SC173" s="0" t="n">
        <v>1</v>
      </c>
      <c r="SF173" s="18"/>
      <c r="SX173" s="0" t="n">
        <v>1</v>
      </c>
      <c r="SY173" s="0" t="n">
        <v>50</v>
      </c>
      <c r="SZ173" s="0" t="n">
        <v>4</v>
      </c>
      <c r="TA173" s="0" t="n">
        <f aca="false">1.52*2</f>
        <v>3.04</v>
      </c>
      <c r="TB173" s="0" t="n">
        <v>3</v>
      </c>
      <c r="UI173" s="16" t="n">
        <v>0.04</v>
      </c>
      <c r="UJ173" s="16" t="n">
        <v>1</v>
      </c>
      <c r="UK173" s="16" t="n">
        <v>1</v>
      </c>
      <c r="UL173" s="16"/>
      <c r="UM173" s="16" t="n">
        <f aca="false">0.3</f>
        <v>0.3</v>
      </c>
      <c r="UN173" s="16"/>
      <c r="UO173" s="16"/>
      <c r="UP173" s="16"/>
      <c r="UQ173" s="16"/>
      <c r="UR173" s="16"/>
      <c r="US173" s="16"/>
      <c r="UT173" s="16" t="n">
        <v>0.03</v>
      </c>
      <c r="UU173" s="16" t="n">
        <v>0.03</v>
      </c>
      <c r="UV173" s="16"/>
      <c r="UW173" s="16"/>
      <c r="UX173" s="16" t="n">
        <v>0</v>
      </c>
      <c r="UY173" s="16" t="n">
        <v>0</v>
      </c>
      <c r="UZ173" s="16" t="n">
        <v>0</v>
      </c>
      <c r="VA173" s="0" t="n">
        <v>0</v>
      </c>
      <c r="VB173" s="0" t="s">
        <v>189</v>
      </c>
      <c r="VC173" s="0" t="n">
        <v>31</v>
      </c>
      <c r="VD173" s="16" t="n">
        <v>80.2</v>
      </c>
      <c r="VE173" s="16" t="n">
        <v>80.4</v>
      </c>
      <c r="VF173" s="16" t="n">
        <v>6.5</v>
      </c>
      <c r="VG173" s="0" t="n">
        <v>99.3</v>
      </c>
      <c r="VH173" s="17" t="n">
        <v>0</v>
      </c>
      <c r="VI173" s="0" t="n">
        <v>0.7</v>
      </c>
      <c r="VJ173" s="0" t="n">
        <v>0</v>
      </c>
      <c r="VK173" s="0" t="n">
        <v>0</v>
      </c>
      <c r="VL173" s="0" t="n">
        <v>0</v>
      </c>
      <c r="VM173" s="0" t="n">
        <v>0</v>
      </c>
      <c r="VN173" s="0" t="n">
        <v>0</v>
      </c>
      <c r="VO173" s="0" t="n">
        <v>0</v>
      </c>
      <c r="VP173" s="0" t="n">
        <v>0</v>
      </c>
      <c r="VQ173" s="0" t="n">
        <v>0</v>
      </c>
      <c r="VR173" s="0" t="n">
        <v>0</v>
      </c>
      <c r="VS173" s="0" t="n">
        <v>31.92</v>
      </c>
      <c r="VT173" s="0" t="n">
        <v>23.7</v>
      </c>
      <c r="VU173" s="0" t="n">
        <v>1.95</v>
      </c>
      <c r="VV173" s="0" t="n">
        <v>0</v>
      </c>
      <c r="VW173" s="0" t="n">
        <v>18.7</v>
      </c>
      <c r="VX173" s="0" t="n">
        <v>4</v>
      </c>
      <c r="VY173" s="0" t="n">
        <v>49</v>
      </c>
      <c r="WA173" s="0" t="n">
        <v>1</v>
      </c>
      <c r="WE173" s="0" t="n">
        <v>49</v>
      </c>
      <c r="WG173" s="0" t="n">
        <v>1</v>
      </c>
      <c r="WK173" s="0" t="n">
        <v>0</v>
      </c>
      <c r="WL173" s="0" t="n">
        <v>0</v>
      </c>
      <c r="WW173" s="18"/>
      <c r="XO173" s="0" t="n">
        <v>0</v>
      </c>
      <c r="YZ173" s="16" t="n">
        <v>0</v>
      </c>
      <c r="ZA173" s="16" t="n">
        <v>0</v>
      </c>
      <c r="ZB173" s="16"/>
      <c r="ZC173" s="16"/>
      <c r="ZD173" s="16"/>
      <c r="ZE173" s="16"/>
      <c r="ZF173" s="16"/>
      <c r="ZG173" s="16"/>
      <c r="ZH173" s="16"/>
      <c r="ZI173" s="16"/>
      <c r="ZJ173" s="16"/>
      <c r="ZK173" s="16" t="n">
        <v>5.42</v>
      </c>
      <c r="ZL173" s="16" t="n">
        <v>6.61</v>
      </c>
      <c r="ZM173" s="16"/>
      <c r="ZN173" s="16"/>
      <c r="ZO173" s="16" t="n">
        <v>0</v>
      </c>
      <c r="ZP173" s="16" t="n">
        <v>0</v>
      </c>
      <c r="ZQ173" s="16" t="n">
        <v>0</v>
      </c>
      <c r="ZR173" s="0" t="n">
        <v>0</v>
      </c>
      <c r="ZS173" s="0" t="s">
        <v>190</v>
      </c>
      <c r="ZT173" s="0" t="n">
        <v>38.5</v>
      </c>
      <c r="ZU173" s="16" t="n">
        <v>92</v>
      </c>
      <c r="ZV173" s="16" t="n">
        <v>80.4</v>
      </c>
      <c r="ZW173" s="16" t="n">
        <v>11</v>
      </c>
      <c r="ZX173" s="0" t="n">
        <v>95.37</v>
      </c>
      <c r="ZY173" s="17" t="n">
        <v>0</v>
      </c>
      <c r="ZZ173" s="0" t="n">
        <v>4.63</v>
      </c>
      <c r="AAA173" s="0" t="n">
        <v>0</v>
      </c>
      <c r="AAB173" s="0" t="n">
        <v>0</v>
      </c>
      <c r="AAC173" s="0" t="n">
        <v>0</v>
      </c>
      <c r="AAD173" s="0" t="n">
        <v>0</v>
      </c>
      <c r="AAE173" s="0" t="n">
        <v>0</v>
      </c>
      <c r="AAF173" s="0" t="n">
        <v>0</v>
      </c>
      <c r="AAG173" s="0" t="n">
        <v>0</v>
      </c>
      <c r="AAH173" s="0" t="n">
        <v>0</v>
      </c>
      <c r="AAI173" s="0" t="n">
        <v>2.85</v>
      </c>
      <c r="AAJ173" s="0" t="n">
        <v>16.15</v>
      </c>
      <c r="AAK173" s="0" t="n">
        <v>42.55</v>
      </c>
      <c r="AAL173" s="0" t="n">
        <v>4.63</v>
      </c>
      <c r="AAM173" s="0" t="n">
        <v>0</v>
      </c>
      <c r="AAN173" s="0" t="n">
        <v>5.7</v>
      </c>
      <c r="AAO173" s="0" t="n">
        <v>1</v>
      </c>
      <c r="AAP173" s="0" t="n">
        <v>3</v>
      </c>
      <c r="AAR173" s="0" t="n">
        <v>1</v>
      </c>
      <c r="AAV173" s="0" t="n">
        <v>3</v>
      </c>
      <c r="AAX173" s="0" t="n">
        <v>1</v>
      </c>
      <c r="ABB173" s="0" t="n">
        <v>4.8</v>
      </c>
      <c r="ABC173" s="0" t="n">
        <v>0</v>
      </c>
      <c r="ABN173" s="18"/>
      <c r="ACF173" s="0" t="n">
        <v>1</v>
      </c>
      <c r="ACG173" s="0" t="n">
        <v>70</v>
      </c>
      <c r="ACH173" s="0" t="n">
        <v>3</v>
      </c>
      <c r="ACI173" s="0" t="n">
        <f aca="false">14.97+0.86+0.7</f>
        <v>16.53</v>
      </c>
      <c r="ACJ173" s="0" t="n">
        <v>3</v>
      </c>
      <c r="ACK173" s="0" t="n">
        <v>60</v>
      </c>
      <c r="ACL173" s="0" t="n">
        <v>3</v>
      </c>
      <c r="ACM173" s="0" t="n">
        <f aca="false">3.02+0.97+0.6</f>
        <v>4.59</v>
      </c>
      <c r="ACN173" s="0" t="n">
        <v>3</v>
      </c>
      <c r="ADQ173" s="16" t="n">
        <v>2.82</v>
      </c>
      <c r="ADR173" s="16" t="n">
        <v>1</v>
      </c>
      <c r="ADS173" s="16" t="n">
        <v>1</v>
      </c>
      <c r="ADT173" s="16"/>
      <c r="ADU173" s="16" t="n">
        <f aca="false">0.93*2</f>
        <v>1.86</v>
      </c>
      <c r="ADV173" s="16" t="n">
        <v>2</v>
      </c>
      <c r="ADW173" s="16"/>
      <c r="ADX173" s="16" t="n">
        <f aca="false">9.6+1.93</f>
        <v>11.53</v>
      </c>
      <c r="ADY173" s="16"/>
      <c r="ADZ173" s="16"/>
      <c r="AEA173" s="16"/>
      <c r="AEB173" s="16" t="n">
        <v>13.91</v>
      </c>
      <c r="AEC173" s="16" t="n">
        <v>17.31</v>
      </c>
      <c r="AED173" s="16"/>
      <c r="AEE173" s="16"/>
      <c r="AEF173" s="16" t="n">
        <v>0</v>
      </c>
      <c r="AEG173" s="16" t="n">
        <v>0</v>
      </c>
      <c r="AEH173" s="16" t="n">
        <v>0</v>
      </c>
      <c r="AEI173" s="0" t="n">
        <v>0</v>
      </c>
      <c r="AEJ173" s="0" t="s">
        <v>191</v>
      </c>
      <c r="AEK173" s="0" t="n">
        <v>44</v>
      </c>
      <c r="AEL173" s="16" t="n">
        <v>75.8</v>
      </c>
      <c r="AEM173" s="16" t="n">
        <v>80.4</v>
      </c>
      <c r="AEN173" s="16" t="n">
        <v>12.2</v>
      </c>
      <c r="AEO173" s="0" t="n">
        <v>90.24</v>
      </c>
      <c r="AEP173" s="17" t="n">
        <v>0</v>
      </c>
      <c r="AEQ173" s="0" t="n">
        <v>6.27</v>
      </c>
      <c r="AER173" s="0" t="n">
        <v>0</v>
      </c>
      <c r="AES173" s="0" t="n">
        <v>3.49</v>
      </c>
      <c r="AET173" s="0" t="n">
        <v>0</v>
      </c>
      <c r="AEU173" s="0" t="n">
        <v>0</v>
      </c>
      <c r="AEV173" s="0" t="n">
        <v>0</v>
      </c>
      <c r="AEW173" s="0" t="n">
        <v>0</v>
      </c>
      <c r="AEX173" s="0" t="n">
        <v>0</v>
      </c>
      <c r="AEY173" s="0" t="n">
        <v>0</v>
      </c>
      <c r="AEZ173" s="0" t="n">
        <v>0</v>
      </c>
      <c r="AFA173" s="0" t="n">
        <v>24.37</v>
      </c>
      <c r="AFB173" s="0" t="n">
        <v>32.21</v>
      </c>
      <c r="AFC173" s="0" t="n">
        <v>3.56</v>
      </c>
      <c r="AFD173" s="0" t="n">
        <v>0</v>
      </c>
      <c r="AFE173" s="0" t="n">
        <v>0</v>
      </c>
      <c r="AFF173" s="0" t="n">
        <v>0</v>
      </c>
      <c r="AFS173" s="0" t="n">
        <v>20.3</v>
      </c>
      <c r="AFT173" s="0" t="n">
        <v>1</v>
      </c>
      <c r="AFU173" s="0" t="n">
        <v>30</v>
      </c>
      <c r="AFV173" s="0" t="n">
        <v>4</v>
      </c>
      <c r="AFW173" s="0" t="n">
        <v>3.01</v>
      </c>
      <c r="AFX173" s="0" t="n">
        <v>5</v>
      </c>
      <c r="AFY173" s="0" t="n">
        <v>68</v>
      </c>
      <c r="AFZ173" s="0" t="n">
        <v>2</v>
      </c>
      <c r="AGA173" s="0" t="n">
        <v>1.52</v>
      </c>
      <c r="AGB173" s="0" t="n">
        <v>1</v>
      </c>
      <c r="AGC173" s="0" t="n">
        <v>47</v>
      </c>
      <c r="AGD173" s="0" t="n">
        <v>1</v>
      </c>
      <c r="AGE173" s="18" t="n">
        <v>0.07</v>
      </c>
      <c r="AGF173" s="0" t="n">
        <v>3</v>
      </c>
      <c r="AGW173" s="0" t="n">
        <v>0</v>
      </c>
      <c r="AIH173" s="16" t="n">
        <v>1.88</v>
      </c>
      <c r="AII173" s="16" t="n">
        <v>1</v>
      </c>
      <c r="AIJ173" s="16" t="n">
        <v>2</v>
      </c>
      <c r="AIK173" s="16"/>
      <c r="AIL173" s="16" t="n">
        <v>4.18</v>
      </c>
      <c r="AIM173" s="16"/>
      <c r="AIN173" s="16"/>
      <c r="AIO173" s="16"/>
      <c r="AIP173" s="16"/>
      <c r="AIQ173" s="16"/>
      <c r="AIR173" s="16"/>
      <c r="AIS173" s="16" t="n">
        <v>7.15</v>
      </c>
      <c r="AIT173" s="16" t="n">
        <v>6.06</v>
      </c>
      <c r="AIU173" s="16"/>
      <c r="AIV173" s="16"/>
      <c r="AIW173" s="16" t="n">
        <v>0</v>
      </c>
      <c r="AIX173" s="16" t="n">
        <v>0</v>
      </c>
      <c r="AIY173" s="16" t="n">
        <v>0</v>
      </c>
      <c r="AIZ173" s="0" t="n">
        <v>0</v>
      </c>
      <c r="AJA173" s="0" t="s">
        <v>192</v>
      </c>
      <c r="AJB173" s="0" t="n">
        <v>47.5</v>
      </c>
      <c r="AJC173" s="16" t="n">
        <v>79.3</v>
      </c>
      <c r="AJD173" s="16" t="n">
        <v>80.4</v>
      </c>
      <c r="AJE173" s="16" t="n">
        <v>36.3</v>
      </c>
      <c r="AJF173" s="0" t="n">
        <v>66.23</v>
      </c>
      <c r="AJG173" s="17" t="n">
        <v>0</v>
      </c>
      <c r="AJH173" s="0" t="n">
        <v>33.77</v>
      </c>
      <c r="AJI173" s="0" t="n">
        <v>0</v>
      </c>
      <c r="AJJ173" s="0" t="n">
        <v>0</v>
      </c>
      <c r="AJK173" s="0" t="n">
        <v>0</v>
      </c>
      <c r="AJL173" s="0" t="n">
        <v>0</v>
      </c>
      <c r="AJM173" s="0" t="n">
        <v>0</v>
      </c>
      <c r="AJN173" s="0" t="n">
        <v>0</v>
      </c>
      <c r="AJO173" s="0" t="n">
        <v>0</v>
      </c>
      <c r="AJP173" s="0" t="n">
        <v>0</v>
      </c>
      <c r="AJQ173" s="0" t="n">
        <v>0</v>
      </c>
      <c r="AJR173" s="0" t="n">
        <v>38.37</v>
      </c>
      <c r="AJS173" s="0" t="n">
        <v>20.04</v>
      </c>
      <c r="AJT173" s="0" t="n">
        <v>11.21</v>
      </c>
      <c r="AJU173" s="0" t="n">
        <v>0</v>
      </c>
      <c r="AJV173" s="0" t="n">
        <v>0</v>
      </c>
      <c r="AJW173" s="0" t="n">
        <v>0</v>
      </c>
      <c r="AKJ173" s="0" t="n">
        <v>6.9</v>
      </c>
      <c r="AKK173" s="0" t="n">
        <v>1</v>
      </c>
      <c r="AKL173" s="0" t="n">
        <v>47</v>
      </c>
      <c r="AKM173" s="0" t="n">
        <v>3</v>
      </c>
      <c r="AKN173" s="0" t="n">
        <f aca="false">0.11+0.74+0.08</f>
        <v>0.93</v>
      </c>
      <c r="AKO173" s="0" t="n">
        <v>3</v>
      </c>
      <c r="AKP173" s="0" t="n">
        <v>68</v>
      </c>
      <c r="AKQ173" s="0" t="n">
        <v>1</v>
      </c>
      <c r="AKR173" s="0" t="n">
        <v>0.76</v>
      </c>
      <c r="AKS173" s="0" t="n">
        <v>1</v>
      </c>
      <c r="AKV173" s="18"/>
      <c r="ALN173" s="0" t="n">
        <v>0</v>
      </c>
    </row>
    <row r="174" customFormat="false" ht="13.8" hidden="false" customHeight="false" outlineLevel="0" collapsed="false">
      <c r="A174" s="1" t="s">
        <v>638</v>
      </c>
      <c r="B174" s="12" t="n">
        <v>42902</v>
      </c>
      <c r="C174" s="0" t="n">
        <v>2</v>
      </c>
      <c r="D174" s="13" t="n">
        <v>42821</v>
      </c>
      <c r="E174" s="12" t="n">
        <v>31499</v>
      </c>
      <c r="F174" s="14" t="n">
        <f aca="false">(B174-E174)/365.25</f>
        <v>31.2197125256673</v>
      </c>
      <c r="G174" s="14" t="n">
        <f aca="false">(B174-D174)/365.25</f>
        <v>0.2217659137577</v>
      </c>
      <c r="H174" s="15" t="s">
        <v>181</v>
      </c>
      <c r="I174" s="15" t="s">
        <v>182</v>
      </c>
      <c r="J174" s="15" t="s">
        <v>181</v>
      </c>
      <c r="K174" s="15" t="n">
        <v>8</v>
      </c>
      <c r="L174" s="19" t="n">
        <v>90</v>
      </c>
      <c r="M174" s="0" t="n">
        <v>1.83</v>
      </c>
      <c r="N174" s="16" t="n">
        <f aca="false">L174/(M174*M174)</f>
        <v>26.8744961031981</v>
      </c>
      <c r="O174" s="19" t="n">
        <v>0</v>
      </c>
      <c r="P174" s="19" t="n">
        <v>0</v>
      </c>
      <c r="Q174" s="19" t="n">
        <v>0</v>
      </c>
      <c r="R174" s="19" t="n">
        <v>0</v>
      </c>
      <c r="S174" s="19" t="n">
        <v>0</v>
      </c>
      <c r="T174" s="19" t="n">
        <v>0</v>
      </c>
      <c r="U174" s="19" t="n">
        <v>1</v>
      </c>
      <c r="V174" s="19" t="n">
        <v>5</v>
      </c>
      <c r="W174" s="19" t="n">
        <v>1</v>
      </c>
      <c r="X174" s="19" t="n">
        <v>0</v>
      </c>
      <c r="Y174" s="19" t="n">
        <v>0</v>
      </c>
      <c r="Z174" s="19" t="n">
        <v>0</v>
      </c>
      <c r="AA174" s="19" t="n">
        <v>0</v>
      </c>
      <c r="AB174" s="19" t="n">
        <v>0</v>
      </c>
      <c r="AC174" s="19" t="n">
        <v>1</v>
      </c>
      <c r="AD174" s="19" t="n">
        <v>2</v>
      </c>
      <c r="AE174" s="19" t="n">
        <v>0</v>
      </c>
      <c r="AF174" s="19" t="n">
        <v>0</v>
      </c>
      <c r="AG174" s="19" t="n">
        <v>0</v>
      </c>
      <c r="AH174" s="19" t="n">
        <v>0</v>
      </c>
      <c r="AI174" s="19" t="n">
        <v>0</v>
      </c>
      <c r="AJ174" s="19" t="n">
        <v>0</v>
      </c>
      <c r="AK174" s="19" t="n">
        <v>0</v>
      </c>
      <c r="AL174" s="19" t="n">
        <v>0</v>
      </c>
      <c r="AM174" s="19" t="n">
        <v>0</v>
      </c>
      <c r="AN174" s="19" t="n">
        <v>0</v>
      </c>
      <c r="AO174" s="19" t="n">
        <v>0</v>
      </c>
      <c r="AP174" s="19" t="n">
        <v>0</v>
      </c>
      <c r="AQ174" s="19" t="n">
        <v>0</v>
      </c>
      <c r="AR174" s="19" t="n">
        <v>0</v>
      </c>
      <c r="AS174" s="19" t="n">
        <v>0</v>
      </c>
      <c r="AT174" s="19" t="n">
        <v>0</v>
      </c>
      <c r="AU174" s="19" t="n">
        <v>0</v>
      </c>
      <c r="AV174" s="19" t="n">
        <v>0</v>
      </c>
      <c r="AW174" s="19" t="n">
        <v>0</v>
      </c>
      <c r="AX174" s="19" t="n">
        <v>0</v>
      </c>
      <c r="AY174" s="19" t="n">
        <v>0</v>
      </c>
      <c r="AZ174" s="19" t="n">
        <v>0</v>
      </c>
      <c r="BA174" s="19" t="n">
        <v>0</v>
      </c>
      <c r="BB174" s="19" t="n">
        <v>0</v>
      </c>
      <c r="BC174" s="19" t="n">
        <v>0</v>
      </c>
      <c r="BD174" s="19" t="n">
        <v>0</v>
      </c>
      <c r="BE174" s="19" t="n">
        <v>0</v>
      </c>
      <c r="BF174" s="19" t="n">
        <v>0</v>
      </c>
      <c r="BG174" s="19" t="n">
        <v>0</v>
      </c>
      <c r="BH174" s="19" t="n">
        <v>0</v>
      </c>
      <c r="BI174" s="19" t="n">
        <v>0</v>
      </c>
      <c r="BJ174" s="19" t="n">
        <v>0</v>
      </c>
      <c r="BK174" s="19" t="n">
        <v>0</v>
      </c>
      <c r="BL174" s="19" t="n">
        <v>0</v>
      </c>
      <c r="BM174" s="19" t="n">
        <v>0</v>
      </c>
      <c r="BN174" s="19" t="n">
        <v>0</v>
      </c>
      <c r="BO174" s="19" t="n">
        <v>0</v>
      </c>
      <c r="BP174" s="19" t="n">
        <v>0</v>
      </c>
      <c r="BQ174" s="19" t="n">
        <v>0</v>
      </c>
      <c r="BR174" s="19" t="n">
        <v>2</v>
      </c>
      <c r="BS174" s="19" t="n">
        <v>1</v>
      </c>
      <c r="BT174" s="19" t="n">
        <v>2</v>
      </c>
      <c r="BU174" s="19" t="n">
        <v>5</v>
      </c>
      <c r="BV174" s="19" t="n">
        <v>3</v>
      </c>
      <c r="BW174" s="19" t="n">
        <v>2</v>
      </c>
      <c r="BX174" s="19" t="n">
        <v>2</v>
      </c>
      <c r="BY174" s="19" t="n">
        <v>3</v>
      </c>
      <c r="BZ174" s="19" t="n">
        <v>2</v>
      </c>
      <c r="CA174" s="19" t="n">
        <v>4</v>
      </c>
      <c r="CB174" s="19" t="n">
        <v>4</v>
      </c>
      <c r="CC174" s="19" t="n">
        <v>5</v>
      </c>
      <c r="CD174" s="19" t="n">
        <v>4</v>
      </c>
      <c r="CE174" s="19" t="n">
        <v>4</v>
      </c>
      <c r="CF174" s="19" t="n">
        <v>3</v>
      </c>
      <c r="CG174" s="19" t="n">
        <v>4</v>
      </c>
      <c r="CH174" s="19" t="n">
        <v>4</v>
      </c>
      <c r="CI174" s="19" t="n">
        <v>5</v>
      </c>
      <c r="CJ174" s="19" t="n">
        <v>4</v>
      </c>
      <c r="CK174" s="19" t="n">
        <v>10</v>
      </c>
      <c r="CL174" s="0" t="s">
        <v>189</v>
      </c>
      <c r="CM174" s="0" t="n">
        <v>31</v>
      </c>
      <c r="CN174" s="16" t="n">
        <v>80.2</v>
      </c>
      <c r="CO174" s="16" t="n">
        <v>80.4</v>
      </c>
      <c r="CP174" s="16" t="n">
        <v>6.5</v>
      </c>
      <c r="CQ174" s="0" t="n">
        <v>99.3</v>
      </c>
      <c r="CR174" s="17" t="n">
        <v>0</v>
      </c>
      <c r="CS174" s="0" t="n">
        <v>0.7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31.92</v>
      </c>
      <c r="DD174" s="0" t="n">
        <v>23.7</v>
      </c>
      <c r="DE174" s="0" t="n">
        <v>1.95</v>
      </c>
      <c r="DF174" s="0" t="n">
        <v>0</v>
      </c>
      <c r="DG174" s="0" t="n">
        <v>18.7</v>
      </c>
      <c r="DH174" s="0" t="n">
        <v>4</v>
      </c>
      <c r="DI174" s="0" t="n">
        <v>49</v>
      </c>
      <c r="DK174" s="0" t="n">
        <v>1</v>
      </c>
      <c r="DO174" s="0" t="n">
        <v>49</v>
      </c>
      <c r="DQ174" s="0" t="n">
        <v>1</v>
      </c>
      <c r="DU174" s="0" t="n">
        <v>0</v>
      </c>
      <c r="DV174" s="0" t="n">
        <v>0</v>
      </c>
      <c r="EG174" s="18"/>
      <c r="EY174" s="0" t="n">
        <v>0</v>
      </c>
      <c r="GJ174" s="16" t="n">
        <v>0</v>
      </c>
      <c r="GK174" s="16" t="n">
        <v>0</v>
      </c>
      <c r="GL174" s="16"/>
      <c r="GM174" s="16"/>
      <c r="GN174" s="16"/>
      <c r="GO174" s="16"/>
      <c r="GP174" s="16"/>
      <c r="GQ174" s="16"/>
      <c r="GR174" s="16"/>
      <c r="GS174" s="16"/>
      <c r="GT174" s="16"/>
      <c r="GU174" s="16" t="n">
        <v>5.42</v>
      </c>
      <c r="GV174" s="16" t="n">
        <v>6.61</v>
      </c>
      <c r="GW174" s="16"/>
      <c r="GX174" s="16"/>
      <c r="GY174" s="16" t="n">
        <v>0</v>
      </c>
      <c r="GZ174" s="16" t="n">
        <v>0</v>
      </c>
      <c r="HA174" s="16" t="n">
        <v>0</v>
      </c>
      <c r="HB174" s="0" t="n">
        <v>0</v>
      </c>
      <c r="HC174" s="0" t="s">
        <v>190</v>
      </c>
      <c r="HD174" s="0" t="n">
        <v>38.5</v>
      </c>
      <c r="HE174" s="16" t="n">
        <v>92</v>
      </c>
      <c r="HF174" s="16" t="n">
        <v>80.4</v>
      </c>
      <c r="HG174" s="16" t="n">
        <v>11</v>
      </c>
      <c r="HH174" s="0" t="n">
        <v>95.37</v>
      </c>
      <c r="HI174" s="17" t="n">
        <v>0</v>
      </c>
      <c r="HJ174" s="0" t="n">
        <v>4.63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2.85</v>
      </c>
      <c r="HT174" s="0" t="n">
        <v>16.15</v>
      </c>
      <c r="HU174" s="0" t="n">
        <v>42.55</v>
      </c>
      <c r="HV174" s="0" t="n">
        <v>4.63</v>
      </c>
      <c r="HW174" s="0" t="n">
        <v>0</v>
      </c>
      <c r="HX174" s="0" t="n">
        <v>5.7</v>
      </c>
      <c r="HY174" s="0" t="n">
        <v>1</v>
      </c>
      <c r="HZ174" s="0" t="n">
        <v>3</v>
      </c>
      <c r="IB174" s="0" t="n">
        <v>1</v>
      </c>
      <c r="IF174" s="0" t="n">
        <v>3</v>
      </c>
      <c r="IH174" s="0" t="n">
        <v>1</v>
      </c>
      <c r="IL174" s="0" t="n">
        <v>4.8</v>
      </c>
      <c r="IM174" s="0" t="n">
        <v>0</v>
      </c>
      <c r="IX174" s="18"/>
      <c r="JP174" s="0" t="n">
        <v>1</v>
      </c>
      <c r="JQ174" s="0" t="n">
        <v>70</v>
      </c>
      <c r="JR174" s="0" t="n">
        <v>3</v>
      </c>
      <c r="JS174" s="0" t="n">
        <f aca="false">14.97+0.86+0.7</f>
        <v>16.53</v>
      </c>
      <c r="JT174" s="0" t="n">
        <v>3</v>
      </c>
      <c r="JU174" s="0" t="n">
        <v>60</v>
      </c>
      <c r="JV174" s="0" t="n">
        <v>3</v>
      </c>
      <c r="JW174" s="0" t="n">
        <f aca="false">3.02+0.97+0.6</f>
        <v>4.59</v>
      </c>
      <c r="JX174" s="0" t="n">
        <v>3</v>
      </c>
      <c r="LA174" s="16" t="n">
        <v>2.82</v>
      </c>
      <c r="LB174" s="16" t="n">
        <v>1</v>
      </c>
      <c r="LC174" s="16" t="n">
        <v>1</v>
      </c>
      <c r="LD174" s="16"/>
      <c r="LE174" s="16" t="n">
        <f aca="false">0.93*2</f>
        <v>1.86</v>
      </c>
      <c r="LF174" s="16" t="n">
        <v>2</v>
      </c>
      <c r="LG174" s="16"/>
      <c r="LH174" s="16" t="n">
        <f aca="false">9.6+1.93</f>
        <v>11.53</v>
      </c>
      <c r="LI174" s="16"/>
      <c r="LJ174" s="16"/>
      <c r="LK174" s="16"/>
      <c r="LL174" s="16" t="n">
        <v>13.91</v>
      </c>
      <c r="LM174" s="16" t="n">
        <v>17.31</v>
      </c>
      <c r="LN174" s="16"/>
      <c r="LO174" s="16"/>
      <c r="LP174" s="16" t="n">
        <v>0</v>
      </c>
      <c r="LQ174" s="16" t="n">
        <v>0</v>
      </c>
      <c r="LR174" s="16" t="n">
        <v>0</v>
      </c>
      <c r="LS174" s="0" t="n">
        <v>0</v>
      </c>
      <c r="LT174" s="0" t="s">
        <v>191</v>
      </c>
      <c r="LU174" s="0" t="n">
        <v>44</v>
      </c>
      <c r="LV174" s="16" t="n">
        <v>75.8</v>
      </c>
      <c r="LW174" s="16" t="n">
        <v>80.4</v>
      </c>
      <c r="LX174" s="16" t="n">
        <v>12.2</v>
      </c>
      <c r="LY174" s="0" t="n">
        <v>90.24</v>
      </c>
      <c r="LZ174" s="17" t="n">
        <v>0</v>
      </c>
      <c r="MA174" s="0" t="n">
        <v>6.27</v>
      </c>
      <c r="MB174" s="0" t="n">
        <v>0</v>
      </c>
      <c r="MC174" s="0" t="n">
        <v>3.49</v>
      </c>
      <c r="MD174" s="0" t="n">
        <v>0</v>
      </c>
      <c r="ME174" s="0" t="n">
        <v>0</v>
      </c>
      <c r="MF174" s="0" t="n">
        <v>0</v>
      </c>
      <c r="MG174" s="0" t="n">
        <v>0</v>
      </c>
      <c r="MH174" s="0" t="n">
        <v>0</v>
      </c>
      <c r="MI174" s="0" t="n">
        <v>0</v>
      </c>
      <c r="MJ174" s="0" t="n">
        <v>0</v>
      </c>
      <c r="MK174" s="0" t="n">
        <v>24.37</v>
      </c>
      <c r="ML174" s="0" t="n">
        <v>32.21</v>
      </c>
      <c r="MM174" s="0" t="n">
        <v>3.56</v>
      </c>
      <c r="MN174" s="0" t="n">
        <v>0</v>
      </c>
      <c r="MO174" s="0" t="n">
        <v>0</v>
      </c>
      <c r="MP174" s="0" t="n">
        <v>0</v>
      </c>
      <c r="NC174" s="0" t="n">
        <v>20.3</v>
      </c>
      <c r="ND174" s="0" t="n">
        <v>1</v>
      </c>
      <c r="NE174" s="0" t="n">
        <v>30</v>
      </c>
      <c r="NF174" s="0" t="n">
        <v>4</v>
      </c>
      <c r="NG174" s="0" t="n">
        <v>3.01</v>
      </c>
      <c r="NH174" s="0" t="n">
        <v>5</v>
      </c>
      <c r="NI174" s="0" t="n">
        <v>68</v>
      </c>
      <c r="NJ174" s="0" t="n">
        <v>2</v>
      </c>
      <c r="NK174" s="0" t="n">
        <v>1.52</v>
      </c>
      <c r="NL174" s="0" t="n">
        <v>1</v>
      </c>
      <c r="NM174" s="0" t="n">
        <v>47</v>
      </c>
      <c r="NN174" s="0" t="n">
        <v>1</v>
      </c>
      <c r="NO174" s="18" t="n">
        <v>0.07</v>
      </c>
      <c r="NP174" s="0" t="n">
        <v>3</v>
      </c>
      <c r="OG174" s="0" t="n">
        <v>0</v>
      </c>
      <c r="PR174" s="16" t="n">
        <v>1.88</v>
      </c>
      <c r="PS174" s="16" t="n">
        <v>1</v>
      </c>
      <c r="PT174" s="16" t="n">
        <v>2</v>
      </c>
      <c r="PU174" s="16"/>
      <c r="PV174" s="16" t="n">
        <v>4.18</v>
      </c>
      <c r="PW174" s="16"/>
      <c r="PX174" s="16"/>
      <c r="PY174" s="16"/>
      <c r="PZ174" s="16"/>
      <c r="QA174" s="16"/>
      <c r="QB174" s="16"/>
      <c r="QC174" s="16" t="n">
        <v>7.15</v>
      </c>
      <c r="QD174" s="16" t="n">
        <v>6.06</v>
      </c>
      <c r="QE174" s="16"/>
      <c r="QF174" s="16"/>
      <c r="QG174" s="16" t="n">
        <v>0</v>
      </c>
      <c r="QH174" s="16" t="n">
        <v>0</v>
      </c>
      <c r="QI174" s="16" t="n">
        <v>0</v>
      </c>
      <c r="QJ174" s="0" t="n">
        <v>0</v>
      </c>
      <c r="QK174" s="0" t="s">
        <v>192</v>
      </c>
      <c r="QL174" s="0" t="n">
        <v>47.5</v>
      </c>
      <c r="QM174" s="16" t="n">
        <v>79.3</v>
      </c>
      <c r="QN174" s="16" t="n">
        <v>80.4</v>
      </c>
      <c r="QO174" s="16" t="n">
        <v>36.3</v>
      </c>
      <c r="QP174" s="0" t="n">
        <v>66.23</v>
      </c>
      <c r="QQ174" s="17" t="n">
        <v>0</v>
      </c>
      <c r="QR174" s="0" t="n">
        <v>33.77</v>
      </c>
      <c r="QS174" s="0" t="n">
        <v>0</v>
      </c>
      <c r="QT174" s="0" t="n">
        <v>0</v>
      </c>
      <c r="QU174" s="0" t="n">
        <v>0</v>
      </c>
      <c r="QV174" s="0" t="n">
        <v>0</v>
      </c>
      <c r="QW174" s="0" t="n">
        <v>0</v>
      </c>
      <c r="QX174" s="0" t="n">
        <v>0</v>
      </c>
      <c r="QY174" s="0" t="n">
        <v>0</v>
      </c>
      <c r="QZ174" s="0" t="n">
        <v>0</v>
      </c>
      <c r="RA174" s="0" t="n">
        <v>0</v>
      </c>
      <c r="RB174" s="0" t="n">
        <v>38.37</v>
      </c>
      <c r="RC174" s="0" t="n">
        <v>20.04</v>
      </c>
      <c r="RD174" s="0" t="n">
        <v>11.21</v>
      </c>
      <c r="RE174" s="0" t="n">
        <v>0</v>
      </c>
      <c r="RF174" s="0" t="n">
        <v>0</v>
      </c>
      <c r="RG174" s="0" t="n">
        <v>0</v>
      </c>
      <c r="RT174" s="0" t="n">
        <v>6.9</v>
      </c>
      <c r="RU174" s="0" t="n">
        <v>1</v>
      </c>
      <c r="RV174" s="0" t="n">
        <v>47</v>
      </c>
      <c r="RW174" s="0" t="n">
        <v>3</v>
      </c>
      <c r="RX174" s="0" t="n">
        <f aca="false">0.11+0.74+0.08</f>
        <v>0.93</v>
      </c>
      <c r="RY174" s="0" t="n">
        <v>3</v>
      </c>
      <c r="RZ174" s="0" t="n">
        <v>68</v>
      </c>
      <c r="SA174" s="0" t="n">
        <v>1</v>
      </c>
      <c r="SB174" s="0" t="n">
        <v>0.76</v>
      </c>
      <c r="SC174" s="0" t="n">
        <v>1</v>
      </c>
      <c r="SF174" s="18"/>
      <c r="SX174" s="0" t="n">
        <v>0</v>
      </c>
      <c r="UI174" s="16" t="n">
        <v>2.61</v>
      </c>
      <c r="UJ174" s="16" t="n">
        <v>1</v>
      </c>
      <c r="UK174" s="16" t="n">
        <v>2</v>
      </c>
      <c r="UL174" s="16"/>
      <c r="UM174" s="16" t="n">
        <f aca="false">5.22+0.29</f>
        <v>5.51</v>
      </c>
      <c r="UN174" s="16" t="n">
        <v>2</v>
      </c>
      <c r="UO174" s="16"/>
      <c r="UP174" s="16" t="n">
        <f aca="false">0.61+3.74</f>
        <v>4.35</v>
      </c>
      <c r="UQ174" s="16"/>
      <c r="UR174" s="16"/>
      <c r="US174" s="16"/>
      <c r="UT174" s="16" t="n">
        <v>0</v>
      </c>
      <c r="UU174" s="16" t="n">
        <v>0</v>
      </c>
      <c r="UV174" s="16"/>
      <c r="UW174" s="16"/>
      <c r="UX174" s="16" t="n">
        <v>0</v>
      </c>
      <c r="UY174" s="16" t="n">
        <v>0</v>
      </c>
      <c r="UZ174" s="16" t="n">
        <v>0</v>
      </c>
      <c r="VA174" s="0" t="n">
        <v>0</v>
      </c>
      <c r="VB174" s="0" t="s">
        <v>636</v>
      </c>
      <c r="VC174" s="0" t="n">
        <v>48</v>
      </c>
      <c r="VD174" s="16" t="n">
        <v>66.2</v>
      </c>
      <c r="VE174" s="16" t="n">
        <v>80.4</v>
      </c>
      <c r="VF174" s="16" t="n">
        <v>40.1</v>
      </c>
      <c r="VG174" s="0" t="n">
        <v>62.33</v>
      </c>
      <c r="VH174" s="17" t="n">
        <v>0</v>
      </c>
      <c r="VI174" s="0" t="n">
        <v>37.67</v>
      </c>
      <c r="VJ174" s="0" t="n">
        <v>0</v>
      </c>
      <c r="VK174" s="0" t="n">
        <v>0</v>
      </c>
      <c r="VL174" s="0" t="n">
        <v>0</v>
      </c>
      <c r="VM174" s="0" t="n">
        <v>0</v>
      </c>
      <c r="VN174" s="0" t="n">
        <v>0</v>
      </c>
      <c r="VO174" s="0" t="n">
        <v>0</v>
      </c>
      <c r="VP174" s="0" t="n">
        <v>0</v>
      </c>
      <c r="VQ174" s="0" t="n">
        <v>0</v>
      </c>
      <c r="VR174" s="0" t="n">
        <v>0</v>
      </c>
      <c r="VS174" s="0" t="n">
        <v>6.02</v>
      </c>
      <c r="VT174" s="0" t="n">
        <v>19.5</v>
      </c>
      <c r="VU174" s="0" t="n">
        <v>10.54</v>
      </c>
      <c r="VV174" s="0" t="n">
        <v>0</v>
      </c>
      <c r="VW174" s="0" t="n">
        <v>0</v>
      </c>
      <c r="VX174" s="0" t="n">
        <v>0</v>
      </c>
      <c r="WK174" s="0" t="n">
        <v>4.6</v>
      </c>
      <c r="WL174" s="0" t="n">
        <v>1</v>
      </c>
      <c r="WM174" s="0" t="n">
        <v>68</v>
      </c>
      <c r="WN174" s="0" t="n">
        <v>2</v>
      </c>
      <c r="WO174" s="0" t="n">
        <v>1.5</v>
      </c>
      <c r="WP174" s="0" t="n">
        <v>1</v>
      </c>
      <c r="WQ174" s="0" t="n">
        <v>35</v>
      </c>
      <c r="WR174" s="0" t="n">
        <v>1</v>
      </c>
      <c r="WS174" s="0" t="n">
        <v>0.45</v>
      </c>
      <c r="WT174" s="0" t="n">
        <v>3</v>
      </c>
      <c r="WW174" s="18"/>
      <c r="XO174" s="0" t="n">
        <v>0</v>
      </c>
      <c r="YZ174" s="16" t="n">
        <v>0</v>
      </c>
      <c r="ZA174" s="16" t="n">
        <v>0</v>
      </c>
      <c r="ZB174" s="16"/>
      <c r="ZC174" s="16"/>
      <c r="ZD174" s="16"/>
      <c r="ZE174" s="16"/>
      <c r="ZF174" s="16"/>
      <c r="ZG174" s="16"/>
      <c r="ZH174" s="16"/>
      <c r="ZI174" s="16"/>
      <c r="ZJ174" s="16"/>
      <c r="ZK174" s="16" t="n">
        <v>1.88</v>
      </c>
      <c r="ZL174" s="16" t="n">
        <v>1.88</v>
      </c>
      <c r="ZM174" s="16"/>
      <c r="ZN174" s="16"/>
      <c r="ZO174" s="16" t="n">
        <v>0</v>
      </c>
      <c r="ZP174" s="16" t="n">
        <v>0</v>
      </c>
      <c r="ZQ174" s="16" t="n">
        <v>0</v>
      </c>
      <c r="ZR174" s="0" t="n">
        <v>0</v>
      </c>
      <c r="ZS174" s="0" t="s">
        <v>634</v>
      </c>
      <c r="ZT174" s="0" t="n">
        <v>25</v>
      </c>
      <c r="ZU174" s="16" t="n">
        <v>67</v>
      </c>
      <c r="ZV174" s="16" t="n">
        <v>80.4</v>
      </c>
      <c r="ZW174" s="16" t="n">
        <v>7.6</v>
      </c>
      <c r="ZX174" s="0" t="n">
        <v>97.19</v>
      </c>
      <c r="ZY174" s="17" t="n">
        <v>0</v>
      </c>
      <c r="ZZ174" s="0" t="n">
        <v>0</v>
      </c>
      <c r="AAA174" s="0" t="n">
        <v>0</v>
      </c>
      <c r="AAB174" s="0" t="n">
        <v>2.81</v>
      </c>
      <c r="AAC174" s="0" t="n">
        <v>0</v>
      </c>
      <c r="AAD174" s="0" t="n">
        <v>0</v>
      </c>
      <c r="AAE174" s="0" t="n">
        <v>0</v>
      </c>
      <c r="AAF174" s="0" t="n">
        <v>0</v>
      </c>
      <c r="AAG174" s="0" t="n">
        <v>0</v>
      </c>
      <c r="AAH174" s="0" t="n">
        <v>0</v>
      </c>
      <c r="AAI174" s="0" t="n">
        <v>0</v>
      </c>
      <c r="AAJ174" s="0" t="n">
        <v>4.69</v>
      </c>
      <c r="AAK174" s="0" t="n">
        <v>46.88</v>
      </c>
      <c r="AAL174" s="0" t="n">
        <v>0</v>
      </c>
      <c r="AAM174" s="0" t="n">
        <v>0</v>
      </c>
      <c r="AAN174" s="0" t="n">
        <v>11.6</v>
      </c>
      <c r="AAO174" s="0" t="n">
        <v>2</v>
      </c>
      <c r="AAP174" s="0" t="n">
        <v>5</v>
      </c>
      <c r="AAR174" s="0" t="n">
        <v>1</v>
      </c>
      <c r="AAV174" s="0" t="n">
        <v>5</v>
      </c>
      <c r="AAX174" s="0" t="n">
        <v>1</v>
      </c>
      <c r="ABB174" s="0" t="n">
        <v>0</v>
      </c>
      <c r="ABC174" s="0" t="n">
        <v>1</v>
      </c>
      <c r="ABD174" s="0" t="n">
        <v>34</v>
      </c>
      <c r="ABE174" s="0" t="n">
        <v>4</v>
      </c>
      <c r="ABF174" s="0" t="n">
        <v>2.25</v>
      </c>
      <c r="ABG174" s="0" t="n">
        <v>1</v>
      </c>
      <c r="ABN174" s="18"/>
      <c r="ACF174" s="0" t="n">
        <v>0</v>
      </c>
      <c r="ADQ174" s="16" t="n">
        <v>0.01</v>
      </c>
      <c r="ADR174" s="16" t="n">
        <v>1</v>
      </c>
      <c r="ADS174" s="16" t="n">
        <v>1</v>
      </c>
      <c r="ADT174" s="16"/>
      <c r="ADU174" s="16" t="n">
        <v>0.14</v>
      </c>
      <c r="ADV174" s="16"/>
      <c r="ADW174" s="16"/>
      <c r="ADX174" s="16"/>
      <c r="ADY174" s="16"/>
      <c r="ADZ174" s="16"/>
      <c r="AEA174" s="16"/>
      <c r="AEB174" s="16" t="n">
        <v>5.7</v>
      </c>
      <c r="AEC174" s="16" t="n">
        <v>0</v>
      </c>
      <c r="AED174" s="16"/>
      <c r="AEE174" s="16"/>
      <c r="AEF174" s="16" t="n">
        <v>0</v>
      </c>
      <c r="AEG174" s="16" t="n">
        <v>0</v>
      </c>
      <c r="AEH174" s="16" t="n">
        <v>0</v>
      </c>
      <c r="AEI174" s="0" t="n">
        <v>0</v>
      </c>
      <c r="AEK174" s="15"/>
      <c r="AEL174" s="15"/>
      <c r="AES174" s="15"/>
      <c r="AET174" s="15"/>
      <c r="AFA174" s="15"/>
      <c r="AFB174" s="15"/>
      <c r="AFI174" s="15"/>
      <c r="AFJ174" s="15"/>
      <c r="AFQ174" s="15"/>
      <c r="AFR174" s="15"/>
      <c r="AFY174" s="15"/>
      <c r="AFZ174" s="15"/>
      <c r="AGG174" s="15"/>
      <c r="AGH174" s="15"/>
      <c r="AGO174" s="15"/>
      <c r="AGP174" s="15"/>
      <c r="AGW174" s="15"/>
      <c r="AGX174" s="15"/>
      <c r="AHE174" s="15"/>
      <c r="AHF174" s="15"/>
      <c r="AHM174" s="15"/>
      <c r="AHN174" s="15"/>
      <c r="AHU174" s="15"/>
      <c r="AHV174" s="15"/>
      <c r="AIC174" s="15"/>
      <c r="AID174" s="15"/>
      <c r="AIK174" s="15"/>
      <c r="AIL174" s="15"/>
      <c r="AIS174" s="15"/>
      <c r="AIT174" s="15"/>
      <c r="AJA174" s="15"/>
      <c r="AJB174" s="15"/>
      <c r="AJI174" s="15"/>
      <c r="AJJ174" s="15"/>
      <c r="AJQ174" s="15"/>
      <c r="AJR174" s="15"/>
      <c r="AJY174" s="15"/>
      <c r="AJZ174" s="15"/>
      <c r="AKG174" s="15"/>
      <c r="AKH174" s="15"/>
      <c r="AKO174" s="15"/>
      <c r="AKP174" s="15"/>
      <c r="AKW174" s="15"/>
      <c r="AKX174" s="15"/>
      <c r="ALE174" s="15"/>
      <c r="ALF174" s="15"/>
      <c r="ALM174" s="15"/>
      <c r="ALN174" s="15"/>
      <c r="ALU174" s="15"/>
      <c r="ALV174" s="15"/>
      <c r="AMC174" s="15"/>
      <c r="AMD174" s="15"/>
    </row>
    <row r="175" customFormat="false" ht="14.25" hidden="false" customHeight="true" outlineLevel="0" collapsed="false">
      <c r="A175" s="1" t="s">
        <v>639</v>
      </c>
      <c r="B175" s="12" t="n">
        <v>42902</v>
      </c>
      <c r="C175" s="0" t="n">
        <v>2</v>
      </c>
      <c r="D175" s="13" t="n">
        <v>42811</v>
      </c>
      <c r="E175" s="12" t="n">
        <v>29097</v>
      </c>
      <c r="F175" s="14" t="n">
        <f aca="false">(B175-E175)/365.25</f>
        <v>37.7960301163587</v>
      </c>
      <c r="G175" s="14" t="n">
        <f aca="false">(B175-D175)/365.25</f>
        <v>0.249144421629021</v>
      </c>
      <c r="H175" s="15" t="s">
        <v>181</v>
      </c>
      <c r="I175" s="15" t="s">
        <v>182</v>
      </c>
      <c r="J175" s="15" t="s">
        <v>181</v>
      </c>
      <c r="K175" s="15" t="n">
        <v>8</v>
      </c>
      <c r="L175" s="19" t="n">
        <v>76</v>
      </c>
      <c r="M175" s="0" t="n">
        <v>1.76</v>
      </c>
      <c r="N175" s="16" t="n">
        <f aca="false">L175/(M175*M175)</f>
        <v>24.5351239669421</v>
      </c>
      <c r="O175" s="19" t="n">
        <v>0</v>
      </c>
      <c r="P175" s="19" t="n">
        <v>0</v>
      </c>
      <c r="Q175" s="19" t="n">
        <v>0</v>
      </c>
      <c r="R175" s="19" t="n">
        <v>0</v>
      </c>
      <c r="S175" s="19" t="n">
        <v>0</v>
      </c>
      <c r="T175" s="19" t="n">
        <v>0</v>
      </c>
      <c r="U175" s="19" t="n">
        <v>1</v>
      </c>
      <c r="V175" s="19" t="n">
        <v>4</v>
      </c>
      <c r="W175" s="19" t="n">
        <v>0</v>
      </c>
      <c r="X175" s="19" t="n">
        <v>0</v>
      </c>
      <c r="Y175" s="19" t="n">
        <v>0</v>
      </c>
      <c r="Z175" s="19" t="n">
        <v>0</v>
      </c>
      <c r="AA175" s="19" t="n">
        <v>0</v>
      </c>
      <c r="AB175" s="19" t="n">
        <v>0</v>
      </c>
      <c r="AC175" s="19" t="n">
        <v>1</v>
      </c>
      <c r="AD175" s="19" t="n">
        <v>6</v>
      </c>
      <c r="AE175" s="19"/>
      <c r="AF175" s="19"/>
      <c r="AG175" s="19"/>
      <c r="AH175" s="19"/>
      <c r="AI175" s="19" t="n">
        <v>0</v>
      </c>
      <c r="AJ175" s="19" t="n">
        <v>0</v>
      </c>
      <c r="AK175" s="19" t="n">
        <v>0</v>
      </c>
      <c r="AL175" s="19" t="n">
        <v>0</v>
      </c>
      <c r="AM175" s="19" t="n">
        <v>0</v>
      </c>
      <c r="AN175" s="19" t="n">
        <v>0</v>
      </c>
      <c r="AO175" s="19" t="n">
        <v>0</v>
      </c>
      <c r="AP175" s="19" t="n">
        <v>0</v>
      </c>
      <c r="AQ175" s="19" t="n">
        <v>0</v>
      </c>
      <c r="AR175" s="19" t="n">
        <v>0</v>
      </c>
      <c r="AS175" s="19" t="n">
        <v>0</v>
      </c>
      <c r="AT175" s="19" t="n">
        <v>0</v>
      </c>
      <c r="AU175" s="19" t="n">
        <v>0</v>
      </c>
      <c r="AV175" s="19" t="n">
        <v>0</v>
      </c>
      <c r="AW175" s="19" t="n">
        <v>0</v>
      </c>
      <c r="AX175" s="19" t="n">
        <v>0</v>
      </c>
      <c r="AY175" s="19" t="n">
        <v>0</v>
      </c>
      <c r="AZ175" s="19" t="n">
        <v>0</v>
      </c>
      <c r="BA175" s="19" t="n">
        <v>0</v>
      </c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 t="n">
        <v>1</v>
      </c>
      <c r="BO175" s="19" t="n">
        <v>0</v>
      </c>
      <c r="BP175" s="19" t="n">
        <v>0</v>
      </c>
      <c r="BQ175" s="19" t="n">
        <v>0</v>
      </c>
      <c r="BR175" s="19" t="n">
        <v>2</v>
      </c>
      <c r="BS175" s="19" t="n">
        <v>2</v>
      </c>
      <c r="BT175" s="19" t="n">
        <v>3</v>
      </c>
      <c r="BU175" s="19" t="n">
        <v>5</v>
      </c>
      <c r="BV175" s="19" t="n">
        <v>2</v>
      </c>
      <c r="BW175" s="19" t="n">
        <v>3</v>
      </c>
      <c r="BX175" s="19" t="n">
        <v>2</v>
      </c>
      <c r="BY175" s="19" t="n">
        <v>3</v>
      </c>
      <c r="BZ175" s="19" t="n">
        <v>3</v>
      </c>
      <c r="CA175" s="19" t="n">
        <v>5</v>
      </c>
      <c r="CB175" s="19" t="n">
        <v>4</v>
      </c>
      <c r="CC175" s="19" t="n">
        <v>5</v>
      </c>
      <c r="CD175" s="19" t="n">
        <v>4</v>
      </c>
      <c r="CE175" s="19" t="n">
        <v>4</v>
      </c>
      <c r="CF175" s="19" t="n">
        <v>4</v>
      </c>
      <c r="CG175" s="19" t="n">
        <v>4</v>
      </c>
      <c r="CH175" s="19" t="n">
        <v>4</v>
      </c>
      <c r="CI175" s="19" t="n">
        <v>5</v>
      </c>
      <c r="CJ175" s="19"/>
      <c r="CK175" s="19" t="n">
        <v>8</v>
      </c>
      <c r="CL175" s="0" t="s">
        <v>185</v>
      </c>
      <c r="CM175" s="0" t="n">
        <v>21.5</v>
      </c>
      <c r="CN175" s="16" t="n">
        <v>54.9</v>
      </c>
      <c r="CO175" s="16" t="n">
        <v>80.4</v>
      </c>
      <c r="CP175" s="16" t="n">
        <v>17.9</v>
      </c>
      <c r="CQ175" s="0" t="n">
        <v>90.61</v>
      </c>
      <c r="CR175" s="17" t="n">
        <v>0</v>
      </c>
      <c r="CS175" s="0" t="n">
        <v>0</v>
      </c>
      <c r="CT175" s="0" t="n">
        <v>2.45</v>
      </c>
      <c r="CU175" s="0" t="n">
        <v>6.94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12.16</v>
      </c>
      <c r="DC175" s="0" t="n">
        <v>24.45</v>
      </c>
      <c r="DD175" s="0" t="n">
        <v>4.8</v>
      </c>
      <c r="DE175" s="0" t="n">
        <v>5.11</v>
      </c>
      <c r="DF175" s="0" t="n">
        <v>0</v>
      </c>
      <c r="DG175" s="0" t="n">
        <v>0</v>
      </c>
      <c r="DH175" s="0" t="n">
        <v>0</v>
      </c>
      <c r="DU175" s="0" t="n">
        <v>2.9</v>
      </c>
      <c r="DV175" s="0" t="n">
        <v>1</v>
      </c>
      <c r="DW175" s="0" t="n">
        <v>68</v>
      </c>
      <c r="DX175" s="0" t="n">
        <v>2</v>
      </c>
      <c r="DY175" s="0" t="n">
        <f aca="false">0.38+0.07</f>
        <v>0.45</v>
      </c>
      <c r="DZ175" s="0" t="n">
        <v>1</v>
      </c>
      <c r="EG175" s="18"/>
      <c r="EY175" s="0" t="n">
        <v>1</v>
      </c>
      <c r="EZ175" s="0" t="n">
        <v>40</v>
      </c>
      <c r="FA175" s="0" t="n">
        <v>1</v>
      </c>
      <c r="FB175" s="0" t="n">
        <v>0.06</v>
      </c>
      <c r="FC175" s="0" t="n">
        <v>1</v>
      </c>
      <c r="FD175" s="0" t="n">
        <v>60</v>
      </c>
      <c r="FE175" s="0" t="n">
        <v>1</v>
      </c>
      <c r="FF175" s="0" t="n">
        <v>0.11</v>
      </c>
      <c r="FG175" s="0" t="n">
        <v>1</v>
      </c>
      <c r="FH175" s="0" t="n">
        <v>40</v>
      </c>
      <c r="FI175" s="0" t="n">
        <v>1</v>
      </c>
      <c r="FJ175" s="0" t="n">
        <v>0.58</v>
      </c>
      <c r="FK175" s="0" t="n">
        <v>6</v>
      </c>
      <c r="GJ175" s="16" t="n">
        <v>0</v>
      </c>
      <c r="GK175" s="16" t="n">
        <v>0</v>
      </c>
      <c r="GL175" s="16"/>
      <c r="GM175" s="16"/>
      <c r="GN175" s="16"/>
      <c r="GO175" s="16"/>
      <c r="GP175" s="16"/>
      <c r="GQ175" s="16"/>
      <c r="GR175" s="16"/>
      <c r="GS175" s="16"/>
      <c r="GT175" s="16"/>
      <c r="GU175" s="16" t="n">
        <v>0.67</v>
      </c>
      <c r="GV175" s="16" t="n">
        <v>0.65</v>
      </c>
      <c r="GW175" s="16"/>
      <c r="GX175" s="16"/>
      <c r="GY175" s="16" t="n">
        <v>0</v>
      </c>
      <c r="GZ175" s="16" t="n">
        <v>0</v>
      </c>
      <c r="HA175" s="16" t="n">
        <v>0</v>
      </c>
      <c r="HB175" s="0" t="n">
        <v>0</v>
      </c>
      <c r="HC175" s="0" t="s">
        <v>186</v>
      </c>
      <c r="HD175" s="0" t="n">
        <v>52.5</v>
      </c>
      <c r="HE175" s="16" t="n">
        <v>78.3</v>
      </c>
      <c r="HF175" s="16" t="n">
        <v>80.4</v>
      </c>
      <c r="HG175" s="16" t="n">
        <v>33.2</v>
      </c>
      <c r="HH175" s="0" t="n">
        <v>67.5</v>
      </c>
      <c r="HI175" s="17" t="n">
        <v>0</v>
      </c>
      <c r="HJ175" s="0" t="n">
        <v>21.37</v>
      </c>
      <c r="HK175" s="0" t="n">
        <v>0</v>
      </c>
      <c r="HL175" s="0" t="n">
        <v>3.99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  <c r="HT175" s="0" t="n">
        <v>5.93</v>
      </c>
      <c r="HU175" s="0" t="n">
        <v>42.2</v>
      </c>
      <c r="HV175" s="0" t="n">
        <v>15.97</v>
      </c>
      <c r="HW175" s="0" t="n">
        <v>7.14</v>
      </c>
      <c r="HX175" s="0" t="n">
        <v>0</v>
      </c>
      <c r="HY175" s="0" t="n">
        <v>0</v>
      </c>
      <c r="IL175" s="0" t="n">
        <v>1.7</v>
      </c>
      <c r="IM175" s="0" t="n">
        <v>1</v>
      </c>
      <c r="IN175" s="0" t="n">
        <v>34</v>
      </c>
      <c r="IO175" s="0" t="n">
        <v>5</v>
      </c>
      <c r="IP175" s="0" t="n">
        <v>0.21</v>
      </c>
      <c r="IQ175" s="0" t="n">
        <v>1</v>
      </c>
      <c r="IR175" s="0" t="n">
        <v>68</v>
      </c>
      <c r="IS175" s="0" t="n">
        <v>3</v>
      </c>
      <c r="IT175" s="0" t="n">
        <v>0.3</v>
      </c>
      <c r="IU175" s="0" t="n">
        <v>1</v>
      </c>
      <c r="IV175" s="0" t="n">
        <v>47</v>
      </c>
      <c r="IW175" s="0" t="n">
        <v>4</v>
      </c>
      <c r="IX175" s="18" t="n">
        <v>0.11</v>
      </c>
      <c r="IY175" s="0" t="n">
        <v>1</v>
      </c>
      <c r="IZ175" s="0" t="n">
        <v>35</v>
      </c>
      <c r="JA175" s="0" t="n">
        <v>2</v>
      </c>
      <c r="JB175" s="0" t="n">
        <v>0.1</v>
      </c>
      <c r="JC175" s="0" t="n">
        <v>1</v>
      </c>
      <c r="JP175" s="0" t="n">
        <v>0</v>
      </c>
      <c r="LA175" s="16" t="n">
        <v>1.04</v>
      </c>
      <c r="LB175" s="16" t="n">
        <v>1</v>
      </c>
      <c r="LC175" s="16" t="n">
        <v>1</v>
      </c>
      <c r="LD175" s="16"/>
      <c r="LE175" s="16" t="n">
        <f aca="false">3.74+3.17+0.1</f>
        <v>7.01</v>
      </c>
      <c r="LF175" s="16"/>
      <c r="LG175" s="16"/>
      <c r="LH175" s="16"/>
      <c r="LI175" s="16"/>
      <c r="LJ175" s="16"/>
      <c r="LK175" s="16"/>
      <c r="LL175" s="16" t="n">
        <v>8.9</v>
      </c>
      <c r="LM175" s="16" t="n">
        <v>9.79</v>
      </c>
      <c r="LN175" s="16"/>
      <c r="LO175" s="16"/>
      <c r="LP175" s="16" t="n">
        <v>2.99</v>
      </c>
      <c r="LQ175" s="16" t="n">
        <v>4</v>
      </c>
      <c r="LR175" s="16" t="n">
        <v>3</v>
      </c>
      <c r="LS175" s="0" t="n">
        <v>0</v>
      </c>
      <c r="LT175" s="0" t="s">
        <v>187</v>
      </c>
      <c r="LU175" s="0" t="n">
        <v>53.5</v>
      </c>
      <c r="LV175" s="16" t="n">
        <v>73.5</v>
      </c>
      <c r="LW175" s="16" t="n">
        <v>80.4</v>
      </c>
      <c r="LX175" s="16" t="n">
        <v>26.1</v>
      </c>
      <c r="LY175" s="0" t="n">
        <v>78.89</v>
      </c>
      <c r="LZ175" s="17" t="n">
        <v>0</v>
      </c>
      <c r="MA175" s="0" t="n">
        <v>2.36</v>
      </c>
      <c r="MB175" s="0" t="n">
        <v>0</v>
      </c>
      <c r="MC175" s="0" t="n">
        <v>11.6</v>
      </c>
      <c r="MD175" s="0" t="n">
        <v>0</v>
      </c>
      <c r="ME175" s="0" t="n">
        <v>0</v>
      </c>
      <c r="MF175" s="0" t="n">
        <v>0</v>
      </c>
      <c r="MG175" s="0" t="n">
        <v>0</v>
      </c>
      <c r="MH175" s="0" t="n">
        <v>0</v>
      </c>
      <c r="MI175" s="0" t="n">
        <v>0</v>
      </c>
      <c r="MJ175" s="0" t="n">
        <v>7.86</v>
      </c>
      <c r="MK175" s="0" t="n">
        <v>12.08</v>
      </c>
      <c r="ML175" s="0" t="n">
        <v>18.1</v>
      </c>
      <c r="MM175" s="0" t="n">
        <v>28.51</v>
      </c>
      <c r="MN175" s="0" t="n">
        <v>7.14</v>
      </c>
      <c r="MO175" s="0" t="n">
        <v>0</v>
      </c>
      <c r="MP175" s="0" t="n">
        <v>0</v>
      </c>
      <c r="NC175" s="0" t="n">
        <v>11.6</v>
      </c>
      <c r="ND175" s="0" t="n">
        <v>1</v>
      </c>
      <c r="NE175" s="0" t="n">
        <v>47</v>
      </c>
      <c r="NF175" s="0" t="n">
        <v>4</v>
      </c>
      <c r="NG175" s="0" t="n">
        <f aca="false">1.15+0.34</f>
        <v>1.49</v>
      </c>
      <c r="NH175" s="0" t="n">
        <v>3</v>
      </c>
      <c r="NO175" s="18"/>
      <c r="OG175" s="0" t="n">
        <v>1</v>
      </c>
      <c r="OH175" s="0" t="n">
        <v>50</v>
      </c>
      <c r="OI175" s="0" t="n">
        <v>1</v>
      </c>
      <c r="OJ175" s="0" t="n">
        <v>0.19</v>
      </c>
      <c r="OK175" s="0" t="n">
        <v>3</v>
      </c>
      <c r="PR175" s="16" t="n">
        <v>7.27</v>
      </c>
      <c r="PS175" s="16" t="n">
        <v>1</v>
      </c>
      <c r="PT175" s="16" t="n">
        <v>1</v>
      </c>
      <c r="PU175" s="16"/>
      <c r="PV175" s="16" t="n">
        <f aca="false">2.11*2+0.37*2</f>
        <v>4.96</v>
      </c>
      <c r="PW175" s="16" t="n">
        <v>3</v>
      </c>
      <c r="PX175" s="16"/>
      <c r="PY175" s="16" t="n">
        <f aca="false">1.44+0.72</f>
        <v>2.16</v>
      </c>
      <c r="PZ175" s="16"/>
      <c r="QA175" s="16"/>
      <c r="QB175" s="16"/>
      <c r="QC175" s="16" t="n">
        <v>5.39</v>
      </c>
      <c r="QD175" s="16" t="n">
        <v>8.11</v>
      </c>
      <c r="QE175" s="16"/>
      <c r="QF175" s="16"/>
      <c r="QG175" s="16" t="n">
        <v>0</v>
      </c>
      <c r="QH175" s="16" t="n">
        <v>0</v>
      </c>
      <c r="QI175" s="16" t="n">
        <v>3</v>
      </c>
      <c r="QJ175" s="0" t="n">
        <v>0</v>
      </c>
      <c r="QK175" s="0" t="s">
        <v>188</v>
      </c>
      <c r="QL175" s="0" t="n">
        <v>40</v>
      </c>
      <c r="QM175" s="16" t="n">
        <v>84.1</v>
      </c>
      <c r="QN175" s="16" t="n">
        <v>80.4</v>
      </c>
      <c r="QO175" s="16" t="n">
        <v>35.1</v>
      </c>
      <c r="QP175" s="0" t="n">
        <v>66.11</v>
      </c>
      <c r="QQ175" s="17" t="n">
        <v>0</v>
      </c>
      <c r="QR175" s="0" t="n">
        <v>13.11</v>
      </c>
      <c r="QS175" s="0" t="n">
        <v>6.27</v>
      </c>
      <c r="QT175" s="0" t="n">
        <v>8.02</v>
      </c>
      <c r="QU175" s="0" t="n">
        <v>0</v>
      </c>
      <c r="QV175" s="0" t="n">
        <v>6.47</v>
      </c>
      <c r="QW175" s="0" t="n">
        <v>2.85</v>
      </c>
      <c r="QX175" s="0" t="n">
        <v>3.1</v>
      </c>
      <c r="QY175" s="0" t="n">
        <v>0</v>
      </c>
      <c r="QZ175" s="0" t="n">
        <v>0</v>
      </c>
      <c r="RA175" s="0" t="n">
        <v>10.49</v>
      </c>
      <c r="RB175" s="0" t="n">
        <v>26.72</v>
      </c>
      <c r="RC175" s="0" t="n">
        <v>13.38</v>
      </c>
      <c r="RD175" s="0" t="n">
        <v>10.67</v>
      </c>
      <c r="RE175" s="0" t="n">
        <v>0</v>
      </c>
      <c r="RF175" s="0" t="n">
        <v>0</v>
      </c>
      <c r="RG175" s="0" t="n">
        <v>0</v>
      </c>
      <c r="RT175" s="0" t="n">
        <v>3.9</v>
      </c>
      <c r="RU175" s="0" t="n">
        <v>1</v>
      </c>
      <c r="RV175" s="0" t="n">
        <v>68</v>
      </c>
      <c r="RW175" s="0" t="n">
        <v>4</v>
      </c>
      <c r="RX175" s="0" t="n">
        <f aca="false">1.9+0.34</f>
        <v>2.24</v>
      </c>
      <c r="RY175" s="0" t="n">
        <v>1</v>
      </c>
      <c r="RZ175" s="0" t="n">
        <v>34</v>
      </c>
      <c r="SA175" s="0" t="n">
        <v>8</v>
      </c>
      <c r="SB175" s="0" t="n">
        <v>0.27</v>
      </c>
      <c r="SC175" s="0" t="n">
        <v>1</v>
      </c>
      <c r="SF175" s="18"/>
      <c r="SX175" s="0" t="n">
        <v>1</v>
      </c>
      <c r="SY175" s="0" t="n">
        <v>50</v>
      </c>
      <c r="SZ175" s="0" t="n">
        <v>4</v>
      </c>
      <c r="TA175" s="0" t="n">
        <f aca="false">1.52*2</f>
        <v>3.04</v>
      </c>
      <c r="TB175" s="0" t="n">
        <v>3</v>
      </c>
      <c r="UI175" s="16" t="n">
        <v>0.04</v>
      </c>
      <c r="UJ175" s="16" t="n">
        <v>1</v>
      </c>
      <c r="UK175" s="16" t="n">
        <v>1</v>
      </c>
      <c r="UL175" s="16"/>
      <c r="UM175" s="16" t="n">
        <f aca="false">0.3</f>
        <v>0.3</v>
      </c>
      <c r="UN175" s="16"/>
      <c r="UO175" s="16"/>
      <c r="UP175" s="16"/>
      <c r="UQ175" s="16"/>
      <c r="UR175" s="16"/>
      <c r="US175" s="16"/>
      <c r="UT175" s="16" t="n">
        <v>0.03</v>
      </c>
      <c r="UU175" s="16" t="n">
        <v>0.03</v>
      </c>
      <c r="UV175" s="16"/>
      <c r="UW175" s="16"/>
      <c r="UX175" s="16" t="n">
        <v>0</v>
      </c>
      <c r="UY175" s="16" t="n">
        <v>0</v>
      </c>
      <c r="UZ175" s="16" t="n">
        <v>0</v>
      </c>
      <c r="VA175" s="0" t="n">
        <v>0</v>
      </c>
      <c r="VB175" s="0" t="s">
        <v>189</v>
      </c>
      <c r="VC175" s="0" t="n">
        <v>31</v>
      </c>
      <c r="VD175" s="16" t="n">
        <v>80.2</v>
      </c>
      <c r="VE175" s="16" t="n">
        <v>80.4</v>
      </c>
      <c r="VF175" s="16" t="n">
        <v>6.5</v>
      </c>
      <c r="VG175" s="0" t="n">
        <v>99.3</v>
      </c>
      <c r="VH175" s="17" t="n">
        <v>0</v>
      </c>
      <c r="VI175" s="0" t="n">
        <v>0.7</v>
      </c>
      <c r="VJ175" s="0" t="n">
        <v>0</v>
      </c>
      <c r="VK175" s="0" t="n">
        <v>0</v>
      </c>
      <c r="VL175" s="0" t="n">
        <v>0</v>
      </c>
      <c r="VM175" s="0" t="n">
        <v>0</v>
      </c>
      <c r="VN175" s="0" t="n">
        <v>0</v>
      </c>
      <c r="VO175" s="0" t="n">
        <v>0</v>
      </c>
      <c r="VP175" s="0" t="n">
        <v>0</v>
      </c>
      <c r="VQ175" s="0" t="n">
        <v>0</v>
      </c>
      <c r="VR175" s="0" t="n">
        <v>0</v>
      </c>
      <c r="VS175" s="0" t="n">
        <v>31.92</v>
      </c>
      <c r="VT175" s="0" t="n">
        <v>23.7</v>
      </c>
      <c r="VU175" s="0" t="n">
        <v>1.95</v>
      </c>
      <c r="VV175" s="0" t="n">
        <v>0</v>
      </c>
      <c r="VW175" s="0" t="n">
        <v>18.7</v>
      </c>
      <c r="VX175" s="0" t="n">
        <v>4</v>
      </c>
      <c r="VY175" s="0" t="n">
        <v>49</v>
      </c>
      <c r="WA175" s="0" t="n">
        <v>1</v>
      </c>
      <c r="WE175" s="0" t="n">
        <v>49</v>
      </c>
      <c r="WG175" s="0" t="n">
        <v>1</v>
      </c>
      <c r="WK175" s="0" t="n">
        <v>0</v>
      </c>
      <c r="WL175" s="0" t="n">
        <v>0</v>
      </c>
      <c r="WW175" s="18"/>
      <c r="XO175" s="0" t="n">
        <v>0</v>
      </c>
      <c r="YZ175" s="16" t="n">
        <v>0</v>
      </c>
      <c r="ZA175" s="16" t="n">
        <v>0</v>
      </c>
      <c r="ZB175" s="16"/>
      <c r="ZC175" s="16"/>
      <c r="ZD175" s="16"/>
      <c r="ZE175" s="16"/>
      <c r="ZF175" s="16"/>
      <c r="ZG175" s="16"/>
      <c r="ZH175" s="16"/>
      <c r="ZI175" s="16"/>
      <c r="ZJ175" s="16"/>
      <c r="ZK175" s="16" t="n">
        <v>5.42</v>
      </c>
      <c r="ZL175" s="16" t="n">
        <v>6.61</v>
      </c>
      <c r="ZM175" s="16"/>
      <c r="ZN175" s="16"/>
      <c r="ZO175" s="16" t="n">
        <v>0</v>
      </c>
      <c r="ZP175" s="16" t="n">
        <v>0</v>
      </c>
      <c r="ZQ175" s="16" t="n">
        <v>0</v>
      </c>
      <c r="ZR175" s="0" t="n">
        <v>0</v>
      </c>
      <c r="ZS175" s="0" t="s">
        <v>190</v>
      </c>
      <c r="ZT175" s="0" t="n">
        <v>38.5</v>
      </c>
      <c r="ZU175" s="16" t="n">
        <v>92</v>
      </c>
      <c r="ZV175" s="16" t="n">
        <v>80.4</v>
      </c>
      <c r="ZW175" s="16" t="n">
        <v>11</v>
      </c>
      <c r="ZX175" s="0" t="n">
        <v>95.37</v>
      </c>
      <c r="ZY175" s="17" t="n">
        <v>0</v>
      </c>
      <c r="ZZ175" s="0" t="n">
        <v>4.63</v>
      </c>
      <c r="AAA175" s="0" t="n">
        <v>0</v>
      </c>
      <c r="AAB175" s="0" t="n">
        <v>0</v>
      </c>
      <c r="AAC175" s="0" t="n">
        <v>0</v>
      </c>
      <c r="AAD175" s="0" t="n">
        <v>0</v>
      </c>
      <c r="AAE175" s="0" t="n">
        <v>0</v>
      </c>
      <c r="AAF175" s="0" t="n">
        <v>0</v>
      </c>
      <c r="AAG175" s="0" t="n">
        <v>0</v>
      </c>
      <c r="AAH175" s="0" t="n">
        <v>0</v>
      </c>
      <c r="AAI175" s="0" t="n">
        <v>2.85</v>
      </c>
      <c r="AAJ175" s="0" t="n">
        <v>16.15</v>
      </c>
      <c r="AAK175" s="0" t="n">
        <v>42.55</v>
      </c>
      <c r="AAL175" s="0" t="n">
        <v>4.63</v>
      </c>
      <c r="AAM175" s="0" t="n">
        <v>0</v>
      </c>
      <c r="AAN175" s="0" t="n">
        <v>5.7</v>
      </c>
      <c r="AAO175" s="0" t="n">
        <v>1</v>
      </c>
      <c r="AAP175" s="0" t="n">
        <v>3</v>
      </c>
      <c r="AAR175" s="0" t="n">
        <v>1</v>
      </c>
      <c r="AAV175" s="0" t="n">
        <v>3</v>
      </c>
      <c r="AAX175" s="0" t="n">
        <v>1</v>
      </c>
      <c r="ABB175" s="0" t="n">
        <v>4.8</v>
      </c>
      <c r="ABC175" s="0" t="n">
        <v>0</v>
      </c>
      <c r="ABN175" s="18"/>
      <c r="ACF175" s="0" t="n">
        <v>1</v>
      </c>
      <c r="ACG175" s="0" t="n">
        <v>70</v>
      </c>
      <c r="ACH175" s="0" t="n">
        <v>3</v>
      </c>
      <c r="ACI175" s="0" t="n">
        <f aca="false">14.97+0.86+0.7</f>
        <v>16.53</v>
      </c>
      <c r="ACJ175" s="0" t="n">
        <v>3</v>
      </c>
      <c r="ACK175" s="0" t="n">
        <v>60</v>
      </c>
      <c r="ACL175" s="0" t="n">
        <v>3</v>
      </c>
      <c r="ACM175" s="0" t="n">
        <f aca="false">3.02+0.97+0.6</f>
        <v>4.59</v>
      </c>
      <c r="ACN175" s="0" t="n">
        <v>3</v>
      </c>
      <c r="ADQ175" s="16" t="n">
        <v>2.82</v>
      </c>
      <c r="ADR175" s="16" t="n">
        <v>1</v>
      </c>
      <c r="ADS175" s="16" t="n">
        <v>1</v>
      </c>
      <c r="ADT175" s="16"/>
      <c r="ADU175" s="16" t="n">
        <f aca="false">0.93*2</f>
        <v>1.86</v>
      </c>
      <c r="ADV175" s="16" t="n">
        <v>2</v>
      </c>
      <c r="ADW175" s="16"/>
      <c r="ADX175" s="16" t="n">
        <f aca="false">9.6+1.93</f>
        <v>11.53</v>
      </c>
      <c r="ADY175" s="16"/>
      <c r="ADZ175" s="16"/>
      <c r="AEA175" s="16"/>
      <c r="AEB175" s="16" t="n">
        <v>13.91</v>
      </c>
      <c r="AEC175" s="16" t="n">
        <v>17.31</v>
      </c>
      <c r="AED175" s="16"/>
      <c r="AEE175" s="16"/>
      <c r="AEF175" s="16" t="n">
        <v>0</v>
      </c>
      <c r="AEG175" s="16" t="n">
        <v>0</v>
      </c>
      <c r="AEH175" s="16" t="n">
        <v>0</v>
      </c>
      <c r="AEI175" s="0" t="n">
        <v>0</v>
      </c>
      <c r="AEJ175" s="0" t="s">
        <v>191</v>
      </c>
      <c r="AEK175" s="0" t="n">
        <v>44</v>
      </c>
      <c r="AEL175" s="16" t="n">
        <v>75.8</v>
      </c>
      <c r="AEM175" s="16" t="n">
        <v>80.4</v>
      </c>
      <c r="AEN175" s="16" t="n">
        <v>12.2</v>
      </c>
      <c r="AEO175" s="0" t="n">
        <v>90.24</v>
      </c>
      <c r="AEP175" s="17" t="n">
        <v>0</v>
      </c>
      <c r="AEQ175" s="0" t="n">
        <v>6.27</v>
      </c>
      <c r="AER175" s="0" t="n">
        <v>0</v>
      </c>
      <c r="AES175" s="0" t="n">
        <v>3.49</v>
      </c>
      <c r="AET175" s="0" t="n">
        <v>0</v>
      </c>
      <c r="AEU175" s="0" t="n">
        <v>0</v>
      </c>
      <c r="AEV175" s="0" t="n">
        <v>0</v>
      </c>
      <c r="AEW175" s="0" t="n">
        <v>0</v>
      </c>
      <c r="AEX175" s="0" t="n">
        <v>0</v>
      </c>
      <c r="AEY175" s="0" t="n">
        <v>0</v>
      </c>
      <c r="AEZ175" s="0" t="n">
        <v>0</v>
      </c>
      <c r="AFA175" s="0" t="n">
        <v>24.37</v>
      </c>
      <c r="AFB175" s="0" t="n">
        <v>32.21</v>
      </c>
      <c r="AFC175" s="0" t="n">
        <v>3.56</v>
      </c>
      <c r="AFD175" s="0" t="n">
        <v>0</v>
      </c>
      <c r="AFE175" s="0" t="n">
        <v>0</v>
      </c>
      <c r="AFF175" s="0" t="n">
        <v>0</v>
      </c>
      <c r="AFS175" s="0" t="n">
        <v>20.3</v>
      </c>
      <c r="AFT175" s="0" t="n">
        <v>1</v>
      </c>
      <c r="AFU175" s="0" t="n">
        <v>30</v>
      </c>
      <c r="AFV175" s="0" t="n">
        <v>4</v>
      </c>
      <c r="AFW175" s="0" t="n">
        <v>3.01</v>
      </c>
      <c r="AFX175" s="0" t="n">
        <v>5</v>
      </c>
      <c r="AFY175" s="0" t="n">
        <v>68</v>
      </c>
      <c r="AFZ175" s="0" t="n">
        <v>2</v>
      </c>
      <c r="AGA175" s="0" t="n">
        <v>1.52</v>
      </c>
      <c r="AGB175" s="0" t="n">
        <v>1</v>
      </c>
      <c r="AGC175" s="0" t="n">
        <v>47</v>
      </c>
      <c r="AGD175" s="0" t="n">
        <v>1</v>
      </c>
      <c r="AGE175" s="18" t="n">
        <v>0.07</v>
      </c>
      <c r="AGF175" s="0" t="n">
        <v>3</v>
      </c>
      <c r="AGW175" s="0" t="n">
        <v>0</v>
      </c>
      <c r="AIH175" s="16" t="n">
        <v>1.88</v>
      </c>
      <c r="AII175" s="16" t="n">
        <v>1</v>
      </c>
      <c r="AIJ175" s="16" t="n">
        <v>2</v>
      </c>
      <c r="AIK175" s="16"/>
      <c r="AIL175" s="16" t="n">
        <v>4.18</v>
      </c>
      <c r="AIM175" s="16"/>
      <c r="AIN175" s="16"/>
      <c r="AIO175" s="16"/>
      <c r="AIP175" s="16"/>
      <c r="AIQ175" s="16"/>
      <c r="AIR175" s="16"/>
      <c r="AIS175" s="16" t="n">
        <v>7.15</v>
      </c>
      <c r="AIT175" s="16" t="n">
        <v>6.06</v>
      </c>
      <c r="AIU175" s="16"/>
      <c r="AIV175" s="16"/>
      <c r="AIW175" s="16" t="n">
        <v>0</v>
      </c>
      <c r="AIX175" s="16" t="n">
        <v>0</v>
      </c>
      <c r="AIY175" s="16" t="n">
        <v>0</v>
      </c>
      <c r="AIZ175" s="0" t="n">
        <v>0</v>
      </c>
      <c r="AJA175" s="0" t="s">
        <v>192</v>
      </c>
      <c r="AJB175" s="0" t="n">
        <v>47.5</v>
      </c>
      <c r="AJC175" s="16" t="n">
        <v>79.3</v>
      </c>
      <c r="AJD175" s="16" t="n">
        <v>80.4</v>
      </c>
      <c r="AJE175" s="16" t="n">
        <v>36.3</v>
      </c>
      <c r="AJF175" s="0" t="n">
        <v>66.23</v>
      </c>
      <c r="AJG175" s="17" t="n">
        <v>0</v>
      </c>
      <c r="AJH175" s="0" t="n">
        <v>33.77</v>
      </c>
      <c r="AJI175" s="0" t="n">
        <v>0</v>
      </c>
      <c r="AJJ175" s="0" t="n">
        <v>0</v>
      </c>
      <c r="AJK175" s="0" t="n">
        <v>0</v>
      </c>
      <c r="AJL175" s="0" t="n">
        <v>0</v>
      </c>
      <c r="AJM175" s="0" t="n">
        <v>0</v>
      </c>
      <c r="AJN175" s="0" t="n">
        <v>0</v>
      </c>
      <c r="AJO175" s="0" t="n">
        <v>0</v>
      </c>
      <c r="AJP175" s="0" t="n">
        <v>0</v>
      </c>
      <c r="AJQ175" s="0" t="n">
        <v>0</v>
      </c>
      <c r="AJR175" s="0" t="n">
        <v>38.37</v>
      </c>
      <c r="AJS175" s="0" t="n">
        <v>20.04</v>
      </c>
      <c r="AJT175" s="0" t="n">
        <v>11.21</v>
      </c>
      <c r="AJU175" s="0" t="n">
        <v>0</v>
      </c>
      <c r="AJV175" s="0" t="n">
        <v>0</v>
      </c>
      <c r="AJW175" s="0" t="n">
        <v>0</v>
      </c>
      <c r="AKJ175" s="0" t="n">
        <v>6.9</v>
      </c>
      <c r="AKK175" s="0" t="n">
        <v>1</v>
      </c>
      <c r="AKL175" s="0" t="n">
        <v>47</v>
      </c>
      <c r="AKM175" s="0" t="n">
        <v>3</v>
      </c>
      <c r="AKN175" s="0" t="n">
        <f aca="false">0.11+0.74+0.08</f>
        <v>0.93</v>
      </c>
      <c r="AKO175" s="0" t="n">
        <v>3</v>
      </c>
      <c r="AKP175" s="0" t="n">
        <v>68</v>
      </c>
      <c r="AKQ175" s="0" t="n">
        <v>1</v>
      </c>
      <c r="AKR175" s="0" t="n">
        <v>0.76</v>
      </c>
      <c r="AKS175" s="0" t="n">
        <v>1</v>
      </c>
      <c r="AKV175" s="18"/>
      <c r="ALN175" s="0" t="n">
        <v>0</v>
      </c>
    </row>
    <row r="176" s="24" customFormat="true" ht="13.8" hidden="false" customHeight="false" outlineLevel="0" collapsed="false">
      <c r="A176" s="22" t="s">
        <v>640</v>
      </c>
      <c r="B176" s="23" t="n">
        <v>42907</v>
      </c>
      <c r="C176" s="24" t="n">
        <v>2</v>
      </c>
      <c r="D176" s="25" t="n">
        <v>35559</v>
      </c>
      <c r="E176" s="23" t="n">
        <v>25513</v>
      </c>
      <c r="F176" s="14" t="n">
        <f aca="false">(B176-E176)/365.25</f>
        <v>47.6221765913758</v>
      </c>
      <c r="G176" s="14" t="n">
        <f aca="false">(B176-D176)/365.25</f>
        <v>20.1177275838467</v>
      </c>
      <c r="H176" s="21" t="s">
        <v>641</v>
      </c>
      <c r="I176" s="21" t="s">
        <v>642</v>
      </c>
      <c r="J176" s="21" t="s">
        <v>181</v>
      </c>
      <c r="K176" s="21" t="n">
        <v>8</v>
      </c>
      <c r="L176" s="26" t="n">
        <v>73</v>
      </c>
      <c r="M176" s="24" t="n">
        <v>1.74</v>
      </c>
      <c r="N176" s="27" t="n">
        <f aca="false">L176/(M176*M176)</f>
        <v>24.1115074646585</v>
      </c>
      <c r="O176" s="26" t="n">
        <v>0</v>
      </c>
      <c r="P176" s="26" t="n">
        <v>0</v>
      </c>
      <c r="Q176" s="26" t="n">
        <v>0</v>
      </c>
      <c r="R176" s="26" t="n">
        <v>0</v>
      </c>
      <c r="S176" s="26" t="n">
        <v>0</v>
      </c>
      <c r="T176" s="26" t="n">
        <v>0</v>
      </c>
      <c r="U176" s="26" t="n">
        <v>1</v>
      </c>
      <c r="V176" s="26" t="n">
        <v>3</v>
      </c>
      <c r="W176" s="26" t="n">
        <v>1</v>
      </c>
      <c r="X176" s="26" t="n">
        <v>0</v>
      </c>
      <c r="Y176" s="19" t="n">
        <v>0</v>
      </c>
      <c r="Z176" s="19" t="n">
        <v>0</v>
      </c>
      <c r="AA176" s="19" t="n">
        <v>0</v>
      </c>
      <c r="AB176" s="19" t="n">
        <v>0</v>
      </c>
      <c r="AC176" s="26" t="n">
        <v>1</v>
      </c>
      <c r="AD176" s="26" t="n">
        <v>15</v>
      </c>
      <c r="AE176" s="26" t="n">
        <v>1</v>
      </c>
      <c r="AF176" s="26" t="n">
        <v>0</v>
      </c>
      <c r="AG176" s="26" t="n">
        <v>1</v>
      </c>
      <c r="AH176" s="26" t="n">
        <v>4</v>
      </c>
      <c r="AI176" s="26" t="n">
        <v>3</v>
      </c>
      <c r="AJ176" s="26" t="n">
        <v>3</v>
      </c>
      <c r="AK176" s="26" t="n">
        <v>0</v>
      </c>
      <c r="AL176" s="26" t="n">
        <v>0</v>
      </c>
      <c r="AM176" s="26" t="n">
        <v>0</v>
      </c>
      <c r="AN176" s="26" t="n">
        <v>1</v>
      </c>
      <c r="AO176" s="26" t="n">
        <v>0</v>
      </c>
      <c r="AP176" s="26" t="n">
        <v>0</v>
      </c>
      <c r="AQ176" s="26" t="n">
        <v>0</v>
      </c>
      <c r="AR176" s="26" t="n">
        <v>0</v>
      </c>
      <c r="AS176" s="26" t="n">
        <v>1</v>
      </c>
      <c r="AT176" s="26" t="n">
        <v>1</v>
      </c>
      <c r="AU176" s="26" t="n">
        <v>1</v>
      </c>
      <c r="AV176" s="26" t="n">
        <v>3</v>
      </c>
      <c r="AW176" s="26" t="n">
        <v>0</v>
      </c>
      <c r="AX176" s="26" t="n">
        <v>0</v>
      </c>
      <c r="AY176" s="26" t="n">
        <v>0</v>
      </c>
      <c r="AZ176" s="26" t="n">
        <v>0</v>
      </c>
      <c r="BA176" s="26" t="n">
        <v>0</v>
      </c>
      <c r="BB176" s="26" t="n">
        <v>1</v>
      </c>
      <c r="BC176" s="26" t="n">
        <v>1</v>
      </c>
      <c r="BD176" s="26" t="n">
        <v>1</v>
      </c>
      <c r="BE176" s="26" t="n">
        <v>5</v>
      </c>
      <c r="BF176" s="26" t="n">
        <v>1</v>
      </c>
      <c r="BG176" s="26" t="n">
        <v>0</v>
      </c>
      <c r="BH176" s="26" t="n">
        <v>1</v>
      </c>
      <c r="BI176" s="26" t="n">
        <v>2</v>
      </c>
      <c r="BJ176" s="26" t="n">
        <v>1</v>
      </c>
      <c r="BK176" s="26" t="n">
        <v>0</v>
      </c>
      <c r="BL176" s="26" t="n">
        <v>1</v>
      </c>
      <c r="BM176" s="26" t="n">
        <v>5</v>
      </c>
      <c r="BN176" s="26" t="n">
        <v>0</v>
      </c>
      <c r="BO176" s="26" t="n">
        <v>0</v>
      </c>
      <c r="BP176" s="26" t="n">
        <v>0</v>
      </c>
      <c r="BQ176" s="26" t="n">
        <v>0</v>
      </c>
      <c r="BR176" s="26" t="n">
        <v>3</v>
      </c>
      <c r="BS176" s="26" t="n">
        <v>1</v>
      </c>
      <c r="BT176" s="26" t="n">
        <v>3</v>
      </c>
      <c r="BU176" s="26" t="n">
        <v>5</v>
      </c>
      <c r="BV176" s="26" t="n">
        <v>3</v>
      </c>
      <c r="BW176" s="26" t="n">
        <v>3</v>
      </c>
      <c r="BX176" s="26" t="n">
        <v>5</v>
      </c>
      <c r="BY176" s="26" t="n">
        <v>5</v>
      </c>
      <c r="BZ176" s="26" t="n">
        <v>4</v>
      </c>
      <c r="CA176" s="26" t="n">
        <v>3</v>
      </c>
      <c r="CB176" s="26" t="n">
        <v>4</v>
      </c>
      <c r="CC176" s="26" t="n">
        <v>5</v>
      </c>
      <c r="CD176" s="26" t="n">
        <v>3</v>
      </c>
      <c r="CE176" s="26" t="n">
        <v>3</v>
      </c>
      <c r="CF176" s="26" t="n">
        <v>4</v>
      </c>
      <c r="CG176" s="26" t="n">
        <v>4</v>
      </c>
      <c r="CH176" s="26" t="n">
        <v>4</v>
      </c>
      <c r="CI176" s="26" t="n">
        <v>4</v>
      </c>
      <c r="CJ176" s="26" t="n">
        <v>4</v>
      </c>
      <c r="CK176" s="26" t="n">
        <v>10</v>
      </c>
      <c r="CL176" s="24" t="s">
        <v>643</v>
      </c>
      <c r="CM176" s="24" t="n">
        <v>12.5</v>
      </c>
      <c r="CN176" s="27" t="n">
        <v>83.2</v>
      </c>
      <c r="CO176" s="27" t="n">
        <v>79.94</v>
      </c>
      <c r="CP176" s="27" t="n">
        <v>9.1</v>
      </c>
      <c r="CQ176" s="24" t="n">
        <v>37.83</v>
      </c>
      <c r="CR176" s="24" t="n">
        <v>0</v>
      </c>
      <c r="CS176" s="24" t="n">
        <v>0</v>
      </c>
      <c r="CT176" s="24" t="n">
        <v>0</v>
      </c>
      <c r="CU176" s="24" t="n">
        <v>0</v>
      </c>
      <c r="CV176" s="24" t="n">
        <v>0</v>
      </c>
      <c r="CW176" s="24" t="n">
        <v>62.17</v>
      </c>
      <c r="CX176" s="24" t="n">
        <v>0</v>
      </c>
      <c r="CY176" s="24" t="n">
        <v>0</v>
      </c>
      <c r="CZ176" s="24" t="n">
        <v>0</v>
      </c>
      <c r="DA176" s="24" t="n">
        <v>0</v>
      </c>
      <c r="DB176" s="24" t="n">
        <v>2.25</v>
      </c>
      <c r="DC176" s="24" t="n">
        <v>6.87</v>
      </c>
      <c r="DD176" s="24" t="n">
        <v>22.2</v>
      </c>
      <c r="DE176" s="24" t="n">
        <v>0</v>
      </c>
      <c r="DF176" s="24" t="n">
        <v>0</v>
      </c>
      <c r="DG176" s="24" t="n">
        <v>0</v>
      </c>
      <c r="DH176" s="24" t="n">
        <v>0</v>
      </c>
      <c r="DU176" s="24" t="n">
        <v>0</v>
      </c>
      <c r="DV176" s="24" t="n">
        <v>0</v>
      </c>
      <c r="EG176" s="28"/>
      <c r="EY176" s="24" t="n">
        <v>0</v>
      </c>
      <c r="GJ176" s="27" t="n">
        <v>0</v>
      </c>
      <c r="GK176" s="27" t="n">
        <v>0</v>
      </c>
      <c r="GL176" s="27"/>
      <c r="GM176" s="27"/>
      <c r="GN176" s="27"/>
      <c r="GO176" s="27"/>
      <c r="GP176" s="27"/>
      <c r="GQ176" s="27"/>
      <c r="GR176" s="27"/>
      <c r="GS176" s="27"/>
      <c r="GT176" s="27"/>
      <c r="GU176" s="27" t="n">
        <v>0</v>
      </c>
      <c r="GV176" s="27" t="n">
        <v>0</v>
      </c>
      <c r="GW176" s="27"/>
      <c r="GX176" s="27"/>
      <c r="GY176" s="27" t="n">
        <v>3</v>
      </c>
      <c r="GZ176" s="27" t="n">
        <v>0</v>
      </c>
      <c r="HA176" s="27" t="n">
        <v>0</v>
      </c>
      <c r="HB176" s="24" t="n">
        <v>4</v>
      </c>
      <c r="HC176" s="24" t="s">
        <v>644</v>
      </c>
      <c r="HD176" s="24" t="n">
        <v>40.5</v>
      </c>
      <c r="HE176" s="27" t="n">
        <v>84.4</v>
      </c>
      <c r="HF176" s="27" t="n">
        <v>79.94</v>
      </c>
      <c r="HG176" s="27" t="n">
        <v>22.4</v>
      </c>
      <c r="HH176" s="24" t="n">
        <v>72.62</v>
      </c>
      <c r="HI176" s="24" t="n">
        <v>10.21</v>
      </c>
      <c r="HJ176" s="24" t="n">
        <v>7.43</v>
      </c>
      <c r="HK176" s="24" t="n">
        <v>8.33</v>
      </c>
      <c r="HL176" s="24" t="n">
        <v>0</v>
      </c>
      <c r="HM176" s="24" t="n">
        <v>0</v>
      </c>
      <c r="HN176" s="24" t="n">
        <v>0</v>
      </c>
      <c r="HO176" s="24" t="n">
        <v>0</v>
      </c>
      <c r="HP176" s="24" t="n">
        <v>0</v>
      </c>
      <c r="HQ176" s="24" t="n">
        <v>0</v>
      </c>
      <c r="HR176" s="24" t="n">
        <v>0</v>
      </c>
      <c r="HS176" s="24" t="n">
        <v>0</v>
      </c>
      <c r="HT176" s="24" t="n">
        <v>4.56</v>
      </c>
      <c r="HU176" s="24" t="n">
        <v>4.56</v>
      </c>
      <c r="HV176" s="24" t="n">
        <v>0</v>
      </c>
      <c r="HW176" s="24" t="n">
        <v>0</v>
      </c>
      <c r="HX176" s="24" t="n">
        <v>0</v>
      </c>
      <c r="HY176" s="24" t="n">
        <v>0</v>
      </c>
      <c r="IL176" s="24" t="n">
        <v>9.6</v>
      </c>
      <c r="IM176" s="24" t="n">
        <v>0</v>
      </c>
      <c r="IX176" s="28"/>
      <c r="JP176" s="24" t="n">
        <v>1</v>
      </c>
      <c r="JQ176" s="24" t="n">
        <v>90</v>
      </c>
      <c r="JR176" s="24" t="n">
        <v>2</v>
      </c>
      <c r="JS176" s="24" t="n">
        <f aca="false">0.03+0.19</f>
        <v>0.22</v>
      </c>
      <c r="JT176" s="24" t="n">
        <v>6</v>
      </c>
      <c r="JU176" s="24" t="n">
        <v>90</v>
      </c>
      <c r="JV176" s="24" t="n">
        <v>2</v>
      </c>
      <c r="JW176" s="24" t="n">
        <v>0.22</v>
      </c>
      <c r="JX176" s="24" t="n">
        <v>5</v>
      </c>
      <c r="LA176" s="27" t="n">
        <v>2.63</v>
      </c>
      <c r="LB176" s="27" t="n">
        <v>1</v>
      </c>
      <c r="LC176" s="27" t="n">
        <v>2</v>
      </c>
      <c r="LD176" s="27"/>
      <c r="LE176" s="27" t="n">
        <f aca="false">0.03+0.1+0.29*2</f>
        <v>0.71</v>
      </c>
      <c r="LF176" s="27" t="n">
        <v>3</v>
      </c>
      <c r="LG176" s="27"/>
      <c r="LH176" s="27" t="n">
        <f aca="false">0.03+0.19</f>
        <v>0.22</v>
      </c>
      <c r="LI176" s="27"/>
      <c r="LJ176" s="27"/>
      <c r="LK176" s="27"/>
      <c r="LL176" s="27" t="n">
        <v>5.46</v>
      </c>
      <c r="LM176" s="27" t="n">
        <v>6.88</v>
      </c>
      <c r="LN176" s="27"/>
      <c r="LO176" s="27"/>
      <c r="LP176" s="27" t="n">
        <v>0</v>
      </c>
      <c r="LQ176" s="27" t="n">
        <v>0</v>
      </c>
      <c r="LR176" s="27" t="n">
        <v>0</v>
      </c>
      <c r="LS176" s="24" t="n">
        <v>0</v>
      </c>
      <c r="LT176" s="24" t="s">
        <v>645</v>
      </c>
      <c r="LU176" s="24" t="n">
        <v>14</v>
      </c>
      <c r="LV176" s="27" t="n">
        <v>77.3</v>
      </c>
      <c r="LW176" s="27" t="n">
        <v>79.94</v>
      </c>
      <c r="LX176" s="27" t="n">
        <v>11</v>
      </c>
      <c r="LY176" s="24" t="n">
        <v>77.44</v>
      </c>
      <c r="LZ176" s="24" t="n">
        <v>0</v>
      </c>
      <c r="MA176" s="24" t="n">
        <v>0</v>
      </c>
      <c r="MB176" s="24" t="n">
        <v>1.26</v>
      </c>
      <c r="MC176" s="24" t="n">
        <v>9.86</v>
      </c>
      <c r="MD176" s="24" t="n">
        <v>0</v>
      </c>
      <c r="ME176" s="24" t="n">
        <v>11.44</v>
      </c>
      <c r="MF176" s="24" t="n">
        <v>0</v>
      </c>
      <c r="MG176" s="24" t="n">
        <v>0</v>
      </c>
      <c r="MH176" s="24" t="n">
        <v>0</v>
      </c>
      <c r="MI176" s="24" t="n">
        <v>0</v>
      </c>
      <c r="MJ176" s="24" t="n">
        <v>1.01</v>
      </c>
      <c r="MK176" s="24" t="n">
        <v>31.64</v>
      </c>
      <c r="ML176" s="24" t="n">
        <v>4.93</v>
      </c>
      <c r="MM176" s="24" t="n">
        <v>0</v>
      </c>
      <c r="MN176" s="24" t="n">
        <v>0</v>
      </c>
      <c r="MO176" s="24" t="n">
        <v>0</v>
      </c>
      <c r="MP176" s="24" t="n">
        <v>0</v>
      </c>
      <c r="NC176" s="24" t="n">
        <v>0.9</v>
      </c>
      <c r="ND176" s="24" t="n">
        <v>1</v>
      </c>
      <c r="NE176" s="24" t="n">
        <v>52</v>
      </c>
      <c r="NF176" s="24" t="n">
        <v>2</v>
      </c>
      <c r="NG176" s="24" t="n">
        <f aca="false">0.38+0.05</f>
        <v>0.43</v>
      </c>
      <c r="NH176" s="24" t="n">
        <v>2</v>
      </c>
      <c r="NO176" s="28"/>
      <c r="OG176" s="24" t="n">
        <v>1</v>
      </c>
      <c r="OH176" s="24" t="n">
        <v>120</v>
      </c>
      <c r="OI176" s="24" t="n">
        <v>1</v>
      </c>
      <c r="OJ176" s="24" t="n">
        <v>0.06</v>
      </c>
      <c r="OK176" s="24" t="n">
        <v>2</v>
      </c>
      <c r="PR176" s="27" t="n">
        <v>0.52</v>
      </c>
      <c r="PS176" s="27" t="n">
        <v>1</v>
      </c>
      <c r="PT176" s="27" t="n">
        <v>1</v>
      </c>
      <c r="PU176" s="27"/>
      <c r="PV176" s="27" t="n">
        <f aca="false">0.01+0.01+0.04+0.04</f>
        <v>0.1</v>
      </c>
      <c r="PW176" s="27" t="n">
        <v>2</v>
      </c>
      <c r="PX176" s="27"/>
      <c r="PY176" s="27" t="n">
        <f aca="false">0.06+0.04+0.02+0.03+0.03</f>
        <v>0.18</v>
      </c>
      <c r="PZ176" s="27"/>
      <c r="QA176" s="27"/>
      <c r="QB176" s="27"/>
      <c r="QC176" s="27" t="n">
        <v>0</v>
      </c>
      <c r="QD176" s="27" t="n">
        <v>0</v>
      </c>
      <c r="QE176" s="27"/>
      <c r="QF176" s="27"/>
      <c r="QG176" s="27" t="n">
        <v>1.5</v>
      </c>
      <c r="QH176" s="27" t="n">
        <v>0</v>
      </c>
      <c r="QI176" s="27" t="n">
        <v>0</v>
      </c>
      <c r="QJ176" s="24" t="n">
        <v>2</v>
      </c>
      <c r="QK176" s="24" t="s">
        <v>646</v>
      </c>
      <c r="QL176" s="24" t="n">
        <v>6.5</v>
      </c>
      <c r="QM176" s="27" t="n">
        <v>88.7</v>
      </c>
      <c r="QN176" s="27" t="n">
        <v>79.94</v>
      </c>
      <c r="QO176" s="27" t="n">
        <v>5</v>
      </c>
      <c r="QP176" s="24" t="n">
        <v>11.42</v>
      </c>
      <c r="QQ176" s="24" t="n">
        <v>0</v>
      </c>
      <c r="QR176" s="24" t="n">
        <v>0</v>
      </c>
      <c r="QS176" s="24" t="n">
        <v>0</v>
      </c>
      <c r="QT176" s="24" t="n">
        <v>0.73</v>
      </c>
      <c r="QU176" s="24" t="n">
        <v>0</v>
      </c>
      <c r="QV176" s="24" t="n">
        <v>87.85</v>
      </c>
      <c r="QW176" s="24" t="n">
        <v>0</v>
      </c>
      <c r="QX176" s="24" t="n">
        <v>0</v>
      </c>
      <c r="QY176" s="24" t="n">
        <v>0</v>
      </c>
      <c r="QZ176" s="24" t="n">
        <v>0</v>
      </c>
      <c r="RA176" s="24" t="n">
        <v>0.75</v>
      </c>
      <c r="RB176" s="24" t="n">
        <v>55.82</v>
      </c>
      <c r="RC176" s="24" t="n">
        <v>1.79</v>
      </c>
      <c r="RD176" s="24" t="n">
        <v>0</v>
      </c>
      <c r="RE176" s="24" t="n">
        <v>0</v>
      </c>
      <c r="RF176" s="24" t="n">
        <v>0</v>
      </c>
      <c r="RG176" s="24" t="n">
        <v>0</v>
      </c>
      <c r="RT176" s="24" t="n">
        <v>0</v>
      </c>
      <c r="RU176" s="24" t="n">
        <v>1</v>
      </c>
      <c r="RV176" s="24" t="n">
        <v>34</v>
      </c>
      <c r="RW176" s="24" t="n">
        <v>10</v>
      </c>
      <c r="RX176" s="24" t="n">
        <f aca="false">0.01+0.19+0.01+0.04+0.06+0.34+0.08+1.06+0.08+0.23</f>
        <v>2.1</v>
      </c>
      <c r="RY176" s="24" t="n">
        <v>1</v>
      </c>
      <c r="SF176" s="28"/>
      <c r="SX176" s="24" t="n">
        <v>1</v>
      </c>
      <c r="SY176" s="24" t="n">
        <v>30</v>
      </c>
      <c r="SZ176" s="24" t="n">
        <v>4</v>
      </c>
      <c r="TA176" s="24" t="n">
        <f aca="false">0.17*2+0.96*2</f>
        <v>2.26</v>
      </c>
      <c r="TB176" s="24" t="n">
        <v>3</v>
      </c>
      <c r="UI176" s="27" t="n">
        <v>0</v>
      </c>
      <c r="UJ176" s="27" t="n">
        <v>0</v>
      </c>
      <c r="UK176" s="27"/>
      <c r="UL176" s="27"/>
      <c r="UM176" s="27"/>
      <c r="UN176" s="27"/>
      <c r="UO176" s="27"/>
      <c r="UP176" s="27"/>
      <c r="UQ176" s="27"/>
      <c r="UR176" s="27"/>
      <c r="US176" s="27"/>
      <c r="UT176" s="27" t="n">
        <v>0</v>
      </c>
      <c r="UU176" s="27" t="n">
        <v>0</v>
      </c>
      <c r="UV176" s="27"/>
      <c r="UW176" s="27"/>
      <c r="UX176" s="27" t="n">
        <v>1.2</v>
      </c>
      <c r="UY176" s="27" t="n">
        <v>0</v>
      </c>
      <c r="UZ176" s="27" t="n">
        <v>0</v>
      </c>
      <c r="VA176" s="24" t="n">
        <v>6</v>
      </c>
      <c r="VB176" s="24" t="s">
        <v>647</v>
      </c>
      <c r="VC176" s="24" t="n">
        <v>8.5</v>
      </c>
      <c r="VD176" s="27" t="n">
        <v>78.5</v>
      </c>
      <c r="VE176" s="27" t="n">
        <v>79.94</v>
      </c>
      <c r="VF176" s="27" t="n">
        <v>6.5</v>
      </c>
      <c r="VG176" s="24" t="n">
        <v>75.01</v>
      </c>
      <c r="VH176" s="24" t="n">
        <v>0</v>
      </c>
      <c r="VI176" s="24" t="n">
        <v>0</v>
      </c>
      <c r="VJ176" s="24" t="n">
        <v>0.99</v>
      </c>
      <c r="VK176" s="24" t="n">
        <v>1.23</v>
      </c>
      <c r="VL176" s="24" t="n">
        <v>0.75</v>
      </c>
      <c r="VM176" s="24" t="n">
        <v>22.03</v>
      </c>
      <c r="VN176" s="24" t="n">
        <v>0</v>
      </c>
      <c r="VO176" s="24" t="n">
        <v>0</v>
      </c>
      <c r="VP176" s="24" t="n">
        <v>0.71</v>
      </c>
      <c r="VQ176" s="24" t="n">
        <v>0</v>
      </c>
      <c r="VR176" s="24" t="n">
        <v>1.15</v>
      </c>
      <c r="VS176" s="24" t="n">
        <v>23.76</v>
      </c>
      <c r="VT176" s="24" t="n">
        <v>0.88</v>
      </c>
      <c r="VU176" s="24" t="n">
        <v>0</v>
      </c>
      <c r="VV176" s="24" t="n">
        <v>0</v>
      </c>
      <c r="VW176" s="24" t="n">
        <v>0</v>
      </c>
      <c r="VX176" s="24" t="n">
        <v>0</v>
      </c>
      <c r="WK176" s="24" t="n">
        <v>0.6</v>
      </c>
      <c r="WL176" s="24" t="n">
        <v>1</v>
      </c>
      <c r="WM176" s="24" t="n">
        <v>52</v>
      </c>
      <c r="WN176" s="24" t="n">
        <v>2</v>
      </c>
      <c r="WO176" s="24" t="n">
        <f aca="false">0.06+0.34</f>
        <v>0.4</v>
      </c>
      <c r="WP176" s="24" t="n">
        <v>2</v>
      </c>
      <c r="WW176" s="28"/>
      <c r="XO176" s="24" t="n">
        <v>0</v>
      </c>
      <c r="YZ176" s="27" t="n">
        <v>0</v>
      </c>
      <c r="ZA176" s="27" t="n">
        <v>0</v>
      </c>
      <c r="ZB176" s="27"/>
      <c r="ZC176" s="27"/>
      <c r="ZD176" s="27"/>
      <c r="ZE176" s="27"/>
      <c r="ZF176" s="27"/>
      <c r="ZG176" s="27"/>
      <c r="ZH176" s="27"/>
      <c r="ZI176" s="27"/>
      <c r="ZJ176" s="27"/>
      <c r="ZK176" s="27" t="n">
        <v>0</v>
      </c>
      <c r="ZL176" s="27" t="n">
        <v>0</v>
      </c>
      <c r="ZM176" s="27"/>
      <c r="ZN176" s="27"/>
      <c r="ZO176" s="27" t="n">
        <v>1.2</v>
      </c>
      <c r="ZP176" s="27" t="n">
        <v>0</v>
      </c>
      <c r="ZQ176" s="27" t="n">
        <v>0</v>
      </c>
      <c r="ZR176" s="24" t="n">
        <v>4</v>
      </c>
      <c r="ZS176" s="24" t="s">
        <v>648</v>
      </c>
      <c r="ZT176" s="24" t="n">
        <v>14</v>
      </c>
      <c r="ZU176" s="27" t="n">
        <v>102.9</v>
      </c>
      <c r="ZV176" s="27" t="n">
        <v>79.94</v>
      </c>
      <c r="ZW176" s="27" t="n">
        <v>10.6</v>
      </c>
      <c r="ZX176" s="24" t="n">
        <v>87.31</v>
      </c>
      <c r="ZY176" s="24" t="n">
        <v>0</v>
      </c>
      <c r="ZZ176" s="24" t="n">
        <v>0</v>
      </c>
      <c r="AAA176" s="24" t="n">
        <v>0</v>
      </c>
      <c r="AAB176" s="24" t="n">
        <v>8.4</v>
      </c>
      <c r="AAC176" s="24" t="n">
        <v>0</v>
      </c>
      <c r="AAD176" s="24" t="n">
        <v>4.29</v>
      </c>
      <c r="AAE176" s="24" t="n">
        <v>0</v>
      </c>
      <c r="AAF176" s="24" t="n">
        <v>0</v>
      </c>
      <c r="AAG176" s="24" t="n">
        <v>0</v>
      </c>
      <c r="AAH176" s="24" t="n">
        <v>0</v>
      </c>
      <c r="AAI176" s="24" t="n">
        <v>2.58</v>
      </c>
      <c r="AAJ176" s="24" t="n">
        <v>9.74</v>
      </c>
      <c r="AAK176" s="24" t="n">
        <v>6.56</v>
      </c>
      <c r="AAL176" s="24" t="n">
        <v>0</v>
      </c>
      <c r="AAM176" s="24" t="n">
        <v>0</v>
      </c>
      <c r="AAN176" s="24" t="n">
        <v>0</v>
      </c>
      <c r="AAO176" s="24" t="n">
        <v>0</v>
      </c>
      <c r="ABB176" s="24" t="n">
        <v>0</v>
      </c>
      <c r="ABC176" s="24" t="n">
        <v>0</v>
      </c>
      <c r="ABN176" s="28"/>
      <c r="ACF176" s="24" t="n">
        <v>0</v>
      </c>
      <c r="ADQ176" s="27" t="n">
        <v>3</v>
      </c>
      <c r="ADR176" s="27" t="n">
        <v>0</v>
      </c>
      <c r="ADS176" s="27"/>
      <c r="ADT176" s="27"/>
      <c r="ADU176" s="27"/>
      <c r="ADV176" s="27"/>
      <c r="ADW176" s="27"/>
      <c r="ADX176" s="27"/>
      <c r="ADY176" s="27"/>
      <c r="ADZ176" s="27"/>
      <c r="AEA176" s="27"/>
      <c r="AEB176" s="27" t="n">
        <v>0</v>
      </c>
      <c r="AEC176" s="27" t="n">
        <v>0</v>
      </c>
      <c r="AED176" s="27"/>
      <c r="AEE176" s="27"/>
      <c r="AEF176" s="27" t="n">
        <v>0</v>
      </c>
      <c r="AEG176" s="27" t="n">
        <v>0</v>
      </c>
      <c r="AEH176" s="27" t="n">
        <v>0</v>
      </c>
      <c r="AEI176" s="24" t="n">
        <v>1</v>
      </c>
      <c r="AEJ176" s="33"/>
      <c r="AEK176" s="21"/>
      <c r="AEL176" s="21"/>
      <c r="AEN176" s="33"/>
      <c r="AEO176" s="33"/>
      <c r="AER176" s="33"/>
      <c r="AES176" s="21"/>
      <c r="AET176" s="21"/>
      <c r="AEV176" s="33"/>
      <c r="AEW176" s="33"/>
      <c r="AEZ176" s="33"/>
      <c r="AFA176" s="21"/>
      <c r="AFB176" s="21"/>
      <c r="AFD176" s="33"/>
      <c r="AFE176" s="33"/>
      <c r="AFH176" s="33"/>
      <c r="AFI176" s="21"/>
      <c r="AFJ176" s="21"/>
      <c r="AFL176" s="33"/>
      <c r="AFM176" s="33"/>
      <c r="AFP176" s="33"/>
      <c r="AFQ176" s="21"/>
      <c r="AFR176" s="21"/>
      <c r="AFT176" s="33"/>
      <c r="AFU176" s="33"/>
      <c r="AFX176" s="33"/>
      <c r="AFY176" s="21"/>
      <c r="AFZ176" s="21"/>
      <c r="AGB176" s="33"/>
      <c r="AGC176" s="33"/>
      <c r="AGF176" s="33"/>
      <c r="AGG176" s="21"/>
      <c r="AGH176" s="21"/>
      <c r="AGJ176" s="33"/>
      <c r="AGK176" s="33"/>
      <c r="AGN176" s="33"/>
      <c r="AGO176" s="21"/>
      <c r="AGP176" s="21"/>
      <c r="AGR176" s="33"/>
      <c r="AGS176" s="33"/>
      <c r="AGV176" s="33"/>
      <c r="AGW176" s="21"/>
      <c r="AGX176" s="21"/>
      <c r="AGZ176" s="33"/>
      <c r="AHA176" s="33"/>
      <c r="AHD176" s="33"/>
      <c r="AHE176" s="21"/>
      <c r="AHF176" s="21"/>
      <c r="AHH176" s="33"/>
      <c r="AHI176" s="33"/>
      <c r="AHL176" s="33"/>
      <c r="AHM176" s="21"/>
      <c r="AHN176" s="21"/>
      <c r="AHP176" s="33"/>
      <c r="AHQ176" s="33"/>
      <c r="AHT176" s="33"/>
      <c r="AHU176" s="21"/>
      <c r="AHV176" s="21"/>
      <c r="AHX176" s="33"/>
      <c r="AHY176" s="33"/>
      <c r="AIB176" s="33"/>
      <c r="AIC176" s="21"/>
      <c r="AID176" s="21"/>
      <c r="AIF176" s="33"/>
      <c r="AIG176" s="33"/>
      <c r="AIJ176" s="33"/>
      <c r="AIK176" s="21"/>
      <c r="AIL176" s="21"/>
      <c r="AIN176" s="33"/>
      <c r="AIO176" s="33"/>
      <c r="AIR176" s="33"/>
      <c r="AIS176" s="21"/>
      <c r="AIT176" s="21"/>
      <c r="AIV176" s="33"/>
      <c r="AIW176" s="33"/>
      <c r="AIZ176" s="33"/>
      <c r="AJA176" s="21"/>
      <c r="AJB176" s="21"/>
      <c r="AJD176" s="33"/>
      <c r="AJE176" s="33"/>
      <c r="AJH176" s="33"/>
      <c r="AJI176" s="21"/>
      <c r="AJJ176" s="21"/>
      <c r="AJL176" s="33"/>
      <c r="AJM176" s="33"/>
      <c r="AJP176" s="33"/>
      <c r="AJQ176" s="21"/>
      <c r="AJR176" s="21"/>
      <c r="AJT176" s="33"/>
      <c r="AJU176" s="33"/>
      <c r="AJX176" s="33"/>
      <c r="AJY176" s="21"/>
      <c r="AJZ176" s="21"/>
      <c r="AKB176" s="33"/>
      <c r="AKC176" s="33"/>
      <c r="AKF176" s="33"/>
      <c r="AKG176" s="21"/>
      <c r="AKH176" s="21"/>
      <c r="AKJ176" s="33"/>
      <c r="AKK176" s="33"/>
      <c r="AKN176" s="33"/>
      <c r="AKO176" s="21"/>
      <c r="AKP176" s="21"/>
      <c r="AKR176" s="33"/>
      <c r="AKS176" s="33"/>
      <c r="AKV176" s="33"/>
      <c r="AKW176" s="21"/>
      <c r="AKX176" s="21"/>
      <c r="AKZ176" s="33"/>
      <c r="ALA176" s="33"/>
      <c r="ALD176" s="33"/>
      <c r="ALE176" s="21"/>
      <c r="ALF176" s="21"/>
      <c r="ALH176" s="33"/>
      <c r="ALI176" s="33"/>
      <c r="ALL176" s="33"/>
      <c r="ALM176" s="21"/>
      <c r="ALN176" s="21"/>
      <c r="ALP176" s="33"/>
      <c r="ALQ176" s="33"/>
      <c r="ALT176" s="33"/>
      <c r="ALU176" s="21"/>
      <c r="ALV176" s="21"/>
      <c r="ALX176" s="33"/>
      <c r="ALY176" s="33"/>
      <c r="AMB176" s="33"/>
      <c r="AMC176" s="21"/>
      <c r="AMD176" s="21"/>
      <c r="AMF176" s="33"/>
      <c r="AMG176" s="33"/>
      <c r="AMJ176" s="33"/>
    </row>
    <row r="177" customFormat="false" ht="13.8" hidden="false" customHeight="false" outlineLevel="0" collapsed="false">
      <c r="A177" s="1" t="s">
        <v>649</v>
      </c>
      <c r="B177" s="12" t="n">
        <v>42905</v>
      </c>
      <c r="C177" s="0" t="n">
        <v>2</v>
      </c>
      <c r="D177" s="13" t="n">
        <v>34953</v>
      </c>
      <c r="E177" s="12" t="n">
        <v>22088</v>
      </c>
      <c r="F177" s="14" t="n">
        <f aca="false">(B177-E177)/365.25</f>
        <v>56.993839835729</v>
      </c>
      <c r="G177" s="14" t="n">
        <f aca="false">(B177-D177)/365.25</f>
        <v>21.7713894592745</v>
      </c>
      <c r="H177" s="15" t="s">
        <v>641</v>
      </c>
      <c r="I177" s="15" t="s">
        <v>650</v>
      </c>
      <c r="J177" s="15" t="s">
        <v>181</v>
      </c>
      <c r="K177" s="15" t="n">
        <v>8</v>
      </c>
      <c r="L177" s="19" t="n">
        <v>65</v>
      </c>
      <c r="M177" s="0" t="n">
        <v>1.72</v>
      </c>
      <c r="N177" s="16" t="n">
        <f aca="false">L177/(M177*M177)</f>
        <v>21.9713358572201</v>
      </c>
      <c r="O177" s="19" t="n">
        <v>0</v>
      </c>
      <c r="P177" s="19" t="n">
        <v>0</v>
      </c>
      <c r="Q177" s="19" t="n">
        <v>0</v>
      </c>
      <c r="R177" s="19" t="n">
        <v>0</v>
      </c>
      <c r="S177" s="19" t="n">
        <v>0</v>
      </c>
      <c r="T177" s="19" t="n">
        <v>0</v>
      </c>
      <c r="U177" s="26" t="n">
        <v>0</v>
      </c>
      <c r="V177" s="26" t="n">
        <v>0</v>
      </c>
      <c r="W177" s="19" t="n">
        <v>0</v>
      </c>
      <c r="X177" s="19" t="n">
        <v>0</v>
      </c>
      <c r="Y177" s="19" t="n">
        <v>0</v>
      </c>
      <c r="Z177" s="19" t="n">
        <v>0</v>
      </c>
      <c r="AA177" s="19" t="n">
        <v>0</v>
      </c>
      <c r="AB177" s="19" t="n">
        <v>0</v>
      </c>
      <c r="AC177" s="19" t="n">
        <v>0</v>
      </c>
      <c r="AD177" s="19" t="n">
        <v>0</v>
      </c>
      <c r="AE177" s="19" t="n">
        <v>1</v>
      </c>
      <c r="AF177" s="19" t="n">
        <v>0</v>
      </c>
      <c r="AG177" s="19" t="n">
        <v>0</v>
      </c>
      <c r="AH177" s="19" t="n">
        <v>0</v>
      </c>
      <c r="AI177" s="19" t="n">
        <v>2</v>
      </c>
      <c r="AJ177" s="19" t="n">
        <v>2</v>
      </c>
      <c r="AK177" s="19" t="n">
        <v>2</v>
      </c>
      <c r="AL177" s="19"/>
      <c r="AM177" s="19" t="n">
        <v>9</v>
      </c>
      <c r="AN177" s="19" t="n">
        <v>3</v>
      </c>
      <c r="AO177" s="19" t="n">
        <v>0</v>
      </c>
      <c r="AP177" s="19"/>
      <c r="AQ177" s="19"/>
      <c r="AR177" s="19"/>
      <c r="AS177" s="19" t="n">
        <v>0</v>
      </c>
      <c r="AT177" s="19" t="n">
        <v>0</v>
      </c>
      <c r="AU177" s="19" t="n">
        <v>0</v>
      </c>
      <c r="AV177" s="19" t="n">
        <v>0</v>
      </c>
      <c r="AW177" s="19" t="n">
        <v>0</v>
      </c>
      <c r="AX177" s="19" t="n">
        <v>0</v>
      </c>
      <c r="AY177" s="19" t="n">
        <v>0</v>
      </c>
      <c r="AZ177" s="19" t="n">
        <v>0</v>
      </c>
      <c r="BA177" s="19" t="n">
        <v>0</v>
      </c>
      <c r="BB177" s="19" t="n">
        <v>1</v>
      </c>
      <c r="BC177" s="19" t="n">
        <v>1</v>
      </c>
      <c r="BD177" s="19" t="n">
        <v>1</v>
      </c>
      <c r="BE177" s="19" t="n">
        <v>8</v>
      </c>
      <c r="BF177" s="19" t="n">
        <v>0</v>
      </c>
      <c r="BG177" s="19" t="n">
        <v>0</v>
      </c>
      <c r="BH177" s="19" t="n">
        <v>0</v>
      </c>
      <c r="BI177" s="19" t="n">
        <v>0</v>
      </c>
      <c r="BJ177" s="19" t="n">
        <v>1</v>
      </c>
      <c r="BK177" s="19" t="n">
        <v>1</v>
      </c>
      <c r="BL177" s="19" t="n">
        <v>1</v>
      </c>
      <c r="BM177" s="19" t="n">
        <v>5</v>
      </c>
      <c r="BN177" s="19" t="n">
        <v>0</v>
      </c>
      <c r="BO177" s="19" t="n">
        <v>0</v>
      </c>
      <c r="BP177" s="19" t="n">
        <v>0</v>
      </c>
      <c r="BQ177" s="19" t="n">
        <v>0</v>
      </c>
      <c r="BR177" s="19" t="n">
        <v>1</v>
      </c>
      <c r="BS177" s="19" t="n">
        <v>2</v>
      </c>
      <c r="BT177" s="19" t="n">
        <v>3</v>
      </c>
      <c r="BU177" s="19" t="n">
        <v>5</v>
      </c>
      <c r="BV177" s="19" t="n">
        <v>4</v>
      </c>
      <c r="BW177" s="19" t="n">
        <v>2</v>
      </c>
      <c r="BX177" s="19" t="n">
        <v>5</v>
      </c>
      <c r="BY177" s="19" t="n">
        <v>4</v>
      </c>
      <c r="BZ177" s="19" t="n">
        <v>2</v>
      </c>
      <c r="CA177" s="19" t="n">
        <v>4</v>
      </c>
      <c r="CB177" s="19" t="n">
        <v>5</v>
      </c>
      <c r="CC177" s="19" t="n">
        <v>5</v>
      </c>
      <c r="CD177" s="19" t="n">
        <v>2</v>
      </c>
      <c r="CE177" s="19" t="n">
        <v>3</v>
      </c>
      <c r="CF177" s="19" t="n">
        <v>3</v>
      </c>
      <c r="CG177" s="19" t="n">
        <v>3</v>
      </c>
      <c r="CH177" s="19" t="n">
        <v>2</v>
      </c>
      <c r="CI177" s="19" t="n">
        <v>4</v>
      </c>
      <c r="CJ177" s="19" t="n">
        <v>2</v>
      </c>
      <c r="CK177" s="19" t="n">
        <v>5</v>
      </c>
      <c r="CL177" s="0" t="s">
        <v>651</v>
      </c>
      <c r="CM177" s="0" t="n">
        <v>8</v>
      </c>
      <c r="CN177" s="16" t="n">
        <v>55.4</v>
      </c>
      <c r="CO177" s="16" t="n">
        <v>560.98</v>
      </c>
      <c r="CP177" s="16" t="n">
        <v>5.9</v>
      </c>
      <c r="CQ177" s="0" t="n">
        <v>5.07</v>
      </c>
      <c r="CR177" s="0" t="n">
        <v>0</v>
      </c>
      <c r="CS177" s="0" t="n">
        <v>0.51</v>
      </c>
      <c r="CT177" s="0" t="n">
        <v>0</v>
      </c>
      <c r="CU177" s="0" t="n">
        <v>2.61</v>
      </c>
      <c r="CV177" s="0" t="n">
        <v>0</v>
      </c>
      <c r="CW177" s="0" t="n">
        <v>91.79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0.41</v>
      </c>
      <c r="DC177" s="0" t="n">
        <v>3.78</v>
      </c>
      <c r="DD177" s="0" t="n">
        <v>1.66</v>
      </c>
      <c r="DE177" s="0" t="n">
        <v>0.5</v>
      </c>
      <c r="DF177" s="0" t="n">
        <v>0.71</v>
      </c>
      <c r="DG177" s="0" t="n">
        <v>0</v>
      </c>
      <c r="DH177" s="0" t="n">
        <v>0</v>
      </c>
      <c r="DU177" s="0" t="n">
        <v>0.2</v>
      </c>
      <c r="DV177" s="0" t="n">
        <v>1</v>
      </c>
      <c r="DW177" s="0" t="n">
        <v>103</v>
      </c>
      <c r="DX177" s="0" t="n">
        <v>2</v>
      </c>
      <c r="DY177" s="0" t="n">
        <v>0.51</v>
      </c>
      <c r="DZ177" s="0" t="n">
        <v>1</v>
      </c>
      <c r="EA177" s="0" t="n">
        <v>23</v>
      </c>
      <c r="EB177" s="0" t="n">
        <v>1</v>
      </c>
      <c r="EC177" s="0" t="n">
        <v>0.13</v>
      </c>
      <c r="ED177" s="0" t="n">
        <v>3</v>
      </c>
      <c r="EG177" s="18"/>
      <c r="EY177" s="0" t="n">
        <v>0</v>
      </c>
      <c r="GJ177" s="16" t="n">
        <v>0.02</v>
      </c>
      <c r="GK177" s="16" t="n">
        <v>1</v>
      </c>
      <c r="GL177" s="16" t="n">
        <v>1</v>
      </c>
      <c r="GM177" s="16"/>
      <c r="GN177" s="16" t="n">
        <v>0.53</v>
      </c>
      <c r="GO177" s="16"/>
      <c r="GP177" s="16"/>
      <c r="GQ177" s="16"/>
      <c r="GR177" s="16"/>
      <c r="GS177" s="16"/>
      <c r="GT177" s="16"/>
      <c r="GU177" s="16" t="n">
        <v>1.21</v>
      </c>
      <c r="GV177" s="16" t="n">
        <v>1.2</v>
      </c>
      <c r="GW177" s="16"/>
      <c r="GX177" s="16"/>
      <c r="GY177" s="16" t="n">
        <v>0.53</v>
      </c>
      <c r="GZ177" s="16" t="n">
        <v>0.45</v>
      </c>
      <c r="HA177" s="16" t="n">
        <v>0</v>
      </c>
      <c r="HB177" s="0" t="n">
        <v>0</v>
      </c>
      <c r="HC177" s="0" t="s">
        <v>652</v>
      </c>
      <c r="HD177" s="0" t="n">
        <v>9</v>
      </c>
      <c r="HE177" s="16" t="n">
        <v>99.6</v>
      </c>
      <c r="HF177" s="16" t="n">
        <v>560.98</v>
      </c>
      <c r="HG177" s="16" t="n">
        <v>6.6</v>
      </c>
      <c r="HH177" s="0" t="n">
        <v>89.32</v>
      </c>
      <c r="HI177" s="0" t="n">
        <v>0</v>
      </c>
      <c r="HJ177" s="0" t="n">
        <v>1.61</v>
      </c>
      <c r="HK177" s="0" t="n">
        <v>0.49</v>
      </c>
      <c r="HL177" s="0" t="n">
        <v>2.21</v>
      </c>
      <c r="HM177" s="0" t="n">
        <v>0</v>
      </c>
      <c r="HN177" s="0" t="n">
        <v>6.31</v>
      </c>
      <c r="HO177" s="0" t="n">
        <v>0</v>
      </c>
      <c r="HP177" s="0" t="n">
        <v>0</v>
      </c>
      <c r="HQ177" s="0" t="n">
        <v>0</v>
      </c>
      <c r="HR177" s="0" t="n">
        <v>0</v>
      </c>
      <c r="HS177" s="0" t="n">
        <v>0</v>
      </c>
      <c r="HT177" s="0" t="n">
        <v>56.24</v>
      </c>
      <c r="HU177" s="0" t="n">
        <v>1.47</v>
      </c>
      <c r="HV177" s="0" t="n">
        <v>0.02</v>
      </c>
      <c r="HW177" s="0" t="n">
        <v>0.06</v>
      </c>
      <c r="HX177" s="0" t="n">
        <v>0</v>
      </c>
      <c r="HY177" s="0" t="n">
        <v>0</v>
      </c>
      <c r="IL177" s="0" t="n">
        <v>1</v>
      </c>
      <c r="IM177" s="0" t="n">
        <v>1</v>
      </c>
      <c r="IN177" s="0" t="n">
        <v>90</v>
      </c>
      <c r="IO177" s="0" t="n">
        <v>6</v>
      </c>
      <c r="IP177" s="0" t="n">
        <f aca="false">0.26*2+0.03</f>
        <v>0.55</v>
      </c>
      <c r="IQ177" s="0" t="n">
        <v>1</v>
      </c>
      <c r="IR177" s="0" t="n">
        <v>55</v>
      </c>
      <c r="IS177" s="0" t="n">
        <v>3</v>
      </c>
      <c r="IT177" s="0" t="n">
        <v>0.39</v>
      </c>
      <c r="IU177" s="0" t="n">
        <v>2</v>
      </c>
      <c r="IX177" s="18"/>
      <c r="JP177" s="0" t="n">
        <v>1</v>
      </c>
      <c r="JQ177" s="0" t="n">
        <v>85</v>
      </c>
      <c r="JR177" s="0" t="n">
        <v>3</v>
      </c>
      <c r="JS177" s="0" t="n">
        <f aca="false">0.18+0.39+0.02</f>
        <v>0.59</v>
      </c>
      <c r="JT177" s="0" t="n">
        <v>2</v>
      </c>
      <c r="LA177" s="16" t="n">
        <v>0</v>
      </c>
      <c r="LB177" s="16" t="n">
        <v>0</v>
      </c>
      <c r="LC177" s="16"/>
      <c r="LD177" s="16"/>
      <c r="LE177" s="16"/>
      <c r="LF177" s="16"/>
      <c r="LG177" s="16"/>
      <c r="LH177" s="16"/>
      <c r="LI177" s="16"/>
      <c r="LJ177" s="16"/>
      <c r="LK177" s="16"/>
      <c r="LL177" s="16" t="n">
        <v>0.02</v>
      </c>
      <c r="LM177" s="16" t="n">
        <v>0.02</v>
      </c>
      <c r="LN177" s="16"/>
      <c r="LO177" s="16"/>
      <c r="LP177" s="16" t="n">
        <v>0.96</v>
      </c>
      <c r="LQ177" s="16" t="n">
        <v>0</v>
      </c>
      <c r="LR177" s="16" t="n">
        <v>0</v>
      </c>
      <c r="LS177" s="0" t="n">
        <v>1</v>
      </c>
      <c r="LT177" s="0" t="s">
        <v>653</v>
      </c>
      <c r="LU177" s="0" t="n">
        <v>49.5</v>
      </c>
      <c r="LV177" s="16" t="n">
        <v>119.9</v>
      </c>
      <c r="LW177" s="16" t="n">
        <v>99</v>
      </c>
      <c r="LX177" s="16" t="n">
        <v>32.4</v>
      </c>
      <c r="LY177" s="0" t="n">
        <v>65.09</v>
      </c>
      <c r="LZ177" s="0" t="n">
        <v>0</v>
      </c>
      <c r="MA177" s="0" t="n">
        <v>1.99</v>
      </c>
      <c r="MB177" s="0" t="n">
        <v>3.4</v>
      </c>
      <c r="MC177" s="0" t="n">
        <v>33.9</v>
      </c>
      <c r="MD177" s="0" t="n">
        <v>0</v>
      </c>
      <c r="ME177" s="0" t="n">
        <v>0</v>
      </c>
      <c r="MF177" s="0" t="n">
        <v>0</v>
      </c>
      <c r="MG177" s="0" t="n">
        <v>0</v>
      </c>
      <c r="MH177" s="0" t="n">
        <v>0</v>
      </c>
      <c r="MI177" s="0" t="n">
        <v>0</v>
      </c>
      <c r="MJ177" s="0" t="n">
        <v>2.15</v>
      </c>
      <c r="MK177" s="0" t="n">
        <v>28.92</v>
      </c>
      <c r="ML177" s="0" t="n">
        <v>5.9</v>
      </c>
      <c r="MM177" s="0" t="n">
        <v>31.04</v>
      </c>
      <c r="MN177" s="0" t="n">
        <v>0</v>
      </c>
      <c r="MO177" s="0" t="n">
        <v>0</v>
      </c>
      <c r="MP177" s="0" t="n">
        <v>0</v>
      </c>
      <c r="NC177" s="0" t="n">
        <v>1.8</v>
      </c>
      <c r="ND177" s="0" t="n">
        <v>1</v>
      </c>
      <c r="NE177" s="0" t="n">
        <v>23</v>
      </c>
      <c r="NF177" s="0" t="n">
        <v>4</v>
      </c>
      <c r="NG177" s="0" t="n">
        <v>2.91</v>
      </c>
      <c r="NH177" s="0" t="n">
        <v>3</v>
      </c>
      <c r="NO177" s="18"/>
      <c r="OG177" s="0" t="n">
        <v>1</v>
      </c>
      <c r="OH177" s="0" t="n">
        <v>40</v>
      </c>
      <c r="OI177" s="0" t="n">
        <v>3</v>
      </c>
      <c r="OJ177" s="0" t="n">
        <v>2.55</v>
      </c>
      <c r="OK177" s="0" t="n">
        <v>1</v>
      </c>
      <c r="PR177" s="16" t="n">
        <v>3.09</v>
      </c>
      <c r="PS177" s="16" t="n">
        <v>1</v>
      </c>
      <c r="PT177" s="16" t="n">
        <v>2</v>
      </c>
      <c r="PU177" s="16"/>
      <c r="PV177" s="16" t="n">
        <f aca="false">1.82*2</f>
        <v>3.64</v>
      </c>
      <c r="PW177" s="16"/>
      <c r="PX177" s="16"/>
      <c r="PY177" s="16"/>
      <c r="PZ177" s="16"/>
      <c r="QA177" s="16"/>
      <c r="QB177" s="16"/>
      <c r="QC177" s="16" t="n">
        <v>11.81</v>
      </c>
      <c r="QD177" s="16" t="n">
        <v>7.83</v>
      </c>
      <c r="QE177" s="16"/>
      <c r="QF177" s="16"/>
      <c r="QG177" s="16" t="n">
        <v>0</v>
      </c>
      <c r="QH177" s="16" t="n">
        <v>0</v>
      </c>
      <c r="QI177" s="16" t="n">
        <v>0</v>
      </c>
      <c r="QJ177" s="0" t="n">
        <v>0</v>
      </c>
      <c r="QK177" s="0" t="s">
        <v>654</v>
      </c>
      <c r="QL177" s="0" t="n">
        <v>23.5</v>
      </c>
      <c r="QM177" s="16" t="n">
        <v>99.2</v>
      </c>
      <c r="QN177" s="16" t="n">
        <v>99</v>
      </c>
      <c r="QO177" s="16" t="n">
        <v>5.3</v>
      </c>
      <c r="QP177" s="0" t="n">
        <v>12.8</v>
      </c>
      <c r="QQ177" s="0" t="n">
        <v>0</v>
      </c>
      <c r="QR177" s="0" t="n">
        <v>0.14</v>
      </c>
      <c r="QS177" s="0" t="n">
        <v>0</v>
      </c>
      <c r="QT177" s="0" t="n">
        <v>1.75</v>
      </c>
      <c r="QU177" s="0" t="n">
        <v>0</v>
      </c>
      <c r="QV177" s="0" t="n">
        <v>85.3</v>
      </c>
      <c r="QW177" s="0" t="n">
        <v>0</v>
      </c>
      <c r="QX177" s="0" t="n">
        <v>0</v>
      </c>
      <c r="QY177" s="0" t="n">
        <v>1.03</v>
      </c>
      <c r="QZ177" s="0" t="n">
        <v>0</v>
      </c>
      <c r="RA177" s="0" t="n">
        <v>0</v>
      </c>
      <c r="RB177" s="0" t="n">
        <v>83.09</v>
      </c>
      <c r="RC177" s="0" t="n">
        <v>3.01</v>
      </c>
      <c r="RD177" s="0" t="n">
        <v>1.49</v>
      </c>
      <c r="RE177" s="0" t="n">
        <v>0</v>
      </c>
      <c r="RF177" s="0" t="n">
        <v>0</v>
      </c>
      <c r="RG177" s="0" t="n">
        <v>0</v>
      </c>
      <c r="RT177" s="0" t="n">
        <v>0</v>
      </c>
      <c r="RU177" s="0" t="n">
        <v>0</v>
      </c>
      <c r="SF177" s="18"/>
      <c r="SX177" s="0" t="n">
        <v>1</v>
      </c>
      <c r="SY177" s="0" t="n">
        <v>60</v>
      </c>
      <c r="SZ177" s="0" t="n">
        <v>1</v>
      </c>
      <c r="TA177" s="0" t="n">
        <v>0.03</v>
      </c>
      <c r="TB177" s="0" t="n">
        <v>3</v>
      </c>
      <c r="UI177" s="16" t="n">
        <v>0</v>
      </c>
      <c r="UJ177" s="16" t="n">
        <v>0</v>
      </c>
      <c r="UK177" s="16"/>
      <c r="UL177" s="16"/>
      <c r="UM177" s="16"/>
      <c r="UN177" s="16"/>
      <c r="UO177" s="16"/>
      <c r="UP177" s="16"/>
      <c r="UQ177" s="16"/>
      <c r="UR177" s="16"/>
      <c r="US177" s="16"/>
      <c r="UT177" s="16" t="n">
        <v>17.03</v>
      </c>
      <c r="UU177" s="16" t="n">
        <v>80.41</v>
      </c>
      <c r="UV177" s="16"/>
      <c r="UW177" s="16"/>
      <c r="UX177" s="16" t="n">
        <v>0.97</v>
      </c>
      <c r="UY177" s="16" t="n">
        <v>0</v>
      </c>
      <c r="UZ177" s="16" t="n">
        <v>0</v>
      </c>
      <c r="VA177" s="0" t="n">
        <v>1</v>
      </c>
      <c r="VB177" s="0" t="s">
        <v>655</v>
      </c>
      <c r="VC177" s="0" t="n">
        <v>26</v>
      </c>
      <c r="VD177" s="16" t="n">
        <v>87.5</v>
      </c>
      <c r="VE177" s="16" t="n">
        <v>99</v>
      </c>
      <c r="VF177" s="16" t="n">
        <v>12.5</v>
      </c>
      <c r="VG177" s="0" t="n">
        <v>84.55</v>
      </c>
      <c r="VH177" s="0" t="n">
        <v>0</v>
      </c>
      <c r="VI177" s="0" t="n">
        <v>2.29</v>
      </c>
      <c r="VJ177" s="0" t="n">
        <v>2.39</v>
      </c>
      <c r="VK177" s="0" t="n">
        <v>1.61</v>
      </c>
      <c r="VL177" s="0" t="n">
        <v>0</v>
      </c>
      <c r="VM177" s="0" t="n">
        <v>9.16</v>
      </c>
      <c r="VN177" s="0" t="n">
        <v>0</v>
      </c>
      <c r="VO177" s="0" t="n">
        <v>0</v>
      </c>
      <c r="VP177" s="0" t="n">
        <v>0</v>
      </c>
      <c r="VQ177" s="0" t="n">
        <v>0</v>
      </c>
      <c r="VR177" s="0" t="n">
        <v>4.6</v>
      </c>
      <c r="VS177" s="0" t="n">
        <v>1.19</v>
      </c>
      <c r="VT177" s="0" t="n">
        <v>6.51</v>
      </c>
      <c r="VU177" s="0" t="n">
        <v>0.03</v>
      </c>
      <c r="VV177" s="0" t="n">
        <v>0</v>
      </c>
      <c r="VW177" s="0" t="n">
        <v>7</v>
      </c>
      <c r="VX177" s="0" t="n">
        <v>1</v>
      </c>
      <c r="VY177" s="0" t="n">
        <v>3</v>
      </c>
      <c r="WA177" s="0" t="n">
        <v>1</v>
      </c>
      <c r="WB177" s="0" t="n">
        <v>3.83</v>
      </c>
      <c r="WD177" s="0" t="n">
        <v>1</v>
      </c>
      <c r="WK177" s="0" t="n">
        <v>4.5</v>
      </c>
      <c r="WL177" s="0" t="n">
        <v>1</v>
      </c>
      <c r="WM177" s="0" t="n">
        <v>90</v>
      </c>
      <c r="WN177" s="0" t="n">
        <v>6</v>
      </c>
      <c r="WO177" s="0" t="n">
        <f aca="false">0.48*2+0.03</f>
        <v>0.99</v>
      </c>
      <c r="WP177" s="0" t="n">
        <v>1</v>
      </c>
      <c r="WW177" s="18"/>
      <c r="XO177" s="0" t="n">
        <v>1</v>
      </c>
      <c r="XP177" s="0" t="n">
        <v>55</v>
      </c>
      <c r="XQ177" s="0" t="n">
        <v>1</v>
      </c>
      <c r="XR177" s="0" t="n">
        <v>0.55</v>
      </c>
      <c r="XS177" s="0" t="n">
        <v>2</v>
      </c>
      <c r="XT177" s="0" t="n">
        <v>85</v>
      </c>
      <c r="XU177" s="0" t="n">
        <v>1</v>
      </c>
      <c r="XV177" s="0" t="n">
        <v>0.05</v>
      </c>
      <c r="XW177" s="0" t="n">
        <v>2</v>
      </c>
      <c r="YZ177" s="16" t="n">
        <v>0</v>
      </c>
      <c r="ZA177" s="16" t="n">
        <v>0</v>
      </c>
      <c r="ZB177" s="16"/>
      <c r="ZC177" s="16"/>
      <c r="ZD177" s="16"/>
      <c r="ZE177" s="16"/>
      <c r="ZF177" s="16"/>
      <c r="ZG177" s="16"/>
      <c r="ZH177" s="16"/>
      <c r="ZI177" s="16"/>
      <c r="ZJ177" s="16"/>
      <c r="ZK177" s="16" t="n">
        <v>0</v>
      </c>
      <c r="ZL177" s="16" t="n">
        <v>0</v>
      </c>
      <c r="ZM177" s="16"/>
      <c r="ZN177" s="16"/>
      <c r="ZO177" s="16" t="n">
        <v>1.82</v>
      </c>
      <c r="ZP177" s="16" t="n">
        <v>0</v>
      </c>
      <c r="ZQ177" s="16" t="n">
        <v>0</v>
      </c>
      <c r="ZR177" s="0" t="n">
        <v>2</v>
      </c>
      <c r="ZU177" s="15"/>
      <c r="ZV177" s="15"/>
      <c r="AAC177" s="15"/>
      <c r="AAD177" s="15"/>
      <c r="AAK177" s="15"/>
      <c r="AAL177" s="15"/>
      <c r="AAS177" s="15"/>
      <c r="AAT177" s="15"/>
      <c r="ABA177" s="15"/>
      <c r="ABB177" s="15"/>
      <c r="ABI177" s="15"/>
      <c r="ABJ177" s="15"/>
      <c r="ABQ177" s="15"/>
      <c r="ABR177" s="15"/>
      <c r="ABY177" s="15"/>
      <c r="ABZ177" s="15"/>
      <c r="ACG177" s="15"/>
      <c r="ACH177" s="15"/>
      <c r="ACO177" s="15"/>
      <c r="ACP177" s="15"/>
      <c r="ACW177" s="15"/>
      <c r="ACX177" s="15"/>
      <c r="ADE177" s="15"/>
      <c r="ADF177" s="15"/>
      <c r="ADM177" s="15"/>
      <c r="ADN177" s="15"/>
      <c r="ADU177" s="15"/>
      <c r="ADV177" s="15"/>
      <c r="AEC177" s="15"/>
      <c r="AED177" s="15"/>
      <c r="AEK177" s="15"/>
      <c r="AEL177" s="15"/>
      <c r="AES177" s="15"/>
      <c r="AET177" s="15"/>
      <c r="AFA177" s="15"/>
      <c r="AFB177" s="15"/>
      <c r="AFI177" s="15"/>
      <c r="AFJ177" s="15"/>
      <c r="AFQ177" s="15"/>
      <c r="AFR177" s="15"/>
      <c r="AFY177" s="15"/>
      <c r="AFZ177" s="15"/>
      <c r="AGG177" s="15"/>
      <c r="AGH177" s="15"/>
      <c r="AGO177" s="15"/>
      <c r="AGP177" s="15"/>
      <c r="AGW177" s="15"/>
      <c r="AGX177" s="15"/>
      <c r="AHE177" s="15"/>
      <c r="AHF177" s="15"/>
      <c r="AHM177" s="15"/>
      <c r="AHN177" s="15"/>
      <c r="AHU177" s="15"/>
      <c r="AHV177" s="15"/>
      <c r="AIC177" s="15"/>
      <c r="AID177" s="15"/>
      <c r="AIK177" s="15"/>
      <c r="AIL177" s="15"/>
      <c r="AIS177" s="15"/>
      <c r="AIT177" s="15"/>
      <c r="AJA177" s="15"/>
      <c r="AJB177" s="15"/>
      <c r="AJI177" s="15"/>
      <c r="AJJ177" s="15"/>
      <c r="AJQ177" s="15"/>
      <c r="AJR177" s="15"/>
      <c r="AJY177" s="15"/>
      <c r="AJZ177" s="15"/>
      <c r="AKG177" s="15"/>
      <c r="AKH177" s="15"/>
      <c r="AKO177" s="15"/>
      <c r="AKP177" s="15"/>
      <c r="AKW177" s="15"/>
      <c r="AKX177" s="15"/>
      <c r="ALE177" s="15"/>
      <c r="ALF177" s="15"/>
      <c r="ALM177" s="15"/>
      <c r="ALN177" s="15"/>
      <c r="ALU177" s="15"/>
      <c r="ALV177" s="15"/>
      <c r="AMC177" s="15"/>
      <c r="AMD177" s="15"/>
    </row>
    <row r="178" s="24" customFormat="true" ht="13.8" hidden="false" customHeight="false" outlineLevel="0" collapsed="false">
      <c r="A178" s="22" t="s">
        <v>656</v>
      </c>
      <c r="B178" s="23" t="n">
        <v>42907</v>
      </c>
      <c r="C178" s="24" t="n">
        <v>2</v>
      </c>
      <c r="D178" s="25" t="n">
        <v>34785</v>
      </c>
      <c r="E178" s="23" t="n">
        <v>26978</v>
      </c>
      <c r="F178" s="14" t="n">
        <f aca="false">(B178-E178)/365.25</f>
        <v>43.6112251882272</v>
      </c>
      <c r="G178" s="14" t="n">
        <f aca="false">(B178-D178)/365.25</f>
        <v>22.2368240930869</v>
      </c>
      <c r="H178" s="21" t="s">
        <v>641</v>
      </c>
      <c r="I178" s="21" t="s">
        <v>642</v>
      </c>
      <c r="J178" s="21" t="s">
        <v>181</v>
      </c>
      <c r="K178" s="21" t="n">
        <v>8</v>
      </c>
      <c r="L178" s="26" t="n">
        <v>80</v>
      </c>
      <c r="M178" s="24" t="n">
        <v>1.75</v>
      </c>
      <c r="N178" s="27" t="n">
        <f aca="false">L178/(M178*M178)</f>
        <v>26.1224489795918</v>
      </c>
      <c r="O178" s="26" t="n">
        <v>0</v>
      </c>
      <c r="P178" s="26" t="n">
        <v>0</v>
      </c>
      <c r="Q178" s="26" t="n">
        <v>0</v>
      </c>
      <c r="R178" s="26" t="n">
        <v>0</v>
      </c>
      <c r="S178" s="26" t="n">
        <v>0</v>
      </c>
      <c r="T178" s="26" t="n">
        <v>0</v>
      </c>
      <c r="U178" s="26" t="n">
        <v>0</v>
      </c>
      <c r="V178" s="26" t="n">
        <v>0</v>
      </c>
      <c r="W178" s="26" t="n">
        <v>0</v>
      </c>
      <c r="X178" s="26" t="n">
        <v>0</v>
      </c>
      <c r="Y178" s="19" t="n">
        <v>0</v>
      </c>
      <c r="Z178" s="19" t="n">
        <v>0</v>
      </c>
      <c r="AA178" s="19" t="n">
        <v>0</v>
      </c>
      <c r="AB178" s="19" t="n">
        <v>0</v>
      </c>
      <c r="AC178" s="26" t="n">
        <v>1</v>
      </c>
      <c r="AD178" s="26" t="n">
        <v>15</v>
      </c>
      <c r="AE178" s="26" t="n">
        <v>0</v>
      </c>
      <c r="AF178" s="26" t="n">
        <v>0</v>
      </c>
      <c r="AG178" s="26" t="n">
        <v>0</v>
      </c>
      <c r="AH178" s="26" t="n">
        <v>0</v>
      </c>
      <c r="AI178" s="26" t="n">
        <v>1</v>
      </c>
      <c r="AJ178" s="26" t="n">
        <v>1</v>
      </c>
      <c r="AK178" s="26" t="n">
        <v>1</v>
      </c>
      <c r="AL178" s="26" t="n">
        <v>7</v>
      </c>
      <c r="AM178" s="26"/>
      <c r="AN178" s="26" t="n">
        <v>0</v>
      </c>
      <c r="AO178" s="26"/>
      <c r="AP178" s="26"/>
      <c r="AQ178" s="26"/>
      <c r="AR178" s="26"/>
      <c r="AS178" s="26" t="n">
        <v>0</v>
      </c>
      <c r="AT178" s="26" t="n">
        <v>0</v>
      </c>
      <c r="AU178" s="26" t="n">
        <v>0</v>
      </c>
      <c r="AV178" s="26" t="n">
        <v>0</v>
      </c>
      <c r="AW178" s="26" t="n">
        <v>0</v>
      </c>
      <c r="AX178" s="26" t="n">
        <v>0</v>
      </c>
      <c r="AY178" s="26" t="n">
        <v>0</v>
      </c>
      <c r="AZ178" s="26" t="n">
        <v>0</v>
      </c>
      <c r="BA178" s="26" t="n">
        <v>0</v>
      </c>
      <c r="BB178" s="26" t="n">
        <v>0</v>
      </c>
      <c r="BC178" s="26" t="n">
        <v>0</v>
      </c>
      <c r="BD178" s="26" t="n">
        <v>0</v>
      </c>
      <c r="BE178" s="26" t="n">
        <v>0</v>
      </c>
      <c r="BF178" s="26" t="n">
        <v>0</v>
      </c>
      <c r="BG178" s="26" t="n">
        <v>0</v>
      </c>
      <c r="BH178" s="26" t="n">
        <v>0</v>
      </c>
      <c r="BI178" s="26" t="n">
        <v>0</v>
      </c>
      <c r="BJ178" s="26" t="n">
        <v>0</v>
      </c>
      <c r="BK178" s="26" t="n">
        <v>0</v>
      </c>
      <c r="BL178" s="26" t="n">
        <v>0</v>
      </c>
      <c r="BM178" s="26" t="n">
        <v>0</v>
      </c>
      <c r="BN178" s="26" t="n">
        <v>0</v>
      </c>
      <c r="BO178" s="26" t="n">
        <v>0</v>
      </c>
      <c r="BP178" s="26" t="n">
        <v>0</v>
      </c>
      <c r="BQ178" s="26" t="n">
        <v>0</v>
      </c>
      <c r="BR178" s="26" t="n">
        <v>3</v>
      </c>
      <c r="BS178" s="26" t="n">
        <v>3</v>
      </c>
      <c r="BT178" s="26" t="n">
        <v>2</v>
      </c>
      <c r="BU178" s="26" t="n">
        <v>4</v>
      </c>
      <c r="BV178" s="26" t="n">
        <v>3</v>
      </c>
      <c r="BW178" s="26" t="n">
        <v>2</v>
      </c>
      <c r="BX178" s="26" t="n">
        <v>4</v>
      </c>
      <c r="BY178" s="26" t="n">
        <v>3</v>
      </c>
      <c r="BZ178" s="26" t="n">
        <v>4</v>
      </c>
      <c r="CA178" s="26" t="n">
        <v>2</v>
      </c>
      <c r="CB178" s="26" t="n">
        <v>4</v>
      </c>
      <c r="CC178" s="26" t="n">
        <v>5</v>
      </c>
      <c r="CD178" s="26" t="n">
        <v>4</v>
      </c>
      <c r="CE178" s="26" t="n">
        <v>3</v>
      </c>
      <c r="CF178" s="26" t="n">
        <v>3</v>
      </c>
      <c r="CG178" s="26" t="n">
        <v>4</v>
      </c>
      <c r="CH178" s="26" t="n">
        <v>3</v>
      </c>
      <c r="CI178" s="26" t="n">
        <v>3</v>
      </c>
      <c r="CJ178" s="26" t="n">
        <v>3</v>
      </c>
      <c r="CK178" s="26" t="n">
        <v>9</v>
      </c>
      <c r="CL178" s="24" t="s">
        <v>643</v>
      </c>
      <c r="CM178" s="24" t="n">
        <v>12.5</v>
      </c>
      <c r="CN178" s="27" t="n">
        <v>83.2</v>
      </c>
      <c r="CO178" s="27" t="n">
        <v>79.94</v>
      </c>
      <c r="CP178" s="27" t="n">
        <v>9.1</v>
      </c>
      <c r="CQ178" s="24" t="n">
        <v>37.83</v>
      </c>
      <c r="CR178" s="24" t="n">
        <v>0</v>
      </c>
      <c r="CS178" s="24" t="n">
        <v>0</v>
      </c>
      <c r="CT178" s="24" t="n">
        <v>0</v>
      </c>
      <c r="CU178" s="24" t="n">
        <v>0</v>
      </c>
      <c r="CV178" s="24" t="n">
        <v>0</v>
      </c>
      <c r="CW178" s="24" t="n">
        <v>62.17</v>
      </c>
      <c r="CX178" s="24" t="n">
        <v>0</v>
      </c>
      <c r="CY178" s="24" t="n">
        <v>0</v>
      </c>
      <c r="CZ178" s="24" t="n">
        <v>0</v>
      </c>
      <c r="DA178" s="24" t="n">
        <v>0</v>
      </c>
      <c r="DB178" s="24" t="n">
        <v>2.25</v>
      </c>
      <c r="DC178" s="24" t="n">
        <v>6.87</v>
      </c>
      <c r="DD178" s="24" t="n">
        <v>22.2</v>
      </c>
      <c r="DE178" s="24" t="n">
        <v>0</v>
      </c>
      <c r="DF178" s="24" t="n">
        <v>0</v>
      </c>
      <c r="DG178" s="24" t="n">
        <v>0</v>
      </c>
      <c r="DH178" s="24" t="n">
        <v>0</v>
      </c>
      <c r="DU178" s="24" t="n">
        <v>0</v>
      </c>
      <c r="DV178" s="24" t="n">
        <v>0</v>
      </c>
      <c r="EG178" s="28"/>
      <c r="EY178" s="24" t="n">
        <v>0</v>
      </c>
      <c r="GJ178" s="27" t="n">
        <v>0</v>
      </c>
      <c r="GK178" s="27" t="n">
        <v>0</v>
      </c>
      <c r="GL178" s="27"/>
      <c r="GM178" s="27"/>
      <c r="GN178" s="27"/>
      <c r="GO178" s="27"/>
      <c r="GP178" s="27"/>
      <c r="GQ178" s="27"/>
      <c r="GR178" s="27"/>
      <c r="GS178" s="27"/>
      <c r="GT178" s="27"/>
      <c r="GU178" s="27" t="n">
        <v>0</v>
      </c>
      <c r="GV178" s="27" t="n">
        <v>0</v>
      </c>
      <c r="GW178" s="27"/>
      <c r="GX178" s="27"/>
      <c r="GY178" s="27" t="n">
        <v>3</v>
      </c>
      <c r="GZ178" s="27" t="n">
        <v>0</v>
      </c>
      <c r="HA178" s="27" t="n">
        <v>0</v>
      </c>
      <c r="HB178" s="24" t="n">
        <v>4</v>
      </c>
      <c r="HC178" s="24" t="s">
        <v>644</v>
      </c>
      <c r="HD178" s="24" t="n">
        <v>40.5</v>
      </c>
      <c r="HE178" s="27" t="n">
        <v>84.4</v>
      </c>
      <c r="HF178" s="27" t="n">
        <v>79.94</v>
      </c>
      <c r="HG178" s="27" t="n">
        <v>22.4</v>
      </c>
      <c r="HH178" s="24" t="n">
        <v>72.62</v>
      </c>
      <c r="HI178" s="24" t="n">
        <v>10.21</v>
      </c>
      <c r="HJ178" s="24" t="n">
        <v>7.43</v>
      </c>
      <c r="HK178" s="24" t="n">
        <v>8.33</v>
      </c>
      <c r="HL178" s="24" t="n">
        <v>0</v>
      </c>
      <c r="HM178" s="24" t="n">
        <v>0</v>
      </c>
      <c r="HN178" s="24" t="n">
        <v>0</v>
      </c>
      <c r="HO178" s="24" t="n">
        <v>0</v>
      </c>
      <c r="HP178" s="24" t="n">
        <v>0</v>
      </c>
      <c r="HQ178" s="24" t="n">
        <v>0</v>
      </c>
      <c r="HR178" s="24" t="n">
        <v>0</v>
      </c>
      <c r="HS178" s="24" t="n">
        <v>0</v>
      </c>
      <c r="HT178" s="24" t="n">
        <v>4.56</v>
      </c>
      <c r="HU178" s="24" t="n">
        <v>4.56</v>
      </c>
      <c r="HV178" s="24" t="n">
        <v>0</v>
      </c>
      <c r="HW178" s="24" t="n">
        <v>0</v>
      </c>
      <c r="HX178" s="24" t="n">
        <v>0</v>
      </c>
      <c r="HY178" s="24" t="n">
        <v>0</v>
      </c>
      <c r="IL178" s="24" t="n">
        <v>9.6</v>
      </c>
      <c r="IM178" s="24" t="n">
        <v>0</v>
      </c>
      <c r="IX178" s="28"/>
      <c r="JP178" s="24" t="n">
        <v>1</v>
      </c>
      <c r="JQ178" s="24" t="n">
        <v>90</v>
      </c>
      <c r="JR178" s="24" t="n">
        <v>2</v>
      </c>
      <c r="JS178" s="24" t="n">
        <f aca="false">0.03+0.19</f>
        <v>0.22</v>
      </c>
      <c r="JT178" s="24" t="n">
        <v>6</v>
      </c>
      <c r="JU178" s="24" t="n">
        <v>90</v>
      </c>
      <c r="JV178" s="24" t="n">
        <v>2</v>
      </c>
      <c r="JW178" s="24" t="n">
        <v>0.22</v>
      </c>
      <c r="JX178" s="24" t="n">
        <v>5</v>
      </c>
      <c r="LA178" s="27" t="n">
        <v>2.63</v>
      </c>
      <c r="LB178" s="27" t="n">
        <v>1</v>
      </c>
      <c r="LC178" s="27" t="n">
        <v>2</v>
      </c>
      <c r="LD178" s="27"/>
      <c r="LE178" s="27" t="n">
        <f aca="false">0.03+0.1+0.29*2</f>
        <v>0.71</v>
      </c>
      <c r="LF178" s="27" t="n">
        <v>3</v>
      </c>
      <c r="LG178" s="27"/>
      <c r="LH178" s="27" t="n">
        <f aca="false">0.03+0.19</f>
        <v>0.22</v>
      </c>
      <c r="LI178" s="27"/>
      <c r="LJ178" s="27"/>
      <c r="LK178" s="27"/>
      <c r="LL178" s="27" t="n">
        <v>5.46</v>
      </c>
      <c r="LM178" s="27" t="n">
        <v>6.88</v>
      </c>
      <c r="LN178" s="27"/>
      <c r="LO178" s="27"/>
      <c r="LP178" s="27" t="n">
        <v>0</v>
      </c>
      <c r="LQ178" s="27" t="n">
        <v>0</v>
      </c>
      <c r="LR178" s="27" t="n">
        <v>0</v>
      </c>
      <c r="LS178" s="24" t="n">
        <v>0</v>
      </c>
      <c r="LT178" s="24" t="s">
        <v>645</v>
      </c>
      <c r="LU178" s="24" t="n">
        <v>14</v>
      </c>
      <c r="LV178" s="27" t="n">
        <v>77.3</v>
      </c>
      <c r="LW178" s="27" t="n">
        <v>79.94</v>
      </c>
      <c r="LX178" s="27" t="n">
        <v>11</v>
      </c>
      <c r="LY178" s="24" t="n">
        <v>77.44</v>
      </c>
      <c r="LZ178" s="24" t="n">
        <v>0</v>
      </c>
      <c r="MA178" s="24" t="n">
        <v>0</v>
      </c>
      <c r="MB178" s="24" t="n">
        <v>1.26</v>
      </c>
      <c r="MC178" s="24" t="n">
        <v>9.86</v>
      </c>
      <c r="MD178" s="24" t="n">
        <v>0</v>
      </c>
      <c r="ME178" s="24" t="n">
        <v>11.44</v>
      </c>
      <c r="MF178" s="24" t="n">
        <v>0</v>
      </c>
      <c r="MG178" s="24" t="n">
        <v>0</v>
      </c>
      <c r="MH178" s="24" t="n">
        <v>0</v>
      </c>
      <c r="MI178" s="24" t="n">
        <v>0</v>
      </c>
      <c r="MJ178" s="24" t="n">
        <v>1.01</v>
      </c>
      <c r="MK178" s="24" t="n">
        <v>31.64</v>
      </c>
      <c r="ML178" s="24" t="n">
        <v>4.93</v>
      </c>
      <c r="MM178" s="24" t="n">
        <v>0</v>
      </c>
      <c r="MN178" s="24" t="n">
        <v>0</v>
      </c>
      <c r="MO178" s="24" t="n">
        <v>0</v>
      </c>
      <c r="MP178" s="24" t="n">
        <v>0</v>
      </c>
      <c r="NC178" s="24" t="n">
        <v>0.9</v>
      </c>
      <c r="ND178" s="24" t="n">
        <v>1</v>
      </c>
      <c r="NE178" s="24" t="n">
        <v>52</v>
      </c>
      <c r="NF178" s="24" t="n">
        <v>2</v>
      </c>
      <c r="NG178" s="24" t="n">
        <f aca="false">0.38+0.05</f>
        <v>0.43</v>
      </c>
      <c r="NH178" s="24" t="n">
        <v>2</v>
      </c>
      <c r="NO178" s="28"/>
      <c r="OG178" s="24" t="n">
        <v>1</v>
      </c>
      <c r="OH178" s="24" t="n">
        <v>120</v>
      </c>
      <c r="OI178" s="24" t="n">
        <v>1</v>
      </c>
      <c r="OJ178" s="24" t="n">
        <v>0.06</v>
      </c>
      <c r="OK178" s="24" t="n">
        <v>2</v>
      </c>
      <c r="PR178" s="27" t="n">
        <v>0.52</v>
      </c>
      <c r="PS178" s="27" t="n">
        <v>1</v>
      </c>
      <c r="PT178" s="27" t="n">
        <v>1</v>
      </c>
      <c r="PU178" s="27"/>
      <c r="PV178" s="27" t="n">
        <f aca="false">0.01+0.01+0.04+0.04</f>
        <v>0.1</v>
      </c>
      <c r="PW178" s="27" t="n">
        <v>2</v>
      </c>
      <c r="PX178" s="27"/>
      <c r="PY178" s="27" t="n">
        <f aca="false">0.06+0.04+0.02+0.03+0.03</f>
        <v>0.18</v>
      </c>
      <c r="PZ178" s="27"/>
      <c r="QA178" s="27"/>
      <c r="QB178" s="27"/>
      <c r="QC178" s="27" t="n">
        <v>0</v>
      </c>
      <c r="QD178" s="27" t="n">
        <v>0</v>
      </c>
      <c r="QE178" s="27"/>
      <c r="QF178" s="27"/>
      <c r="QG178" s="27" t="n">
        <v>1.5</v>
      </c>
      <c r="QH178" s="27" t="n">
        <v>0</v>
      </c>
      <c r="QI178" s="27" t="n">
        <v>0</v>
      </c>
      <c r="QJ178" s="24" t="n">
        <v>2</v>
      </c>
      <c r="QK178" s="24" t="s">
        <v>646</v>
      </c>
      <c r="QL178" s="24" t="n">
        <v>6.5</v>
      </c>
      <c r="QM178" s="27" t="n">
        <v>88.7</v>
      </c>
      <c r="QN178" s="27" t="n">
        <v>79.94</v>
      </c>
      <c r="QO178" s="27" t="n">
        <v>5</v>
      </c>
      <c r="QP178" s="24" t="n">
        <v>11.42</v>
      </c>
      <c r="QQ178" s="24" t="n">
        <v>0</v>
      </c>
      <c r="QR178" s="24" t="n">
        <v>0</v>
      </c>
      <c r="QS178" s="24" t="n">
        <v>0</v>
      </c>
      <c r="QT178" s="24" t="n">
        <v>0.73</v>
      </c>
      <c r="QU178" s="24" t="n">
        <v>0</v>
      </c>
      <c r="QV178" s="24" t="n">
        <v>87.85</v>
      </c>
      <c r="QW178" s="24" t="n">
        <v>0</v>
      </c>
      <c r="QX178" s="24" t="n">
        <v>0</v>
      </c>
      <c r="QY178" s="24" t="n">
        <v>0</v>
      </c>
      <c r="QZ178" s="24" t="n">
        <v>0</v>
      </c>
      <c r="RA178" s="24" t="n">
        <v>0.75</v>
      </c>
      <c r="RB178" s="24" t="n">
        <v>55.82</v>
      </c>
      <c r="RC178" s="24" t="n">
        <v>1.79</v>
      </c>
      <c r="RD178" s="24" t="n">
        <v>0</v>
      </c>
      <c r="RE178" s="24" t="n">
        <v>0</v>
      </c>
      <c r="RF178" s="24" t="n">
        <v>0</v>
      </c>
      <c r="RG178" s="24" t="n">
        <v>0</v>
      </c>
      <c r="RT178" s="24" t="n">
        <v>0</v>
      </c>
      <c r="RU178" s="24" t="n">
        <v>1</v>
      </c>
      <c r="RV178" s="24" t="n">
        <v>34</v>
      </c>
      <c r="RW178" s="24" t="n">
        <v>10</v>
      </c>
      <c r="RX178" s="24" t="n">
        <f aca="false">0.01+0.19+0.01+0.04+0.06+0.34+0.08+1.06+0.08+0.23</f>
        <v>2.1</v>
      </c>
      <c r="RY178" s="24" t="n">
        <v>1</v>
      </c>
      <c r="SF178" s="28"/>
      <c r="SX178" s="24" t="n">
        <v>1</v>
      </c>
      <c r="SY178" s="24" t="n">
        <v>30</v>
      </c>
      <c r="SZ178" s="24" t="n">
        <v>4</v>
      </c>
      <c r="TA178" s="24" t="n">
        <f aca="false">0.17*2+0.96*2</f>
        <v>2.26</v>
      </c>
      <c r="TB178" s="24" t="n">
        <v>3</v>
      </c>
      <c r="UI178" s="27" t="n">
        <v>0</v>
      </c>
      <c r="UJ178" s="27" t="n">
        <v>0</v>
      </c>
      <c r="UK178" s="27"/>
      <c r="UL178" s="27"/>
      <c r="UM178" s="27"/>
      <c r="UN178" s="27"/>
      <c r="UO178" s="27"/>
      <c r="UP178" s="27"/>
      <c r="UQ178" s="27"/>
      <c r="UR178" s="27"/>
      <c r="US178" s="27"/>
      <c r="UT178" s="27" t="n">
        <v>0</v>
      </c>
      <c r="UU178" s="27" t="n">
        <v>0</v>
      </c>
      <c r="UV178" s="27"/>
      <c r="UW178" s="27"/>
      <c r="UX178" s="27" t="n">
        <v>1.2</v>
      </c>
      <c r="UY178" s="27" t="n">
        <v>0</v>
      </c>
      <c r="UZ178" s="27" t="n">
        <v>0</v>
      </c>
      <c r="VA178" s="24" t="n">
        <v>6</v>
      </c>
      <c r="VB178" s="24" t="s">
        <v>647</v>
      </c>
      <c r="VC178" s="24" t="n">
        <v>8.5</v>
      </c>
      <c r="VD178" s="27" t="n">
        <v>78.5</v>
      </c>
      <c r="VE178" s="27" t="n">
        <v>79.94</v>
      </c>
      <c r="VF178" s="27" t="n">
        <v>6.5</v>
      </c>
      <c r="VG178" s="24" t="n">
        <v>75.01</v>
      </c>
      <c r="VH178" s="24" t="n">
        <v>0</v>
      </c>
      <c r="VI178" s="24" t="n">
        <v>0</v>
      </c>
      <c r="VJ178" s="24" t="n">
        <v>0.99</v>
      </c>
      <c r="VK178" s="24" t="n">
        <v>1.23</v>
      </c>
      <c r="VL178" s="24" t="n">
        <v>0.75</v>
      </c>
      <c r="VM178" s="24" t="n">
        <v>22.03</v>
      </c>
      <c r="VN178" s="24" t="n">
        <v>0</v>
      </c>
      <c r="VO178" s="24" t="n">
        <v>0</v>
      </c>
      <c r="VP178" s="24" t="n">
        <v>0.71</v>
      </c>
      <c r="VQ178" s="24" t="n">
        <v>0</v>
      </c>
      <c r="VR178" s="24" t="n">
        <v>1.15</v>
      </c>
      <c r="VS178" s="24" t="n">
        <v>23.76</v>
      </c>
      <c r="VT178" s="24" t="n">
        <v>0.88</v>
      </c>
      <c r="VU178" s="24" t="n">
        <v>0</v>
      </c>
      <c r="VV178" s="24" t="n">
        <v>0</v>
      </c>
      <c r="VW178" s="24" t="n">
        <v>0</v>
      </c>
      <c r="VX178" s="24" t="n">
        <v>0</v>
      </c>
      <c r="WK178" s="24" t="n">
        <v>0.6</v>
      </c>
      <c r="WL178" s="24" t="n">
        <v>1</v>
      </c>
      <c r="WM178" s="24" t="n">
        <v>52</v>
      </c>
      <c r="WN178" s="24" t="n">
        <v>2</v>
      </c>
      <c r="WO178" s="24" t="n">
        <f aca="false">0.06+0.34</f>
        <v>0.4</v>
      </c>
      <c r="WP178" s="24" t="n">
        <v>2</v>
      </c>
      <c r="WW178" s="28"/>
      <c r="XO178" s="24" t="n">
        <v>0</v>
      </c>
      <c r="YZ178" s="27" t="n">
        <v>0</v>
      </c>
      <c r="ZA178" s="27" t="n">
        <v>0</v>
      </c>
      <c r="ZB178" s="27"/>
      <c r="ZC178" s="27"/>
      <c r="ZD178" s="27"/>
      <c r="ZE178" s="27"/>
      <c r="ZF178" s="27"/>
      <c r="ZG178" s="27"/>
      <c r="ZH178" s="27"/>
      <c r="ZI178" s="27"/>
      <c r="ZJ178" s="27"/>
      <c r="ZK178" s="27" t="n">
        <v>0</v>
      </c>
      <c r="ZL178" s="27" t="n">
        <v>0</v>
      </c>
      <c r="ZM178" s="27"/>
      <c r="ZN178" s="27"/>
      <c r="ZO178" s="27" t="n">
        <v>1.2</v>
      </c>
      <c r="ZP178" s="27" t="n">
        <v>0</v>
      </c>
      <c r="ZQ178" s="27" t="n">
        <v>0</v>
      </c>
      <c r="ZR178" s="24" t="n">
        <v>4</v>
      </c>
      <c r="ZS178" s="24" t="s">
        <v>648</v>
      </c>
      <c r="ZT178" s="24" t="n">
        <v>14</v>
      </c>
      <c r="ZU178" s="27" t="n">
        <v>102.9</v>
      </c>
      <c r="ZV178" s="27" t="n">
        <v>79.94</v>
      </c>
      <c r="ZW178" s="27" t="n">
        <v>10.6</v>
      </c>
      <c r="ZX178" s="24" t="n">
        <v>87.31</v>
      </c>
      <c r="ZY178" s="24" t="n">
        <v>0</v>
      </c>
      <c r="ZZ178" s="24" t="n">
        <v>0</v>
      </c>
      <c r="AAA178" s="24" t="n">
        <v>0</v>
      </c>
      <c r="AAB178" s="24" t="n">
        <v>8.4</v>
      </c>
      <c r="AAC178" s="24" t="n">
        <v>0</v>
      </c>
      <c r="AAD178" s="24" t="n">
        <v>4.29</v>
      </c>
      <c r="AAE178" s="24" t="n">
        <v>0</v>
      </c>
      <c r="AAF178" s="24" t="n">
        <v>0</v>
      </c>
      <c r="AAG178" s="24" t="n">
        <v>0</v>
      </c>
      <c r="AAH178" s="24" t="n">
        <v>0</v>
      </c>
      <c r="AAI178" s="24" t="n">
        <v>2.58</v>
      </c>
      <c r="AAJ178" s="24" t="n">
        <v>9.74</v>
      </c>
      <c r="AAK178" s="24" t="n">
        <v>6.56</v>
      </c>
      <c r="AAL178" s="24" t="n">
        <v>0</v>
      </c>
      <c r="AAM178" s="24" t="n">
        <v>0</v>
      </c>
      <c r="AAN178" s="24" t="n">
        <v>0</v>
      </c>
      <c r="AAO178" s="24" t="n">
        <v>0</v>
      </c>
      <c r="ABB178" s="24" t="n">
        <v>0</v>
      </c>
      <c r="ABC178" s="24" t="n">
        <v>0</v>
      </c>
      <c r="ABN178" s="28"/>
      <c r="ACF178" s="24" t="n">
        <v>0</v>
      </c>
      <c r="ADQ178" s="27" t="n">
        <v>3</v>
      </c>
      <c r="ADR178" s="27" t="n">
        <v>0</v>
      </c>
      <c r="ADS178" s="27"/>
      <c r="ADT178" s="27"/>
      <c r="ADU178" s="27"/>
      <c r="ADV178" s="27"/>
      <c r="ADW178" s="27"/>
      <c r="ADX178" s="27"/>
      <c r="ADY178" s="27"/>
      <c r="ADZ178" s="27"/>
      <c r="AEA178" s="27"/>
      <c r="AEB178" s="27" t="n">
        <v>0</v>
      </c>
      <c r="AEC178" s="27" t="n">
        <v>0</v>
      </c>
      <c r="AED178" s="27"/>
      <c r="AEE178" s="27"/>
      <c r="AEF178" s="27" t="n">
        <v>0</v>
      </c>
      <c r="AEG178" s="27" t="n">
        <v>0</v>
      </c>
      <c r="AEH178" s="27" t="n">
        <v>0</v>
      </c>
      <c r="AEI178" s="24" t="n">
        <v>1</v>
      </c>
      <c r="AEJ178" s="33"/>
      <c r="AEK178" s="21"/>
      <c r="AEL178" s="21"/>
      <c r="AEN178" s="33"/>
      <c r="AEO178" s="33"/>
      <c r="AER178" s="33"/>
      <c r="AES178" s="21"/>
      <c r="AET178" s="21"/>
      <c r="AEV178" s="33"/>
      <c r="AEW178" s="33"/>
      <c r="AEZ178" s="33"/>
      <c r="AFA178" s="21"/>
      <c r="AFB178" s="21"/>
      <c r="AFD178" s="33"/>
      <c r="AFE178" s="33"/>
      <c r="AFH178" s="33"/>
      <c r="AFI178" s="21"/>
      <c r="AFJ178" s="21"/>
      <c r="AFL178" s="33"/>
      <c r="AFM178" s="33"/>
      <c r="AFP178" s="33"/>
      <c r="AFQ178" s="21"/>
      <c r="AFR178" s="21"/>
      <c r="AFT178" s="33"/>
      <c r="AFU178" s="33"/>
      <c r="AFX178" s="33"/>
      <c r="AFY178" s="21"/>
      <c r="AFZ178" s="21"/>
      <c r="AGB178" s="33"/>
      <c r="AGC178" s="33"/>
      <c r="AGF178" s="33"/>
      <c r="AGG178" s="21"/>
      <c r="AGH178" s="21"/>
      <c r="AGJ178" s="33"/>
      <c r="AGK178" s="33"/>
      <c r="AGN178" s="33"/>
      <c r="AGO178" s="21"/>
      <c r="AGP178" s="21"/>
      <c r="AGR178" s="33"/>
      <c r="AGS178" s="33"/>
      <c r="AGV178" s="33"/>
      <c r="AGW178" s="21"/>
      <c r="AGX178" s="21"/>
      <c r="AGZ178" s="33"/>
      <c r="AHA178" s="33"/>
      <c r="AHD178" s="33"/>
      <c r="AHE178" s="21"/>
      <c r="AHF178" s="21"/>
      <c r="AHH178" s="33"/>
      <c r="AHI178" s="33"/>
      <c r="AHL178" s="33"/>
      <c r="AHM178" s="21"/>
      <c r="AHN178" s="21"/>
      <c r="AHP178" s="33"/>
      <c r="AHQ178" s="33"/>
      <c r="AHT178" s="33"/>
      <c r="AHU178" s="21"/>
      <c r="AHV178" s="21"/>
      <c r="AHX178" s="33"/>
      <c r="AHY178" s="33"/>
      <c r="AIB178" s="33"/>
      <c r="AIC178" s="21"/>
      <c r="AID178" s="21"/>
      <c r="AIF178" s="33"/>
      <c r="AIG178" s="33"/>
      <c r="AIJ178" s="33"/>
      <c r="AIK178" s="21"/>
      <c r="AIL178" s="21"/>
      <c r="AIN178" s="33"/>
      <c r="AIO178" s="33"/>
      <c r="AIR178" s="33"/>
      <c r="AIS178" s="21"/>
      <c r="AIT178" s="21"/>
      <c r="AIV178" s="33"/>
      <c r="AIW178" s="33"/>
      <c r="AIZ178" s="33"/>
      <c r="AJA178" s="21"/>
      <c r="AJB178" s="21"/>
      <c r="AJD178" s="33"/>
      <c r="AJE178" s="33"/>
      <c r="AJH178" s="33"/>
      <c r="AJI178" s="21"/>
      <c r="AJJ178" s="21"/>
      <c r="AJL178" s="33"/>
      <c r="AJM178" s="33"/>
      <c r="AJP178" s="33"/>
      <c r="AJQ178" s="21"/>
      <c r="AJR178" s="21"/>
      <c r="AJT178" s="33"/>
      <c r="AJU178" s="33"/>
      <c r="AJX178" s="33"/>
      <c r="AJY178" s="21"/>
      <c r="AJZ178" s="21"/>
      <c r="AKB178" s="33"/>
      <c r="AKC178" s="33"/>
      <c r="AKF178" s="33"/>
      <c r="AKG178" s="21"/>
      <c r="AKH178" s="21"/>
      <c r="AKJ178" s="33"/>
      <c r="AKK178" s="33"/>
      <c r="AKN178" s="33"/>
      <c r="AKO178" s="21"/>
      <c r="AKP178" s="21"/>
      <c r="AKR178" s="33"/>
      <c r="AKS178" s="33"/>
      <c r="AKV178" s="33"/>
      <c r="AKW178" s="21"/>
      <c r="AKX178" s="21"/>
      <c r="AKZ178" s="33"/>
      <c r="ALA178" s="33"/>
      <c r="ALD178" s="33"/>
      <c r="ALE178" s="21"/>
      <c r="ALF178" s="21"/>
      <c r="ALH178" s="33"/>
      <c r="ALI178" s="33"/>
      <c r="ALL178" s="33"/>
      <c r="ALM178" s="21"/>
      <c r="ALN178" s="21"/>
      <c r="ALP178" s="33"/>
      <c r="ALQ178" s="33"/>
      <c r="ALT178" s="33"/>
      <c r="ALU178" s="21"/>
      <c r="ALV178" s="21"/>
      <c r="ALX178" s="33"/>
      <c r="ALY178" s="33"/>
      <c r="AMB178" s="33"/>
      <c r="AMC178" s="21"/>
      <c r="AMD178" s="21"/>
      <c r="AMF178" s="33"/>
      <c r="AMG178" s="33"/>
      <c r="AMJ178" s="33"/>
    </row>
    <row r="179" customFormat="false" ht="13.8" hidden="false" customHeight="false" outlineLevel="0" collapsed="false">
      <c r="A179" s="22" t="s">
        <v>657</v>
      </c>
      <c r="B179" s="23" t="n">
        <v>42907</v>
      </c>
      <c r="C179" s="24" t="n">
        <v>1</v>
      </c>
      <c r="D179" s="25" t="n">
        <v>40513</v>
      </c>
      <c r="E179" s="23" t="n">
        <v>28269</v>
      </c>
      <c r="F179" s="14" t="n">
        <f aca="false">(B179-E179)/365.25</f>
        <v>40.0766598220397</v>
      </c>
      <c r="G179" s="14" t="n">
        <f aca="false">(B179-D179)/365.25</f>
        <v>6.55441478439425</v>
      </c>
      <c r="H179" s="21" t="s">
        <v>306</v>
      </c>
      <c r="I179" s="21" t="s">
        <v>658</v>
      </c>
      <c r="J179" s="21" t="s">
        <v>181</v>
      </c>
      <c r="K179" s="21" t="n">
        <v>8</v>
      </c>
      <c r="L179" s="26"/>
      <c r="M179" s="24" t="n">
        <v>1.56</v>
      </c>
      <c r="N179" s="27" t="n">
        <f aca="false">L179/(M179*M179)</f>
        <v>0</v>
      </c>
      <c r="O179" s="26" t="n">
        <v>1</v>
      </c>
      <c r="P179" s="26" t="n">
        <v>1</v>
      </c>
      <c r="Q179" s="26" t="s">
        <v>659</v>
      </c>
      <c r="R179" s="26" t="n">
        <v>0</v>
      </c>
      <c r="S179" s="26" t="n">
        <v>0</v>
      </c>
      <c r="T179" s="26" t="n">
        <v>0</v>
      </c>
      <c r="U179" s="26" t="n">
        <v>1</v>
      </c>
      <c r="V179" s="26" t="n">
        <v>6</v>
      </c>
      <c r="W179" s="26" t="n">
        <v>0</v>
      </c>
      <c r="X179" s="26" t="n">
        <v>0</v>
      </c>
      <c r="Y179" s="19" t="n">
        <v>0</v>
      </c>
      <c r="Z179" s="19" t="n">
        <v>0</v>
      </c>
      <c r="AA179" s="19" t="n">
        <v>0</v>
      </c>
      <c r="AB179" s="19" t="n">
        <v>0</v>
      </c>
      <c r="AC179" s="26" t="n">
        <v>0</v>
      </c>
      <c r="AD179" s="26" t="n">
        <v>0</v>
      </c>
      <c r="AE179" s="26" t="n">
        <v>1</v>
      </c>
      <c r="AF179" s="26" t="n">
        <v>0</v>
      </c>
      <c r="AG179" s="26" t="n">
        <v>0</v>
      </c>
      <c r="AH179" s="26" t="n">
        <v>0</v>
      </c>
      <c r="AI179" s="26" t="n">
        <v>3</v>
      </c>
      <c r="AJ179" s="26" t="n">
        <v>0</v>
      </c>
      <c r="AK179" s="26" t="n">
        <v>3</v>
      </c>
      <c r="AL179" s="26" t="n">
        <v>4</v>
      </c>
      <c r="AM179" s="26" t="n">
        <v>5</v>
      </c>
      <c r="AN179" s="26" t="n">
        <v>1</v>
      </c>
      <c r="AO179" s="26" t="n">
        <v>1</v>
      </c>
      <c r="AP179" s="26" t="n">
        <v>1</v>
      </c>
      <c r="AQ179" s="26" t="n">
        <v>3</v>
      </c>
      <c r="AR179" s="26" t="n">
        <v>3</v>
      </c>
      <c r="AS179" s="26" t="n">
        <v>3</v>
      </c>
      <c r="AT179" s="26" t="n">
        <v>0</v>
      </c>
      <c r="AU179" s="26" t="n">
        <v>0</v>
      </c>
      <c r="AV179" s="26" t="n">
        <v>0</v>
      </c>
      <c r="AW179" s="26" t="n">
        <v>0</v>
      </c>
      <c r="AX179" s="26" t="n">
        <v>1</v>
      </c>
      <c r="AY179" s="26" t="n">
        <v>0</v>
      </c>
      <c r="AZ179" s="26" t="n">
        <v>0</v>
      </c>
      <c r="BA179" s="26" t="n">
        <v>0</v>
      </c>
      <c r="BB179" s="26" t="n">
        <v>0</v>
      </c>
      <c r="BC179" s="26" t="n">
        <v>0</v>
      </c>
      <c r="BD179" s="26" t="n">
        <v>0</v>
      </c>
      <c r="BE179" s="26" t="n">
        <v>0</v>
      </c>
      <c r="BF179" s="26" t="n">
        <v>0</v>
      </c>
      <c r="BG179" s="26" t="n">
        <v>0</v>
      </c>
      <c r="BH179" s="26" t="n">
        <v>0</v>
      </c>
      <c r="BI179" s="26" t="n">
        <v>0</v>
      </c>
      <c r="BJ179" s="26" t="n">
        <v>0</v>
      </c>
      <c r="BK179" s="26" t="n">
        <v>0</v>
      </c>
      <c r="BL179" s="26" t="n">
        <v>0</v>
      </c>
      <c r="BM179" s="26" t="n">
        <v>0</v>
      </c>
      <c r="BN179" s="26" t="n">
        <v>0</v>
      </c>
      <c r="BO179" s="26" t="n">
        <v>0</v>
      </c>
      <c r="BP179" s="26" t="n">
        <v>0</v>
      </c>
      <c r="BQ179" s="26" t="n">
        <v>0</v>
      </c>
      <c r="BR179" s="26" t="n">
        <v>1</v>
      </c>
      <c r="BS179" s="26" t="n">
        <v>1</v>
      </c>
      <c r="BT179" s="26" t="n">
        <v>1</v>
      </c>
      <c r="BU179" s="26" t="n">
        <v>5</v>
      </c>
      <c r="BV179" s="26" t="n">
        <v>3</v>
      </c>
      <c r="BW179" s="26" t="n">
        <v>2</v>
      </c>
      <c r="BX179" s="26" t="n">
        <v>2</v>
      </c>
      <c r="BY179" s="26" t="n">
        <v>5</v>
      </c>
      <c r="BZ179" s="26" t="n">
        <v>5</v>
      </c>
      <c r="CA179" s="26" t="n">
        <v>5</v>
      </c>
      <c r="CB179" s="26" t="n">
        <v>5</v>
      </c>
      <c r="CC179" s="26" t="n">
        <v>5</v>
      </c>
      <c r="CD179" s="26" t="n">
        <v>5</v>
      </c>
      <c r="CE179" s="26" t="n">
        <v>5</v>
      </c>
      <c r="CF179" s="26" t="n">
        <v>5</v>
      </c>
      <c r="CG179" s="26" t="n">
        <v>5</v>
      </c>
      <c r="CH179" s="26" t="n">
        <v>5</v>
      </c>
      <c r="CI179" s="26" t="n">
        <v>5</v>
      </c>
      <c r="CJ179" s="26" t="n">
        <v>5</v>
      </c>
      <c r="CK179" s="26" t="n">
        <v>9</v>
      </c>
      <c r="CL179" s="0" t="s">
        <v>660</v>
      </c>
      <c r="CM179" s="0" t="n">
        <v>35.5</v>
      </c>
      <c r="CN179" s="16" t="n">
        <v>93.5</v>
      </c>
      <c r="CO179" s="16" t="n">
        <v>83.4</v>
      </c>
      <c r="CP179" s="16" t="n">
        <v>18.2</v>
      </c>
      <c r="CQ179" s="0" t="n">
        <v>81.82</v>
      </c>
      <c r="CR179" s="0" t="n">
        <v>0</v>
      </c>
      <c r="CS179" s="0" t="n">
        <v>0</v>
      </c>
      <c r="CT179" s="0" t="n">
        <v>0</v>
      </c>
      <c r="CU179" s="0" t="n">
        <v>18.18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37.1</v>
      </c>
      <c r="DC179" s="0" t="n">
        <v>47.46</v>
      </c>
      <c r="DD179" s="0" t="n">
        <v>20.37</v>
      </c>
      <c r="DE179" s="0" t="n">
        <v>3.52</v>
      </c>
      <c r="DF179" s="0" t="n">
        <v>0</v>
      </c>
      <c r="DG179" s="0" t="n">
        <v>0</v>
      </c>
      <c r="DH179" s="0" t="n">
        <v>0</v>
      </c>
      <c r="DU179" s="0" t="n">
        <v>8.4</v>
      </c>
      <c r="DV179" s="0" t="n">
        <v>0</v>
      </c>
      <c r="EG179" s="18"/>
      <c r="EY179" s="0" t="n">
        <v>1</v>
      </c>
      <c r="EZ179" s="0" t="n">
        <v>80</v>
      </c>
      <c r="FA179" s="0" t="n">
        <v>9</v>
      </c>
      <c r="FB179" s="0" t="n">
        <f aca="false">2.94*2+0.13</f>
        <v>6.01</v>
      </c>
      <c r="FC179" s="0" t="n">
        <v>3</v>
      </c>
      <c r="FD179" s="0" t="n">
        <v>50</v>
      </c>
      <c r="FE179" s="0" t="n">
        <v>4</v>
      </c>
      <c r="FF179" s="0" t="n">
        <v>5.56</v>
      </c>
      <c r="FG179" s="0" t="n">
        <v>3</v>
      </c>
      <c r="GJ179" s="16" t="n">
        <v>1.69</v>
      </c>
      <c r="GK179" s="16" t="n">
        <v>1</v>
      </c>
      <c r="GL179" s="16" t="n">
        <v>1</v>
      </c>
      <c r="GM179" s="16"/>
      <c r="GN179" s="16" t="n">
        <v>3.6</v>
      </c>
      <c r="GO179" s="16"/>
      <c r="GP179" s="16"/>
      <c r="GQ179" s="16"/>
      <c r="GR179" s="16"/>
      <c r="GS179" s="16"/>
      <c r="GT179" s="16"/>
      <c r="GU179" s="16" t="n">
        <v>3.24</v>
      </c>
      <c r="GV179" s="16" t="n">
        <v>2.54</v>
      </c>
      <c r="GW179" s="16"/>
      <c r="GX179" s="16"/>
      <c r="GY179" s="16" t="n">
        <v>3.6</v>
      </c>
      <c r="GZ179" s="16" t="n">
        <v>8.8</v>
      </c>
      <c r="HA179" s="16" t="n">
        <v>0</v>
      </c>
      <c r="HB179" s="0" t="n">
        <v>0</v>
      </c>
      <c r="HC179" s="0" t="s">
        <v>661</v>
      </c>
      <c r="HD179" s="0" t="n">
        <v>29</v>
      </c>
      <c r="HE179" s="16" t="n">
        <v>86.2</v>
      </c>
      <c r="HF179" s="16" t="n">
        <v>83.4</v>
      </c>
      <c r="HG179" s="16" t="n">
        <v>15.4</v>
      </c>
      <c r="HH179" s="0" t="n">
        <v>87</v>
      </c>
      <c r="HI179" s="0" t="n">
        <v>0</v>
      </c>
      <c r="HJ179" s="0" t="n">
        <v>0</v>
      </c>
      <c r="HK179" s="0" t="n">
        <v>0</v>
      </c>
      <c r="HL179" s="0" t="n">
        <v>13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37.36</v>
      </c>
      <c r="HT179" s="0" t="n">
        <v>46.33</v>
      </c>
      <c r="HU179" s="0" t="n">
        <v>18.45</v>
      </c>
      <c r="HV179" s="0" t="n">
        <v>0</v>
      </c>
      <c r="HW179" s="0" t="n">
        <v>0</v>
      </c>
      <c r="HX179" s="0" t="n">
        <v>0</v>
      </c>
      <c r="HY179" s="0" t="n">
        <v>0</v>
      </c>
      <c r="IL179" s="0" t="n">
        <v>8.3</v>
      </c>
      <c r="IM179" s="0" t="n">
        <v>0</v>
      </c>
      <c r="IX179" s="18"/>
      <c r="JP179" s="0" t="n">
        <v>1</v>
      </c>
      <c r="JQ179" s="0" t="n">
        <v>80</v>
      </c>
      <c r="JR179" s="0" t="n">
        <v>9</v>
      </c>
      <c r="JS179" s="0" t="n">
        <v>6.01</v>
      </c>
      <c r="JT179" s="0" t="n">
        <v>3</v>
      </c>
      <c r="LA179" s="16" t="n">
        <v>1.8</v>
      </c>
      <c r="LB179" s="16" t="n">
        <v>1</v>
      </c>
      <c r="LC179" s="16" t="n">
        <v>1</v>
      </c>
      <c r="LD179" s="16"/>
      <c r="LE179" s="16" t="n">
        <v>3.6</v>
      </c>
      <c r="LF179" s="16"/>
      <c r="LG179" s="16"/>
      <c r="LH179" s="16"/>
      <c r="LI179" s="16"/>
      <c r="LJ179" s="16"/>
      <c r="LK179" s="16"/>
      <c r="LL179" s="16" t="n">
        <v>0.54</v>
      </c>
      <c r="LM179" s="16" t="n">
        <v>0.13</v>
      </c>
      <c r="LN179" s="16"/>
      <c r="LO179" s="16"/>
      <c r="LP179" s="16" t="n">
        <v>2.88</v>
      </c>
      <c r="LQ179" s="16" t="n">
        <v>6.91</v>
      </c>
      <c r="LR179" s="16" t="n">
        <v>0</v>
      </c>
      <c r="LS179" s="0" t="n">
        <v>0</v>
      </c>
      <c r="LT179" s="0" t="s">
        <v>662</v>
      </c>
      <c r="LU179" s="0" t="n">
        <v>46.5</v>
      </c>
      <c r="LV179" s="16" t="n">
        <v>69.2</v>
      </c>
      <c r="LW179" s="16" t="n">
        <v>83.4</v>
      </c>
      <c r="LX179" s="16" t="n">
        <v>28.7</v>
      </c>
      <c r="LY179" s="0" t="n">
        <v>53.82</v>
      </c>
      <c r="LZ179" s="0" t="n">
        <v>0</v>
      </c>
      <c r="MA179" s="0" t="n">
        <v>0</v>
      </c>
      <c r="MB179" s="0" t="n">
        <v>0</v>
      </c>
      <c r="MC179" s="0" t="n">
        <v>46.18</v>
      </c>
      <c r="MD179" s="0" t="n">
        <v>0</v>
      </c>
      <c r="ME179" s="0" t="n">
        <v>0</v>
      </c>
      <c r="MF179" s="0" t="n">
        <v>0</v>
      </c>
      <c r="MG179" s="0" t="n">
        <v>0</v>
      </c>
      <c r="MH179" s="0" t="n">
        <v>0</v>
      </c>
      <c r="MI179" s="0" t="n">
        <v>0</v>
      </c>
      <c r="MJ179" s="0" t="n">
        <v>0</v>
      </c>
      <c r="MK179" s="0" t="n">
        <v>5.46</v>
      </c>
      <c r="ML179" s="0" t="n">
        <v>46.31</v>
      </c>
      <c r="MM179" s="0" t="n">
        <v>1.06</v>
      </c>
      <c r="MN179" s="0" t="n">
        <v>0</v>
      </c>
      <c r="MO179" s="0" t="n">
        <v>0</v>
      </c>
      <c r="MP179" s="0" t="n">
        <v>0</v>
      </c>
      <c r="NC179" s="0" t="n">
        <v>13.3</v>
      </c>
      <c r="ND179" s="0" t="n">
        <v>1</v>
      </c>
      <c r="NE179" s="0" t="n">
        <v>52</v>
      </c>
      <c r="NF179" s="0" t="n">
        <v>23</v>
      </c>
      <c r="NG179" s="0" t="n">
        <f aca="false">7.18+2.15+0.07+0.84+0.15+0.14+0.12</f>
        <v>10.65</v>
      </c>
      <c r="NH179" s="0" t="n">
        <v>2</v>
      </c>
      <c r="NO179" s="18"/>
      <c r="OG179" s="0" t="n">
        <v>0</v>
      </c>
      <c r="PR179" s="16" t="n">
        <v>1.39</v>
      </c>
      <c r="PS179" s="16" t="n">
        <v>1</v>
      </c>
      <c r="PT179" s="16" t="n">
        <v>1</v>
      </c>
      <c r="PU179" s="16"/>
      <c r="PV179" s="16" t="n">
        <f aca="false">1.32*2+1.62</f>
        <v>4.26</v>
      </c>
      <c r="PW179" s="16"/>
      <c r="PX179" s="16"/>
      <c r="PY179" s="16"/>
      <c r="PZ179" s="16"/>
      <c r="QA179" s="16"/>
      <c r="QB179" s="16"/>
      <c r="QC179" s="16" t="n">
        <v>0</v>
      </c>
      <c r="QD179" s="16" t="n">
        <v>0</v>
      </c>
      <c r="QE179" s="16"/>
      <c r="QF179" s="16"/>
      <c r="QG179" s="16" t="n">
        <v>2.88</v>
      </c>
      <c r="QH179" s="16" t="n">
        <v>5.21</v>
      </c>
      <c r="QI179" s="16" t="n">
        <v>0</v>
      </c>
      <c r="QJ179" s="0" t="n">
        <v>0</v>
      </c>
      <c r="QK179" s="0" t="s">
        <v>663</v>
      </c>
      <c r="QL179" s="0" t="n">
        <v>43.5</v>
      </c>
      <c r="QM179" s="16" t="n">
        <v>71.7</v>
      </c>
      <c r="QN179" s="16" t="n">
        <v>83.4</v>
      </c>
      <c r="QO179" s="16" t="n">
        <v>26.2</v>
      </c>
      <c r="QP179" s="0" t="n">
        <v>62.72</v>
      </c>
      <c r="QQ179" s="0" t="n">
        <v>0</v>
      </c>
      <c r="QR179" s="0" t="n">
        <v>0</v>
      </c>
      <c r="QS179" s="0" t="n">
        <v>0</v>
      </c>
      <c r="QT179" s="0" t="n">
        <v>37.28</v>
      </c>
      <c r="QU179" s="0" t="n">
        <v>0</v>
      </c>
      <c r="QV179" s="0" t="n">
        <v>0</v>
      </c>
      <c r="QW179" s="0" t="n">
        <v>0</v>
      </c>
      <c r="QX179" s="0" t="n">
        <v>0</v>
      </c>
      <c r="QY179" s="0" t="n">
        <v>0</v>
      </c>
      <c r="QZ179" s="0" t="n">
        <v>0</v>
      </c>
      <c r="RA179" s="0" t="n">
        <v>0</v>
      </c>
      <c r="RB179" s="0" t="n">
        <v>5.91</v>
      </c>
      <c r="RC179" s="0" t="n">
        <v>43.24</v>
      </c>
      <c r="RD179" s="0" t="n">
        <v>0.36</v>
      </c>
      <c r="RE179" s="0" t="n">
        <v>0</v>
      </c>
      <c r="RF179" s="0" t="n">
        <v>0</v>
      </c>
      <c r="RG179" s="0" t="n">
        <v>0</v>
      </c>
      <c r="RT179" s="0" t="n">
        <v>12.7</v>
      </c>
      <c r="RU179" s="0" t="n">
        <v>1</v>
      </c>
      <c r="RV179" s="0" t="n">
        <v>52</v>
      </c>
      <c r="RW179" s="0" t="n">
        <v>13</v>
      </c>
      <c r="RX179" s="0" t="n">
        <f aca="false">7.18+2.15</f>
        <v>9.33</v>
      </c>
      <c r="RY179" s="0" t="n">
        <v>2</v>
      </c>
      <c r="SF179" s="18"/>
      <c r="SX179" s="0" t="n">
        <v>0</v>
      </c>
      <c r="UI179" s="16" t="n">
        <v>1.39</v>
      </c>
      <c r="UJ179" s="16" t="n">
        <v>1</v>
      </c>
      <c r="UK179" s="16" t="n">
        <v>1</v>
      </c>
      <c r="UL179" s="16"/>
      <c r="UM179" s="16" t="n">
        <f aca="false">1.32*2+1.62</f>
        <v>4.26</v>
      </c>
      <c r="UN179" s="16"/>
      <c r="UO179" s="16"/>
      <c r="UP179" s="16"/>
      <c r="UQ179" s="16"/>
      <c r="UR179" s="16"/>
      <c r="US179" s="16"/>
      <c r="UT179" s="16" t="n">
        <v>0</v>
      </c>
      <c r="UU179" s="16" t="n">
        <v>0</v>
      </c>
      <c r="UV179" s="16"/>
      <c r="UW179" s="16"/>
      <c r="UX179" s="16" t="n">
        <v>2.88</v>
      </c>
      <c r="UY179" s="16" t="n">
        <v>5.57</v>
      </c>
      <c r="UZ179" s="16" t="n">
        <v>0</v>
      </c>
      <c r="VA179" s="0" t="n">
        <v>0</v>
      </c>
      <c r="VB179" s="0" t="s">
        <v>664</v>
      </c>
      <c r="VC179" s="0" t="n">
        <v>46</v>
      </c>
      <c r="VD179" s="16" t="n">
        <v>97.8</v>
      </c>
      <c r="VE179" s="16" t="n">
        <v>83.4</v>
      </c>
      <c r="VF179" s="16" t="n">
        <v>9.8</v>
      </c>
      <c r="VG179" s="0" t="n">
        <v>97.48</v>
      </c>
      <c r="VH179" s="0" t="n">
        <v>0</v>
      </c>
      <c r="VI179" s="0" t="n">
        <v>1.83</v>
      </c>
      <c r="VJ179" s="0" t="n">
        <v>0</v>
      </c>
      <c r="VK179" s="0" t="n">
        <v>0</v>
      </c>
      <c r="VL179" s="0" t="n">
        <v>0</v>
      </c>
      <c r="VM179" s="0" t="n">
        <v>0</v>
      </c>
      <c r="VN179" s="0" t="n">
        <v>0</v>
      </c>
      <c r="VO179" s="0" t="n">
        <v>0</v>
      </c>
      <c r="VP179" s="0" t="n">
        <v>0</v>
      </c>
      <c r="VQ179" s="0" t="n">
        <v>0</v>
      </c>
      <c r="VR179" s="0" t="n">
        <v>3.67</v>
      </c>
      <c r="VS179" s="0" t="n">
        <v>10.58</v>
      </c>
      <c r="VT179" s="0" t="n">
        <v>65.89</v>
      </c>
      <c r="VU179" s="0" t="n">
        <v>0</v>
      </c>
      <c r="VV179" s="0" t="n">
        <v>0</v>
      </c>
      <c r="VW179" s="0" t="n">
        <v>0</v>
      </c>
      <c r="VX179" s="0" t="n">
        <v>0</v>
      </c>
      <c r="WK179" s="0" t="n">
        <v>29.3</v>
      </c>
      <c r="WL179" s="0" t="n">
        <v>1</v>
      </c>
      <c r="WM179" s="0" t="n">
        <v>40</v>
      </c>
      <c r="WN179" s="0" t="n">
        <v>10</v>
      </c>
      <c r="WO179" s="0" t="n">
        <f aca="false">0.91+0.39</f>
        <v>1.3</v>
      </c>
      <c r="WP179" s="0" t="n">
        <v>2</v>
      </c>
      <c r="WQ179" s="0" t="n">
        <v>35</v>
      </c>
      <c r="WR179" s="0" t="n">
        <v>10</v>
      </c>
      <c r="WS179" s="0" t="n">
        <f aca="false">0.58+1.36</f>
        <v>1.94</v>
      </c>
      <c r="WT179" s="0" t="n">
        <v>3</v>
      </c>
      <c r="WW179" s="18"/>
      <c r="XO179" s="0" t="n">
        <v>1</v>
      </c>
      <c r="XP179" s="0" t="n">
        <v>60</v>
      </c>
      <c r="XQ179" s="0" t="n">
        <v>5</v>
      </c>
      <c r="XR179" s="0" t="n">
        <v>3.67</v>
      </c>
      <c r="XS179" s="0" t="n">
        <v>3</v>
      </c>
      <c r="XT179" s="0" t="n">
        <v>30</v>
      </c>
      <c r="XU179" s="0" t="n">
        <v>6</v>
      </c>
      <c r="XV179" s="0" t="n">
        <v>5.87</v>
      </c>
      <c r="XW179" s="0" t="n">
        <v>4</v>
      </c>
      <c r="YZ179" s="16" t="n">
        <v>1.87</v>
      </c>
      <c r="ZA179" s="16" t="n">
        <v>1</v>
      </c>
      <c r="ZB179" s="16" t="n">
        <v>1</v>
      </c>
      <c r="ZC179" s="16"/>
      <c r="ZD179" s="16" t="n">
        <f aca="false">2.04*2</f>
        <v>4.08</v>
      </c>
      <c r="ZE179" s="16" t="n">
        <v>2</v>
      </c>
      <c r="ZF179" s="16"/>
      <c r="ZG179" s="16" t="n">
        <f aca="false">0.36*2</f>
        <v>0.72</v>
      </c>
      <c r="ZH179" s="16"/>
      <c r="ZI179" s="16"/>
      <c r="ZJ179" s="16"/>
      <c r="ZK179" s="16" t="n">
        <v>5.07</v>
      </c>
      <c r="ZL179" s="16" t="n">
        <v>2.33</v>
      </c>
      <c r="ZM179" s="16"/>
      <c r="ZN179" s="16"/>
      <c r="ZO179" s="16" t="n">
        <v>0</v>
      </c>
      <c r="ZP179" s="16" t="n">
        <v>0</v>
      </c>
      <c r="ZQ179" s="16" t="n">
        <v>0</v>
      </c>
      <c r="ZR179" s="0" t="n">
        <v>0</v>
      </c>
      <c r="ZS179" s="0" t="s">
        <v>665</v>
      </c>
      <c r="ZT179" s="0" t="n">
        <v>49.5</v>
      </c>
      <c r="ZU179" s="16" t="n">
        <v>97.8</v>
      </c>
      <c r="ZV179" s="16" t="n">
        <v>83.4</v>
      </c>
      <c r="ZW179" s="16" t="n">
        <v>9.9</v>
      </c>
      <c r="ZX179" s="0" t="n">
        <v>97.48</v>
      </c>
      <c r="ZY179" s="0" t="n">
        <v>0</v>
      </c>
      <c r="ZZ179" s="0" t="n">
        <v>1.83</v>
      </c>
      <c r="AAA179" s="0" t="n">
        <v>0</v>
      </c>
      <c r="AAB179" s="0" t="n">
        <v>0.68</v>
      </c>
      <c r="AAC179" s="0" t="n">
        <v>0</v>
      </c>
      <c r="AAD179" s="0" t="n">
        <v>0</v>
      </c>
      <c r="AAE179" s="0" t="n">
        <v>0</v>
      </c>
      <c r="AAF179" s="0" t="n">
        <v>0</v>
      </c>
      <c r="AAG179" s="0" t="n">
        <v>0</v>
      </c>
      <c r="AAH179" s="0" t="n">
        <v>0</v>
      </c>
      <c r="AAI179" s="0" t="n">
        <v>3.67</v>
      </c>
      <c r="AAJ179" s="0" t="n">
        <v>8.74</v>
      </c>
      <c r="AAK179" s="0" t="n">
        <v>67.72</v>
      </c>
      <c r="AAL179" s="0" t="n">
        <v>0</v>
      </c>
      <c r="AAM179" s="0" t="n">
        <v>0</v>
      </c>
      <c r="AAN179" s="0" t="n">
        <v>0</v>
      </c>
      <c r="AAO179" s="0" t="n">
        <v>0</v>
      </c>
      <c r="ABB179" s="0" t="n">
        <v>32.5</v>
      </c>
      <c r="ABC179" s="0" t="n">
        <v>1</v>
      </c>
      <c r="ABD179" s="0" t="n">
        <v>30</v>
      </c>
      <c r="ABE179" s="0" t="n">
        <v>11</v>
      </c>
      <c r="ABF179" s="0" t="n">
        <f aca="false">6.61+5.5</f>
        <v>12.11</v>
      </c>
      <c r="ABG179" s="0" t="n">
        <v>4</v>
      </c>
      <c r="ABH179" s="0" t="n">
        <v>40</v>
      </c>
      <c r="ABI179" s="0" t="n">
        <v>12</v>
      </c>
      <c r="ABJ179" s="0" t="n">
        <f aca="false">2.2+1.47+0.91</f>
        <v>4.58</v>
      </c>
      <c r="ABK179" s="0" t="n">
        <v>2</v>
      </c>
      <c r="ABL179" s="0" t="n">
        <v>35</v>
      </c>
      <c r="ABM179" s="0" t="n">
        <v>10</v>
      </c>
      <c r="ABN179" s="18" t="n">
        <f aca="false">1.36+0.58</f>
        <v>1.94</v>
      </c>
      <c r="ABO179" s="0" t="n">
        <v>3</v>
      </c>
      <c r="ABP179" s="0" t="n">
        <v>78</v>
      </c>
      <c r="ABQ179" s="0" t="n">
        <v>3</v>
      </c>
      <c r="ABR179" s="0" t="n">
        <v>0.39</v>
      </c>
      <c r="ABS179" s="0" t="n">
        <v>2</v>
      </c>
      <c r="ACF179" s="0" t="n">
        <v>0</v>
      </c>
      <c r="ADQ179" s="16" t="n">
        <v>1.87</v>
      </c>
      <c r="ADR179" s="16" t="n">
        <v>1</v>
      </c>
      <c r="ADS179" s="16" t="n">
        <v>1</v>
      </c>
      <c r="ADT179" s="16"/>
      <c r="ADU179" s="16" t="n">
        <f aca="false">2.04*2</f>
        <v>4.08</v>
      </c>
      <c r="ADV179" s="16" t="n">
        <v>2</v>
      </c>
      <c r="ADW179" s="16"/>
      <c r="ADX179" s="16" t="n">
        <v>0.7</v>
      </c>
      <c r="ADY179" s="16"/>
      <c r="ADZ179" s="16"/>
      <c r="AEA179" s="16"/>
      <c r="AEB179" s="16" t="n">
        <v>5.01</v>
      </c>
      <c r="AEC179" s="16" t="n">
        <v>1.3</v>
      </c>
      <c r="AED179" s="16"/>
      <c r="AEE179" s="16"/>
      <c r="AEF179" s="16" t="n">
        <v>0</v>
      </c>
      <c r="AEG179" s="16" t="n">
        <v>0</v>
      </c>
      <c r="AEH179" s="16" t="n">
        <v>0</v>
      </c>
      <c r="AEI179" s="0" t="n">
        <v>0</v>
      </c>
      <c r="AEJ179" s="38" t="n">
        <v>120</v>
      </c>
      <c r="AEK179" s="0" t="n">
        <v>41</v>
      </c>
      <c r="AEL179" s="16" t="n">
        <v>75.9</v>
      </c>
      <c r="AEM179" s="16" t="n">
        <v>83.4</v>
      </c>
      <c r="AEN179" s="16" t="n">
        <v>13.8</v>
      </c>
      <c r="AEO179" s="0" t="n">
        <v>83.58</v>
      </c>
      <c r="AEP179" s="0" t="n">
        <v>0</v>
      </c>
      <c r="AEQ179" s="0" t="n">
        <v>0</v>
      </c>
      <c r="AER179" s="0" t="n">
        <v>0</v>
      </c>
      <c r="AES179" s="0" t="n">
        <v>9.73</v>
      </c>
      <c r="AET179" s="0" t="n">
        <v>0</v>
      </c>
      <c r="AEU179" s="0" t="n">
        <v>6.69</v>
      </c>
      <c r="AEV179" s="0" t="n">
        <v>0</v>
      </c>
      <c r="AEW179" s="0" t="n">
        <v>0</v>
      </c>
      <c r="AEX179" s="0" t="n">
        <v>0</v>
      </c>
      <c r="AEY179" s="0" t="n">
        <v>0</v>
      </c>
      <c r="AEZ179" s="0" t="n">
        <v>11.59</v>
      </c>
      <c r="AFA179" s="0" t="n">
        <v>26.54</v>
      </c>
      <c r="AFB179" s="0" t="n">
        <v>10.81</v>
      </c>
      <c r="AFC179" s="0" t="n">
        <v>6.87</v>
      </c>
      <c r="AFD179" s="0" t="n">
        <v>0</v>
      </c>
      <c r="AFE179" s="0" t="n">
        <v>20</v>
      </c>
      <c r="AFF179" s="0" t="n">
        <v>1</v>
      </c>
      <c r="AFG179" s="0" t="n">
        <v>3</v>
      </c>
      <c r="AFI179" s="0" t="n">
        <v>4</v>
      </c>
      <c r="AFS179" s="0" t="n">
        <v>1.9</v>
      </c>
      <c r="AFT179" s="0" t="n">
        <v>1</v>
      </c>
      <c r="AFU179" s="0" t="n">
        <v>34</v>
      </c>
      <c r="AFV179" s="0" t="n">
        <v>4</v>
      </c>
      <c r="AFW179" s="0" t="n">
        <f aca="false">4.04+0.71</f>
        <v>4.75</v>
      </c>
      <c r="AFX179" s="0" t="n">
        <v>1</v>
      </c>
      <c r="AFY179" s="0" t="n">
        <v>52</v>
      </c>
      <c r="AFZ179" s="0" t="n">
        <v>2</v>
      </c>
      <c r="AGA179" s="0" t="n">
        <f aca="false">0.73+0.13</f>
        <v>0.86</v>
      </c>
      <c r="AGB179" s="0" t="n">
        <v>2</v>
      </c>
      <c r="AGE179" s="18"/>
      <c r="AGW179" s="0" t="n">
        <v>0</v>
      </c>
      <c r="AIH179" s="16" t="n">
        <v>0</v>
      </c>
      <c r="AII179" s="16" t="n">
        <v>0</v>
      </c>
      <c r="AIJ179" s="16"/>
      <c r="AIK179" s="16"/>
      <c r="AIL179" s="16"/>
      <c r="AIM179" s="16"/>
      <c r="AIN179" s="16"/>
      <c r="AIO179" s="16"/>
      <c r="AIP179" s="16"/>
      <c r="AIQ179" s="16"/>
      <c r="AIR179" s="16"/>
      <c r="AIS179" s="16" t="n">
        <v>5.08</v>
      </c>
      <c r="AIT179" s="16" t="n">
        <v>4.75</v>
      </c>
      <c r="AIU179" s="16"/>
      <c r="AIV179" s="16"/>
      <c r="AIW179" s="16" t="n">
        <v>0</v>
      </c>
      <c r="AIX179" s="16" t="n">
        <v>0</v>
      </c>
      <c r="AIY179" s="16" t="n">
        <v>0</v>
      </c>
      <c r="AIZ179" s="0" t="n">
        <v>0</v>
      </c>
      <c r="AJA179" s="0" t="s">
        <v>666</v>
      </c>
      <c r="AJB179" s="0" t="n">
        <v>27.5</v>
      </c>
      <c r="AJC179" s="16" t="n">
        <v>76.8</v>
      </c>
      <c r="AJD179" s="16" t="n">
        <v>83.4</v>
      </c>
      <c r="AJE179" s="16" t="n">
        <v>16</v>
      </c>
      <c r="AJF179" s="0" t="n">
        <v>82.97</v>
      </c>
      <c r="AJG179" s="0" t="n">
        <v>0</v>
      </c>
      <c r="AJH179" s="0" t="n">
        <v>0.29</v>
      </c>
      <c r="AJI179" s="0" t="n">
        <v>0</v>
      </c>
      <c r="AJJ179" s="0" t="n">
        <v>16.74</v>
      </c>
      <c r="AJK179" s="0" t="n">
        <v>0</v>
      </c>
      <c r="AJL179" s="0" t="n">
        <v>0</v>
      </c>
      <c r="AJM179" s="0" t="n">
        <v>0</v>
      </c>
      <c r="AJN179" s="0" t="n">
        <v>0</v>
      </c>
      <c r="AJO179" s="0" t="n">
        <v>0</v>
      </c>
      <c r="AJP179" s="0" t="n">
        <v>0</v>
      </c>
      <c r="AJQ179" s="0" t="n">
        <v>0</v>
      </c>
      <c r="AJR179" s="0" t="n">
        <v>1.65</v>
      </c>
      <c r="AJS179" s="0" t="n">
        <v>49.33</v>
      </c>
      <c r="AJT179" s="0" t="n">
        <v>1.23</v>
      </c>
      <c r="AJU179" s="0" t="n">
        <v>0</v>
      </c>
      <c r="AJV179" s="0" t="n">
        <v>0</v>
      </c>
      <c r="AJW179" s="0" t="n">
        <v>0</v>
      </c>
      <c r="AKJ179" s="0" t="n">
        <v>8.7</v>
      </c>
      <c r="AKK179" s="0" t="n">
        <v>1</v>
      </c>
      <c r="AKL179" s="0" t="n">
        <v>35</v>
      </c>
      <c r="AKM179" s="0" t="n">
        <v>3</v>
      </c>
      <c r="AKN179" s="0" t="n">
        <f aca="false">0.13*2+0.73</f>
        <v>0.99</v>
      </c>
      <c r="AKO179" s="0" t="n">
        <v>3</v>
      </c>
      <c r="AKP179" s="0" t="n">
        <v>47</v>
      </c>
      <c r="AKQ179" s="0" t="n">
        <v>4</v>
      </c>
      <c r="AKR179" s="0" t="n">
        <v>0.52</v>
      </c>
      <c r="AKS179" s="0" t="n">
        <v>3</v>
      </c>
      <c r="AKV179" s="18"/>
      <c r="ALN179" s="0" t="n">
        <v>0</v>
      </c>
    </row>
    <row r="180" s="24" customFormat="true" ht="13.8" hidden="false" customHeight="false" outlineLevel="0" collapsed="false">
      <c r="A180" s="22" t="s">
        <v>667</v>
      </c>
      <c r="B180" s="23" t="n">
        <v>42906</v>
      </c>
      <c r="C180" s="24" t="n">
        <v>1</v>
      </c>
      <c r="D180" s="25" t="n">
        <v>42776</v>
      </c>
      <c r="E180" s="23" t="n">
        <v>34002</v>
      </c>
      <c r="F180" s="14" t="n">
        <f aca="false">(B180-E180)/365.25</f>
        <v>24.3778234086242</v>
      </c>
      <c r="G180" s="14" t="n">
        <f aca="false">(B180-D180)/365.25</f>
        <v>0.355920602327173</v>
      </c>
      <c r="H180" s="21" t="s">
        <v>306</v>
      </c>
      <c r="I180" s="21" t="s">
        <v>658</v>
      </c>
      <c r="J180" s="21" t="s">
        <v>181</v>
      </c>
      <c r="K180" s="21" t="n">
        <v>8</v>
      </c>
      <c r="L180" s="26" t="n">
        <v>62</v>
      </c>
      <c r="M180" s="24" t="n">
        <v>1.8</v>
      </c>
      <c r="N180" s="27" t="n">
        <f aca="false">L180/(M180*M180)</f>
        <v>19.1358024691358</v>
      </c>
      <c r="O180" s="26" t="n">
        <v>0</v>
      </c>
      <c r="P180" s="26" t="n">
        <v>0</v>
      </c>
      <c r="Q180" s="26" t="n">
        <v>0</v>
      </c>
      <c r="R180" s="26" t="n">
        <v>0</v>
      </c>
      <c r="S180" s="26" t="n">
        <v>0</v>
      </c>
      <c r="T180" s="26" t="n">
        <v>0</v>
      </c>
      <c r="U180" s="26" t="n">
        <v>0</v>
      </c>
      <c r="V180" s="26" t="n">
        <v>0</v>
      </c>
      <c r="W180" s="26" t="n">
        <v>0</v>
      </c>
      <c r="X180" s="26" t="n">
        <v>0</v>
      </c>
      <c r="Y180" s="26" t="n">
        <v>1</v>
      </c>
      <c r="Z180" s="26" t="n">
        <v>1</v>
      </c>
      <c r="AA180" s="26" t="n">
        <v>120</v>
      </c>
      <c r="AB180" s="26" t="s">
        <v>308</v>
      </c>
      <c r="AC180" s="26" t="n">
        <v>1</v>
      </c>
      <c r="AD180" s="26" t="n">
        <v>4</v>
      </c>
      <c r="AE180" s="26" t="n">
        <v>0</v>
      </c>
      <c r="AF180" s="26" t="n">
        <v>0</v>
      </c>
      <c r="AG180" s="26" t="n">
        <v>0</v>
      </c>
      <c r="AH180" s="26" t="n">
        <v>0</v>
      </c>
      <c r="AI180" s="26" t="n">
        <v>0</v>
      </c>
      <c r="AJ180" s="26" t="n">
        <v>0</v>
      </c>
      <c r="AK180" s="26" t="n">
        <v>0</v>
      </c>
      <c r="AL180" s="26" t="n">
        <v>0</v>
      </c>
      <c r="AM180" s="26" t="n">
        <v>0</v>
      </c>
      <c r="AN180" s="26" t="n">
        <v>0</v>
      </c>
      <c r="AO180" s="26" t="n">
        <v>0</v>
      </c>
      <c r="AP180" s="26" t="n">
        <v>0</v>
      </c>
      <c r="AQ180" s="26" t="n">
        <v>0</v>
      </c>
      <c r="AR180" s="26" t="n">
        <v>0</v>
      </c>
      <c r="AS180" s="26" t="n">
        <v>0</v>
      </c>
      <c r="AT180" s="26" t="n">
        <v>0</v>
      </c>
      <c r="AU180" s="26" t="n">
        <v>0</v>
      </c>
      <c r="AV180" s="26" t="n">
        <v>0</v>
      </c>
      <c r="AW180" s="26" t="n">
        <v>0</v>
      </c>
      <c r="AX180" s="26" t="n">
        <v>0</v>
      </c>
      <c r="AY180" s="26" t="n">
        <v>0</v>
      </c>
      <c r="AZ180" s="26" t="n">
        <v>0</v>
      </c>
      <c r="BA180" s="26" t="n">
        <v>0</v>
      </c>
      <c r="BB180" s="26" t="n">
        <v>0</v>
      </c>
      <c r="BC180" s="26" t="n">
        <v>0</v>
      </c>
      <c r="BD180" s="26" t="n">
        <v>0</v>
      </c>
      <c r="BE180" s="26" t="n">
        <v>0</v>
      </c>
      <c r="BF180" s="26" t="n">
        <v>0</v>
      </c>
      <c r="BG180" s="26" t="n">
        <v>0</v>
      </c>
      <c r="BH180" s="26" t="n">
        <v>0</v>
      </c>
      <c r="BI180" s="26" t="n">
        <v>0</v>
      </c>
      <c r="BJ180" s="26" t="n">
        <v>0</v>
      </c>
      <c r="BK180" s="26" t="n">
        <v>0</v>
      </c>
      <c r="BL180" s="26" t="n">
        <v>0</v>
      </c>
      <c r="BM180" s="26" t="n">
        <v>0</v>
      </c>
      <c r="BN180" s="26" t="n">
        <v>0</v>
      </c>
      <c r="BO180" s="26" t="n">
        <v>0</v>
      </c>
      <c r="BP180" s="26" t="n">
        <v>0</v>
      </c>
      <c r="BQ180" s="26" t="n">
        <v>0</v>
      </c>
      <c r="BR180" s="26" t="n">
        <v>2</v>
      </c>
      <c r="BS180" s="26" t="n">
        <v>2</v>
      </c>
      <c r="BT180" s="26" t="n">
        <v>2</v>
      </c>
      <c r="BU180" s="26" t="n">
        <v>5</v>
      </c>
      <c r="BV180" s="26" t="n">
        <v>2</v>
      </c>
      <c r="BW180" s="26" t="n">
        <v>2</v>
      </c>
      <c r="BX180" s="26" t="n">
        <v>3</v>
      </c>
      <c r="BY180" s="26" t="n">
        <v>5</v>
      </c>
      <c r="BZ180" s="26" t="n">
        <v>5</v>
      </c>
      <c r="CA180" s="26" t="n">
        <v>5</v>
      </c>
      <c r="CB180" s="26" t="n">
        <v>5</v>
      </c>
      <c r="CC180" s="26" t="n">
        <v>5</v>
      </c>
      <c r="CD180" s="26" t="n">
        <v>5</v>
      </c>
      <c r="CE180" s="26" t="n">
        <v>5</v>
      </c>
      <c r="CF180" s="26" t="n">
        <v>5</v>
      </c>
      <c r="CG180" s="26" t="n">
        <v>5</v>
      </c>
      <c r="CH180" s="26" t="n">
        <v>5</v>
      </c>
      <c r="CI180" s="26" t="n">
        <v>5</v>
      </c>
      <c r="CJ180" s="26" t="n">
        <v>5</v>
      </c>
      <c r="CK180" s="26" t="n">
        <v>10</v>
      </c>
      <c r="CL180" s="24" t="s">
        <v>660</v>
      </c>
      <c r="CM180" s="24" t="n">
        <v>35.5</v>
      </c>
      <c r="CN180" s="27" t="n">
        <v>93.5</v>
      </c>
      <c r="CO180" s="27" t="n">
        <v>83.4</v>
      </c>
      <c r="CP180" s="27" t="n">
        <v>18.2</v>
      </c>
      <c r="CQ180" s="24" t="n">
        <v>81.82</v>
      </c>
      <c r="CR180" s="24" t="n">
        <v>0</v>
      </c>
      <c r="CS180" s="24" t="n">
        <v>0</v>
      </c>
      <c r="CT180" s="24" t="n">
        <v>0</v>
      </c>
      <c r="CU180" s="24" t="n">
        <v>18.18</v>
      </c>
      <c r="CV180" s="24" t="n">
        <v>0</v>
      </c>
      <c r="CW180" s="24" t="n">
        <v>0</v>
      </c>
      <c r="CX180" s="24" t="n">
        <v>0</v>
      </c>
      <c r="CY180" s="24" t="n">
        <v>0</v>
      </c>
      <c r="CZ180" s="24" t="n">
        <v>0</v>
      </c>
      <c r="DA180" s="24" t="n">
        <v>0</v>
      </c>
      <c r="DB180" s="24" t="n">
        <v>37.1</v>
      </c>
      <c r="DC180" s="24" t="n">
        <v>47.46</v>
      </c>
      <c r="DD180" s="24" t="n">
        <v>20.37</v>
      </c>
      <c r="DE180" s="24" t="n">
        <v>3.52</v>
      </c>
      <c r="DF180" s="24" t="n">
        <v>0</v>
      </c>
      <c r="DG180" s="24" t="n">
        <v>0</v>
      </c>
      <c r="DH180" s="24" t="n">
        <v>0</v>
      </c>
      <c r="DU180" s="24" t="n">
        <v>8.4</v>
      </c>
      <c r="DV180" s="24" t="n">
        <v>0</v>
      </c>
      <c r="EG180" s="28"/>
      <c r="EY180" s="24" t="n">
        <v>1</v>
      </c>
      <c r="EZ180" s="24" t="n">
        <v>80</v>
      </c>
      <c r="FA180" s="24" t="n">
        <v>9</v>
      </c>
      <c r="FB180" s="24" t="n">
        <f aca="false">2.94*2+0.13</f>
        <v>6.01</v>
      </c>
      <c r="FC180" s="24" t="n">
        <v>3</v>
      </c>
      <c r="FD180" s="24" t="n">
        <v>50</v>
      </c>
      <c r="FE180" s="24" t="n">
        <v>4</v>
      </c>
      <c r="FF180" s="24" t="n">
        <v>5.56</v>
      </c>
      <c r="FG180" s="24" t="n">
        <v>3</v>
      </c>
      <c r="GJ180" s="27" t="n">
        <v>1.69</v>
      </c>
      <c r="GK180" s="27" t="n">
        <v>1</v>
      </c>
      <c r="GL180" s="27" t="n">
        <v>1</v>
      </c>
      <c r="GM180" s="27"/>
      <c r="GN180" s="27" t="n">
        <v>3.6</v>
      </c>
      <c r="GO180" s="27"/>
      <c r="GP180" s="27"/>
      <c r="GQ180" s="27"/>
      <c r="GR180" s="27"/>
      <c r="GS180" s="27"/>
      <c r="GT180" s="27"/>
      <c r="GU180" s="27" t="n">
        <v>3.24</v>
      </c>
      <c r="GV180" s="27" t="n">
        <v>2.54</v>
      </c>
      <c r="GW180" s="27"/>
      <c r="GX180" s="27"/>
      <c r="GY180" s="27" t="n">
        <v>3.6</v>
      </c>
      <c r="GZ180" s="27" t="n">
        <v>8.8</v>
      </c>
      <c r="HA180" s="27" t="n">
        <v>0</v>
      </c>
      <c r="HB180" s="24" t="n">
        <v>0</v>
      </c>
      <c r="HC180" s="24" t="s">
        <v>662</v>
      </c>
      <c r="HD180" s="24" t="n">
        <v>46.5</v>
      </c>
      <c r="HE180" s="27" t="n">
        <v>69.2</v>
      </c>
      <c r="HF180" s="27" t="n">
        <v>83.4</v>
      </c>
      <c r="HG180" s="27" t="n">
        <v>28.7</v>
      </c>
      <c r="HH180" s="24" t="n">
        <v>53.82</v>
      </c>
      <c r="HI180" s="24" t="n">
        <v>0</v>
      </c>
      <c r="HJ180" s="24" t="n">
        <v>0</v>
      </c>
      <c r="HK180" s="24" t="n">
        <v>0</v>
      </c>
      <c r="HL180" s="24" t="n">
        <v>46.18</v>
      </c>
      <c r="HM180" s="24" t="n">
        <v>0</v>
      </c>
      <c r="HN180" s="24" t="n">
        <v>0</v>
      </c>
      <c r="HO180" s="24" t="n">
        <v>0</v>
      </c>
      <c r="HP180" s="24" t="n">
        <v>0</v>
      </c>
      <c r="HQ180" s="24" t="n">
        <v>0</v>
      </c>
      <c r="HR180" s="24" t="n">
        <v>0</v>
      </c>
      <c r="HS180" s="24" t="n">
        <v>0</v>
      </c>
      <c r="HT180" s="24" t="n">
        <v>5.46</v>
      </c>
      <c r="HU180" s="24" t="n">
        <v>46.31</v>
      </c>
      <c r="HV180" s="24" t="n">
        <v>1.06</v>
      </c>
      <c r="HW180" s="24" t="n">
        <v>0</v>
      </c>
      <c r="HX180" s="24" t="n">
        <v>0</v>
      </c>
      <c r="HY180" s="24" t="n">
        <v>0</v>
      </c>
      <c r="IL180" s="24" t="n">
        <v>13.3</v>
      </c>
      <c r="IM180" s="24" t="n">
        <v>1</v>
      </c>
      <c r="IN180" s="24" t="n">
        <v>52</v>
      </c>
      <c r="IO180" s="24" t="n">
        <v>23</v>
      </c>
      <c r="IP180" s="24" t="n">
        <f aca="false">7.18+2.15+0.07+0.84+0.15+0.14+0.12</f>
        <v>10.65</v>
      </c>
      <c r="IQ180" s="24" t="n">
        <v>2</v>
      </c>
      <c r="IX180" s="28"/>
      <c r="JP180" s="24" t="n">
        <v>0</v>
      </c>
      <c r="LA180" s="27" t="n">
        <v>1.39</v>
      </c>
      <c r="LB180" s="27" t="n">
        <v>1</v>
      </c>
      <c r="LC180" s="27" t="n">
        <v>1</v>
      </c>
      <c r="LD180" s="27"/>
      <c r="LE180" s="27" t="n">
        <f aca="false">1.32*2+1.62</f>
        <v>4.26</v>
      </c>
      <c r="LF180" s="27"/>
      <c r="LG180" s="27"/>
      <c r="LH180" s="27"/>
      <c r="LI180" s="27"/>
      <c r="LJ180" s="27"/>
      <c r="LK180" s="27"/>
      <c r="LL180" s="27" t="n">
        <v>0</v>
      </c>
      <c r="LM180" s="27" t="n">
        <v>0</v>
      </c>
      <c r="LN180" s="27"/>
      <c r="LO180" s="27"/>
      <c r="LP180" s="27" t="n">
        <v>2.88</v>
      </c>
      <c r="LQ180" s="27" t="n">
        <v>5.21</v>
      </c>
      <c r="LR180" s="27" t="n">
        <v>0</v>
      </c>
      <c r="LS180" s="24" t="n">
        <v>0</v>
      </c>
      <c r="LT180" s="24" t="s">
        <v>664</v>
      </c>
      <c r="LU180" s="24" t="n">
        <v>46</v>
      </c>
      <c r="LV180" s="27" t="n">
        <v>97.8</v>
      </c>
      <c r="LW180" s="27" t="n">
        <v>83.4</v>
      </c>
      <c r="LX180" s="27" t="n">
        <v>9.8</v>
      </c>
      <c r="LY180" s="24" t="n">
        <v>97.48</v>
      </c>
      <c r="LZ180" s="24" t="n">
        <v>0</v>
      </c>
      <c r="MA180" s="24" t="n">
        <v>1.83</v>
      </c>
      <c r="MB180" s="24" t="n">
        <v>0</v>
      </c>
      <c r="MC180" s="24" t="n">
        <v>0</v>
      </c>
      <c r="MD180" s="24" t="n">
        <v>0</v>
      </c>
      <c r="ME180" s="24" t="n">
        <v>0</v>
      </c>
      <c r="MF180" s="24" t="n">
        <v>0</v>
      </c>
      <c r="MG180" s="24" t="n">
        <v>0</v>
      </c>
      <c r="MH180" s="24" t="n">
        <v>0</v>
      </c>
      <c r="MI180" s="24" t="n">
        <v>0</v>
      </c>
      <c r="MJ180" s="24" t="n">
        <v>3.67</v>
      </c>
      <c r="MK180" s="24" t="n">
        <v>10.58</v>
      </c>
      <c r="ML180" s="24" t="n">
        <v>65.89</v>
      </c>
      <c r="MM180" s="24" t="n">
        <v>0</v>
      </c>
      <c r="MN180" s="24" t="n">
        <v>0</v>
      </c>
      <c r="MO180" s="24" t="n">
        <v>0</v>
      </c>
      <c r="MP180" s="24" t="n">
        <v>0</v>
      </c>
      <c r="NC180" s="24" t="n">
        <v>29.3</v>
      </c>
      <c r="ND180" s="24" t="n">
        <v>1</v>
      </c>
      <c r="NE180" s="24" t="n">
        <v>40</v>
      </c>
      <c r="NF180" s="24" t="n">
        <v>10</v>
      </c>
      <c r="NG180" s="24" t="n">
        <f aca="false">0.91+0.39</f>
        <v>1.3</v>
      </c>
      <c r="NH180" s="24" t="n">
        <v>2</v>
      </c>
      <c r="NI180" s="24" t="n">
        <v>35</v>
      </c>
      <c r="NJ180" s="24" t="n">
        <v>10</v>
      </c>
      <c r="NK180" s="24" t="n">
        <f aca="false">0.58+1.36</f>
        <v>1.94</v>
      </c>
      <c r="NL180" s="24" t="n">
        <v>3</v>
      </c>
      <c r="NO180" s="28"/>
      <c r="OG180" s="24" t="n">
        <v>1</v>
      </c>
      <c r="OH180" s="24" t="n">
        <v>60</v>
      </c>
      <c r="OI180" s="24" t="n">
        <v>5</v>
      </c>
      <c r="OJ180" s="24" t="n">
        <v>3.67</v>
      </c>
      <c r="OK180" s="24" t="n">
        <v>3</v>
      </c>
      <c r="OL180" s="24" t="n">
        <v>30</v>
      </c>
      <c r="OM180" s="24" t="n">
        <v>6</v>
      </c>
      <c r="ON180" s="24" t="n">
        <v>5.87</v>
      </c>
      <c r="OO180" s="24" t="n">
        <v>4</v>
      </c>
      <c r="PR180" s="27" t="n">
        <v>1.87</v>
      </c>
      <c r="PS180" s="27" t="n">
        <v>1</v>
      </c>
      <c r="PT180" s="27" t="n">
        <v>1</v>
      </c>
      <c r="PU180" s="27"/>
      <c r="PV180" s="27" t="n">
        <f aca="false">2.04*2</f>
        <v>4.08</v>
      </c>
      <c r="PW180" s="27" t="n">
        <v>2</v>
      </c>
      <c r="PX180" s="27"/>
      <c r="PY180" s="27" t="n">
        <f aca="false">0.36*2</f>
        <v>0.72</v>
      </c>
      <c r="PZ180" s="27"/>
      <c r="QA180" s="27"/>
      <c r="QB180" s="27"/>
      <c r="QC180" s="27" t="n">
        <v>5.07</v>
      </c>
      <c r="QD180" s="27" t="n">
        <v>2.33</v>
      </c>
      <c r="QE180" s="27"/>
      <c r="QF180" s="27"/>
      <c r="QG180" s="27" t="n">
        <v>0</v>
      </c>
      <c r="QH180" s="27" t="n">
        <v>0</v>
      </c>
      <c r="QI180" s="27" t="n">
        <v>0</v>
      </c>
      <c r="QJ180" s="24" t="n">
        <v>0</v>
      </c>
      <c r="QK180" s="24" t="s">
        <v>665</v>
      </c>
      <c r="QL180" s="24" t="n">
        <v>49.5</v>
      </c>
      <c r="QM180" s="27" t="n">
        <v>97.8</v>
      </c>
      <c r="QN180" s="27" t="n">
        <v>83.4</v>
      </c>
      <c r="QO180" s="27" t="n">
        <v>9.9</v>
      </c>
      <c r="QP180" s="24" t="n">
        <v>97.48</v>
      </c>
      <c r="QQ180" s="24" t="n">
        <v>0</v>
      </c>
      <c r="QR180" s="24" t="n">
        <v>1.83</v>
      </c>
      <c r="QS180" s="24" t="n">
        <v>0</v>
      </c>
      <c r="QT180" s="24" t="n">
        <v>0.68</v>
      </c>
      <c r="QU180" s="24" t="n">
        <v>0</v>
      </c>
      <c r="QV180" s="24" t="n">
        <v>0</v>
      </c>
      <c r="QW180" s="24" t="n">
        <v>0</v>
      </c>
      <c r="QX180" s="24" t="n">
        <v>0</v>
      </c>
      <c r="QY180" s="24" t="n">
        <v>0</v>
      </c>
      <c r="QZ180" s="24" t="n">
        <v>0</v>
      </c>
      <c r="RA180" s="24" t="n">
        <v>3.67</v>
      </c>
      <c r="RB180" s="24" t="n">
        <v>8.74</v>
      </c>
      <c r="RC180" s="24" t="n">
        <v>67.72</v>
      </c>
      <c r="RD180" s="24" t="n">
        <v>0</v>
      </c>
      <c r="RE180" s="24" t="n">
        <v>0</v>
      </c>
      <c r="RF180" s="24" t="n">
        <v>0</v>
      </c>
      <c r="RG180" s="24" t="n">
        <v>0</v>
      </c>
      <c r="RT180" s="24" t="n">
        <v>32.5</v>
      </c>
      <c r="RU180" s="24" t="n">
        <v>1</v>
      </c>
      <c r="RV180" s="24" t="n">
        <v>30</v>
      </c>
      <c r="RW180" s="24" t="n">
        <v>11</v>
      </c>
      <c r="RX180" s="24" t="n">
        <f aca="false">6.61+5.5</f>
        <v>12.11</v>
      </c>
      <c r="RY180" s="24" t="n">
        <v>4</v>
      </c>
      <c r="RZ180" s="24" t="n">
        <v>40</v>
      </c>
      <c r="SA180" s="24" t="n">
        <v>12</v>
      </c>
      <c r="SB180" s="24" t="n">
        <f aca="false">2.2+1.47+0.91</f>
        <v>4.58</v>
      </c>
      <c r="SC180" s="24" t="n">
        <v>2</v>
      </c>
      <c r="SD180" s="24" t="n">
        <v>35</v>
      </c>
      <c r="SE180" s="24" t="n">
        <v>10</v>
      </c>
      <c r="SF180" s="28" t="n">
        <f aca="false">1.36+0.58</f>
        <v>1.94</v>
      </c>
      <c r="SG180" s="24" t="n">
        <v>3</v>
      </c>
      <c r="SH180" s="24" t="n">
        <v>78</v>
      </c>
      <c r="SI180" s="24" t="n">
        <v>3</v>
      </c>
      <c r="SJ180" s="24" t="n">
        <v>0.39</v>
      </c>
      <c r="SK180" s="24" t="n">
        <v>2</v>
      </c>
      <c r="SX180" s="24" t="n">
        <v>0</v>
      </c>
      <c r="UI180" s="27" t="n">
        <v>1.87</v>
      </c>
      <c r="UJ180" s="27" t="n">
        <v>1</v>
      </c>
      <c r="UK180" s="27" t="n">
        <v>1</v>
      </c>
      <c r="UL180" s="27"/>
      <c r="UM180" s="27" t="n">
        <f aca="false">2.04*2</f>
        <v>4.08</v>
      </c>
      <c r="UN180" s="27" t="n">
        <v>2</v>
      </c>
      <c r="UO180" s="27"/>
      <c r="UP180" s="27" t="n">
        <v>0.7</v>
      </c>
      <c r="UQ180" s="27"/>
      <c r="UR180" s="27"/>
      <c r="US180" s="27"/>
      <c r="UT180" s="27" t="n">
        <v>5.01</v>
      </c>
      <c r="UU180" s="27" t="n">
        <v>1.3</v>
      </c>
      <c r="UV180" s="27"/>
      <c r="UW180" s="27"/>
      <c r="UX180" s="27" t="n">
        <v>0</v>
      </c>
      <c r="UY180" s="27" t="n">
        <v>0</v>
      </c>
      <c r="UZ180" s="27" t="n">
        <v>0</v>
      </c>
      <c r="VA180" s="24" t="n">
        <v>0</v>
      </c>
      <c r="VB180" s="39" t="n">
        <v>120</v>
      </c>
      <c r="VC180" s="24" t="n">
        <v>41</v>
      </c>
      <c r="VD180" s="27" t="n">
        <v>75.9</v>
      </c>
      <c r="VE180" s="27" t="n">
        <v>83.4</v>
      </c>
      <c r="VF180" s="27" t="n">
        <v>13.8</v>
      </c>
      <c r="VG180" s="24" t="n">
        <v>83.58</v>
      </c>
      <c r="VH180" s="24" t="n">
        <v>0</v>
      </c>
      <c r="VI180" s="24" t="n">
        <v>0</v>
      </c>
      <c r="VJ180" s="24" t="n">
        <v>0</v>
      </c>
      <c r="VK180" s="24" t="n">
        <v>9.73</v>
      </c>
      <c r="VL180" s="24" t="n">
        <v>0</v>
      </c>
      <c r="VM180" s="24" t="n">
        <v>6.69</v>
      </c>
      <c r="VN180" s="24" t="n">
        <v>0</v>
      </c>
      <c r="VO180" s="24" t="n">
        <v>0</v>
      </c>
      <c r="VP180" s="24" t="n">
        <v>0</v>
      </c>
      <c r="VQ180" s="24" t="n">
        <v>0</v>
      </c>
      <c r="VR180" s="24" t="n">
        <v>11.59</v>
      </c>
      <c r="VS180" s="24" t="n">
        <v>26.54</v>
      </c>
      <c r="VT180" s="24" t="n">
        <v>10.81</v>
      </c>
      <c r="VU180" s="24" t="n">
        <v>6.87</v>
      </c>
      <c r="VV180" s="24" t="n">
        <v>0</v>
      </c>
      <c r="VW180" s="24" t="n">
        <v>20</v>
      </c>
      <c r="VX180" s="24" t="n">
        <v>1</v>
      </c>
      <c r="VY180" s="24" t="n">
        <v>3</v>
      </c>
      <c r="WA180" s="24" t="n">
        <v>4</v>
      </c>
      <c r="WK180" s="24" t="n">
        <v>1.9</v>
      </c>
      <c r="WL180" s="24" t="n">
        <v>1</v>
      </c>
      <c r="WM180" s="24" t="n">
        <v>34</v>
      </c>
      <c r="WN180" s="24" t="n">
        <v>4</v>
      </c>
      <c r="WO180" s="24" t="n">
        <f aca="false">4.04+0.71</f>
        <v>4.75</v>
      </c>
      <c r="WP180" s="24" t="n">
        <v>1</v>
      </c>
      <c r="WQ180" s="24" t="n">
        <v>52</v>
      </c>
      <c r="WR180" s="24" t="n">
        <v>2</v>
      </c>
      <c r="WS180" s="24" t="n">
        <f aca="false">0.73+0.13</f>
        <v>0.86</v>
      </c>
      <c r="WT180" s="24" t="n">
        <v>2</v>
      </c>
      <c r="WW180" s="28"/>
      <c r="XO180" s="24" t="n">
        <v>0</v>
      </c>
      <c r="YZ180" s="27" t="n">
        <v>0</v>
      </c>
      <c r="ZA180" s="27" t="n">
        <v>0</v>
      </c>
      <c r="ZB180" s="27"/>
      <c r="ZC180" s="27"/>
      <c r="ZD180" s="27"/>
      <c r="ZE180" s="27"/>
      <c r="ZF180" s="27"/>
      <c r="ZG180" s="27"/>
      <c r="ZH180" s="27"/>
      <c r="ZI180" s="27"/>
      <c r="ZJ180" s="27"/>
      <c r="ZK180" s="27" t="n">
        <v>5.08</v>
      </c>
      <c r="ZL180" s="27" t="n">
        <v>4.75</v>
      </c>
      <c r="ZM180" s="27"/>
      <c r="ZN180" s="27"/>
      <c r="ZO180" s="27" t="n">
        <v>0</v>
      </c>
      <c r="ZP180" s="27" t="n">
        <v>0</v>
      </c>
      <c r="ZQ180" s="27" t="n">
        <v>0</v>
      </c>
      <c r="ZR180" s="24" t="n">
        <v>0</v>
      </c>
      <c r="ZS180" s="24" t="s">
        <v>666</v>
      </c>
      <c r="ZT180" s="24" t="n">
        <v>27.5</v>
      </c>
      <c r="ZU180" s="27" t="n">
        <v>76.8</v>
      </c>
      <c r="ZV180" s="27" t="n">
        <v>83.4</v>
      </c>
      <c r="ZW180" s="27" t="n">
        <v>16</v>
      </c>
      <c r="ZX180" s="24" t="n">
        <v>82.97</v>
      </c>
      <c r="ZY180" s="24" t="n">
        <v>0</v>
      </c>
      <c r="ZZ180" s="24" t="n">
        <v>0.29</v>
      </c>
      <c r="AAA180" s="24" t="n">
        <v>0</v>
      </c>
      <c r="AAB180" s="24" t="n">
        <v>16.74</v>
      </c>
      <c r="AAC180" s="24" t="n">
        <v>0</v>
      </c>
      <c r="AAD180" s="24" t="n">
        <v>0</v>
      </c>
      <c r="AAE180" s="24" t="n">
        <v>0</v>
      </c>
      <c r="AAF180" s="24" t="n">
        <v>0</v>
      </c>
      <c r="AAG180" s="24" t="n">
        <v>0</v>
      </c>
      <c r="AAH180" s="24" t="n">
        <v>0</v>
      </c>
      <c r="AAI180" s="24" t="n">
        <v>0</v>
      </c>
      <c r="AAJ180" s="24" t="n">
        <v>1.65</v>
      </c>
      <c r="AAK180" s="24" t="n">
        <v>49.33</v>
      </c>
      <c r="AAL180" s="24" t="n">
        <v>1.23</v>
      </c>
      <c r="AAM180" s="24" t="n">
        <v>0</v>
      </c>
      <c r="AAN180" s="24" t="n">
        <v>0</v>
      </c>
      <c r="AAO180" s="24" t="n">
        <v>0</v>
      </c>
      <c r="ABB180" s="24" t="n">
        <v>8.7</v>
      </c>
      <c r="ABC180" s="24" t="n">
        <v>1</v>
      </c>
      <c r="ABD180" s="24" t="n">
        <v>35</v>
      </c>
      <c r="ABE180" s="24" t="n">
        <v>3</v>
      </c>
      <c r="ABF180" s="24" t="n">
        <f aca="false">0.13*2+0.73</f>
        <v>0.99</v>
      </c>
      <c r="ABG180" s="24" t="n">
        <v>3</v>
      </c>
      <c r="ABH180" s="24" t="n">
        <v>47</v>
      </c>
      <c r="ABI180" s="24" t="n">
        <v>4</v>
      </c>
      <c r="ABJ180" s="24" t="n">
        <v>0.52</v>
      </c>
      <c r="ABK180" s="24" t="n">
        <v>3</v>
      </c>
      <c r="ABN180" s="28"/>
      <c r="ACF180" s="24" t="n">
        <v>0</v>
      </c>
      <c r="ADQ180" s="27" t="n">
        <v>1.44</v>
      </c>
      <c r="ADR180" s="27" t="n">
        <v>1</v>
      </c>
      <c r="ADS180" s="27" t="n">
        <v>1</v>
      </c>
      <c r="ADT180" s="27"/>
      <c r="ADU180" s="27" t="n">
        <f aca="false">3.3*2+0.36*2</f>
        <v>7.32</v>
      </c>
      <c r="ADV180" s="27"/>
      <c r="ADW180" s="27"/>
      <c r="ADX180" s="27"/>
      <c r="ADY180" s="27"/>
      <c r="ADZ180" s="27"/>
      <c r="AEA180" s="27"/>
      <c r="AEB180" s="27" t="n">
        <v>1.08</v>
      </c>
      <c r="AEC180" s="27" t="n">
        <v>0.26</v>
      </c>
      <c r="AED180" s="27"/>
      <c r="AEE180" s="27"/>
      <c r="AEF180" s="27" t="n">
        <v>0</v>
      </c>
      <c r="AEG180" s="27" t="n">
        <v>0</v>
      </c>
      <c r="AEH180" s="27" t="n">
        <v>0</v>
      </c>
      <c r="AEI180" s="24" t="n">
        <v>0</v>
      </c>
      <c r="AEJ180" s="24" t="s">
        <v>668</v>
      </c>
      <c r="AEK180" s="24" t="n">
        <v>45</v>
      </c>
      <c r="AEL180" s="27" t="n">
        <v>68.1</v>
      </c>
      <c r="AEM180" s="27" t="n">
        <v>83.4</v>
      </c>
      <c r="AEN180" s="27" t="n">
        <v>15.3</v>
      </c>
      <c r="AEO180" s="24" t="n">
        <v>83.75</v>
      </c>
      <c r="AEP180" s="24" t="n">
        <v>0</v>
      </c>
      <c r="AEQ180" s="24" t="n">
        <v>0.29</v>
      </c>
      <c r="AER180" s="24" t="n">
        <v>0</v>
      </c>
      <c r="AES180" s="24" t="n">
        <v>0</v>
      </c>
      <c r="AET180" s="24" t="n">
        <v>0</v>
      </c>
      <c r="AEU180" s="24" t="n">
        <v>0</v>
      </c>
      <c r="AEV180" s="24" t="n">
        <v>0</v>
      </c>
      <c r="AEW180" s="24" t="n">
        <v>0</v>
      </c>
      <c r="AEX180" s="24" t="n">
        <v>0</v>
      </c>
      <c r="AEY180" s="24" t="n">
        <v>0</v>
      </c>
      <c r="AEZ180" s="24" t="n">
        <v>0</v>
      </c>
      <c r="AFA180" s="24" t="n">
        <v>5.69</v>
      </c>
      <c r="AFB180" s="24" t="n">
        <v>43.64</v>
      </c>
      <c r="AFC180" s="24" t="n">
        <v>0.45</v>
      </c>
      <c r="AFD180" s="24" t="n">
        <v>0</v>
      </c>
      <c r="AFE180" s="24" t="n">
        <v>0</v>
      </c>
      <c r="AFF180" s="24" t="n">
        <v>0</v>
      </c>
      <c r="AFS180" s="24" t="n">
        <v>22.5</v>
      </c>
      <c r="AFT180" s="24" t="n">
        <v>1</v>
      </c>
      <c r="AFU180" s="24" t="n">
        <v>35</v>
      </c>
      <c r="AFV180" s="24" t="n">
        <v>5</v>
      </c>
      <c r="AFW180" s="24" t="n">
        <f aca="false">0.73*2+2.2+0.13*2</f>
        <v>3.92</v>
      </c>
      <c r="AFX180" s="24" t="n">
        <v>3</v>
      </c>
      <c r="AFY180" s="24" t="n">
        <v>47</v>
      </c>
      <c r="AFZ180" s="24" t="n">
        <v>4</v>
      </c>
      <c r="AGA180" s="24" t="n">
        <v>0.52</v>
      </c>
      <c r="AGB180" s="24" t="n">
        <v>3</v>
      </c>
      <c r="AGE180" s="28"/>
      <c r="AGW180" s="24" t="n">
        <v>0</v>
      </c>
      <c r="AIH180" s="27" t="n">
        <v>1.44</v>
      </c>
      <c r="AII180" s="27" t="n">
        <v>1</v>
      </c>
      <c r="AIJ180" s="27" t="n">
        <v>1</v>
      </c>
      <c r="AIK180" s="27"/>
      <c r="AIL180" s="27" t="n">
        <f aca="false">3.3*2+0.36*2</f>
        <v>7.32</v>
      </c>
      <c r="AIM180" s="27"/>
      <c r="AIN180" s="27"/>
      <c r="AIO180" s="27"/>
      <c r="AIP180" s="27"/>
      <c r="AIQ180" s="27"/>
      <c r="AIR180" s="27"/>
      <c r="AIS180" s="27" t="n">
        <v>5.41</v>
      </c>
      <c r="AIT180" s="27" t="n">
        <v>3.92</v>
      </c>
      <c r="AIU180" s="27"/>
      <c r="AIV180" s="27"/>
      <c r="AIW180" s="27" t="n">
        <v>0</v>
      </c>
      <c r="AIX180" s="27" t="n">
        <v>0</v>
      </c>
      <c r="AIY180" s="27" t="n">
        <v>0</v>
      </c>
      <c r="AIZ180" s="24" t="n">
        <v>0</v>
      </c>
      <c r="AJA180" s="24" t="s">
        <v>669</v>
      </c>
      <c r="AJB180" s="24" t="n">
        <v>48.5</v>
      </c>
      <c r="AJC180" s="27" t="n">
        <v>84.6</v>
      </c>
      <c r="AJD180" s="27" t="n">
        <v>83.4</v>
      </c>
      <c r="AJE180" s="27" t="n">
        <v>32.5</v>
      </c>
      <c r="AJF180" s="24" t="n">
        <v>48.7</v>
      </c>
      <c r="AJG180" s="24" t="n">
        <v>0</v>
      </c>
      <c r="AJH180" s="24" t="n">
        <v>0</v>
      </c>
      <c r="AJI180" s="24" t="n">
        <v>0</v>
      </c>
      <c r="AJJ180" s="24" t="n">
        <v>51.3</v>
      </c>
      <c r="AJK180" s="24" t="n">
        <v>0</v>
      </c>
      <c r="AJL180" s="24" t="n">
        <v>0</v>
      </c>
      <c r="AJM180" s="24" t="n">
        <v>0</v>
      </c>
      <c r="AJN180" s="24" t="n">
        <v>0</v>
      </c>
      <c r="AJO180" s="24" t="n">
        <v>0</v>
      </c>
      <c r="AJP180" s="24" t="n">
        <v>0</v>
      </c>
      <c r="AJQ180" s="24" t="n">
        <v>0</v>
      </c>
      <c r="AJR180" s="24" t="n">
        <v>0.73</v>
      </c>
      <c r="AJS180" s="24" t="n">
        <v>33.47</v>
      </c>
      <c r="AJT180" s="24" t="n">
        <v>29.96</v>
      </c>
      <c r="AJU180" s="24" t="n">
        <v>0</v>
      </c>
      <c r="AJV180" s="24" t="n">
        <v>0</v>
      </c>
      <c r="AJW180" s="24" t="n">
        <v>0</v>
      </c>
      <c r="AKJ180" s="24" t="n">
        <v>9.4</v>
      </c>
      <c r="AKK180" s="24" t="n">
        <v>1</v>
      </c>
      <c r="AKL180" s="24" t="n">
        <v>52</v>
      </c>
      <c r="AKM180" s="24" t="n">
        <v>3</v>
      </c>
      <c r="AKN180" s="24" t="n">
        <v>2.2</v>
      </c>
      <c r="AKO180" s="24" t="n">
        <v>2</v>
      </c>
      <c r="AKV180" s="28"/>
      <c r="ALN180" s="24" t="n">
        <v>1</v>
      </c>
      <c r="ALO180" s="24" t="n">
        <v>40</v>
      </c>
      <c r="ALP180" s="24" t="n">
        <v>5</v>
      </c>
      <c r="ALQ180" s="24" t="n">
        <f aca="false">0.73+1.28+1.65*2+1.83</f>
        <v>7.14</v>
      </c>
      <c r="ALR180" s="24" t="n">
        <v>6</v>
      </c>
      <c r="ALS180" s="24" t="n">
        <v>50</v>
      </c>
      <c r="ALT180" s="24" t="n">
        <v>2</v>
      </c>
      <c r="ALU180" s="24" t="n">
        <f aca="false">0.37*2</f>
        <v>0.74</v>
      </c>
      <c r="ALV180" s="24" t="n">
        <v>6</v>
      </c>
    </row>
    <row r="181" customFormat="false" ht="14.25" hidden="false" customHeight="true" outlineLevel="0" collapsed="false">
      <c r="A181" s="22" t="s">
        <v>670</v>
      </c>
      <c r="B181" s="23" t="n">
        <v>42907</v>
      </c>
      <c r="C181" s="24" t="n">
        <v>1</v>
      </c>
      <c r="D181" s="25" t="n">
        <v>42801</v>
      </c>
      <c r="E181" s="23" t="n">
        <v>31252</v>
      </c>
      <c r="F181" s="14" t="n">
        <f aca="false">(B181-E181)/365.25</f>
        <v>31.9096509240246</v>
      </c>
      <c r="G181" s="14" t="n">
        <f aca="false">(B181-D181)/365.25</f>
        <v>0.290212183436003</v>
      </c>
      <c r="H181" s="21" t="s">
        <v>306</v>
      </c>
      <c r="I181" s="21" t="s">
        <v>658</v>
      </c>
      <c r="J181" s="21" t="s">
        <v>181</v>
      </c>
      <c r="K181" s="21" t="n">
        <v>8</v>
      </c>
      <c r="L181" s="26" t="n">
        <v>54</v>
      </c>
      <c r="M181" s="24" t="n">
        <v>1.6</v>
      </c>
      <c r="N181" s="27" t="n">
        <f aca="false">L181/(M181*M181)</f>
        <v>21.09375</v>
      </c>
      <c r="O181" s="26" t="n">
        <v>1</v>
      </c>
      <c r="P181" s="26"/>
      <c r="Q181" s="26"/>
      <c r="R181" s="26" t="n">
        <v>0</v>
      </c>
      <c r="S181" s="26" t="n">
        <v>0</v>
      </c>
      <c r="T181" s="26" t="n">
        <v>0</v>
      </c>
      <c r="U181" s="26" t="n">
        <v>0</v>
      </c>
      <c r="V181" s="26" t="n">
        <v>0</v>
      </c>
      <c r="W181" s="26" t="n">
        <v>0</v>
      </c>
      <c r="X181" s="26" t="n">
        <v>0</v>
      </c>
      <c r="Y181" s="26" t="n">
        <v>1</v>
      </c>
      <c r="Z181" s="26" t="n">
        <v>1</v>
      </c>
      <c r="AA181" s="26" t="n">
        <v>40</v>
      </c>
      <c r="AB181" s="26" t="s">
        <v>441</v>
      </c>
      <c r="AC181" s="26" t="n">
        <v>1</v>
      </c>
      <c r="AD181" s="26" t="n">
        <v>6</v>
      </c>
      <c r="AE181" s="26" t="n">
        <v>0</v>
      </c>
      <c r="AF181" s="26" t="n">
        <v>0</v>
      </c>
      <c r="AG181" s="26" t="n">
        <v>0</v>
      </c>
      <c r="AH181" s="26" t="n">
        <v>0</v>
      </c>
      <c r="AI181" s="26" t="n">
        <v>2</v>
      </c>
      <c r="AJ181" s="26" t="n">
        <v>0</v>
      </c>
      <c r="AK181" s="26" t="n">
        <v>2</v>
      </c>
      <c r="AL181" s="26"/>
      <c r="AM181" s="26" t="n">
        <v>5</v>
      </c>
      <c r="AN181" s="26" t="n">
        <v>0</v>
      </c>
      <c r="AO181" s="26" t="n">
        <v>0</v>
      </c>
      <c r="AP181" s="26" t="n">
        <v>0</v>
      </c>
      <c r="AQ181" s="26" t="n">
        <v>0</v>
      </c>
      <c r="AR181" s="26" t="n">
        <v>0</v>
      </c>
      <c r="AS181" s="26" t="n">
        <v>3</v>
      </c>
      <c r="AT181" s="26" t="n">
        <v>0</v>
      </c>
      <c r="AU181" s="26" t="n">
        <v>3</v>
      </c>
      <c r="AV181" s="26" t="n">
        <v>4</v>
      </c>
      <c r="AW181" s="26" t="n">
        <v>4</v>
      </c>
      <c r="AX181" s="26" t="n">
        <v>0</v>
      </c>
      <c r="AY181" s="26" t="n">
        <v>0</v>
      </c>
      <c r="AZ181" s="26" t="n">
        <v>0</v>
      </c>
      <c r="BA181" s="26" t="n">
        <v>0</v>
      </c>
      <c r="BB181" s="26" t="n">
        <v>0</v>
      </c>
      <c r="BC181" s="26" t="n">
        <v>0</v>
      </c>
      <c r="BD181" s="26" t="n">
        <v>0</v>
      </c>
      <c r="BE181" s="26" t="n">
        <v>0</v>
      </c>
      <c r="BF181" s="26" t="n">
        <v>0</v>
      </c>
      <c r="BG181" s="26" t="n">
        <v>0</v>
      </c>
      <c r="BH181" s="26" t="n">
        <v>0</v>
      </c>
      <c r="BI181" s="26" t="n">
        <v>0</v>
      </c>
      <c r="BJ181" s="26" t="n">
        <v>0</v>
      </c>
      <c r="BK181" s="26" t="n">
        <v>0</v>
      </c>
      <c r="BL181" s="26" t="n">
        <v>0</v>
      </c>
      <c r="BM181" s="26" t="n">
        <v>0</v>
      </c>
      <c r="BN181" s="26" t="n">
        <v>0</v>
      </c>
      <c r="BO181" s="26" t="n">
        <v>0</v>
      </c>
      <c r="BP181" s="26" t="n">
        <v>0</v>
      </c>
      <c r="BQ181" s="26" t="n">
        <v>0</v>
      </c>
      <c r="BR181" s="26" t="n">
        <v>2</v>
      </c>
      <c r="BS181" s="26" t="n">
        <v>2</v>
      </c>
      <c r="BT181" s="26" t="n">
        <v>2</v>
      </c>
      <c r="BU181" s="26" t="n">
        <v>4</v>
      </c>
      <c r="BV181" s="26" t="n">
        <v>1</v>
      </c>
      <c r="BW181" s="26" t="n">
        <v>1</v>
      </c>
      <c r="BX181" s="26" t="n">
        <v>4</v>
      </c>
      <c r="BY181" s="26" t="n">
        <v>3</v>
      </c>
      <c r="BZ181" s="26" t="n">
        <v>4</v>
      </c>
      <c r="CA181" s="26" t="n">
        <v>3</v>
      </c>
      <c r="CB181" s="26" t="n">
        <v>5</v>
      </c>
      <c r="CC181" s="26" t="n">
        <v>5</v>
      </c>
      <c r="CD181" s="26" t="n">
        <v>3</v>
      </c>
      <c r="CE181" s="26" t="n">
        <v>5</v>
      </c>
      <c r="CF181" s="26" t="n">
        <v>5</v>
      </c>
      <c r="CG181" s="26" t="n">
        <v>5</v>
      </c>
      <c r="CH181" s="26" t="n">
        <v>5</v>
      </c>
      <c r="CI181" s="26" t="n">
        <v>5</v>
      </c>
      <c r="CJ181" s="26" t="n">
        <v>5</v>
      </c>
      <c r="CK181" s="26" t="n">
        <v>9</v>
      </c>
      <c r="CL181" s="24" t="s">
        <v>661</v>
      </c>
      <c r="CM181" s="24" t="n">
        <v>29</v>
      </c>
      <c r="CN181" s="27" t="n">
        <v>86.2</v>
      </c>
      <c r="CO181" s="27" t="n">
        <v>83.4</v>
      </c>
      <c r="CP181" s="27" t="n">
        <v>15.4</v>
      </c>
      <c r="CQ181" s="24" t="n">
        <v>87</v>
      </c>
      <c r="CR181" s="24" t="n">
        <v>0</v>
      </c>
      <c r="CS181" s="24" t="n">
        <v>0</v>
      </c>
      <c r="CT181" s="24" t="n">
        <v>0</v>
      </c>
      <c r="CU181" s="24" t="n">
        <v>13</v>
      </c>
      <c r="CV181" s="24" t="n">
        <v>0</v>
      </c>
      <c r="CW181" s="24" t="n">
        <v>0</v>
      </c>
      <c r="CX181" s="24" t="n">
        <v>0</v>
      </c>
      <c r="CY181" s="24" t="n">
        <v>0</v>
      </c>
      <c r="CZ181" s="24" t="n">
        <v>0</v>
      </c>
      <c r="DA181" s="24" t="n">
        <v>0</v>
      </c>
      <c r="DB181" s="24" t="n">
        <v>37.36</v>
      </c>
      <c r="DC181" s="24" t="n">
        <v>46.33</v>
      </c>
      <c r="DD181" s="24" t="n">
        <v>18.45</v>
      </c>
      <c r="DE181" s="24" t="n">
        <v>0</v>
      </c>
      <c r="DF181" s="24" t="n">
        <v>0</v>
      </c>
      <c r="DG181" s="24" t="n">
        <v>0</v>
      </c>
      <c r="DH181" s="24" t="n">
        <v>0</v>
      </c>
      <c r="DU181" s="24" t="n">
        <v>8.3</v>
      </c>
      <c r="DV181" s="24" t="n">
        <v>0</v>
      </c>
      <c r="EG181" s="28"/>
      <c r="EY181" s="24" t="n">
        <v>1</v>
      </c>
      <c r="EZ181" s="24" t="n">
        <v>80</v>
      </c>
      <c r="FA181" s="24" t="n">
        <v>9</v>
      </c>
      <c r="FB181" s="24" t="n">
        <v>6.01</v>
      </c>
      <c r="FC181" s="24" t="n">
        <v>3</v>
      </c>
      <c r="GJ181" s="27" t="n">
        <v>1.8</v>
      </c>
      <c r="GK181" s="27" t="n">
        <v>1</v>
      </c>
      <c r="GL181" s="27" t="n">
        <v>1</v>
      </c>
      <c r="GM181" s="27"/>
      <c r="GN181" s="27" t="n">
        <v>3.6</v>
      </c>
      <c r="GO181" s="27"/>
      <c r="GP181" s="27"/>
      <c r="GQ181" s="27"/>
      <c r="GR181" s="27"/>
      <c r="GS181" s="27"/>
      <c r="GT181" s="27"/>
      <c r="GU181" s="27" t="n">
        <v>0.54</v>
      </c>
      <c r="GV181" s="27" t="n">
        <v>0.13</v>
      </c>
      <c r="GW181" s="27"/>
      <c r="GX181" s="27"/>
      <c r="GY181" s="27" t="n">
        <v>2.88</v>
      </c>
      <c r="GZ181" s="27" t="n">
        <v>6.91</v>
      </c>
      <c r="HA181" s="27" t="n">
        <v>0</v>
      </c>
      <c r="HB181" s="24" t="n">
        <v>0</v>
      </c>
      <c r="HC181" s="24" t="s">
        <v>662</v>
      </c>
      <c r="HD181" s="24" t="n">
        <v>46.5</v>
      </c>
      <c r="HE181" s="27" t="n">
        <v>69.2</v>
      </c>
      <c r="HF181" s="27" t="n">
        <v>83.4</v>
      </c>
      <c r="HG181" s="27" t="n">
        <v>28.7</v>
      </c>
      <c r="HH181" s="24" t="n">
        <v>53.82</v>
      </c>
      <c r="HI181" s="24" t="n">
        <v>0</v>
      </c>
      <c r="HJ181" s="24" t="n">
        <v>0</v>
      </c>
      <c r="HK181" s="24" t="n">
        <v>0</v>
      </c>
      <c r="HL181" s="24" t="n">
        <v>46.18</v>
      </c>
      <c r="HM181" s="24" t="n">
        <v>0</v>
      </c>
      <c r="HN181" s="24" t="n">
        <v>0</v>
      </c>
      <c r="HO181" s="24" t="n">
        <v>0</v>
      </c>
      <c r="HP181" s="24" t="n">
        <v>0</v>
      </c>
      <c r="HQ181" s="24" t="n">
        <v>0</v>
      </c>
      <c r="HR181" s="24" t="n">
        <v>0</v>
      </c>
      <c r="HS181" s="24" t="n">
        <v>0</v>
      </c>
      <c r="HT181" s="24" t="n">
        <v>5.46</v>
      </c>
      <c r="HU181" s="24" t="n">
        <v>46.31</v>
      </c>
      <c r="HV181" s="24" t="n">
        <v>1.06</v>
      </c>
      <c r="HW181" s="24" t="n">
        <v>0</v>
      </c>
      <c r="HX181" s="24" t="n">
        <v>0</v>
      </c>
      <c r="HY181" s="24" t="n">
        <v>0</v>
      </c>
      <c r="IL181" s="24" t="n">
        <v>13.3</v>
      </c>
      <c r="IM181" s="24" t="n">
        <v>1</v>
      </c>
      <c r="IN181" s="24" t="n">
        <v>52</v>
      </c>
      <c r="IO181" s="24" t="n">
        <v>23</v>
      </c>
      <c r="IP181" s="24" t="n">
        <f aca="false">7.18+2.15+0.07+0.84+0.15+0.14+0.12</f>
        <v>10.65</v>
      </c>
      <c r="IQ181" s="24" t="n">
        <v>2</v>
      </c>
      <c r="IX181" s="28"/>
      <c r="JP181" s="24" t="n">
        <v>0</v>
      </c>
      <c r="LA181" s="27" t="n">
        <v>1.39</v>
      </c>
      <c r="LB181" s="27" t="n">
        <v>1</v>
      </c>
      <c r="LC181" s="27" t="n">
        <v>1</v>
      </c>
      <c r="LD181" s="27"/>
      <c r="LE181" s="27" t="n">
        <f aca="false">1.32*2+1.62</f>
        <v>4.26</v>
      </c>
      <c r="LF181" s="27"/>
      <c r="LG181" s="27"/>
      <c r="LH181" s="27"/>
      <c r="LI181" s="27"/>
      <c r="LJ181" s="27"/>
      <c r="LK181" s="27"/>
      <c r="LL181" s="27" t="n">
        <v>0</v>
      </c>
      <c r="LM181" s="27" t="n">
        <v>0</v>
      </c>
      <c r="LN181" s="27"/>
      <c r="LO181" s="27"/>
      <c r="LP181" s="27" t="n">
        <v>2.88</v>
      </c>
      <c r="LQ181" s="27" t="n">
        <v>5.21</v>
      </c>
      <c r="LR181" s="27" t="n">
        <v>0</v>
      </c>
      <c r="LS181" s="24" t="n">
        <v>0</v>
      </c>
      <c r="LT181" s="24" t="s">
        <v>663</v>
      </c>
      <c r="LU181" s="24" t="n">
        <v>43.5</v>
      </c>
      <c r="LV181" s="27" t="n">
        <v>71.7</v>
      </c>
      <c r="LW181" s="27" t="n">
        <v>83.4</v>
      </c>
      <c r="LX181" s="27" t="n">
        <v>26.2</v>
      </c>
      <c r="LY181" s="24" t="n">
        <v>62.72</v>
      </c>
      <c r="LZ181" s="24" t="n">
        <v>0</v>
      </c>
      <c r="MA181" s="24" t="n">
        <v>0</v>
      </c>
      <c r="MB181" s="24" t="n">
        <v>0</v>
      </c>
      <c r="MC181" s="24" t="n">
        <v>37.28</v>
      </c>
      <c r="MD181" s="24" t="n">
        <v>0</v>
      </c>
      <c r="ME181" s="24" t="n">
        <v>0</v>
      </c>
      <c r="MF181" s="24" t="n">
        <v>0</v>
      </c>
      <c r="MG181" s="24" t="n">
        <v>0</v>
      </c>
      <c r="MH181" s="24" t="n">
        <v>0</v>
      </c>
      <c r="MI181" s="24" t="n">
        <v>0</v>
      </c>
      <c r="MJ181" s="24" t="n">
        <v>0</v>
      </c>
      <c r="MK181" s="24" t="n">
        <v>5.91</v>
      </c>
      <c r="ML181" s="24" t="n">
        <v>43.24</v>
      </c>
      <c r="MM181" s="24" t="n">
        <v>0.36</v>
      </c>
      <c r="MN181" s="24" t="n">
        <v>0</v>
      </c>
      <c r="MO181" s="24" t="n">
        <v>0</v>
      </c>
      <c r="MP181" s="24" t="n">
        <v>0</v>
      </c>
      <c r="NC181" s="24" t="n">
        <v>12.7</v>
      </c>
      <c r="ND181" s="24" t="n">
        <v>1</v>
      </c>
      <c r="NE181" s="24" t="n">
        <v>52</v>
      </c>
      <c r="NF181" s="24" t="n">
        <v>13</v>
      </c>
      <c r="NG181" s="24" t="n">
        <f aca="false">7.18+2.15</f>
        <v>9.33</v>
      </c>
      <c r="NH181" s="24" t="n">
        <v>2</v>
      </c>
      <c r="NO181" s="28"/>
      <c r="OG181" s="24" t="n">
        <v>0</v>
      </c>
      <c r="PR181" s="27" t="n">
        <v>1.39</v>
      </c>
      <c r="PS181" s="27" t="n">
        <v>1</v>
      </c>
      <c r="PT181" s="27" t="n">
        <v>1</v>
      </c>
      <c r="PU181" s="27"/>
      <c r="PV181" s="27" t="n">
        <f aca="false">1.32*2+1.62</f>
        <v>4.26</v>
      </c>
      <c r="PW181" s="27"/>
      <c r="PX181" s="27"/>
      <c r="PY181" s="27"/>
      <c r="PZ181" s="27"/>
      <c r="QA181" s="27"/>
      <c r="QB181" s="27"/>
      <c r="QC181" s="27" t="n">
        <v>0</v>
      </c>
      <c r="QD181" s="27" t="n">
        <v>0</v>
      </c>
      <c r="QE181" s="27"/>
      <c r="QF181" s="27"/>
      <c r="QG181" s="27" t="n">
        <v>2.88</v>
      </c>
      <c r="QH181" s="27" t="n">
        <v>5.57</v>
      </c>
      <c r="QI181" s="27" t="n">
        <v>0</v>
      </c>
      <c r="QJ181" s="24" t="n">
        <v>0</v>
      </c>
      <c r="QK181" s="24" t="s">
        <v>664</v>
      </c>
      <c r="QL181" s="24" t="n">
        <v>46</v>
      </c>
      <c r="QM181" s="27" t="n">
        <v>97.8</v>
      </c>
      <c r="QN181" s="27" t="n">
        <v>83.4</v>
      </c>
      <c r="QO181" s="27" t="n">
        <v>9.8</v>
      </c>
      <c r="QP181" s="24" t="n">
        <v>97.48</v>
      </c>
      <c r="QQ181" s="24" t="n">
        <v>0</v>
      </c>
      <c r="QR181" s="24" t="n">
        <v>1.83</v>
      </c>
      <c r="QS181" s="24" t="n">
        <v>0</v>
      </c>
      <c r="QT181" s="24" t="n">
        <v>0</v>
      </c>
      <c r="QU181" s="24" t="n">
        <v>0</v>
      </c>
      <c r="QV181" s="24" t="n">
        <v>0</v>
      </c>
      <c r="QW181" s="24" t="n">
        <v>0</v>
      </c>
      <c r="QX181" s="24" t="n">
        <v>0</v>
      </c>
      <c r="QY181" s="24" t="n">
        <v>0</v>
      </c>
      <c r="QZ181" s="24" t="n">
        <v>0</v>
      </c>
      <c r="RA181" s="24" t="n">
        <v>3.67</v>
      </c>
      <c r="RB181" s="24" t="n">
        <v>10.58</v>
      </c>
      <c r="RC181" s="24" t="n">
        <v>65.89</v>
      </c>
      <c r="RD181" s="24" t="n">
        <v>0</v>
      </c>
      <c r="RE181" s="24" t="n">
        <v>0</v>
      </c>
      <c r="RF181" s="24" t="n">
        <v>0</v>
      </c>
      <c r="RG181" s="24" t="n">
        <v>0</v>
      </c>
      <c r="RT181" s="24" t="n">
        <v>29.3</v>
      </c>
      <c r="RU181" s="24" t="n">
        <v>1</v>
      </c>
      <c r="RV181" s="24" t="n">
        <v>40</v>
      </c>
      <c r="RW181" s="24" t="n">
        <v>10</v>
      </c>
      <c r="RX181" s="24" t="n">
        <f aca="false">0.91+0.39</f>
        <v>1.3</v>
      </c>
      <c r="RY181" s="24" t="n">
        <v>2</v>
      </c>
      <c r="RZ181" s="24" t="n">
        <v>35</v>
      </c>
      <c r="SA181" s="24" t="n">
        <v>10</v>
      </c>
      <c r="SB181" s="24" t="n">
        <f aca="false">0.58+1.36</f>
        <v>1.94</v>
      </c>
      <c r="SC181" s="24" t="n">
        <v>3</v>
      </c>
      <c r="SF181" s="28"/>
      <c r="SX181" s="24" t="n">
        <v>1</v>
      </c>
      <c r="SY181" s="24" t="n">
        <v>60</v>
      </c>
      <c r="SZ181" s="24" t="n">
        <v>5</v>
      </c>
      <c r="TA181" s="24" t="n">
        <v>3.67</v>
      </c>
      <c r="TB181" s="24" t="n">
        <v>3</v>
      </c>
      <c r="TC181" s="24" t="n">
        <v>30</v>
      </c>
      <c r="TD181" s="24" t="n">
        <v>6</v>
      </c>
      <c r="TE181" s="24" t="n">
        <v>5.87</v>
      </c>
      <c r="TF181" s="24" t="n">
        <v>4</v>
      </c>
      <c r="UI181" s="27" t="n">
        <v>1.87</v>
      </c>
      <c r="UJ181" s="27" t="n">
        <v>1</v>
      </c>
      <c r="UK181" s="27" t="n">
        <v>1</v>
      </c>
      <c r="UL181" s="27"/>
      <c r="UM181" s="27" t="n">
        <f aca="false">2.04*2</f>
        <v>4.08</v>
      </c>
      <c r="UN181" s="27" t="n">
        <v>2</v>
      </c>
      <c r="UO181" s="27"/>
      <c r="UP181" s="27" t="n">
        <f aca="false">0.36*2</f>
        <v>0.72</v>
      </c>
      <c r="UQ181" s="27"/>
      <c r="UR181" s="27"/>
      <c r="US181" s="27"/>
      <c r="UT181" s="27" t="n">
        <v>5.07</v>
      </c>
      <c r="UU181" s="27" t="n">
        <v>2.33</v>
      </c>
      <c r="UV181" s="27"/>
      <c r="UW181" s="27"/>
      <c r="UX181" s="27" t="n">
        <v>0</v>
      </c>
      <c r="UY181" s="27" t="n">
        <v>0</v>
      </c>
      <c r="UZ181" s="27" t="n">
        <v>0</v>
      </c>
      <c r="VA181" s="24" t="n">
        <v>0</v>
      </c>
      <c r="VB181" s="24" t="s">
        <v>665</v>
      </c>
      <c r="VC181" s="24" t="n">
        <v>49.5</v>
      </c>
      <c r="VD181" s="27" t="n">
        <v>97.8</v>
      </c>
      <c r="VE181" s="27" t="n">
        <v>83.4</v>
      </c>
      <c r="VF181" s="27" t="n">
        <v>9.9</v>
      </c>
      <c r="VG181" s="24" t="n">
        <v>97.48</v>
      </c>
      <c r="VH181" s="24" t="n">
        <v>0</v>
      </c>
      <c r="VI181" s="24" t="n">
        <v>1.83</v>
      </c>
      <c r="VJ181" s="24" t="n">
        <v>0</v>
      </c>
      <c r="VK181" s="24" t="n">
        <v>0.68</v>
      </c>
      <c r="VL181" s="24" t="n">
        <v>0</v>
      </c>
      <c r="VM181" s="24" t="n">
        <v>0</v>
      </c>
      <c r="VN181" s="24" t="n">
        <v>0</v>
      </c>
      <c r="VO181" s="24" t="n">
        <v>0</v>
      </c>
      <c r="VP181" s="24" t="n">
        <v>0</v>
      </c>
      <c r="VQ181" s="24" t="n">
        <v>0</v>
      </c>
      <c r="VR181" s="24" t="n">
        <v>3.67</v>
      </c>
      <c r="VS181" s="24" t="n">
        <v>8.74</v>
      </c>
      <c r="VT181" s="24" t="n">
        <v>67.72</v>
      </c>
      <c r="VU181" s="24" t="n">
        <v>0</v>
      </c>
      <c r="VV181" s="24" t="n">
        <v>0</v>
      </c>
      <c r="VW181" s="24" t="n">
        <v>0</v>
      </c>
      <c r="VX181" s="24" t="n">
        <v>0</v>
      </c>
      <c r="WK181" s="24" t="n">
        <v>32.5</v>
      </c>
      <c r="WL181" s="24" t="n">
        <v>1</v>
      </c>
      <c r="WM181" s="24" t="n">
        <v>30</v>
      </c>
      <c r="WN181" s="24" t="n">
        <v>11</v>
      </c>
      <c r="WO181" s="24" t="n">
        <f aca="false">6.61+5.5</f>
        <v>12.11</v>
      </c>
      <c r="WP181" s="24" t="n">
        <v>4</v>
      </c>
      <c r="WQ181" s="24" t="n">
        <v>40</v>
      </c>
      <c r="WR181" s="24" t="n">
        <v>12</v>
      </c>
      <c r="WS181" s="24" t="n">
        <f aca="false">2.2+1.47+0.91</f>
        <v>4.58</v>
      </c>
      <c r="WT181" s="24" t="n">
        <v>2</v>
      </c>
      <c r="WU181" s="24" t="n">
        <v>35</v>
      </c>
      <c r="WV181" s="24" t="n">
        <v>10</v>
      </c>
      <c r="WW181" s="28" t="n">
        <f aca="false">1.36+0.58</f>
        <v>1.94</v>
      </c>
      <c r="WX181" s="24" t="n">
        <v>3</v>
      </c>
      <c r="WY181" s="24" t="n">
        <v>78</v>
      </c>
      <c r="WZ181" s="24" t="n">
        <v>3</v>
      </c>
      <c r="XA181" s="24" t="n">
        <v>0.39</v>
      </c>
      <c r="XB181" s="24" t="n">
        <v>2</v>
      </c>
      <c r="XO181" s="24" t="n">
        <v>0</v>
      </c>
      <c r="YZ181" s="27" t="n">
        <v>1.87</v>
      </c>
      <c r="ZA181" s="27" t="n">
        <v>1</v>
      </c>
      <c r="ZB181" s="27" t="n">
        <v>1</v>
      </c>
      <c r="ZC181" s="27"/>
      <c r="ZD181" s="27" t="n">
        <f aca="false">2.04*2</f>
        <v>4.08</v>
      </c>
      <c r="ZE181" s="27" t="n">
        <v>2</v>
      </c>
      <c r="ZF181" s="27"/>
      <c r="ZG181" s="27" t="n">
        <v>0.7</v>
      </c>
      <c r="ZH181" s="27"/>
      <c r="ZI181" s="27"/>
      <c r="ZJ181" s="27"/>
      <c r="ZK181" s="27" t="n">
        <v>5.01</v>
      </c>
      <c r="ZL181" s="27" t="n">
        <v>1.3</v>
      </c>
      <c r="ZM181" s="27"/>
      <c r="ZN181" s="27"/>
      <c r="ZO181" s="27" t="n">
        <v>0</v>
      </c>
      <c r="ZP181" s="27" t="n">
        <v>0</v>
      </c>
      <c r="ZQ181" s="27" t="n">
        <v>0</v>
      </c>
      <c r="ZR181" s="24" t="n">
        <v>0</v>
      </c>
      <c r="ZS181" s="39" t="n">
        <v>120</v>
      </c>
      <c r="ZT181" s="24" t="n">
        <v>41</v>
      </c>
      <c r="ZU181" s="27" t="n">
        <v>75.9</v>
      </c>
      <c r="ZV181" s="27" t="n">
        <v>83.4</v>
      </c>
      <c r="ZW181" s="27" t="n">
        <v>13.8</v>
      </c>
      <c r="ZX181" s="24" t="n">
        <v>83.58</v>
      </c>
      <c r="ZY181" s="24" t="n">
        <v>0</v>
      </c>
      <c r="ZZ181" s="24" t="n">
        <v>0</v>
      </c>
      <c r="AAA181" s="24" t="n">
        <v>0</v>
      </c>
      <c r="AAB181" s="24" t="n">
        <v>9.73</v>
      </c>
      <c r="AAC181" s="24" t="n">
        <v>0</v>
      </c>
      <c r="AAD181" s="24" t="n">
        <v>6.69</v>
      </c>
      <c r="AAE181" s="24" t="n">
        <v>0</v>
      </c>
      <c r="AAF181" s="24" t="n">
        <v>0</v>
      </c>
      <c r="AAG181" s="24" t="n">
        <v>0</v>
      </c>
      <c r="AAH181" s="24" t="n">
        <v>0</v>
      </c>
      <c r="AAI181" s="24" t="n">
        <v>11.59</v>
      </c>
      <c r="AAJ181" s="24" t="n">
        <v>26.54</v>
      </c>
      <c r="AAK181" s="24" t="n">
        <v>10.81</v>
      </c>
      <c r="AAL181" s="24" t="n">
        <v>6.87</v>
      </c>
      <c r="AAM181" s="24" t="n">
        <v>0</v>
      </c>
      <c r="AAN181" s="24" t="n">
        <v>20</v>
      </c>
      <c r="AAO181" s="24" t="n">
        <v>1</v>
      </c>
      <c r="AAP181" s="24" t="n">
        <v>3</v>
      </c>
      <c r="AAR181" s="24" t="n">
        <v>4</v>
      </c>
      <c r="ABB181" s="24" t="n">
        <v>1.9</v>
      </c>
      <c r="ABC181" s="24" t="n">
        <v>1</v>
      </c>
      <c r="ABD181" s="24" t="n">
        <v>34</v>
      </c>
      <c r="ABE181" s="24" t="n">
        <v>4</v>
      </c>
      <c r="ABF181" s="24" t="n">
        <f aca="false">4.04+0.71</f>
        <v>4.75</v>
      </c>
      <c r="ABG181" s="24" t="n">
        <v>1</v>
      </c>
      <c r="ABH181" s="24" t="n">
        <v>52</v>
      </c>
      <c r="ABI181" s="24" t="n">
        <v>2</v>
      </c>
      <c r="ABJ181" s="24" t="n">
        <f aca="false">0.73+0.13</f>
        <v>0.86</v>
      </c>
      <c r="ABK181" s="24" t="n">
        <v>2</v>
      </c>
      <c r="ABN181" s="28"/>
      <c r="ACF181" s="24" t="n">
        <v>0</v>
      </c>
      <c r="ADQ181" s="27" t="n">
        <v>0</v>
      </c>
      <c r="ADR181" s="27" t="n">
        <v>0</v>
      </c>
      <c r="ADS181" s="27"/>
      <c r="ADT181" s="27"/>
      <c r="ADU181" s="27"/>
      <c r="ADV181" s="27"/>
      <c r="ADW181" s="27"/>
      <c r="ADX181" s="27"/>
      <c r="ADY181" s="27"/>
      <c r="ADZ181" s="27"/>
      <c r="AEA181" s="27"/>
      <c r="AEB181" s="27" t="n">
        <v>5.08</v>
      </c>
      <c r="AEC181" s="27" t="n">
        <v>4.75</v>
      </c>
      <c r="AED181" s="27"/>
      <c r="AEE181" s="27"/>
      <c r="AEF181" s="27" t="n">
        <v>0</v>
      </c>
      <c r="AEG181" s="27" t="n">
        <v>0</v>
      </c>
      <c r="AEH181" s="27" t="n">
        <v>0</v>
      </c>
      <c r="AEI181" s="24" t="n">
        <v>0</v>
      </c>
      <c r="AEJ181" s="24" t="s">
        <v>666</v>
      </c>
      <c r="AEK181" s="24" t="n">
        <v>27.5</v>
      </c>
      <c r="AEL181" s="27" t="n">
        <v>76.8</v>
      </c>
      <c r="AEM181" s="27" t="n">
        <v>83.4</v>
      </c>
      <c r="AEN181" s="27" t="n">
        <v>16</v>
      </c>
      <c r="AEO181" s="24" t="n">
        <v>82.97</v>
      </c>
      <c r="AEP181" s="24" t="n">
        <v>0</v>
      </c>
      <c r="AEQ181" s="24" t="n">
        <v>0.29</v>
      </c>
      <c r="AER181" s="24" t="n">
        <v>0</v>
      </c>
      <c r="AES181" s="24" t="n">
        <v>16.74</v>
      </c>
      <c r="AET181" s="24" t="n">
        <v>0</v>
      </c>
      <c r="AEU181" s="24" t="n">
        <v>0</v>
      </c>
      <c r="AEV181" s="24" t="n">
        <v>0</v>
      </c>
      <c r="AEW181" s="24" t="n">
        <v>0</v>
      </c>
      <c r="AEX181" s="24" t="n">
        <v>0</v>
      </c>
      <c r="AEY181" s="24" t="n">
        <v>0</v>
      </c>
      <c r="AEZ181" s="24" t="n">
        <v>0</v>
      </c>
      <c r="AFA181" s="24" t="n">
        <v>1.65</v>
      </c>
      <c r="AFB181" s="24" t="n">
        <v>49.33</v>
      </c>
      <c r="AFC181" s="24" t="n">
        <v>1.23</v>
      </c>
      <c r="AFD181" s="24" t="n">
        <v>0</v>
      </c>
      <c r="AFE181" s="24" t="n">
        <v>0</v>
      </c>
      <c r="AFF181" s="24" t="n">
        <v>0</v>
      </c>
      <c r="AFS181" s="24" t="n">
        <v>8.7</v>
      </c>
      <c r="AFT181" s="24" t="n">
        <v>1</v>
      </c>
      <c r="AFU181" s="24" t="n">
        <v>35</v>
      </c>
      <c r="AFV181" s="24" t="n">
        <v>3</v>
      </c>
      <c r="AFW181" s="24" t="n">
        <f aca="false">0.13*2+0.73</f>
        <v>0.99</v>
      </c>
      <c r="AFX181" s="24" t="n">
        <v>3</v>
      </c>
      <c r="AFY181" s="24" t="n">
        <v>47</v>
      </c>
      <c r="AFZ181" s="24" t="n">
        <v>4</v>
      </c>
      <c r="AGA181" s="24" t="n">
        <v>0.52</v>
      </c>
      <c r="AGB181" s="24" t="n">
        <v>3</v>
      </c>
      <c r="AGE181" s="28"/>
      <c r="AGW181" s="24" t="n">
        <v>0</v>
      </c>
      <c r="AIH181" s="27" t="n">
        <v>1.44</v>
      </c>
      <c r="AII181" s="27" t="n">
        <v>1</v>
      </c>
      <c r="AIJ181" s="27" t="n">
        <v>1</v>
      </c>
      <c r="AIK181" s="27"/>
      <c r="AIL181" s="27" t="n">
        <f aca="false">3.3*2+0.36*2</f>
        <v>7.32</v>
      </c>
      <c r="AIM181" s="27"/>
      <c r="AIN181" s="27"/>
      <c r="AIO181" s="27"/>
      <c r="AIP181" s="27"/>
      <c r="AIQ181" s="27"/>
      <c r="AIR181" s="27"/>
      <c r="AIS181" s="27" t="n">
        <v>1.08</v>
      </c>
      <c r="AIT181" s="27" t="n">
        <v>0.26</v>
      </c>
      <c r="AIU181" s="27"/>
      <c r="AIV181" s="27"/>
      <c r="AIW181" s="27" t="n">
        <v>0</v>
      </c>
      <c r="AIX181" s="27" t="n">
        <v>0</v>
      </c>
      <c r="AIY181" s="27" t="n">
        <v>0</v>
      </c>
      <c r="AIZ181" s="24" t="n">
        <v>0</v>
      </c>
      <c r="AJA181" s="24" t="s">
        <v>668</v>
      </c>
      <c r="AJB181" s="24" t="n">
        <v>45</v>
      </c>
      <c r="AJC181" s="27" t="n">
        <v>68.1</v>
      </c>
      <c r="AJD181" s="27" t="n">
        <v>83.4</v>
      </c>
      <c r="AJE181" s="27" t="n">
        <v>15.3</v>
      </c>
      <c r="AJF181" s="24" t="n">
        <v>83.75</v>
      </c>
      <c r="AJG181" s="24" t="n">
        <v>0</v>
      </c>
      <c r="AJH181" s="24" t="n">
        <v>0.29</v>
      </c>
      <c r="AJI181" s="24" t="n">
        <v>0</v>
      </c>
      <c r="AJJ181" s="24" t="n">
        <v>0</v>
      </c>
      <c r="AJK181" s="24" t="n">
        <v>0</v>
      </c>
      <c r="AJL181" s="24" t="n">
        <v>0</v>
      </c>
      <c r="AJM181" s="24" t="n">
        <v>0</v>
      </c>
      <c r="AJN181" s="24" t="n">
        <v>0</v>
      </c>
      <c r="AJO181" s="24" t="n">
        <v>0</v>
      </c>
      <c r="AJP181" s="24" t="n">
        <v>0</v>
      </c>
      <c r="AJQ181" s="24" t="n">
        <v>0</v>
      </c>
      <c r="AJR181" s="24" t="n">
        <v>5.69</v>
      </c>
      <c r="AJS181" s="24" t="n">
        <v>43.64</v>
      </c>
      <c r="AJT181" s="24" t="n">
        <v>0.45</v>
      </c>
      <c r="AJU181" s="24" t="n">
        <v>0</v>
      </c>
      <c r="AJV181" s="24" t="n">
        <v>0</v>
      </c>
      <c r="AJW181" s="24" t="n">
        <v>0</v>
      </c>
      <c r="AKJ181" s="24" t="n">
        <v>22.5</v>
      </c>
      <c r="AKK181" s="24" t="n">
        <v>1</v>
      </c>
      <c r="AKL181" s="24" t="n">
        <v>35</v>
      </c>
      <c r="AKM181" s="24" t="n">
        <v>5</v>
      </c>
      <c r="AKN181" s="24" t="n">
        <f aca="false">0.73*2+2.2+0.13*2</f>
        <v>3.92</v>
      </c>
      <c r="AKO181" s="24" t="n">
        <v>3</v>
      </c>
      <c r="AKP181" s="24" t="n">
        <v>47</v>
      </c>
      <c r="AKQ181" s="24" t="n">
        <v>4</v>
      </c>
      <c r="AKR181" s="24" t="n">
        <v>0.52</v>
      </c>
      <c r="AKS181" s="24" t="n">
        <v>3</v>
      </c>
      <c r="AKV181" s="28"/>
      <c r="ALN181" s="24" t="n">
        <v>0</v>
      </c>
    </row>
    <row r="182" customFormat="false" ht="13.8" hidden="false" customHeight="false" outlineLevel="0" collapsed="false">
      <c r="A182" s="1" t="s">
        <v>671</v>
      </c>
      <c r="B182" s="12" t="n">
        <v>42907</v>
      </c>
      <c r="C182" s="0" t="n">
        <v>2</v>
      </c>
      <c r="D182" s="13" t="n">
        <v>34656</v>
      </c>
      <c r="E182" s="12" t="n">
        <v>25438</v>
      </c>
      <c r="F182" s="14" t="n">
        <f aca="false">(B182-E182)/365.25</f>
        <v>47.8275154004107</v>
      </c>
      <c r="G182" s="14" t="n">
        <f aca="false">(B182-D182)/365.25</f>
        <v>22.590006844627</v>
      </c>
      <c r="H182" s="15" t="s">
        <v>306</v>
      </c>
      <c r="I182" s="15" t="s">
        <v>658</v>
      </c>
      <c r="J182" s="21" t="s">
        <v>181</v>
      </c>
      <c r="K182" s="21" t="n">
        <v>8</v>
      </c>
      <c r="L182" s="19" t="n">
        <v>70</v>
      </c>
      <c r="M182" s="0" t="n">
        <v>1.7</v>
      </c>
      <c r="N182" s="16" t="n">
        <f aca="false">L182/(M182*M182)</f>
        <v>24.2214532871972</v>
      </c>
      <c r="O182" s="19" t="n">
        <v>1</v>
      </c>
      <c r="P182" s="19" t="n">
        <v>1</v>
      </c>
      <c r="Q182" s="19" t="s">
        <v>672</v>
      </c>
      <c r="R182" s="19" t="n">
        <v>0</v>
      </c>
      <c r="S182" s="19"/>
      <c r="T182" s="19"/>
      <c r="U182" s="26" t="n">
        <v>0</v>
      </c>
      <c r="V182" s="26" t="n">
        <v>0</v>
      </c>
      <c r="W182" s="19" t="n">
        <v>0</v>
      </c>
      <c r="X182" s="19" t="n">
        <v>0</v>
      </c>
      <c r="Y182" s="19" t="n">
        <v>1</v>
      </c>
      <c r="Z182" s="19" t="n">
        <v>2</v>
      </c>
      <c r="AA182" s="19" t="n">
        <v>90</v>
      </c>
      <c r="AB182" s="19" t="s">
        <v>673</v>
      </c>
      <c r="AC182" s="19" t="n">
        <v>0</v>
      </c>
      <c r="AD182" s="19" t="n">
        <v>0</v>
      </c>
      <c r="AE182" s="19" t="n">
        <v>1</v>
      </c>
      <c r="AF182" s="19" t="n">
        <v>0</v>
      </c>
      <c r="AG182" s="19" t="n">
        <v>0</v>
      </c>
      <c r="AH182" s="19" t="n">
        <v>0</v>
      </c>
      <c r="AI182" s="19" t="n">
        <v>3</v>
      </c>
      <c r="AJ182" s="19" t="n">
        <v>1</v>
      </c>
      <c r="AK182" s="19" t="n">
        <v>1</v>
      </c>
      <c r="AL182" s="19" t="n">
        <v>7</v>
      </c>
      <c r="AM182" s="19" t="n">
        <v>0</v>
      </c>
      <c r="AN182" s="19" t="n">
        <v>3</v>
      </c>
      <c r="AO182" s="19" t="n">
        <v>3</v>
      </c>
      <c r="AP182" s="19" t="n">
        <v>3</v>
      </c>
      <c r="AQ182" s="19" t="n">
        <v>5</v>
      </c>
      <c r="AR182" s="19" t="n">
        <v>5</v>
      </c>
      <c r="AS182" s="19" t="n">
        <v>1</v>
      </c>
      <c r="AT182" s="19" t="n">
        <v>1</v>
      </c>
      <c r="AU182" s="19" t="n">
        <v>1</v>
      </c>
      <c r="AV182" s="19" t="n">
        <v>5</v>
      </c>
      <c r="AW182" s="19" t="n">
        <v>0</v>
      </c>
      <c r="AX182" s="19" t="n">
        <v>0</v>
      </c>
      <c r="AY182" s="19" t="n">
        <v>0</v>
      </c>
      <c r="AZ182" s="19" t="n">
        <v>0</v>
      </c>
      <c r="BA182" s="19" t="n">
        <v>0</v>
      </c>
      <c r="BB182" s="19" t="n">
        <v>1</v>
      </c>
      <c r="BC182" s="19" t="n">
        <v>1</v>
      </c>
      <c r="BD182" s="19" t="n">
        <v>1</v>
      </c>
      <c r="BE182" s="19" t="n">
        <v>7</v>
      </c>
      <c r="BF182" s="19" t="n">
        <v>0</v>
      </c>
      <c r="BG182" s="19" t="n">
        <v>0</v>
      </c>
      <c r="BH182" s="19" t="n">
        <v>0</v>
      </c>
      <c r="BI182" s="19" t="n">
        <v>0</v>
      </c>
      <c r="BJ182" s="19" t="n">
        <v>1</v>
      </c>
      <c r="BK182" s="19" t="n">
        <v>1</v>
      </c>
      <c r="BL182" s="19" t="n">
        <v>1</v>
      </c>
      <c r="BM182" s="19" t="n">
        <v>6</v>
      </c>
      <c r="BN182" s="19" t="n">
        <v>1</v>
      </c>
      <c r="BO182" s="19" t="n">
        <v>1</v>
      </c>
      <c r="BP182" s="19" t="n">
        <v>1</v>
      </c>
      <c r="BQ182" s="19" t="n">
        <v>5</v>
      </c>
      <c r="BR182" s="19" t="n">
        <v>4</v>
      </c>
      <c r="BS182" s="19" t="n">
        <v>3</v>
      </c>
      <c r="BT182" s="19" t="n">
        <v>5</v>
      </c>
      <c r="BU182" s="19" t="n">
        <v>5</v>
      </c>
      <c r="BV182" s="19" t="n">
        <v>4</v>
      </c>
      <c r="BW182" s="19" t="n">
        <v>4</v>
      </c>
      <c r="BX182" s="19" t="n">
        <v>5</v>
      </c>
      <c r="BY182" s="19" t="n">
        <v>5</v>
      </c>
      <c r="BZ182" s="19" t="n">
        <v>4</v>
      </c>
      <c r="CA182" s="19" t="n">
        <v>3</v>
      </c>
      <c r="CB182" s="19" t="n">
        <v>3</v>
      </c>
      <c r="CC182" s="19" t="n">
        <v>4</v>
      </c>
      <c r="CD182" s="19" t="n">
        <v>1</v>
      </c>
      <c r="CE182" s="19" t="n">
        <v>3</v>
      </c>
      <c r="CF182" s="19" t="n">
        <v>5</v>
      </c>
      <c r="CG182" s="19" t="n">
        <v>5</v>
      </c>
      <c r="CH182" s="19" t="n">
        <v>5</v>
      </c>
      <c r="CI182" s="19" t="n">
        <v>4</v>
      </c>
      <c r="CJ182" s="19" t="n">
        <v>3</v>
      </c>
      <c r="CK182" s="19" t="n">
        <v>8</v>
      </c>
      <c r="CL182" s="0" t="s">
        <v>660</v>
      </c>
      <c r="CM182" s="0" t="n">
        <v>35.5</v>
      </c>
      <c r="CN182" s="16" t="n">
        <v>93.5</v>
      </c>
      <c r="CO182" s="16" t="n">
        <v>83.4</v>
      </c>
      <c r="CP182" s="16" t="n">
        <v>18.2</v>
      </c>
      <c r="CQ182" s="0" t="n">
        <v>81.82</v>
      </c>
      <c r="CR182" s="0" t="n">
        <v>0</v>
      </c>
      <c r="CS182" s="0" t="n">
        <v>0</v>
      </c>
      <c r="CT182" s="0" t="n">
        <v>0</v>
      </c>
      <c r="CU182" s="0" t="n">
        <v>18.18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37.1</v>
      </c>
      <c r="DC182" s="0" t="n">
        <v>47.46</v>
      </c>
      <c r="DD182" s="0" t="n">
        <v>20.37</v>
      </c>
      <c r="DE182" s="0" t="n">
        <v>3.52</v>
      </c>
      <c r="DF182" s="0" t="n">
        <v>0</v>
      </c>
      <c r="DG182" s="0" t="n">
        <v>0</v>
      </c>
      <c r="DH182" s="0" t="n">
        <v>0</v>
      </c>
      <c r="DU182" s="0" t="n">
        <v>8.4</v>
      </c>
      <c r="DV182" s="0" t="n">
        <v>0</v>
      </c>
      <c r="EG182" s="18"/>
      <c r="EY182" s="0" t="n">
        <v>1</v>
      </c>
      <c r="EZ182" s="0" t="n">
        <v>80</v>
      </c>
      <c r="FA182" s="0" t="n">
        <v>9</v>
      </c>
      <c r="FB182" s="0" t="n">
        <f aca="false">2.94*2+0.13</f>
        <v>6.01</v>
      </c>
      <c r="FC182" s="0" t="n">
        <v>3</v>
      </c>
      <c r="FD182" s="0" t="n">
        <v>50</v>
      </c>
      <c r="FE182" s="0" t="n">
        <v>4</v>
      </c>
      <c r="FF182" s="0" t="n">
        <v>5.56</v>
      </c>
      <c r="FG182" s="0" t="n">
        <v>3</v>
      </c>
      <c r="GJ182" s="16" t="n">
        <v>1.69</v>
      </c>
      <c r="GK182" s="16" t="n">
        <v>1</v>
      </c>
      <c r="GL182" s="16" t="n">
        <v>1</v>
      </c>
      <c r="GM182" s="16"/>
      <c r="GN182" s="16" t="n">
        <v>3.6</v>
      </c>
      <c r="GO182" s="16"/>
      <c r="GP182" s="16"/>
      <c r="GQ182" s="16"/>
      <c r="GR182" s="16"/>
      <c r="GS182" s="16"/>
      <c r="GT182" s="16"/>
      <c r="GU182" s="16" t="n">
        <v>3.24</v>
      </c>
      <c r="GV182" s="16" t="n">
        <v>2.54</v>
      </c>
      <c r="GW182" s="16"/>
      <c r="GX182" s="16"/>
      <c r="GY182" s="16" t="n">
        <v>3.6</v>
      </c>
      <c r="GZ182" s="16" t="n">
        <v>8.8</v>
      </c>
      <c r="HA182" s="16" t="n">
        <v>0</v>
      </c>
      <c r="HB182" s="0" t="n">
        <v>0</v>
      </c>
      <c r="HC182" s="0" t="s">
        <v>661</v>
      </c>
      <c r="HD182" s="0" t="n">
        <v>29</v>
      </c>
      <c r="HE182" s="16" t="n">
        <v>86.2</v>
      </c>
      <c r="HF182" s="16" t="n">
        <v>83.4</v>
      </c>
      <c r="HG182" s="16" t="n">
        <v>15.4</v>
      </c>
      <c r="HH182" s="0" t="n">
        <v>87</v>
      </c>
      <c r="HI182" s="0" t="n">
        <v>0</v>
      </c>
      <c r="HJ182" s="0" t="n">
        <v>0</v>
      </c>
      <c r="HK182" s="0" t="n">
        <v>0</v>
      </c>
      <c r="HL182" s="0" t="n">
        <v>13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37.36</v>
      </c>
      <c r="HT182" s="0" t="n">
        <v>46.33</v>
      </c>
      <c r="HU182" s="0" t="n">
        <v>18.45</v>
      </c>
      <c r="HV182" s="0" t="n">
        <v>0</v>
      </c>
      <c r="HW182" s="0" t="n">
        <v>0</v>
      </c>
      <c r="HX182" s="0" t="n">
        <v>0</v>
      </c>
      <c r="HY182" s="0" t="n">
        <v>0</v>
      </c>
      <c r="IL182" s="0" t="n">
        <v>8.3</v>
      </c>
      <c r="IM182" s="0" t="n">
        <v>0</v>
      </c>
      <c r="IX182" s="18"/>
      <c r="JP182" s="0" t="n">
        <v>1</v>
      </c>
      <c r="JQ182" s="0" t="n">
        <v>80</v>
      </c>
      <c r="JR182" s="0" t="n">
        <v>9</v>
      </c>
      <c r="JS182" s="0" t="n">
        <v>6.01</v>
      </c>
      <c r="JT182" s="0" t="n">
        <v>3</v>
      </c>
      <c r="LA182" s="16" t="n">
        <v>1.8</v>
      </c>
      <c r="LB182" s="16" t="n">
        <v>1</v>
      </c>
      <c r="LC182" s="16" t="n">
        <v>1</v>
      </c>
      <c r="LD182" s="16"/>
      <c r="LE182" s="16" t="n">
        <v>3.6</v>
      </c>
      <c r="LF182" s="16"/>
      <c r="LG182" s="16"/>
      <c r="LH182" s="16"/>
      <c r="LI182" s="16"/>
      <c r="LJ182" s="16"/>
      <c r="LK182" s="16"/>
      <c r="LL182" s="16" t="n">
        <v>0.54</v>
      </c>
      <c r="LM182" s="16" t="n">
        <v>0.13</v>
      </c>
      <c r="LN182" s="16"/>
      <c r="LO182" s="16"/>
      <c r="LP182" s="16" t="n">
        <v>2.88</v>
      </c>
      <c r="LQ182" s="16" t="n">
        <v>6.91</v>
      </c>
      <c r="LR182" s="16" t="n">
        <v>0</v>
      </c>
      <c r="LS182" s="0" t="n">
        <v>0</v>
      </c>
      <c r="LT182" s="0" t="s">
        <v>662</v>
      </c>
      <c r="LU182" s="0" t="n">
        <v>46.5</v>
      </c>
      <c r="LV182" s="16" t="n">
        <v>69.2</v>
      </c>
      <c r="LW182" s="16" t="n">
        <v>83.4</v>
      </c>
      <c r="LX182" s="16" t="n">
        <v>28.7</v>
      </c>
      <c r="LY182" s="0" t="n">
        <v>53.82</v>
      </c>
      <c r="LZ182" s="0" t="n">
        <v>0</v>
      </c>
      <c r="MA182" s="0" t="n">
        <v>0</v>
      </c>
      <c r="MB182" s="0" t="n">
        <v>0</v>
      </c>
      <c r="MC182" s="0" t="n">
        <v>46.18</v>
      </c>
      <c r="MD182" s="0" t="n">
        <v>0</v>
      </c>
      <c r="ME182" s="0" t="n">
        <v>0</v>
      </c>
      <c r="MF182" s="0" t="n">
        <v>0</v>
      </c>
      <c r="MG182" s="0" t="n">
        <v>0</v>
      </c>
      <c r="MH182" s="0" t="n">
        <v>0</v>
      </c>
      <c r="MI182" s="0" t="n">
        <v>0</v>
      </c>
      <c r="MJ182" s="0" t="n">
        <v>0</v>
      </c>
      <c r="MK182" s="0" t="n">
        <v>5.46</v>
      </c>
      <c r="ML182" s="0" t="n">
        <v>46.31</v>
      </c>
      <c r="MM182" s="0" t="n">
        <v>1.06</v>
      </c>
      <c r="MN182" s="0" t="n">
        <v>0</v>
      </c>
      <c r="MO182" s="0" t="n">
        <v>0</v>
      </c>
      <c r="MP182" s="0" t="n">
        <v>0</v>
      </c>
      <c r="NC182" s="0" t="n">
        <v>13.3</v>
      </c>
      <c r="ND182" s="0" t="n">
        <v>1</v>
      </c>
      <c r="NE182" s="0" t="n">
        <v>52</v>
      </c>
      <c r="NF182" s="0" t="n">
        <v>23</v>
      </c>
      <c r="NG182" s="0" t="n">
        <f aca="false">7.18+2.15+0.07+0.84+0.15+0.14+0.12</f>
        <v>10.65</v>
      </c>
      <c r="NH182" s="0" t="n">
        <v>2</v>
      </c>
      <c r="NO182" s="18"/>
      <c r="OG182" s="0" t="n">
        <v>0</v>
      </c>
      <c r="PR182" s="16" t="n">
        <v>1.39</v>
      </c>
      <c r="PS182" s="16" t="n">
        <v>1</v>
      </c>
      <c r="PT182" s="16" t="n">
        <v>1</v>
      </c>
      <c r="PU182" s="16"/>
      <c r="PV182" s="16" t="n">
        <f aca="false">1.32*2+1.62</f>
        <v>4.26</v>
      </c>
      <c r="PW182" s="16"/>
      <c r="PX182" s="16"/>
      <c r="PY182" s="16"/>
      <c r="PZ182" s="16"/>
      <c r="QA182" s="16"/>
      <c r="QB182" s="16"/>
      <c r="QC182" s="16" t="n">
        <v>0</v>
      </c>
      <c r="QD182" s="16" t="n">
        <v>0</v>
      </c>
      <c r="QE182" s="16"/>
      <c r="QF182" s="16"/>
      <c r="QG182" s="16" t="n">
        <v>2.88</v>
      </c>
      <c r="QH182" s="16" t="n">
        <v>5.21</v>
      </c>
      <c r="QI182" s="16" t="n">
        <v>0</v>
      </c>
      <c r="QJ182" s="0" t="n">
        <v>0</v>
      </c>
      <c r="QK182" s="0" t="s">
        <v>663</v>
      </c>
      <c r="QL182" s="0" t="n">
        <v>43.5</v>
      </c>
      <c r="QM182" s="16" t="n">
        <v>71.7</v>
      </c>
      <c r="QN182" s="16" t="n">
        <v>83.4</v>
      </c>
      <c r="QO182" s="16" t="n">
        <v>26.2</v>
      </c>
      <c r="QP182" s="0" t="n">
        <v>62.72</v>
      </c>
      <c r="QQ182" s="0" t="n">
        <v>0</v>
      </c>
      <c r="QR182" s="0" t="n">
        <v>0</v>
      </c>
      <c r="QS182" s="0" t="n">
        <v>0</v>
      </c>
      <c r="QT182" s="0" t="n">
        <v>37.28</v>
      </c>
      <c r="QU182" s="0" t="n">
        <v>0</v>
      </c>
      <c r="QV182" s="0" t="n">
        <v>0</v>
      </c>
      <c r="QW182" s="0" t="n">
        <v>0</v>
      </c>
      <c r="QX182" s="0" t="n">
        <v>0</v>
      </c>
      <c r="QY182" s="0" t="n">
        <v>0</v>
      </c>
      <c r="QZ182" s="0" t="n">
        <v>0</v>
      </c>
      <c r="RA182" s="0" t="n">
        <v>0</v>
      </c>
      <c r="RB182" s="0" t="n">
        <v>5.91</v>
      </c>
      <c r="RC182" s="0" t="n">
        <v>43.24</v>
      </c>
      <c r="RD182" s="0" t="n">
        <v>0.36</v>
      </c>
      <c r="RE182" s="0" t="n">
        <v>0</v>
      </c>
      <c r="RF182" s="0" t="n">
        <v>0</v>
      </c>
      <c r="RG182" s="0" t="n">
        <v>0</v>
      </c>
      <c r="RT182" s="0" t="n">
        <v>12.7</v>
      </c>
      <c r="RU182" s="0" t="n">
        <v>1</v>
      </c>
      <c r="RV182" s="0" t="n">
        <v>52</v>
      </c>
      <c r="RW182" s="0" t="n">
        <v>13</v>
      </c>
      <c r="RX182" s="0" t="n">
        <f aca="false">7.18+2.15</f>
        <v>9.33</v>
      </c>
      <c r="RY182" s="0" t="n">
        <v>2</v>
      </c>
      <c r="SF182" s="18"/>
      <c r="SX182" s="0" t="n">
        <v>0</v>
      </c>
      <c r="UI182" s="16" t="n">
        <v>1.39</v>
      </c>
      <c r="UJ182" s="16" t="n">
        <v>1</v>
      </c>
      <c r="UK182" s="16" t="n">
        <v>1</v>
      </c>
      <c r="UL182" s="16"/>
      <c r="UM182" s="16" t="n">
        <f aca="false">1.32*2+1.62</f>
        <v>4.26</v>
      </c>
      <c r="UN182" s="16"/>
      <c r="UO182" s="16"/>
      <c r="UP182" s="16"/>
      <c r="UQ182" s="16"/>
      <c r="UR182" s="16"/>
      <c r="US182" s="16"/>
      <c r="UT182" s="16" t="n">
        <v>0</v>
      </c>
      <c r="UU182" s="16" t="n">
        <v>0</v>
      </c>
      <c r="UV182" s="16"/>
      <c r="UW182" s="16"/>
      <c r="UX182" s="16" t="n">
        <v>2.88</v>
      </c>
      <c r="UY182" s="16" t="n">
        <v>5.57</v>
      </c>
      <c r="UZ182" s="16" t="n">
        <v>0</v>
      </c>
      <c r="VA182" s="0" t="n">
        <v>0</v>
      </c>
      <c r="VB182" s="0" t="s">
        <v>664</v>
      </c>
      <c r="VC182" s="0" t="n">
        <v>46</v>
      </c>
      <c r="VD182" s="16" t="n">
        <v>97.8</v>
      </c>
      <c r="VE182" s="16" t="n">
        <v>83.4</v>
      </c>
      <c r="VF182" s="16" t="n">
        <v>9.8</v>
      </c>
      <c r="VG182" s="0" t="n">
        <v>97.48</v>
      </c>
      <c r="VH182" s="0" t="n">
        <v>0</v>
      </c>
      <c r="VI182" s="0" t="n">
        <v>1.83</v>
      </c>
      <c r="VJ182" s="0" t="n">
        <v>0</v>
      </c>
      <c r="VK182" s="0" t="n">
        <v>0</v>
      </c>
      <c r="VL182" s="0" t="n">
        <v>0</v>
      </c>
      <c r="VM182" s="0" t="n">
        <v>0</v>
      </c>
      <c r="VN182" s="0" t="n">
        <v>0</v>
      </c>
      <c r="VO182" s="0" t="n">
        <v>0</v>
      </c>
      <c r="VP182" s="0" t="n">
        <v>0</v>
      </c>
      <c r="VQ182" s="0" t="n">
        <v>0</v>
      </c>
      <c r="VR182" s="0" t="n">
        <v>3.67</v>
      </c>
      <c r="VS182" s="0" t="n">
        <v>10.58</v>
      </c>
      <c r="VT182" s="0" t="n">
        <v>65.89</v>
      </c>
      <c r="VU182" s="0" t="n">
        <v>0</v>
      </c>
      <c r="VV182" s="0" t="n">
        <v>0</v>
      </c>
      <c r="VW182" s="0" t="n">
        <v>0</v>
      </c>
      <c r="VX182" s="0" t="n">
        <v>0</v>
      </c>
      <c r="WK182" s="0" t="n">
        <v>29.3</v>
      </c>
      <c r="WL182" s="0" t="n">
        <v>1</v>
      </c>
      <c r="WM182" s="0" t="n">
        <v>40</v>
      </c>
      <c r="WN182" s="0" t="n">
        <v>10</v>
      </c>
      <c r="WO182" s="0" t="n">
        <f aca="false">0.91+0.39</f>
        <v>1.3</v>
      </c>
      <c r="WP182" s="0" t="n">
        <v>2</v>
      </c>
      <c r="WQ182" s="0" t="n">
        <v>35</v>
      </c>
      <c r="WR182" s="0" t="n">
        <v>10</v>
      </c>
      <c r="WS182" s="0" t="n">
        <f aca="false">0.58+1.36</f>
        <v>1.94</v>
      </c>
      <c r="WT182" s="0" t="n">
        <v>3</v>
      </c>
      <c r="WW182" s="18"/>
      <c r="XO182" s="0" t="n">
        <v>1</v>
      </c>
      <c r="XP182" s="0" t="n">
        <v>60</v>
      </c>
      <c r="XQ182" s="0" t="n">
        <v>5</v>
      </c>
      <c r="XR182" s="0" t="n">
        <v>3.67</v>
      </c>
      <c r="XS182" s="0" t="n">
        <v>3</v>
      </c>
      <c r="XT182" s="0" t="n">
        <v>30</v>
      </c>
      <c r="XU182" s="0" t="n">
        <v>6</v>
      </c>
      <c r="XV182" s="0" t="n">
        <v>5.87</v>
      </c>
      <c r="XW182" s="0" t="n">
        <v>4</v>
      </c>
      <c r="YZ182" s="16" t="n">
        <v>1.87</v>
      </c>
      <c r="ZA182" s="16" t="n">
        <v>1</v>
      </c>
      <c r="ZB182" s="16" t="n">
        <v>1</v>
      </c>
      <c r="ZC182" s="16"/>
      <c r="ZD182" s="16" t="n">
        <f aca="false">2.04*2</f>
        <v>4.08</v>
      </c>
      <c r="ZE182" s="16" t="n">
        <v>2</v>
      </c>
      <c r="ZF182" s="16"/>
      <c r="ZG182" s="16" t="n">
        <f aca="false">0.36*2</f>
        <v>0.72</v>
      </c>
      <c r="ZH182" s="16"/>
      <c r="ZI182" s="16"/>
      <c r="ZJ182" s="16"/>
      <c r="ZK182" s="16" t="n">
        <v>5.07</v>
      </c>
      <c r="ZL182" s="16" t="n">
        <v>2.33</v>
      </c>
      <c r="ZM182" s="16"/>
      <c r="ZN182" s="16"/>
      <c r="ZO182" s="16" t="n">
        <v>0</v>
      </c>
      <c r="ZP182" s="16" t="n">
        <v>0</v>
      </c>
      <c r="ZQ182" s="16" t="n">
        <v>0</v>
      </c>
      <c r="ZR182" s="0" t="n">
        <v>0</v>
      </c>
      <c r="ZS182" s="0" t="s">
        <v>665</v>
      </c>
      <c r="ZT182" s="0" t="n">
        <v>49.5</v>
      </c>
      <c r="ZU182" s="16" t="n">
        <v>97.8</v>
      </c>
      <c r="ZV182" s="16" t="n">
        <v>83.4</v>
      </c>
      <c r="ZW182" s="16" t="n">
        <v>9.9</v>
      </c>
      <c r="ZX182" s="0" t="n">
        <v>97.48</v>
      </c>
      <c r="ZY182" s="0" t="n">
        <v>0</v>
      </c>
      <c r="ZZ182" s="0" t="n">
        <v>1.83</v>
      </c>
      <c r="AAA182" s="0" t="n">
        <v>0</v>
      </c>
      <c r="AAB182" s="0" t="n">
        <v>0.68</v>
      </c>
      <c r="AAC182" s="0" t="n">
        <v>0</v>
      </c>
      <c r="AAD182" s="0" t="n">
        <v>0</v>
      </c>
      <c r="AAE182" s="0" t="n">
        <v>0</v>
      </c>
      <c r="AAF182" s="0" t="n">
        <v>0</v>
      </c>
      <c r="AAG182" s="0" t="n">
        <v>0</v>
      </c>
      <c r="AAH182" s="0" t="n">
        <v>0</v>
      </c>
      <c r="AAI182" s="0" t="n">
        <v>3.67</v>
      </c>
      <c r="AAJ182" s="0" t="n">
        <v>8.74</v>
      </c>
      <c r="AAK182" s="0" t="n">
        <v>67.72</v>
      </c>
      <c r="AAL182" s="0" t="n">
        <v>0</v>
      </c>
      <c r="AAM182" s="0" t="n">
        <v>0</v>
      </c>
      <c r="AAN182" s="0" t="n">
        <v>0</v>
      </c>
      <c r="AAO182" s="0" t="n">
        <v>0</v>
      </c>
      <c r="ABB182" s="0" t="n">
        <v>32.5</v>
      </c>
      <c r="ABC182" s="0" t="n">
        <v>1</v>
      </c>
      <c r="ABD182" s="0" t="n">
        <v>30</v>
      </c>
      <c r="ABE182" s="0" t="n">
        <v>11</v>
      </c>
      <c r="ABF182" s="0" t="n">
        <f aca="false">6.61+5.5</f>
        <v>12.11</v>
      </c>
      <c r="ABG182" s="0" t="n">
        <v>4</v>
      </c>
      <c r="ABH182" s="0" t="n">
        <v>40</v>
      </c>
      <c r="ABI182" s="0" t="n">
        <v>12</v>
      </c>
      <c r="ABJ182" s="0" t="n">
        <f aca="false">2.2+1.47+0.91</f>
        <v>4.58</v>
      </c>
      <c r="ABK182" s="0" t="n">
        <v>2</v>
      </c>
      <c r="ABL182" s="0" t="n">
        <v>35</v>
      </c>
      <c r="ABM182" s="0" t="n">
        <v>10</v>
      </c>
      <c r="ABN182" s="18" t="n">
        <f aca="false">1.36+0.58</f>
        <v>1.94</v>
      </c>
      <c r="ABO182" s="0" t="n">
        <v>3</v>
      </c>
      <c r="ABP182" s="0" t="n">
        <v>78</v>
      </c>
      <c r="ABQ182" s="0" t="n">
        <v>3</v>
      </c>
      <c r="ABR182" s="0" t="n">
        <v>0.39</v>
      </c>
      <c r="ABS182" s="0" t="n">
        <v>2</v>
      </c>
      <c r="ACF182" s="0" t="n">
        <v>0</v>
      </c>
      <c r="ADQ182" s="16" t="n">
        <v>1.87</v>
      </c>
      <c r="ADR182" s="16" t="n">
        <v>1</v>
      </c>
      <c r="ADS182" s="16" t="n">
        <v>1</v>
      </c>
      <c r="ADT182" s="16"/>
      <c r="ADU182" s="16" t="n">
        <f aca="false">2.04*2</f>
        <v>4.08</v>
      </c>
      <c r="ADV182" s="16" t="n">
        <v>2</v>
      </c>
      <c r="ADW182" s="16"/>
      <c r="ADX182" s="16" t="n">
        <v>0.7</v>
      </c>
      <c r="ADY182" s="16"/>
      <c r="ADZ182" s="16"/>
      <c r="AEA182" s="16"/>
      <c r="AEB182" s="16" t="n">
        <v>5.01</v>
      </c>
      <c r="AEC182" s="16" t="n">
        <v>1.3</v>
      </c>
      <c r="AED182" s="16"/>
      <c r="AEE182" s="16"/>
      <c r="AEF182" s="16" t="n">
        <v>0</v>
      </c>
      <c r="AEG182" s="16" t="n">
        <v>0</v>
      </c>
      <c r="AEH182" s="16" t="n">
        <v>0</v>
      </c>
      <c r="AEI182" s="0" t="n">
        <v>0</v>
      </c>
      <c r="AEJ182" s="38" t="n">
        <v>120</v>
      </c>
      <c r="AEK182" s="0" t="n">
        <v>41</v>
      </c>
      <c r="AEL182" s="16" t="n">
        <v>75.9</v>
      </c>
      <c r="AEM182" s="16" t="n">
        <v>83.4</v>
      </c>
      <c r="AEN182" s="16" t="n">
        <v>13.8</v>
      </c>
      <c r="AEO182" s="0" t="n">
        <v>83.58</v>
      </c>
      <c r="AEP182" s="0" t="n">
        <v>0</v>
      </c>
      <c r="AEQ182" s="0" t="n">
        <v>0</v>
      </c>
      <c r="AER182" s="0" t="n">
        <v>0</v>
      </c>
      <c r="AES182" s="0" t="n">
        <v>9.73</v>
      </c>
      <c r="AET182" s="0" t="n">
        <v>0</v>
      </c>
      <c r="AEU182" s="0" t="n">
        <v>6.69</v>
      </c>
      <c r="AEV182" s="0" t="n">
        <v>0</v>
      </c>
      <c r="AEW182" s="0" t="n">
        <v>0</v>
      </c>
      <c r="AEX182" s="0" t="n">
        <v>0</v>
      </c>
      <c r="AEY182" s="0" t="n">
        <v>0</v>
      </c>
      <c r="AEZ182" s="0" t="n">
        <v>11.59</v>
      </c>
      <c r="AFA182" s="0" t="n">
        <v>26.54</v>
      </c>
      <c r="AFB182" s="0" t="n">
        <v>10.81</v>
      </c>
      <c r="AFC182" s="0" t="n">
        <v>6.87</v>
      </c>
      <c r="AFD182" s="0" t="n">
        <v>0</v>
      </c>
      <c r="AFE182" s="0" t="n">
        <v>20</v>
      </c>
      <c r="AFF182" s="0" t="n">
        <v>1</v>
      </c>
      <c r="AFG182" s="0" t="n">
        <v>3</v>
      </c>
      <c r="AFI182" s="0" t="n">
        <v>4</v>
      </c>
      <c r="AFS182" s="0" t="n">
        <v>1.9</v>
      </c>
      <c r="AFT182" s="0" t="n">
        <v>1</v>
      </c>
      <c r="AFU182" s="0" t="n">
        <v>34</v>
      </c>
      <c r="AFV182" s="0" t="n">
        <v>4</v>
      </c>
      <c r="AFW182" s="0" t="n">
        <f aca="false">4.04+0.71</f>
        <v>4.75</v>
      </c>
      <c r="AFX182" s="0" t="n">
        <v>1</v>
      </c>
      <c r="AFY182" s="0" t="n">
        <v>52</v>
      </c>
      <c r="AFZ182" s="0" t="n">
        <v>2</v>
      </c>
      <c r="AGA182" s="0" t="n">
        <f aca="false">0.73+0.13</f>
        <v>0.86</v>
      </c>
      <c r="AGB182" s="0" t="n">
        <v>2</v>
      </c>
      <c r="AGE182" s="18"/>
      <c r="AGW182" s="0" t="n">
        <v>0</v>
      </c>
      <c r="AIH182" s="16" t="n">
        <v>0</v>
      </c>
      <c r="AII182" s="16" t="n">
        <v>0</v>
      </c>
      <c r="AIJ182" s="16"/>
      <c r="AIK182" s="16"/>
      <c r="AIL182" s="16"/>
      <c r="AIM182" s="16"/>
      <c r="AIN182" s="16"/>
      <c r="AIO182" s="16"/>
      <c r="AIP182" s="16"/>
      <c r="AIQ182" s="16"/>
      <c r="AIR182" s="16"/>
      <c r="AIS182" s="16" t="n">
        <v>5.08</v>
      </c>
      <c r="AIT182" s="16" t="n">
        <v>4.75</v>
      </c>
      <c r="AIU182" s="16"/>
      <c r="AIV182" s="16"/>
      <c r="AIW182" s="16" t="n">
        <v>0</v>
      </c>
      <c r="AIX182" s="16" t="n">
        <v>0</v>
      </c>
      <c r="AIY182" s="16" t="n">
        <v>0</v>
      </c>
      <c r="AIZ182" s="0" t="n">
        <v>0</v>
      </c>
      <c r="AJA182" s="0" t="s">
        <v>666</v>
      </c>
      <c r="AJB182" s="0" t="n">
        <v>27.5</v>
      </c>
      <c r="AJC182" s="16" t="n">
        <v>76.8</v>
      </c>
      <c r="AJD182" s="16" t="n">
        <v>83.4</v>
      </c>
      <c r="AJE182" s="16" t="n">
        <v>16</v>
      </c>
      <c r="AJF182" s="0" t="n">
        <v>82.97</v>
      </c>
      <c r="AJG182" s="0" t="n">
        <v>0</v>
      </c>
      <c r="AJH182" s="0" t="n">
        <v>0.29</v>
      </c>
      <c r="AJI182" s="0" t="n">
        <v>0</v>
      </c>
      <c r="AJJ182" s="0" t="n">
        <v>16.74</v>
      </c>
      <c r="AJK182" s="0" t="n">
        <v>0</v>
      </c>
      <c r="AJL182" s="0" t="n">
        <v>0</v>
      </c>
      <c r="AJM182" s="0" t="n">
        <v>0</v>
      </c>
      <c r="AJN182" s="0" t="n">
        <v>0</v>
      </c>
      <c r="AJO182" s="0" t="n">
        <v>0</v>
      </c>
      <c r="AJP182" s="0" t="n">
        <v>0</v>
      </c>
      <c r="AJQ182" s="0" t="n">
        <v>0</v>
      </c>
      <c r="AJR182" s="0" t="n">
        <v>1.65</v>
      </c>
      <c r="AJS182" s="0" t="n">
        <v>49.33</v>
      </c>
      <c r="AJT182" s="0" t="n">
        <v>1.23</v>
      </c>
      <c r="AJU182" s="0" t="n">
        <v>0</v>
      </c>
      <c r="AJV182" s="0" t="n">
        <v>0</v>
      </c>
      <c r="AJW182" s="0" t="n">
        <v>0</v>
      </c>
      <c r="AKJ182" s="0" t="n">
        <v>8.7</v>
      </c>
      <c r="AKK182" s="0" t="n">
        <v>1</v>
      </c>
      <c r="AKL182" s="0" t="n">
        <v>35</v>
      </c>
      <c r="AKM182" s="0" t="n">
        <v>3</v>
      </c>
      <c r="AKN182" s="0" t="n">
        <f aca="false">0.13*2+0.73</f>
        <v>0.99</v>
      </c>
      <c r="AKO182" s="0" t="n">
        <v>3</v>
      </c>
      <c r="AKP182" s="0" t="n">
        <v>47</v>
      </c>
      <c r="AKQ182" s="0" t="n">
        <v>4</v>
      </c>
      <c r="AKR182" s="0" t="n">
        <v>0.52</v>
      </c>
      <c r="AKS182" s="0" t="n">
        <v>3</v>
      </c>
      <c r="AKV182" s="18"/>
      <c r="ALN182" s="0" t="n">
        <v>0</v>
      </c>
    </row>
    <row r="183" customFormat="false" ht="13.8" hidden="false" customHeight="false" outlineLevel="0" collapsed="false">
      <c r="A183" s="1" t="s">
        <v>674</v>
      </c>
      <c r="B183" s="12" t="n">
        <v>42907</v>
      </c>
      <c r="C183" s="0" t="n">
        <v>2</v>
      </c>
      <c r="D183" s="13" t="n">
        <v>40301</v>
      </c>
      <c r="E183" s="12" t="n">
        <v>31865</v>
      </c>
      <c r="F183" s="14" t="n">
        <f aca="false">(B183-E183)/365.25</f>
        <v>30.2313483915127</v>
      </c>
      <c r="G183" s="14" t="n">
        <f aca="false">(B183-D183)/365.25</f>
        <v>7.13483915126626</v>
      </c>
      <c r="H183" s="15" t="s">
        <v>306</v>
      </c>
      <c r="I183" s="15" t="s">
        <v>658</v>
      </c>
      <c r="J183" s="21" t="s">
        <v>181</v>
      </c>
      <c r="K183" s="21" t="n">
        <v>8</v>
      </c>
      <c r="L183" s="19" t="n">
        <v>80</v>
      </c>
      <c r="M183" s="0" t="n">
        <v>1.73</v>
      </c>
      <c r="N183" s="16" t="n">
        <f aca="false">L183/(M183*M183)</f>
        <v>26.7299274950717</v>
      </c>
      <c r="O183" s="19" t="n">
        <v>0</v>
      </c>
      <c r="P183" s="19" t="n">
        <v>0</v>
      </c>
      <c r="Q183" s="19" t="n">
        <v>0</v>
      </c>
      <c r="R183" s="19" t="n">
        <v>0</v>
      </c>
      <c r="S183" s="19" t="n">
        <v>0</v>
      </c>
      <c r="T183" s="19" t="n">
        <v>0</v>
      </c>
      <c r="U183" s="26" t="n">
        <v>0</v>
      </c>
      <c r="V183" s="26" t="n">
        <v>0</v>
      </c>
      <c r="W183" s="19" t="n">
        <v>0</v>
      </c>
      <c r="X183" s="19" t="n">
        <v>0</v>
      </c>
      <c r="Y183" s="19" t="n">
        <v>1</v>
      </c>
      <c r="Z183" s="19" t="n">
        <v>1</v>
      </c>
      <c r="AA183" s="19" t="n">
        <v>30</v>
      </c>
      <c r="AB183" s="19" t="s">
        <v>445</v>
      </c>
      <c r="AC183" s="19" t="n">
        <v>1</v>
      </c>
      <c r="AD183" s="19" t="n">
        <v>10</v>
      </c>
      <c r="AE183" s="19" t="n">
        <v>0</v>
      </c>
      <c r="AF183" s="19" t="n">
        <v>0</v>
      </c>
      <c r="AG183" s="19" t="n">
        <v>0</v>
      </c>
      <c r="AH183" s="19" t="n">
        <v>0</v>
      </c>
      <c r="AI183" s="19" t="n">
        <v>1</v>
      </c>
      <c r="AJ183" s="19" t="n">
        <v>0</v>
      </c>
      <c r="AK183" s="19"/>
      <c r="AL183" s="19"/>
      <c r="AM183" s="19"/>
      <c r="AN183" s="19" t="n">
        <v>1</v>
      </c>
      <c r="AO183" s="19" t="n">
        <v>0</v>
      </c>
      <c r="AP183" s="19"/>
      <c r="AQ183" s="19"/>
      <c r="AR183" s="19"/>
      <c r="AS183" s="19" t="n">
        <v>1</v>
      </c>
      <c r="AT183" s="19" t="n">
        <v>0</v>
      </c>
      <c r="AU183" s="19" t="n">
        <v>1</v>
      </c>
      <c r="AV183" s="19" t="n">
        <v>8</v>
      </c>
      <c r="AW183" s="19" t="n">
        <v>0</v>
      </c>
      <c r="AX183" s="19" t="n">
        <v>0</v>
      </c>
      <c r="AY183" s="19" t="n">
        <v>0</v>
      </c>
      <c r="AZ183" s="19" t="n">
        <v>0</v>
      </c>
      <c r="BA183" s="19" t="n">
        <v>0</v>
      </c>
      <c r="BB183" s="19" t="n">
        <v>0</v>
      </c>
      <c r="BC183" s="19" t="n">
        <v>0</v>
      </c>
      <c r="BD183" s="19" t="n">
        <v>0</v>
      </c>
      <c r="BE183" s="19" t="n">
        <v>0</v>
      </c>
      <c r="BF183" s="19" t="n">
        <v>0</v>
      </c>
      <c r="BG183" s="19" t="n">
        <v>0</v>
      </c>
      <c r="BH183" s="19" t="n">
        <v>0</v>
      </c>
      <c r="BI183" s="19" t="n">
        <v>0</v>
      </c>
      <c r="BJ183" s="19" t="n">
        <v>0</v>
      </c>
      <c r="BK183" s="19" t="n">
        <v>0</v>
      </c>
      <c r="BL183" s="19" t="n">
        <v>0</v>
      </c>
      <c r="BM183" s="19" t="n">
        <v>0</v>
      </c>
      <c r="BN183" s="19" t="n">
        <v>0</v>
      </c>
      <c r="BO183" s="19" t="n">
        <v>0</v>
      </c>
      <c r="BP183" s="19" t="n">
        <v>0</v>
      </c>
      <c r="BQ183" s="19" t="n">
        <v>0</v>
      </c>
      <c r="BR183" s="19" t="n">
        <v>4</v>
      </c>
      <c r="BS183" s="19" t="n">
        <v>3</v>
      </c>
      <c r="BT183" s="19" t="n">
        <v>5</v>
      </c>
      <c r="BU183" s="19" t="n">
        <v>5</v>
      </c>
      <c r="BV183" s="19" t="n">
        <v>4</v>
      </c>
      <c r="BW183" s="19" t="n">
        <v>5</v>
      </c>
      <c r="BX183" s="19" t="n">
        <v>4</v>
      </c>
      <c r="BY183" s="19" t="n">
        <v>4</v>
      </c>
      <c r="BZ183" s="19" t="n">
        <v>1</v>
      </c>
      <c r="CA183" s="19" t="n">
        <v>1</v>
      </c>
      <c r="CB183" s="19" t="n">
        <v>3</v>
      </c>
      <c r="CC183" s="19" t="n">
        <v>5</v>
      </c>
      <c r="CD183" s="19" t="n">
        <v>3</v>
      </c>
      <c r="CE183" s="19" t="n">
        <v>3</v>
      </c>
      <c r="CF183" s="19" t="n">
        <v>3</v>
      </c>
      <c r="CG183" s="19" t="n">
        <v>5</v>
      </c>
      <c r="CH183" s="19" t="n">
        <v>2</v>
      </c>
      <c r="CI183" s="19" t="n">
        <v>3</v>
      </c>
      <c r="CJ183" s="19" t="n">
        <v>2</v>
      </c>
      <c r="CK183" s="19" t="n">
        <v>8</v>
      </c>
      <c r="CL183" s="0" t="s">
        <v>660</v>
      </c>
      <c r="CM183" s="0" t="n">
        <v>35.5</v>
      </c>
      <c r="CN183" s="16" t="n">
        <v>93.5</v>
      </c>
      <c r="CO183" s="16" t="n">
        <v>83.4</v>
      </c>
      <c r="CP183" s="16" t="n">
        <v>18.2</v>
      </c>
      <c r="CQ183" s="0" t="n">
        <v>81.82</v>
      </c>
      <c r="CR183" s="0" t="n">
        <v>0</v>
      </c>
      <c r="CS183" s="0" t="n">
        <v>0</v>
      </c>
      <c r="CT183" s="0" t="n">
        <v>0</v>
      </c>
      <c r="CU183" s="0" t="n">
        <v>18.18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37.1</v>
      </c>
      <c r="DC183" s="0" t="n">
        <v>47.46</v>
      </c>
      <c r="DD183" s="0" t="n">
        <v>20.37</v>
      </c>
      <c r="DE183" s="0" t="n">
        <v>3.52</v>
      </c>
      <c r="DF183" s="0" t="n">
        <v>0</v>
      </c>
      <c r="DG183" s="0" t="n">
        <v>0</v>
      </c>
      <c r="DH183" s="0" t="n">
        <v>0</v>
      </c>
      <c r="DU183" s="0" t="n">
        <v>8.4</v>
      </c>
      <c r="DV183" s="0" t="n">
        <v>0</v>
      </c>
      <c r="EG183" s="18"/>
      <c r="EY183" s="0" t="n">
        <v>1</v>
      </c>
      <c r="EZ183" s="0" t="n">
        <v>80</v>
      </c>
      <c r="FA183" s="0" t="n">
        <v>9</v>
      </c>
      <c r="FB183" s="0" t="n">
        <f aca="false">2.94*2+0.13</f>
        <v>6.01</v>
      </c>
      <c r="FC183" s="0" t="n">
        <v>3</v>
      </c>
      <c r="FD183" s="0" t="n">
        <v>50</v>
      </c>
      <c r="FE183" s="0" t="n">
        <v>4</v>
      </c>
      <c r="FF183" s="0" t="n">
        <v>5.56</v>
      </c>
      <c r="FG183" s="0" t="n">
        <v>3</v>
      </c>
      <c r="GJ183" s="16" t="n">
        <v>1.69</v>
      </c>
      <c r="GK183" s="16" t="n">
        <v>1</v>
      </c>
      <c r="GL183" s="16" t="n">
        <v>1</v>
      </c>
      <c r="GM183" s="16"/>
      <c r="GN183" s="16" t="n">
        <v>3.6</v>
      </c>
      <c r="GO183" s="16"/>
      <c r="GP183" s="16"/>
      <c r="GQ183" s="16"/>
      <c r="GR183" s="16"/>
      <c r="GS183" s="16"/>
      <c r="GT183" s="16"/>
      <c r="GU183" s="16" t="n">
        <v>3.24</v>
      </c>
      <c r="GV183" s="16" t="n">
        <v>2.54</v>
      </c>
      <c r="GW183" s="16"/>
      <c r="GX183" s="16"/>
      <c r="GY183" s="16" t="n">
        <v>3.6</v>
      </c>
      <c r="GZ183" s="16" t="n">
        <v>8.8</v>
      </c>
      <c r="HA183" s="16" t="n">
        <v>0</v>
      </c>
      <c r="HB183" s="0" t="n">
        <v>0</v>
      </c>
      <c r="HC183" s="0" t="s">
        <v>661</v>
      </c>
      <c r="HD183" s="0" t="n">
        <v>29</v>
      </c>
      <c r="HE183" s="16" t="n">
        <v>86.2</v>
      </c>
      <c r="HF183" s="16" t="n">
        <v>83.4</v>
      </c>
      <c r="HG183" s="16" t="n">
        <v>15.4</v>
      </c>
      <c r="HH183" s="0" t="n">
        <v>87</v>
      </c>
      <c r="HI183" s="0" t="n">
        <v>0</v>
      </c>
      <c r="HJ183" s="0" t="n">
        <v>0</v>
      </c>
      <c r="HK183" s="0" t="n">
        <v>0</v>
      </c>
      <c r="HL183" s="0" t="n">
        <v>13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0</v>
      </c>
      <c r="HR183" s="0" t="n">
        <v>0</v>
      </c>
      <c r="HS183" s="0" t="n">
        <v>37.36</v>
      </c>
      <c r="HT183" s="0" t="n">
        <v>46.33</v>
      </c>
      <c r="HU183" s="0" t="n">
        <v>18.45</v>
      </c>
      <c r="HV183" s="0" t="n">
        <v>0</v>
      </c>
      <c r="HW183" s="0" t="n">
        <v>0</v>
      </c>
      <c r="HX183" s="0" t="n">
        <v>0</v>
      </c>
      <c r="HY183" s="0" t="n">
        <v>0</v>
      </c>
      <c r="IL183" s="0" t="n">
        <v>8.3</v>
      </c>
      <c r="IM183" s="0" t="n">
        <v>0</v>
      </c>
      <c r="IX183" s="18"/>
      <c r="JP183" s="0" t="n">
        <v>1</v>
      </c>
      <c r="JQ183" s="0" t="n">
        <v>80</v>
      </c>
      <c r="JR183" s="0" t="n">
        <v>9</v>
      </c>
      <c r="JS183" s="0" t="n">
        <v>6.01</v>
      </c>
      <c r="JT183" s="0" t="n">
        <v>3</v>
      </c>
      <c r="LA183" s="16" t="n">
        <v>1.8</v>
      </c>
      <c r="LB183" s="16" t="n">
        <v>1</v>
      </c>
      <c r="LC183" s="16" t="n">
        <v>1</v>
      </c>
      <c r="LD183" s="16"/>
      <c r="LE183" s="16" t="n">
        <v>3.6</v>
      </c>
      <c r="LF183" s="16"/>
      <c r="LG183" s="16"/>
      <c r="LH183" s="16"/>
      <c r="LI183" s="16"/>
      <c r="LJ183" s="16"/>
      <c r="LK183" s="16"/>
      <c r="LL183" s="16" t="n">
        <v>0.54</v>
      </c>
      <c r="LM183" s="16" t="n">
        <v>0.13</v>
      </c>
      <c r="LN183" s="16"/>
      <c r="LO183" s="16"/>
      <c r="LP183" s="16" t="n">
        <v>2.88</v>
      </c>
      <c r="LQ183" s="16" t="n">
        <v>6.91</v>
      </c>
      <c r="LR183" s="16" t="n">
        <v>0</v>
      </c>
      <c r="LS183" s="0" t="n">
        <v>0</v>
      </c>
      <c r="LT183" s="0" t="s">
        <v>662</v>
      </c>
      <c r="LU183" s="0" t="n">
        <v>46.5</v>
      </c>
      <c r="LV183" s="16" t="n">
        <v>69.2</v>
      </c>
      <c r="LW183" s="16" t="n">
        <v>83.4</v>
      </c>
      <c r="LX183" s="16" t="n">
        <v>28.7</v>
      </c>
      <c r="LY183" s="0" t="n">
        <v>53.82</v>
      </c>
      <c r="LZ183" s="0" t="n">
        <v>0</v>
      </c>
      <c r="MA183" s="0" t="n">
        <v>0</v>
      </c>
      <c r="MB183" s="0" t="n">
        <v>0</v>
      </c>
      <c r="MC183" s="0" t="n">
        <v>46.18</v>
      </c>
      <c r="MD183" s="0" t="n">
        <v>0</v>
      </c>
      <c r="ME183" s="0" t="n">
        <v>0</v>
      </c>
      <c r="MF183" s="0" t="n">
        <v>0</v>
      </c>
      <c r="MG183" s="0" t="n">
        <v>0</v>
      </c>
      <c r="MH183" s="0" t="n">
        <v>0</v>
      </c>
      <c r="MI183" s="0" t="n">
        <v>0</v>
      </c>
      <c r="MJ183" s="0" t="n">
        <v>0</v>
      </c>
      <c r="MK183" s="0" t="n">
        <v>5.46</v>
      </c>
      <c r="ML183" s="0" t="n">
        <v>46.31</v>
      </c>
      <c r="MM183" s="0" t="n">
        <v>1.06</v>
      </c>
      <c r="MN183" s="0" t="n">
        <v>0</v>
      </c>
      <c r="MO183" s="0" t="n">
        <v>0</v>
      </c>
      <c r="MP183" s="0" t="n">
        <v>0</v>
      </c>
      <c r="NC183" s="0" t="n">
        <v>13.3</v>
      </c>
      <c r="ND183" s="0" t="n">
        <v>1</v>
      </c>
      <c r="NE183" s="0" t="n">
        <v>52</v>
      </c>
      <c r="NF183" s="0" t="n">
        <v>23</v>
      </c>
      <c r="NG183" s="0" t="n">
        <f aca="false">7.18+2.15+0.07+0.84+0.15+0.14+0.12</f>
        <v>10.65</v>
      </c>
      <c r="NH183" s="0" t="n">
        <v>2</v>
      </c>
      <c r="NO183" s="18"/>
      <c r="OG183" s="0" t="n">
        <v>0</v>
      </c>
      <c r="PR183" s="16" t="n">
        <v>1.39</v>
      </c>
      <c r="PS183" s="16" t="n">
        <v>1</v>
      </c>
      <c r="PT183" s="16" t="n">
        <v>1</v>
      </c>
      <c r="PU183" s="16"/>
      <c r="PV183" s="16" t="n">
        <f aca="false">1.32*2+1.62</f>
        <v>4.26</v>
      </c>
      <c r="PW183" s="16"/>
      <c r="PX183" s="16"/>
      <c r="PY183" s="16"/>
      <c r="PZ183" s="16"/>
      <c r="QA183" s="16"/>
      <c r="QB183" s="16"/>
      <c r="QC183" s="16" t="n">
        <v>0</v>
      </c>
      <c r="QD183" s="16" t="n">
        <v>0</v>
      </c>
      <c r="QE183" s="16"/>
      <c r="QF183" s="16"/>
      <c r="QG183" s="16" t="n">
        <v>2.88</v>
      </c>
      <c r="QH183" s="16" t="n">
        <v>5.21</v>
      </c>
      <c r="QI183" s="16" t="n">
        <v>0</v>
      </c>
      <c r="QJ183" s="0" t="n">
        <v>0</v>
      </c>
      <c r="QK183" s="0" t="s">
        <v>663</v>
      </c>
      <c r="QL183" s="0" t="n">
        <v>43.5</v>
      </c>
      <c r="QM183" s="16" t="n">
        <v>71.7</v>
      </c>
      <c r="QN183" s="16" t="n">
        <v>83.4</v>
      </c>
      <c r="QO183" s="16" t="n">
        <v>26.2</v>
      </c>
      <c r="QP183" s="0" t="n">
        <v>62.72</v>
      </c>
      <c r="QQ183" s="0" t="n">
        <v>0</v>
      </c>
      <c r="QR183" s="0" t="n">
        <v>0</v>
      </c>
      <c r="QS183" s="0" t="n">
        <v>0</v>
      </c>
      <c r="QT183" s="0" t="n">
        <v>37.28</v>
      </c>
      <c r="QU183" s="0" t="n">
        <v>0</v>
      </c>
      <c r="QV183" s="0" t="n">
        <v>0</v>
      </c>
      <c r="QW183" s="0" t="n">
        <v>0</v>
      </c>
      <c r="QX183" s="0" t="n">
        <v>0</v>
      </c>
      <c r="QY183" s="0" t="n">
        <v>0</v>
      </c>
      <c r="QZ183" s="0" t="n">
        <v>0</v>
      </c>
      <c r="RA183" s="0" t="n">
        <v>0</v>
      </c>
      <c r="RB183" s="0" t="n">
        <v>5.91</v>
      </c>
      <c r="RC183" s="0" t="n">
        <v>43.24</v>
      </c>
      <c r="RD183" s="0" t="n">
        <v>0.36</v>
      </c>
      <c r="RE183" s="0" t="n">
        <v>0</v>
      </c>
      <c r="RF183" s="0" t="n">
        <v>0</v>
      </c>
      <c r="RG183" s="0" t="n">
        <v>0</v>
      </c>
      <c r="RT183" s="0" t="n">
        <v>12.7</v>
      </c>
      <c r="RU183" s="0" t="n">
        <v>1</v>
      </c>
      <c r="RV183" s="0" t="n">
        <v>52</v>
      </c>
      <c r="RW183" s="0" t="n">
        <v>13</v>
      </c>
      <c r="RX183" s="0" t="n">
        <f aca="false">7.18+2.15</f>
        <v>9.33</v>
      </c>
      <c r="RY183" s="0" t="n">
        <v>2</v>
      </c>
      <c r="SF183" s="18"/>
      <c r="SX183" s="0" t="n">
        <v>0</v>
      </c>
      <c r="UI183" s="16" t="n">
        <v>1.39</v>
      </c>
      <c r="UJ183" s="16" t="n">
        <v>1</v>
      </c>
      <c r="UK183" s="16" t="n">
        <v>1</v>
      </c>
      <c r="UL183" s="16"/>
      <c r="UM183" s="16" t="n">
        <f aca="false">1.32*2+1.62</f>
        <v>4.26</v>
      </c>
      <c r="UN183" s="16"/>
      <c r="UO183" s="16"/>
      <c r="UP183" s="16"/>
      <c r="UQ183" s="16"/>
      <c r="UR183" s="16"/>
      <c r="US183" s="16"/>
      <c r="UT183" s="16" t="n">
        <v>0</v>
      </c>
      <c r="UU183" s="16" t="n">
        <v>0</v>
      </c>
      <c r="UV183" s="16"/>
      <c r="UW183" s="16"/>
      <c r="UX183" s="16" t="n">
        <v>2.88</v>
      </c>
      <c r="UY183" s="16" t="n">
        <v>5.57</v>
      </c>
      <c r="UZ183" s="16" t="n">
        <v>0</v>
      </c>
      <c r="VA183" s="0" t="n">
        <v>0</v>
      </c>
      <c r="VB183" s="0" t="s">
        <v>664</v>
      </c>
      <c r="VC183" s="0" t="n">
        <v>46</v>
      </c>
      <c r="VD183" s="16" t="n">
        <v>97.8</v>
      </c>
      <c r="VE183" s="16" t="n">
        <v>83.4</v>
      </c>
      <c r="VF183" s="16" t="n">
        <v>9.8</v>
      </c>
      <c r="VG183" s="0" t="n">
        <v>97.48</v>
      </c>
      <c r="VH183" s="0" t="n">
        <v>0</v>
      </c>
      <c r="VI183" s="0" t="n">
        <v>1.83</v>
      </c>
      <c r="VJ183" s="0" t="n">
        <v>0</v>
      </c>
      <c r="VK183" s="0" t="n">
        <v>0</v>
      </c>
      <c r="VL183" s="0" t="n">
        <v>0</v>
      </c>
      <c r="VM183" s="0" t="n">
        <v>0</v>
      </c>
      <c r="VN183" s="0" t="n">
        <v>0</v>
      </c>
      <c r="VO183" s="0" t="n">
        <v>0</v>
      </c>
      <c r="VP183" s="0" t="n">
        <v>0</v>
      </c>
      <c r="VQ183" s="0" t="n">
        <v>0</v>
      </c>
      <c r="VR183" s="0" t="n">
        <v>3.67</v>
      </c>
      <c r="VS183" s="0" t="n">
        <v>10.58</v>
      </c>
      <c r="VT183" s="0" t="n">
        <v>65.89</v>
      </c>
      <c r="VU183" s="0" t="n">
        <v>0</v>
      </c>
      <c r="VV183" s="0" t="n">
        <v>0</v>
      </c>
      <c r="VW183" s="0" t="n">
        <v>0</v>
      </c>
      <c r="VX183" s="0" t="n">
        <v>0</v>
      </c>
      <c r="WK183" s="0" t="n">
        <v>29.3</v>
      </c>
      <c r="WL183" s="0" t="n">
        <v>1</v>
      </c>
      <c r="WM183" s="0" t="n">
        <v>40</v>
      </c>
      <c r="WN183" s="0" t="n">
        <v>10</v>
      </c>
      <c r="WO183" s="0" t="n">
        <f aca="false">0.91+0.39</f>
        <v>1.3</v>
      </c>
      <c r="WP183" s="0" t="n">
        <v>2</v>
      </c>
      <c r="WQ183" s="0" t="n">
        <v>35</v>
      </c>
      <c r="WR183" s="0" t="n">
        <v>10</v>
      </c>
      <c r="WS183" s="0" t="n">
        <f aca="false">0.58+1.36</f>
        <v>1.94</v>
      </c>
      <c r="WT183" s="0" t="n">
        <v>3</v>
      </c>
      <c r="WW183" s="18"/>
      <c r="XO183" s="0" t="n">
        <v>1</v>
      </c>
      <c r="XP183" s="0" t="n">
        <v>60</v>
      </c>
      <c r="XQ183" s="0" t="n">
        <v>5</v>
      </c>
      <c r="XR183" s="0" t="n">
        <v>3.67</v>
      </c>
      <c r="XS183" s="0" t="n">
        <v>3</v>
      </c>
      <c r="XT183" s="0" t="n">
        <v>30</v>
      </c>
      <c r="XU183" s="0" t="n">
        <v>6</v>
      </c>
      <c r="XV183" s="0" t="n">
        <v>5.87</v>
      </c>
      <c r="XW183" s="0" t="n">
        <v>4</v>
      </c>
      <c r="YZ183" s="16" t="n">
        <v>1.87</v>
      </c>
      <c r="ZA183" s="16" t="n">
        <v>1</v>
      </c>
      <c r="ZB183" s="16" t="n">
        <v>1</v>
      </c>
      <c r="ZC183" s="16"/>
      <c r="ZD183" s="16" t="n">
        <f aca="false">2.04*2</f>
        <v>4.08</v>
      </c>
      <c r="ZE183" s="16" t="n">
        <v>2</v>
      </c>
      <c r="ZF183" s="16"/>
      <c r="ZG183" s="16" t="n">
        <f aca="false">0.36*2</f>
        <v>0.72</v>
      </c>
      <c r="ZH183" s="16"/>
      <c r="ZI183" s="16"/>
      <c r="ZJ183" s="16"/>
      <c r="ZK183" s="16" t="n">
        <v>5.07</v>
      </c>
      <c r="ZL183" s="16" t="n">
        <v>2.33</v>
      </c>
      <c r="ZM183" s="16"/>
      <c r="ZN183" s="16"/>
      <c r="ZO183" s="16" t="n">
        <v>0</v>
      </c>
      <c r="ZP183" s="16" t="n">
        <v>0</v>
      </c>
      <c r="ZQ183" s="16" t="n">
        <v>0</v>
      </c>
      <c r="ZR183" s="0" t="n">
        <v>0</v>
      </c>
      <c r="ZS183" s="0" t="s">
        <v>665</v>
      </c>
      <c r="ZT183" s="0" t="n">
        <v>49.5</v>
      </c>
      <c r="ZU183" s="16" t="n">
        <v>97.8</v>
      </c>
      <c r="ZV183" s="16" t="n">
        <v>83.4</v>
      </c>
      <c r="ZW183" s="16" t="n">
        <v>9.9</v>
      </c>
      <c r="ZX183" s="0" t="n">
        <v>97.48</v>
      </c>
      <c r="ZY183" s="0" t="n">
        <v>0</v>
      </c>
      <c r="ZZ183" s="0" t="n">
        <v>1.83</v>
      </c>
      <c r="AAA183" s="0" t="n">
        <v>0</v>
      </c>
      <c r="AAB183" s="0" t="n">
        <v>0.68</v>
      </c>
      <c r="AAC183" s="0" t="n">
        <v>0</v>
      </c>
      <c r="AAD183" s="0" t="n">
        <v>0</v>
      </c>
      <c r="AAE183" s="0" t="n">
        <v>0</v>
      </c>
      <c r="AAF183" s="0" t="n">
        <v>0</v>
      </c>
      <c r="AAG183" s="0" t="n">
        <v>0</v>
      </c>
      <c r="AAH183" s="0" t="n">
        <v>0</v>
      </c>
      <c r="AAI183" s="0" t="n">
        <v>3.67</v>
      </c>
      <c r="AAJ183" s="0" t="n">
        <v>8.74</v>
      </c>
      <c r="AAK183" s="0" t="n">
        <v>67.72</v>
      </c>
      <c r="AAL183" s="0" t="n">
        <v>0</v>
      </c>
      <c r="AAM183" s="0" t="n">
        <v>0</v>
      </c>
      <c r="AAN183" s="0" t="n">
        <v>0</v>
      </c>
      <c r="AAO183" s="0" t="n">
        <v>0</v>
      </c>
      <c r="ABB183" s="0" t="n">
        <v>32.5</v>
      </c>
      <c r="ABC183" s="0" t="n">
        <v>1</v>
      </c>
      <c r="ABD183" s="0" t="n">
        <v>30</v>
      </c>
      <c r="ABE183" s="0" t="n">
        <v>11</v>
      </c>
      <c r="ABF183" s="0" t="n">
        <f aca="false">6.61+5.5</f>
        <v>12.11</v>
      </c>
      <c r="ABG183" s="0" t="n">
        <v>4</v>
      </c>
      <c r="ABH183" s="0" t="n">
        <v>40</v>
      </c>
      <c r="ABI183" s="0" t="n">
        <v>12</v>
      </c>
      <c r="ABJ183" s="0" t="n">
        <f aca="false">2.2+1.47+0.91</f>
        <v>4.58</v>
      </c>
      <c r="ABK183" s="0" t="n">
        <v>2</v>
      </c>
      <c r="ABL183" s="0" t="n">
        <v>35</v>
      </c>
      <c r="ABM183" s="0" t="n">
        <v>10</v>
      </c>
      <c r="ABN183" s="18" t="n">
        <f aca="false">1.36+0.58</f>
        <v>1.94</v>
      </c>
      <c r="ABO183" s="0" t="n">
        <v>3</v>
      </c>
      <c r="ABP183" s="0" t="n">
        <v>78</v>
      </c>
      <c r="ABQ183" s="0" t="n">
        <v>3</v>
      </c>
      <c r="ABR183" s="0" t="n">
        <v>0.39</v>
      </c>
      <c r="ABS183" s="0" t="n">
        <v>2</v>
      </c>
      <c r="ACF183" s="0" t="n">
        <v>0</v>
      </c>
      <c r="ADQ183" s="16" t="n">
        <v>1.87</v>
      </c>
      <c r="ADR183" s="16" t="n">
        <v>1</v>
      </c>
      <c r="ADS183" s="16" t="n">
        <v>1</v>
      </c>
      <c r="ADT183" s="16"/>
      <c r="ADU183" s="16" t="n">
        <f aca="false">2.04*2</f>
        <v>4.08</v>
      </c>
      <c r="ADV183" s="16" t="n">
        <v>2</v>
      </c>
      <c r="ADW183" s="16"/>
      <c r="ADX183" s="16" t="n">
        <v>0.7</v>
      </c>
      <c r="ADY183" s="16"/>
      <c r="ADZ183" s="16"/>
      <c r="AEA183" s="16"/>
      <c r="AEB183" s="16" t="n">
        <v>5.01</v>
      </c>
      <c r="AEC183" s="16" t="n">
        <v>1.3</v>
      </c>
      <c r="AED183" s="16"/>
      <c r="AEE183" s="16"/>
      <c r="AEF183" s="16" t="n">
        <v>0</v>
      </c>
      <c r="AEG183" s="16" t="n">
        <v>0</v>
      </c>
      <c r="AEH183" s="16" t="n">
        <v>0</v>
      </c>
      <c r="AEI183" s="0" t="n">
        <v>0</v>
      </c>
      <c r="AEJ183" s="38" t="n">
        <v>120</v>
      </c>
      <c r="AEK183" s="0" t="n">
        <v>41</v>
      </c>
      <c r="AEL183" s="16" t="n">
        <v>75.9</v>
      </c>
      <c r="AEM183" s="16" t="n">
        <v>83.4</v>
      </c>
      <c r="AEN183" s="16" t="n">
        <v>13.8</v>
      </c>
      <c r="AEO183" s="0" t="n">
        <v>83.58</v>
      </c>
      <c r="AEP183" s="0" t="n">
        <v>0</v>
      </c>
      <c r="AEQ183" s="0" t="n">
        <v>0</v>
      </c>
      <c r="AER183" s="0" t="n">
        <v>0</v>
      </c>
      <c r="AES183" s="0" t="n">
        <v>9.73</v>
      </c>
      <c r="AET183" s="0" t="n">
        <v>0</v>
      </c>
      <c r="AEU183" s="0" t="n">
        <v>6.69</v>
      </c>
      <c r="AEV183" s="0" t="n">
        <v>0</v>
      </c>
      <c r="AEW183" s="0" t="n">
        <v>0</v>
      </c>
      <c r="AEX183" s="0" t="n">
        <v>0</v>
      </c>
      <c r="AEY183" s="0" t="n">
        <v>0</v>
      </c>
      <c r="AEZ183" s="0" t="n">
        <v>11.59</v>
      </c>
      <c r="AFA183" s="0" t="n">
        <v>26.54</v>
      </c>
      <c r="AFB183" s="0" t="n">
        <v>10.81</v>
      </c>
      <c r="AFC183" s="0" t="n">
        <v>6.87</v>
      </c>
      <c r="AFD183" s="0" t="n">
        <v>0</v>
      </c>
      <c r="AFE183" s="0" t="n">
        <v>20</v>
      </c>
      <c r="AFF183" s="0" t="n">
        <v>1</v>
      </c>
      <c r="AFG183" s="0" t="n">
        <v>3</v>
      </c>
      <c r="AFI183" s="0" t="n">
        <v>4</v>
      </c>
      <c r="AFS183" s="0" t="n">
        <v>1.9</v>
      </c>
      <c r="AFT183" s="0" t="n">
        <v>1</v>
      </c>
      <c r="AFU183" s="0" t="n">
        <v>34</v>
      </c>
      <c r="AFV183" s="0" t="n">
        <v>4</v>
      </c>
      <c r="AFW183" s="0" t="n">
        <f aca="false">4.04+0.71</f>
        <v>4.75</v>
      </c>
      <c r="AFX183" s="0" t="n">
        <v>1</v>
      </c>
      <c r="AFY183" s="0" t="n">
        <v>52</v>
      </c>
      <c r="AFZ183" s="0" t="n">
        <v>2</v>
      </c>
      <c r="AGA183" s="0" t="n">
        <f aca="false">0.73+0.13</f>
        <v>0.86</v>
      </c>
      <c r="AGB183" s="0" t="n">
        <v>2</v>
      </c>
      <c r="AGE183" s="18"/>
      <c r="AGW183" s="0" t="n">
        <v>0</v>
      </c>
      <c r="AIH183" s="16" t="n">
        <v>0</v>
      </c>
      <c r="AII183" s="16" t="n">
        <v>0</v>
      </c>
      <c r="AIJ183" s="16"/>
      <c r="AIK183" s="16"/>
      <c r="AIL183" s="16"/>
      <c r="AIM183" s="16"/>
      <c r="AIN183" s="16"/>
      <c r="AIO183" s="16"/>
      <c r="AIP183" s="16"/>
      <c r="AIQ183" s="16"/>
      <c r="AIR183" s="16"/>
      <c r="AIS183" s="16" t="n">
        <v>5.08</v>
      </c>
      <c r="AIT183" s="16" t="n">
        <v>4.75</v>
      </c>
      <c r="AIU183" s="16"/>
      <c r="AIV183" s="16"/>
      <c r="AIW183" s="16" t="n">
        <v>0</v>
      </c>
      <c r="AIX183" s="16" t="n">
        <v>0</v>
      </c>
      <c r="AIY183" s="16" t="n">
        <v>0</v>
      </c>
      <c r="AIZ183" s="0" t="n">
        <v>0</v>
      </c>
      <c r="AJA183" s="0" t="s">
        <v>666</v>
      </c>
      <c r="AJB183" s="0" t="n">
        <v>27.5</v>
      </c>
      <c r="AJC183" s="16" t="n">
        <v>76.8</v>
      </c>
      <c r="AJD183" s="16" t="n">
        <v>83.4</v>
      </c>
      <c r="AJE183" s="16" t="n">
        <v>16</v>
      </c>
      <c r="AJF183" s="0" t="n">
        <v>82.97</v>
      </c>
      <c r="AJG183" s="0" t="n">
        <v>0</v>
      </c>
      <c r="AJH183" s="0" t="n">
        <v>0.29</v>
      </c>
      <c r="AJI183" s="0" t="n">
        <v>0</v>
      </c>
      <c r="AJJ183" s="0" t="n">
        <v>16.74</v>
      </c>
      <c r="AJK183" s="0" t="n">
        <v>0</v>
      </c>
      <c r="AJL183" s="0" t="n">
        <v>0</v>
      </c>
      <c r="AJM183" s="0" t="n">
        <v>0</v>
      </c>
      <c r="AJN183" s="0" t="n">
        <v>0</v>
      </c>
      <c r="AJO183" s="0" t="n">
        <v>0</v>
      </c>
      <c r="AJP183" s="0" t="n">
        <v>0</v>
      </c>
      <c r="AJQ183" s="0" t="n">
        <v>0</v>
      </c>
      <c r="AJR183" s="0" t="n">
        <v>1.65</v>
      </c>
      <c r="AJS183" s="0" t="n">
        <v>49.33</v>
      </c>
      <c r="AJT183" s="0" t="n">
        <v>1.23</v>
      </c>
      <c r="AJU183" s="0" t="n">
        <v>0</v>
      </c>
      <c r="AJV183" s="0" t="n">
        <v>0</v>
      </c>
      <c r="AJW183" s="0" t="n">
        <v>0</v>
      </c>
      <c r="AKJ183" s="0" t="n">
        <v>8.7</v>
      </c>
      <c r="AKK183" s="0" t="n">
        <v>1</v>
      </c>
      <c r="AKL183" s="0" t="n">
        <v>35</v>
      </c>
      <c r="AKM183" s="0" t="n">
        <v>3</v>
      </c>
      <c r="AKN183" s="0" t="n">
        <f aca="false">0.13*2+0.73</f>
        <v>0.99</v>
      </c>
      <c r="AKO183" s="0" t="n">
        <v>3</v>
      </c>
      <c r="AKP183" s="0" t="n">
        <v>47</v>
      </c>
      <c r="AKQ183" s="0" t="n">
        <v>4</v>
      </c>
      <c r="AKR183" s="0" t="n">
        <v>0.52</v>
      </c>
      <c r="AKS183" s="0" t="n">
        <v>3</v>
      </c>
      <c r="AKV183" s="18"/>
      <c r="ALN183" s="0" t="n">
        <v>0</v>
      </c>
    </row>
    <row r="184" customFormat="false" ht="14.25" hidden="false" customHeight="true" outlineLevel="0" collapsed="false">
      <c r="A184" s="1" t="s">
        <v>675</v>
      </c>
      <c r="B184" s="12" t="n">
        <v>42906</v>
      </c>
      <c r="C184" s="0" t="n">
        <v>1</v>
      </c>
      <c r="D184" s="13" t="n">
        <v>40462</v>
      </c>
      <c r="E184" s="12" t="n">
        <v>30936</v>
      </c>
      <c r="F184" s="14" t="n">
        <f aca="false">(B184-E184)/365.25</f>
        <v>32.7720739219713</v>
      </c>
      <c r="G184" s="14" t="n">
        <f aca="false">(B184-D184)/365.25</f>
        <v>6.69130732375086</v>
      </c>
      <c r="H184" s="15" t="s">
        <v>306</v>
      </c>
      <c r="I184" s="15" t="s">
        <v>658</v>
      </c>
      <c r="J184" s="21" t="s">
        <v>181</v>
      </c>
      <c r="K184" s="21" t="n">
        <v>8</v>
      </c>
      <c r="L184" s="19" t="n">
        <v>65</v>
      </c>
      <c r="M184" s="0" t="n">
        <v>1.56</v>
      </c>
      <c r="N184" s="16" t="n">
        <f aca="false">L184/(M184*M184)</f>
        <v>26.7094017094017</v>
      </c>
      <c r="O184" s="19" t="n">
        <v>0</v>
      </c>
      <c r="P184" s="19" t="n">
        <v>0</v>
      </c>
      <c r="Q184" s="19" t="n">
        <v>0</v>
      </c>
      <c r="R184" s="19" t="n">
        <v>0</v>
      </c>
      <c r="S184" s="19" t="n">
        <v>0</v>
      </c>
      <c r="T184" s="19" t="n">
        <v>0</v>
      </c>
      <c r="U184" s="26" t="n">
        <v>0</v>
      </c>
      <c r="V184" s="26" t="n">
        <v>0</v>
      </c>
      <c r="W184" s="19" t="n">
        <v>1</v>
      </c>
      <c r="X184" s="19" t="n">
        <v>0</v>
      </c>
      <c r="Y184" s="19" t="n">
        <v>0</v>
      </c>
      <c r="Z184" s="19" t="n">
        <v>0</v>
      </c>
      <c r="AA184" s="19" t="n">
        <v>0</v>
      </c>
      <c r="AB184" s="19" t="n">
        <v>0</v>
      </c>
      <c r="AC184" s="19" t="n">
        <v>1</v>
      </c>
      <c r="AD184" s="19" t="n">
        <v>10</v>
      </c>
      <c r="AE184" s="19" t="n">
        <v>1</v>
      </c>
      <c r="AF184" s="19" t="n">
        <v>0</v>
      </c>
      <c r="AG184" s="19" t="n">
        <v>0</v>
      </c>
      <c r="AH184" s="19" t="n">
        <v>0</v>
      </c>
      <c r="AI184" s="19" t="n">
        <v>1</v>
      </c>
      <c r="AJ184" s="19" t="n">
        <v>1</v>
      </c>
      <c r="AK184" s="19" t="n">
        <v>1</v>
      </c>
      <c r="AL184" s="19" t="n">
        <v>9</v>
      </c>
      <c r="AM184" s="19" t="n">
        <v>0</v>
      </c>
      <c r="AN184" s="19" t="n">
        <v>0</v>
      </c>
      <c r="AO184" s="19" t="n">
        <v>0</v>
      </c>
      <c r="AP184" s="19" t="n">
        <v>0</v>
      </c>
      <c r="AQ184" s="19" t="n">
        <v>0</v>
      </c>
      <c r="AR184" s="19" t="n">
        <v>0</v>
      </c>
      <c r="AS184" s="19" t="n">
        <v>3</v>
      </c>
      <c r="AT184" s="19" t="n">
        <v>3</v>
      </c>
      <c r="AU184" s="19" t="n">
        <v>3</v>
      </c>
      <c r="AV184" s="19"/>
      <c r="AW184" s="19" t="n">
        <v>8</v>
      </c>
      <c r="AX184" s="19" t="n">
        <v>1</v>
      </c>
      <c r="AY184" s="19"/>
      <c r="AZ184" s="19"/>
      <c r="BA184" s="19"/>
      <c r="BB184" s="19" t="n">
        <v>1</v>
      </c>
      <c r="BC184" s="19" t="n">
        <v>1</v>
      </c>
      <c r="BD184" s="19" t="n">
        <v>1</v>
      </c>
      <c r="BE184" s="19" t="n">
        <v>10</v>
      </c>
      <c r="BF184" s="19" t="n">
        <v>1</v>
      </c>
      <c r="BG184" s="19" t="n">
        <v>1</v>
      </c>
      <c r="BH184" s="19" t="n">
        <v>1</v>
      </c>
      <c r="BI184" s="19" t="n">
        <v>10</v>
      </c>
      <c r="BJ184" s="19" t="n">
        <v>0</v>
      </c>
      <c r="BK184" s="19" t="n">
        <v>0</v>
      </c>
      <c r="BL184" s="19" t="n">
        <v>0</v>
      </c>
      <c r="BM184" s="19" t="n">
        <v>0</v>
      </c>
      <c r="BN184" s="19" t="n">
        <v>0</v>
      </c>
      <c r="BO184" s="19" t="n">
        <v>0</v>
      </c>
      <c r="BP184" s="19" t="n">
        <v>0</v>
      </c>
      <c r="BQ184" s="19" t="n">
        <v>0</v>
      </c>
      <c r="BR184" s="19" t="n">
        <v>4</v>
      </c>
      <c r="BS184" s="19" t="n">
        <v>3</v>
      </c>
      <c r="BT184" s="19" t="n">
        <v>5</v>
      </c>
      <c r="BU184" s="19" t="n">
        <v>5</v>
      </c>
      <c r="BV184" s="19" t="n">
        <v>5</v>
      </c>
      <c r="BW184" s="19" t="n">
        <v>5</v>
      </c>
      <c r="BX184" s="19" t="n">
        <v>4</v>
      </c>
      <c r="BY184" s="19" t="n">
        <v>4</v>
      </c>
      <c r="BZ184" s="19" t="n">
        <v>3</v>
      </c>
      <c r="CA184" s="19" t="n">
        <v>3</v>
      </c>
      <c r="CB184" s="19" t="n">
        <v>3</v>
      </c>
      <c r="CC184" s="19" t="n">
        <v>5</v>
      </c>
      <c r="CD184" s="19" t="n">
        <v>4</v>
      </c>
      <c r="CE184" s="19" t="n">
        <v>5</v>
      </c>
      <c r="CF184" s="19" t="n">
        <v>5</v>
      </c>
      <c r="CG184" s="19" t="n">
        <v>5</v>
      </c>
      <c r="CH184" s="19" t="n">
        <v>3</v>
      </c>
      <c r="CI184" s="19" t="n">
        <v>3</v>
      </c>
      <c r="CJ184" s="19" t="n">
        <v>3</v>
      </c>
      <c r="CK184" s="19" t="n">
        <v>8</v>
      </c>
      <c r="CL184" s="0" t="s">
        <v>660</v>
      </c>
      <c r="CM184" s="0" t="n">
        <v>35.5</v>
      </c>
      <c r="CN184" s="16" t="n">
        <v>93.5</v>
      </c>
      <c r="CO184" s="16" t="n">
        <v>83.4</v>
      </c>
      <c r="CP184" s="16" t="n">
        <v>18.2</v>
      </c>
      <c r="CQ184" s="0" t="n">
        <v>81.82</v>
      </c>
      <c r="CR184" s="0" t="n">
        <v>0</v>
      </c>
      <c r="CS184" s="0" t="n">
        <v>0</v>
      </c>
      <c r="CT184" s="0" t="n">
        <v>0</v>
      </c>
      <c r="CU184" s="0" t="n">
        <v>18.18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37.1</v>
      </c>
      <c r="DC184" s="0" t="n">
        <v>47.46</v>
      </c>
      <c r="DD184" s="0" t="n">
        <v>20.37</v>
      </c>
      <c r="DE184" s="0" t="n">
        <v>3.52</v>
      </c>
      <c r="DF184" s="0" t="n">
        <v>0</v>
      </c>
      <c r="DG184" s="0" t="n">
        <v>0</v>
      </c>
      <c r="DH184" s="0" t="n">
        <v>0</v>
      </c>
      <c r="DU184" s="0" t="n">
        <v>8.4</v>
      </c>
      <c r="DV184" s="0" t="n">
        <v>0</v>
      </c>
      <c r="EG184" s="18"/>
      <c r="EY184" s="0" t="n">
        <v>1</v>
      </c>
      <c r="EZ184" s="0" t="n">
        <v>80</v>
      </c>
      <c r="FA184" s="0" t="n">
        <v>9</v>
      </c>
      <c r="FB184" s="0" t="n">
        <f aca="false">2.94*2+0.13</f>
        <v>6.01</v>
      </c>
      <c r="FC184" s="0" t="n">
        <v>3</v>
      </c>
      <c r="FD184" s="0" t="n">
        <v>50</v>
      </c>
      <c r="FE184" s="0" t="n">
        <v>4</v>
      </c>
      <c r="FF184" s="0" t="n">
        <v>5.56</v>
      </c>
      <c r="FG184" s="0" t="n">
        <v>3</v>
      </c>
      <c r="GJ184" s="16" t="n">
        <v>1.69</v>
      </c>
      <c r="GK184" s="16" t="n">
        <v>1</v>
      </c>
      <c r="GL184" s="16" t="n">
        <v>1</v>
      </c>
      <c r="GM184" s="16"/>
      <c r="GN184" s="16" t="n">
        <v>3.6</v>
      </c>
      <c r="GO184" s="16"/>
      <c r="GP184" s="16"/>
      <c r="GQ184" s="16"/>
      <c r="GR184" s="16"/>
      <c r="GS184" s="16"/>
      <c r="GT184" s="16"/>
      <c r="GU184" s="16" t="n">
        <v>3.24</v>
      </c>
      <c r="GV184" s="16" t="n">
        <v>2.54</v>
      </c>
      <c r="GW184" s="16"/>
      <c r="GX184" s="16"/>
      <c r="GY184" s="16" t="n">
        <v>3.6</v>
      </c>
      <c r="GZ184" s="16" t="n">
        <v>8.8</v>
      </c>
      <c r="HA184" s="16" t="n">
        <v>0</v>
      </c>
      <c r="HB184" s="0" t="n">
        <v>0</v>
      </c>
      <c r="HC184" s="0" t="s">
        <v>661</v>
      </c>
      <c r="HD184" s="0" t="n">
        <v>29</v>
      </c>
      <c r="HE184" s="16" t="n">
        <v>86.2</v>
      </c>
      <c r="HF184" s="16" t="n">
        <v>83.4</v>
      </c>
      <c r="HG184" s="16" t="n">
        <v>15.4</v>
      </c>
      <c r="HH184" s="0" t="n">
        <v>87</v>
      </c>
      <c r="HI184" s="0" t="n">
        <v>0</v>
      </c>
      <c r="HJ184" s="0" t="n">
        <v>0</v>
      </c>
      <c r="HK184" s="0" t="n">
        <v>0</v>
      </c>
      <c r="HL184" s="0" t="n">
        <v>13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0</v>
      </c>
      <c r="HR184" s="0" t="n">
        <v>0</v>
      </c>
      <c r="HS184" s="0" t="n">
        <v>37.36</v>
      </c>
      <c r="HT184" s="0" t="n">
        <v>46.33</v>
      </c>
      <c r="HU184" s="0" t="n">
        <v>18.45</v>
      </c>
      <c r="HV184" s="0" t="n">
        <v>0</v>
      </c>
      <c r="HW184" s="0" t="n">
        <v>0</v>
      </c>
      <c r="HX184" s="0" t="n">
        <v>0</v>
      </c>
      <c r="HY184" s="0" t="n">
        <v>0</v>
      </c>
      <c r="IL184" s="0" t="n">
        <v>8.3</v>
      </c>
      <c r="IM184" s="0" t="n">
        <v>0</v>
      </c>
      <c r="IX184" s="18"/>
      <c r="JP184" s="0" t="n">
        <v>1</v>
      </c>
      <c r="JQ184" s="0" t="n">
        <v>80</v>
      </c>
      <c r="JR184" s="0" t="n">
        <v>9</v>
      </c>
      <c r="JS184" s="0" t="n">
        <v>6.01</v>
      </c>
      <c r="JT184" s="0" t="n">
        <v>3</v>
      </c>
      <c r="LA184" s="16" t="n">
        <v>1.8</v>
      </c>
      <c r="LB184" s="16" t="n">
        <v>1</v>
      </c>
      <c r="LC184" s="16" t="n">
        <v>1</v>
      </c>
      <c r="LD184" s="16"/>
      <c r="LE184" s="16" t="n">
        <v>3.6</v>
      </c>
      <c r="LF184" s="16"/>
      <c r="LG184" s="16"/>
      <c r="LH184" s="16"/>
      <c r="LI184" s="16"/>
      <c r="LJ184" s="16"/>
      <c r="LK184" s="16"/>
      <c r="LL184" s="16" t="n">
        <v>0.54</v>
      </c>
      <c r="LM184" s="16" t="n">
        <v>0.13</v>
      </c>
      <c r="LN184" s="16"/>
      <c r="LO184" s="16"/>
      <c r="LP184" s="16" t="n">
        <v>2.88</v>
      </c>
      <c r="LQ184" s="16" t="n">
        <v>6.91</v>
      </c>
      <c r="LR184" s="16" t="n">
        <v>0</v>
      </c>
      <c r="LS184" s="0" t="n">
        <v>0</v>
      </c>
      <c r="LT184" s="0" t="s">
        <v>662</v>
      </c>
      <c r="LU184" s="0" t="n">
        <v>46.5</v>
      </c>
      <c r="LV184" s="16" t="n">
        <v>69.2</v>
      </c>
      <c r="LW184" s="16" t="n">
        <v>83.4</v>
      </c>
      <c r="LX184" s="16" t="n">
        <v>28.7</v>
      </c>
      <c r="LY184" s="0" t="n">
        <v>53.82</v>
      </c>
      <c r="LZ184" s="0" t="n">
        <v>0</v>
      </c>
      <c r="MA184" s="0" t="n">
        <v>0</v>
      </c>
      <c r="MB184" s="0" t="n">
        <v>0</v>
      </c>
      <c r="MC184" s="0" t="n">
        <v>46.18</v>
      </c>
      <c r="MD184" s="0" t="n">
        <v>0</v>
      </c>
      <c r="ME184" s="0" t="n">
        <v>0</v>
      </c>
      <c r="MF184" s="0" t="n">
        <v>0</v>
      </c>
      <c r="MG184" s="0" t="n">
        <v>0</v>
      </c>
      <c r="MH184" s="0" t="n">
        <v>0</v>
      </c>
      <c r="MI184" s="0" t="n">
        <v>0</v>
      </c>
      <c r="MJ184" s="0" t="n">
        <v>0</v>
      </c>
      <c r="MK184" s="0" t="n">
        <v>5.46</v>
      </c>
      <c r="ML184" s="0" t="n">
        <v>46.31</v>
      </c>
      <c r="MM184" s="0" t="n">
        <v>1.06</v>
      </c>
      <c r="MN184" s="0" t="n">
        <v>0</v>
      </c>
      <c r="MO184" s="0" t="n">
        <v>0</v>
      </c>
      <c r="MP184" s="0" t="n">
        <v>0</v>
      </c>
      <c r="NC184" s="0" t="n">
        <v>13.3</v>
      </c>
      <c r="ND184" s="0" t="n">
        <v>1</v>
      </c>
      <c r="NE184" s="0" t="n">
        <v>52</v>
      </c>
      <c r="NF184" s="0" t="n">
        <v>23</v>
      </c>
      <c r="NG184" s="0" t="n">
        <f aca="false">7.18+2.15+0.07+0.84+0.15+0.14+0.12</f>
        <v>10.65</v>
      </c>
      <c r="NH184" s="0" t="n">
        <v>2</v>
      </c>
      <c r="NO184" s="18"/>
      <c r="OG184" s="0" t="n">
        <v>0</v>
      </c>
      <c r="PR184" s="16" t="n">
        <v>1.39</v>
      </c>
      <c r="PS184" s="16" t="n">
        <v>1</v>
      </c>
      <c r="PT184" s="16" t="n">
        <v>1</v>
      </c>
      <c r="PU184" s="16"/>
      <c r="PV184" s="16" t="n">
        <f aca="false">1.32*2+1.62</f>
        <v>4.26</v>
      </c>
      <c r="PW184" s="16"/>
      <c r="PX184" s="16"/>
      <c r="PY184" s="16"/>
      <c r="PZ184" s="16"/>
      <c r="QA184" s="16"/>
      <c r="QB184" s="16"/>
      <c r="QC184" s="16" t="n">
        <v>0</v>
      </c>
      <c r="QD184" s="16" t="n">
        <v>0</v>
      </c>
      <c r="QE184" s="16"/>
      <c r="QF184" s="16"/>
      <c r="QG184" s="16" t="n">
        <v>2.88</v>
      </c>
      <c r="QH184" s="16" t="n">
        <v>5.21</v>
      </c>
      <c r="QI184" s="16" t="n">
        <v>0</v>
      </c>
      <c r="QJ184" s="0" t="n">
        <v>0</v>
      </c>
      <c r="QK184" s="0" t="s">
        <v>663</v>
      </c>
      <c r="QL184" s="0" t="n">
        <v>43.5</v>
      </c>
      <c r="QM184" s="16" t="n">
        <v>71.7</v>
      </c>
      <c r="QN184" s="16" t="n">
        <v>83.4</v>
      </c>
      <c r="QO184" s="16" t="n">
        <v>26.2</v>
      </c>
      <c r="QP184" s="0" t="n">
        <v>62.72</v>
      </c>
      <c r="QQ184" s="0" t="n">
        <v>0</v>
      </c>
      <c r="QR184" s="0" t="n">
        <v>0</v>
      </c>
      <c r="QS184" s="0" t="n">
        <v>0</v>
      </c>
      <c r="QT184" s="0" t="n">
        <v>37.28</v>
      </c>
      <c r="QU184" s="0" t="n">
        <v>0</v>
      </c>
      <c r="QV184" s="0" t="n">
        <v>0</v>
      </c>
      <c r="QW184" s="0" t="n">
        <v>0</v>
      </c>
      <c r="QX184" s="0" t="n">
        <v>0</v>
      </c>
      <c r="QY184" s="0" t="n">
        <v>0</v>
      </c>
      <c r="QZ184" s="0" t="n">
        <v>0</v>
      </c>
      <c r="RA184" s="0" t="n">
        <v>0</v>
      </c>
      <c r="RB184" s="0" t="n">
        <v>5.91</v>
      </c>
      <c r="RC184" s="0" t="n">
        <v>43.24</v>
      </c>
      <c r="RD184" s="0" t="n">
        <v>0.36</v>
      </c>
      <c r="RE184" s="0" t="n">
        <v>0</v>
      </c>
      <c r="RF184" s="0" t="n">
        <v>0</v>
      </c>
      <c r="RG184" s="0" t="n">
        <v>0</v>
      </c>
      <c r="RT184" s="0" t="n">
        <v>12.7</v>
      </c>
      <c r="RU184" s="0" t="n">
        <v>1</v>
      </c>
      <c r="RV184" s="0" t="n">
        <v>52</v>
      </c>
      <c r="RW184" s="0" t="n">
        <v>13</v>
      </c>
      <c r="RX184" s="0" t="n">
        <f aca="false">7.18+2.15</f>
        <v>9.33</v>
      </c>
      <c r="RY184" s="0" t="n">
        <v>2</v>
      </c>
      <c r="SF184" s="18"/>
      <c r="SX184" s="0" t="n">
        <v>0</v>
      </c>
      <c r="UI184" s="16" t="n">
        <v>1.39</v>
      </c>
      <c r="UJ184" s="16" t="n">
        <v>1</v>
      </c>
      <c r="UK184" s="16" t="n">
        <v>1</v>
      </c>
      <c r="UL184" s="16"/>
      <c r="UM184" s="16" t="n">
        <f aca="false">1.32*2+1.62</f>
        <v>4.26</v>
      </c>
      <c r="UN184" s="16"/>
      <c r="UO184" s="16"/>
      <c r="UP184" s="16"/>
      <c r="UQ184" s="16"/>
      <c r="UR184" s="16"/>
      <c r="US184" s="16"/>
      <c r="UT184" s="16" t="n">
        <v>0</v>
      </c>
      <c r="UU184" s="16" t="n">
        <v>0</v>
      </c>
      <c r="UV184" s="16"/>
      <c r="UW184" s="16"/>
      <c r="UX184" s="16" t="n">
        <v>2.88</v>
      </c>
      <c r="UY184" s="16" t="n">
        <v>5.57</v>
      </c>
      <c r="UZ184" s="16" t="n">
        <v>0</v>
      </c>
      <c r="VA184" s="0" t="n">
        <v>0</v>
      </c>
      <c r="VB184" s="0" t="s">
        <v>664</v>
      </c>
      <c r="VC184" s="0" t="n">
        <v>46</v>
      </c>
      <c r="VD184" s="16" t="n">
        <v>97.8</v>
      </c>
      <c r="VE184" s="16" t="n">
        <v>83.4</v>
      </c>
      <c r="VF184" s="16" t="n">
        <v>9.8</v>
      </c>
      <c r="VG184" s="0" t="n">
        <v>97.48</v>
      </c>
      <c r="VH184" s="0" t="n">
        <v>0</v>
      </c>
      <c r="VI184" s="0" t="n">
        <v>1.83</v>
      </c>
      <c r="VJ184" s="0" t="n">
        <v>0</v>
      </c>
      <c r="VK184" s="0" t="n">
        <v>0</v>
      </c>
      <c r="VL184" s="0" t="n">
        <v>0</v>
      </c>
      <c r="VM184" s="0" t="n">
        <v>0</v>
      </c>
      <c r="VN184" s="0" t="n">
        <v>0</v>
      </c>
      <c r="VO184" s="0" t="n">
        <v>0</v>
      </c>
      <c r="VP184" s="0" t="n">
        <v>0</v>
      </c>
      <c r="VQ184" s="0" t="n">
        <v>0</v>
      </c>
      <c r="VR184" s="0" t="n">
        <v>3.67</v>
      </c>
      <c r="VS184" s="0" t="n">
        <v>10.58</v>
      </c>
      <c r="VT184" s="0" t="n">
        <v>65.89</v>
      </c>
      <c r="VU184" s="0" t="n">
        <v>0</v>
      </c>
      <c r="VV184" s="0" t="n">
        <v>0</v>
      </c>
      <c r="VW184" s="0" t="n">
        <v>0</v>
      </c>
      <c r="VX184" s="0" t="n">
        <v>0</v>
      </c>
      <c r="WK184" s="0" t="n">
        <v>29.3</v>
      </c>
      <c r="WL184" s="0" t="n">
        <v>1</v>
      </c>
      <c r="WM184" s="0" t="n">
        <v>40</v>
      </c>
      <c r="WN184" s="0" t="n">
        <v>10</v>
      </c>
      <c r="WO184" s="0" t="n">
        <f aca="false">0.91+0.39</f>
        <v>1.3</v>
      </c>
      <c r="WP184" s="0" t="n">
        <v>2</v>
      </c>
      <c r="WQ184" s="0" t="n">
        <v>35</v>
      </c>
      <c r="WR184" s="0" t="n">
        <v>10</v>
      </c>
      <c r="WS184" s="0" t="n">
        <f aca="false">0.58+1.36</f>
        <v>1.94</v>
      </c>
      <c r="WT184" s="0" t="n">
        <v>3</v>
      </c>
      <c r="WW184" s="18"/>
      <c r="XO184" s="0" t="n">
        <v>1</v>
      </c>
      <c r="XP184" s="0" t="n">
        <v>60</v>
      </c>
      <c r="XQ184" s="0" t="n">
        <v>5</v>
      </c>
      <c r="XR184" s="0" t="n">
        <v>3.67</v>
      </c>
      <c r="XS184" s="0" t="n">
        <v>3</v>
      </c>
      <c r="XT184" s="0" t="n">
        <v>30</v>
      </c>
      <c r="XU184" s="0" t="n">
        <v>6</v>
      </c>
      <c r="XV184" s="0" t="n">
        <v>5.87</v>
      </c>
      <c r="XW184" s="0" t="n">
        <v>4</v>
      </c>
      <c r="YZ184" s="16" t="n">
        <v>1.87</v>
      </c>
      <c r="ZA184" s="16" t="n">
        <v>1</v>
      </c>
      <c r="ZB184" s="16" t="n">
        <v>1</v>
      </c>
      <c r="ZC184" s="16"/>
      <c r="ZD184" s="16" t="n">
        <f aca="false">2.04*2</f>
        <v>4.08</v>
      </c>
      <c r="ZE184" s="16" t="n">
        <v>2</v>
      </c>
      <c r="ZF184" s="16"/>
      <c r="ZG184" s="16" t="n">
        <f aca="false">0.36*2</f>
        <v>0.72</v>
      </c>
      <c r="ZH184" s="16"/>
      <c r="ZI184" s="16"/>
      <c r="ZJ184" s="16"/>
      <c r="ZK184" s="16" t="n">
        <v>5.07</v>
      </c>
      <c r="ZL184" s="16" t="n">
        <v>2.33</v>
      </c>
      <c r="ZM184" s="16"/>
      <c r="ZN184" s="16"/>
      <c r="ZO184" s="16" t="n">
        <v>0</v>
      </c>
      <c r="ZP184" s="16" t="n">
        <v>0</v>
      </c>
      <c r="ZQ184" s="16" t="n">
        <v>0</v>
      </c>
      <c r="ZR184" s="0" t="n">
        <v>0</v>
      </c>
      <c r="ZS184" s="0" t="s">
        <v>665</v>
      </c>
      <c r="ZT184" s="0" t="n">
        <v>49.5</v>
      </c>
      <c r="ZU184" s="16" t="n">
        <v>97.8</v>
      </c>
      <c r="ZV184" s="16" t="n">
        <v>83.4</v>
      </c>
      <c r="ZW184" s="16" t="n">
        <v>9.9</v>
      </c>
      <c r="ZX184" s="0" t="n">
        <v>97.48</v>
      </c>
      <c r="ZY184" s="0" t="n">
        <v>0</v>
      </c>
      <c r="ZZ184" s="0" t="n">
        <v>1.83</v>
      </c>
      <c r="AAA184" s="0" t="n">
        <v>0</v>
      </c>
      <c r="AAB184" s="0" t="n">
        <v>0.68</v>
      </c>
      <c r="AAC184" s="0" t="n">
        <v>0</v>
      </c>
      <c r="AAD184" s="0" t="n">
        <v>0</v>
      </c>
      <c r="AAE184" s="0" t="n">
        <v>0</v>
      </c>
      <c r="AAF184" s="0" t="n">
        <v>0</v>
      </c>
      <c r="AAG184" s="0" t="n">
        <v>0</v>
      </c>
      <c r="AAH184" s="0" t="n">
        <v>0</v>
      </c>
      <c r="AAI184" s="0" t="n">
        <v>3.67</v>
      </c>
      <c r="AAJ184" s="0" t="n">
        <v>8.74</v>
      </c>
      <c r="AAK184" s="0" t="n">
        <v>67.72</v>
      </c>
      <c r="AAL184" s="0" t="n">
        <v>0</v>
      </c>
      <c r="AAM184" s="0" t="n">
        <v>0</v>
      </c>
      <c r="AAN184" s="0" t="n">
        <v>0</v>
      </c>
      <c r="AAO184" s="0" t="n">
        <v>0</v>
      </c>
      <c r="ABB184" s="0" t="n">
        <v>32.5</v>
      </c>
      <c r="ABC184" s="0" t="n">
        <v>1</v>
      </c>
      <c r="ABD184" s="0" t="n">
        <v>30</v>
      </c>
      <c r="ABE184" s="0" t="n">
        <v>11</v>
      </c>
      <c r="ABF184" s="0" t="n">
        <f aca="false">6.61+5.5</f>
        <v>12.11</v>
      </c>
      <c r="ABG184" s="0" t="n">
        <v>4</v>
      </c>
      <c r="ABH184" s="0" t="n">
        <v>40</v>
      </c>
      <c r="ABI184" s="0" t="n">
        <v>12</v>
      </c>
      <c r="ABJ184" s="0" t="n">
        <f aca="false">2.2+1.47+0.91</f>
        <v>4.58</v>
      </c>
      <c r="ABK184" s="0" t="n">
        <v>2</v>
      </c>
      <c r="ABL184" s="0" t="n">
        <v>35</v>
      </c>
      <c r="ABM184" s="0" t="n">
        <v>10</v>
      </c>
      <c r="ABN184" s="18" t="n">
        <f aca="false">1.36+0.58</f>
        <v>1.94</v>
      </c>
      <c r="ABO184" s="0" t="n">
        <v>3</v>
      </c>
      <c r="ABP184" s="0" t="n">
        <v>78</v>
      </c>
      <c r="ABQ184" s="0" t="n">
        <v>3</v>
      </c>
      <c r="ABR184" s="0" t="n">
        <v>0.39</v>
      </c>
      <c r="ABS184" s="0" t="n">
        <v>2</v>
      </c>
      <c r="ACF184" s="0" t="n">
        <v>0</v>
      </c>
      <c r="ADQ184" s="16" t="n">
        <v>1.87</v>
      </c>
      <c r="ADR184" s="16" t="n">
        <v>1</v>
      </c>
      <c r="ADS184" s="16" t="n">
        <v>1</v>
      </c>
      <c r="ADT184" s="16"/>
      <c r="ADU184" s="16" t="n">
        <f aca="false">2.04*2</f>
        <v>4.08</v>
      </c>
      <c r="ADV184" s="16" t="n">
        <v>2</v>
      </c>
      <c r="ADW184" s="16"/>
      <c r="ADX184" s="16" t="n">
        <v>0.7</v>
      </c>
      <c r="ADY184" s="16"/>
      <c r="ADZ184" s="16"/>
      <c r="AEA184" s="16"/>
      <c r="AEB184" s="16" t="n">
        <v>5.01</v>
      </c>
      <c r="AEC184" s="16" t="n">
        <v>1.3</v>
      </c>
      <c r="AED184" s="16"/>
      <c r="AEE184" s="16"/>
      <c r="AEF184" s="16" t="n">
        <v>0</v>
      </c>
      <c r="AEG184" s="16" t="n">
        <v>0</v>
      </c>
      <c r="AEH184" s="16" t="n">
        <v>0</v>
      </c>
      <c r="AEI184" s="0" t="n">
        <v>0</v>
      </c>
      <c r="AEJ184" s="38" t="n">
        <v>120</v>
      </c>
      <c r="AEK184" s="0" t="n">
        <v>41</v>
      </c>
      <c r="AEL184" s="16" t="n">
        <v>75.9</v>
      </c>
      <c r="AEM184" s="16" t="n">
        <v>83.4</v>
      </c>
      <c r="AEN184" s="16" t="n">
        <v>13.8</v>
      </c>
      <c r="AEO184" s="0" t="n">
        <v>83.58</v>
      </c>
      <c r="AEP184" s="0" t="n">
        <v>0</v>
      </c>
      <c r="AEQ184" s="0" t="n">
        <v>0</v>
      </c>
      <c r="AER184" s="0" t="n">
        <v>0</v>
      </c>
      <c r="AES184" s="0" t="n">
        <v>9.73</v>
      </c>
      <c r="AET184" s="0" t="n">
        <v>0</v>
      </c>
      <c r="AEU184" s="0" t="n">
        <v>6.69</v>
      </c>
      <c r="AEV184" s="0" t="n">
        <v>0</v>
      </c>
      <c r="AEW184" s="0" t="n">
        <v>0</v>
      </c>
      <c r="AEX184" s="0" t="n">
        <v>0</v>
      </c>
      <c r="AEY184" s="0" t="n">
        <v>0</v>
      </c>
      <c r="AEZ184" s="0" t="n">
        <v>11.59</v>
      </c>
      <c r="AFA184" s="0" t="n">
        <v>26.54</v>
      </c>
      <c r="AFB184" s="0" t="n">
        <v>10.81</v>
      </c>
      <c r="AFC184" s="0" t="n">
        <v>6.87</v>
      </c>
      <c r="AFD184" s="0" t="n">
        <v>0</v>
      </c>
      <c r="AFE184" s="0" t="n">
        <v>20</v>
      </c>
      <c r="AFF184" s="0" t="n">
        <v>1</v>
      </c>
      <c r="AFG184" s="0" t="n">
        <v>3</v>
      </c>
      <c r="AFI184" s="0" t="n">
        <v>4</v>
      </c>
      <c r="AFS184" s="0" t="n">
        <v>1.9</v>
      </c>
      <c r="AFT184" s="0" t="n">
        <v>1</v>
      </c>
      <c r="AFU184" s="0" t="n">
        <v>34</v>
      </c>
      <c r="AFV184" s="0" t="n">
        <v>4</v>
      </c>
      <c r="AFW184" s="0" t="n">
        <f aca="false">4.04+0.71</f>
        <v>4.75</v>
      </c>
      <c r="AFX184" s="0" t="n">
        <v>1</v>
      </c>
      <c r="AFY184" s="0" t="n">
        <v>52</v>
      </c>
      <c r="AFZ184" s="0" t="n">
        <v>2</v>
      </c>
      <c r="AGA184" s="0" t="n">
        <f aca="false">0.73+0.13</f>
        <v>0.86</v>
      </c>
      <c r="AGB184" s="0" t="n">
        <v>2</v>
      </c>
      <c r="AGE184" s="18"/>
      <c r="AGW184" s="0" t="n">
        <v>0</v>
      </c>
      <c r="AIH184" s="16" t="n">
        <v>0</v>
      </c>
      <c r="AII184" s="16" t="n">
        <v>0</v>
      </c>
      <c r="AIJ184" s="16"/>
      <c r="AIK184" s="16"/>
      <c r="AIL184" s="16"/>
      <c r="AIM184" s="16"/>
      <c r="AIN184" s="16"/>
      <c r="AIO184" s="16"/>
      <c r="AIP184" s="16"/>
      <c r="AIQ184" s="16"/>
      <c r="AIR184" s="16"/>
      <c r="AIS184" s="16" t="n">
        <v>5.08</v>
      </c>
      <c r="AIT184" s="16" t="n">
        <v>4.75</v>
      </c>
      <c r="AIU184" s="16"/>
      <c r="AIV184" s="16"/>
      <c r="AIW184" s="16" t="n">
        <v>0</v>
      </c>
      <c r="AIX184" s="16" t="n">
        <v>0</v>
      </c>
      <c r="AIY184" s="16" t="n">
        <v>0</v>
      </c>
      <c r="AIZ184" s="0" t="n">
        <v>0</v>
      </c>
      <c r="AJA184" s="0" t="s">
        <v>666</v>
      </c>
      <c r="AJB184" s="0" t="n">
        <v>27.5</v>
      </c>
      <c r="AJC184" s="16" t="n">
        <v>76.8</v>
      </c>
      <c r="AJD184" s="16" t="n">
        <v>83.4</v>
      </c>
      <c r="AJE184" s="16" t="n">
        <v>16</v>
      </c>
      <c r="AJF184" s="0" t="n">
        <v>82.97</v>
      </c>
      <c r="AJG184" s="0" t="n">
        <v>0</v>
      </c>
      <c r="AJH184" s="0" t="n">
        <v>0.29</v>
      </c>
      <c r="AJI184" s="0" t="n">
        <v>0</v>
      </c>
      <c r="AJJ184" s="0" t="n">
        <v>16.74</v>
      </c>
      <c r="AJK184" s="0" t="n">
        <v>0</v>
      </c>
      <c r="AJL184" s="0" t="n">
        <v>0</v>
      </c>
      <c r="AJM184" s="0" t="n">
        <v>0</v>
      </c>
      <c r="AJN184" s="0" t="n">
        <v>0</v>
      </c>
      <c r="AJO184" s="0" t="n">
        <v>0</v>
      </c>
      <c r="AJP184" s="0" t="n">
        <v>0</v>
      </c>
      <c r="AJQ184" s="0" t="n">
        <v>0</v>
      </c>
      <c r="AJR184" s="0" t="n">
        <v>1.65</v>
      </c>
      <c r="AJS184" s="0" t="n">
        <v>49.33</v>
      </c>
      <c r="AJT184" s="0" t="n">
        <v>1.23</v>
      </c>
      <c r="AJU184" s="0" t="n">
        <v>0</v>
      </c>
      <c r="AJV184" s="0" t="n">
        <v>0</v>
      </c>
      <c r="AJW184" s="0" t="n">
        <v>0</v>
      </c>
      <c r="AKJ184" s="0" t="n">
        <v>8.7</v>
      </c>
      <c r="AKK184" s="0" t="n">
        <v>1</v>
      </c>
      <c r="AKL184" s="0" t="n">
        <v>35</v>
      </c>
      <c r="AKM184" s="0" t="n">
        <v>3</v>
      </c>
      <c r="AKN184" s="0" t="n">
        <f aca="false">0.13*2+0.73</f>
        <v>0.99</v>
      </c>
      <c r="AKO184" s="0" t="n">
        <v>3</v>
      </c>
      <c r="AKP184" s="0" t="n">
        <v>47</v>
      </c>
      <c r="AKQ184" s="0" t="n">
        <v>4</v>
      </c>
      <c r="AKR184" s="0" t="n">
        <v>0.52</v>
      </c>
      <c r="AKS184" s="0" t="n">
        <v>3</v>
      </c>
      <c r="AKV184" s="18"/>
      <c r="ALN184" s="0" t="n">
        <v>0</v>
      </c>
    </row>
    <row r="185" customFormat="false" ht="14.25" hidden="false" customHeight="true" outlineLevel="0" collapsed="false">
      <c r="A185" s="1" t="s">
        <v>676</v>
      </c>
      <c r="B185" s="12" t="n">
        <v>42906</v>
      </c>
      <c r="C185" s="0" t="n">
        <v>1</v>
      </c>
      <c r="D185" s="13" t="n">
        <v>42797</v>
      </c>
      <c r="E185" s="12" t="n">
        <v>31347</v>
      </c>
      <c r="F185" s="14" t="n">
        <f aca="false">(B185-E185)/365.25</f>
        <v>31.64681724846</v>
      </c>
      <c r="G185" s="14" t="n">
        <f aca="false">(B185-D185)/365.25</f>
        <v>0.298425735797399</v>
      </c>
      <c r="H185" s="15" t="s">
        <v>306</v>
      </c>
      <c r="I185" s="15" t="s">
        <v>658</v>
      </c>
      <c r="J185" s="21" t="s">
        <v>181</v>
      </c>
      <c r="K185" s="21" t="n">
        <v>8</v>
      </c>
      <c r="L185" s="19" t="n">
        <v>56</v>
      </c>
      <c r="M185" s="0" t="n">
        <v>1.56</v>
      </c>
      <c r="N185" s="16" t="n">
        <f aca="false">L185/(M185*M185)</f>
        <v>23.0111768573307</v>
      </c>
      <c r="O185" s="19" t="n">
        <v>0</v>
      </c>
      <c r="P185" s="19" t="n">
        <v>0</v>
      </c>
      <c r="Q185" s="19" t="n">
        <v>0</v>
      </c>
      <c r="R185" s="19" t="n">
        <v>0</v>
      </c>
      <c r="S185" s="19" t="n">
        <v>0</v>
      </c>
      <c r="T185" s="19" t="n">
        <v>0</v>
      </c>
      <c r="U185" s="26" t="n">
        <v>0</v>
      </c>
      <c r="V185" s="26" t="n">
        <v>0</v>
      </c>
      <c r="W185" s="19" t="n">
        <v>0</v>
      </c>
      <c r="X185" s="19" t="n">
        <v>0</v>
      </c>
      <c r="Y185" s="19" t="n">
        <v>1</v>
      </c>
      <c r="Z185" s="19" t="n">
        <v>3</v>
      </c>
      <c r="AA185" s="19" t="n">
        <v>60</v>
      </c>
      <c r="AB185" s="19" t="s">
        <v>215</v>
      </c>
      <c r="AC185" s="19" t="n">
        <v>1</v>
      </c>
      <c r="AD185" s="19" t="n">
        <v>6</v>
      </c>
      <c r="AE185" s="19" t="n">
        <v>1</v>
      </c>
      <c r="AF185" s="19" t="n">
        <v>0</v>
      </c>
      <c r="AG185" s="19" t="n">
        <v>0</v>
      </c>
      <c r="AH185" s="19" t="n">
        <v>0</v>
      </c>
      <c r="AI185" s="19" t="n">
        <v>3</v>
      </c>
      <c r="AJ185" s="19" t="n">
        <v>0</v>
      </c>
      <c r="AK185" s="19" t="n">
        <v>3</v>
      </c>
      <c r="AL185" s="19"/>
      <c r="AM185" s="19"/>
      <c r="AN185" s="19" t="n">
        <v>3</v>
      </c>
      <c r="AO185" s="19" t="n">
        <v>0</v>
      </c>
      <c r="AP185" s="19" t="n">
        <v>0</v>
      </c>
      <c r="AQ185" s="19" t="n">
        <v>0</v>
      </c>
      <c r="AR185" s="19" t="n">
        <v>0</v>
      </c>
      <c r="AS185" s="19" t="n">
        <v>3</v>
      </c>
      <c r="AT185" s="19" t="n">
        <v>0</v>
      </c>
      <c r="AU185" s="19" t="n">
        <v>0</v>
      </c>
      <c r="AV185" s="19" t="n">
        <v>0</v>
      </c>
      <c r="AW185" s="19" t="n">
        <v>0</v>
      </c>
      <c r="AX185" s="19" t="n">
        <v>0</v>
      </c>
      <c r="AY185" s="19" t="n">
        <v>0</v>
      </c>
      <c r="AZ185" s="19" t="n">
        <v>0</v>
      </c>
      <c r="BA185" s="19" t="n">
        <v>0</v>
      </c>
      <c r="BB185" s="19" t="n">
        <v>1</v>
      </c>
      <c r="BC185" s="19" t="n">
        <v>0</v>
      </c>
      <c r="BD185" s="19" t="n">
        <v>0</v>
      </c>
      <c r="BE185" s="19" t="n">
        <v>0</v>
      </c>
      <c r="BF185" s="19" t="n">
        <v>0</v>
      </c>
      <c r="BG185" s="19" t="n">
        <v>0</v>
      </c>
      <c r="BH185" s="19" t="n">
        <v>0</v>
      </c>
      <c r="BI185" s="19" t="n">
        <v>0</v>
      </c>
      <c r="BJ185" s="19" t="n">
        <v>1</v>
      </c>
      <c r="BK185" s="19" t="n">
        <v>0</v>
      </c>
      <c r="BL185" s="19" t="n">
        <v>0</v>
      </c>
      <c r="BM185" s="19" t="n">
        <v>0</v>
      </c>
      <c r="BN185" s="19" t="n">
        <v>1</v>
      </c>
      <c r="BO185" s="19" t="n">
        <v>0</v>
      </c>
      <c r="BP185" s="19"/>
      <c r="BQ185" s="19"/>
      <c r="BR185" s="19" t="n">
        <v>1</v>
      </c>
      <c r="BS185" s="19" t="n">
        <v>1</v>
      </c>
      <c r="BT185" s="19" t="n">
        <v>3</v>
      </c>
      <c r="BU185" s="19" t="n">
        <v>5</v>
      </c>
      <c r="BV185" s="19" t="n">
        <v>3</v>
      </c>
      <c r="BW185" s="19" t="n">
        <v>1</v>
      </c>
      <c r="BX185" s="19" t="n">
        <v>5</v>
      </c>
      <c r="BY185" s="19" t="n">
        <v>5</v>
      </c>
      <c r="BZ185" s="19" t="n">
        <v>4</v>
      </c>
      <c r="CA185" s="19" t="n">
        <v>5</v>
      </c>
      <c r="CB185" s="19" t="n">
        <v>5</v>
      </c>
      <c r="CC185" s="19" t="n">
        <v>5</v>
      </c>
      <c r="CD185" s="19" t="n">
        <v>1</v>
      </c>
      <c r="CE185" s="19" t="n">
        <v>5</v>
      </c>
      <c r="CF185" s="19" t="n">
        <v>5</v>
      </c>
      <c r="CG185" s="19" t="n">
        <v>5</v>
      </c>
      <c r="CH185" s="19" t="n">
        <v>5</v>
      </c>
      <c r="CI185" s="19" t="n">
        <v>5</v>
      </c>
      <c r="CJ185" s="19" t="n">
        <v>5</v>
      </c>
      <c r="CK185" s="19" t="n">
        <v>10</v>
      </c>
      <c r="CL185" s="0" t="s">
        <v>661</v>
      </c>
      <c r="CM185" s="0" t="n">
        <v>29</v>
      </c>
      <c r="CN185" s="16" t="n">
        <v>86.2</v>
      </c>
      <c r="CO185" s="16" t="n">
        <v>83.4</v>
      </c>
      <c r="CP185" s="16" t="n">
        <v>15.4</v>
      </c>
      <c r="CQ185" s="0" t="n">
        <v>87</v>
      </c>
      <c r="CR185" s="0" t="n">
        <v>0</v>
      </c>
      <c r="CS185" s="0" t="n">
        <v>0</v>
      </c>
      <c r="CT185" s="0" t="n">
        <v>0</v>
      </c>
      <c r="CU185" s="0" t="n">
        <v>13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37.36</v>
      </c>
      <c r="DC185" s="0" t="n">
        <v>46.33</v>
      </c>
      <c r="DD185" s="0" t="n">
        <v>18.45</v>
      </c>
      <c r="DE185" s="0" t="n">
        <v>0</v>
      </c>
      <c r="DF185" s="0" t="n">
        <v>0</v>
      </c>
      <c r="DG185" s="0" t="n">
        <v>0</v>
      </c>
      <c r="DH185" s="0" t="n">
        <v>0</v>
      </c>
      <c r="DU185" s="0" t="n">
        <v>8.3</v>
      </c>
      <c r="DV185" s="0" t="n">
        <v>0</v>
      </c>
      <c r="EG185" s="18"/>
      <c r="EY185" s="0" t="n">
        <v>1</v>
      </c>
      <c r="EZ185" s="0" t="n">
        <v>80</v>
      </c>
      <c r="FA185" s="0" t="n">
        <v>9</v>
      </c>
      <c r="FB185" s="0" t="n">
        <v>6.01</v>
      </c>
      <c r="FC185" s="0" t="n">
        <v>3</v>
      </c>
      <c r="GJ185" s="16" t="n">
        <v>1.8</v>
      </c>
      <c r="GK185" s="16" t="n">
        <v>1</v>
      </c>
      <c r="GL185" s="16" t="n">
        <v>1</v>
      </c>
      <c r="GM185" s="16"/>
      <c r="GN185" s="16" t="n">
        <v>3.6</v>
      </c>
      <c r="GO185" s="16"/>
      <c r="GP185" s="16"/>
      <c r="GQ185" s="16"/>
      <c r="GR185" s="16"/>
      <c r="GS185" s="16"/>
      <c r="GT185" s="16"/>
      <c r="GU185" s="16" t="n">
        <v>0.54</v>
      </c>
      <c r="GV185" s="16" t="n">
        <v>0.13</v>
      </c>
      <c r="GW185" s="16"/>
      <c r="GX185" s="16"/>
      <c r="GY185" s="16" t="n">
        <v>2.88</v>
      </c>
      <c r="GZ185" s="16" t="n">
        <v>6.91</v>
      </c>
      <c r="HA185" s="16" t="n">
        <v>0</v>
      </c>
      <c r="HB185" s="0" t="n">
        <v>0</v>
      </c>
      <c r="HC185" s="0" t="s">
        <v>662</v>
      </c>
      <c r="HD185" s="0" t="n">
        <v>46.5</v>
      </c>
      <c r="HE185" s="16" t="n">
        <v>69.2</v>
      </c>
      <c r="HF185" s="16" t="n">
        <v>83.4</v>
      </c>
      <c r="HG185" s="16" t="n">
        <v>28.7</v>
      </c>
      <c r="HH185" s="0" t="n">
        <v>53.82</v>
      </c>
      <c r="HI185" s="0" t="n">
        <v>0</v>
      </c>
      <c r="HJ185" s="0" t="n">
        <v>0</v>
      </c>
      <c r="HK185" s="0" t="n">
        <v>0</v>
      </c>
      <c r="HL185" s="0" t="n">
        <v>46.18</v>
      </c>
      <c r="HM185" s="0" t="n">
        <v>0</v>
      </c>
      <c r="HN185" s="0" t="n">
        <v>0</v>
      </c>
      <c r="HO185" s="0" t="n">
        <v>0</v>
      </c>
      <c r="HP185" s="0" t="n">
        <v>0</v>
      </c>
      <c r="HQ185" s="0" t="n">
        <v>0</v>
      </c>
      <c r="HR185" s="0" t="n">
        <v>0</v>
      </c>
      <c r="HS185" s="0" t="n">
        <v>0</v>
      </c>
      <c r="HT185" s="0" t="n">
        <v>5.46</v>
      </c>
      <c r="HU185" s="0" t="n">
        <v>46.31</v>
      </c>
      <c r="HV185" s="0" t="n">
        <v>1.06</v>
      </c>
      <c r="HW185" s="0" t="n">
        <v>0</v>
      </c>
      <c r="HX185" s="0" t="n">
        <v>0</v>
      </c>
      <c r="HY185" s="0" t="n">
        <v>0</v>
      </c>
      <c r="IL185" s="0" t="n">
        <v>13.3</v>
      </c>
      <c r="IM185" s="0" t="n">
        <v>1</v>
      </c>
      <c r="IN185" s="0" t="n">
        <v>52</v>
      </c>
      <c r="IO185" s="0" t="n">
        <v>23</v>
      </c>
      <c r="IP185" s="0" t="n">
        <f aca="false">7.18+2.15+0.07+0.84+0.15+0.14+0.12</f>
        <v>10.65</v>
      </c>
      <c r="IQ185" s="0" t="n">
        <v>2</v>
      </c>
      <c r="IX185" s="18"/>
      <c r="JP185" s="0" t="n">
        <v>0</v>
      </c>
      <c r="LA185" s="16" t="n">
        <v>1.39</v>
      </c>
      <c r="LB185" s="16" t="n">
        <v>1</v>
      </c>
      <c r="LC185" s="16" t="n">
        <v>1</v>
      </c>
      <c r="LD185" s="16"/>
      <c r="LE185" s="16" t="n">
        <f aca="false">1.32*2+1.62</f>
        <v>4.26</v>
      </c>
      <c r="LF185" s="16"/>
      <c r="LG185" s="16"/>
      <c r="LH185" s="16"/>
      <c r="LI185" s="16"/>
      <c r="LJ185" s="16"/>
      <c r="LK185" s="16"/>
      <c r="LL185" s="16" t="n">
        <v>0</v>
      </c>
      <c r="LM185" s="16" t="n">
        <v>0</v>
      </c>
      <c r="LN185" s="16"/>
      <c r="LO185" s="16"/>
      <c r="LP185" s="16" t="n">
        <v>2.88</v>
      </c>
      <c r="LQ185" s="16" t="n">
        <v>5.21</v>
      </c>
      <c r="LR185" s="16" t="n">
        <v>0</v>
      </c>
      <c r="LS185" s="0" t="n">
        <v>0</v>
      </c>
      <c r="LT185" s="0" t="s">
        <v>663</v>
      </c>
      <c r="LU185" s="0" t="n">
        <v>43.5</v>
      </c>
      <c r="LV185" s="16" t="n">
        <v>71.7</v>
      </c>
      <c r="LW185" s="16" t="n">
        <v>83.4</v>
      </c>
      <c r="LX185" s="16" t="n">
        <v>26.2</v>
      </c>
      <c r="LY185" s="0" t="n">
        <v>62.72</v>
      </c>
      <c r="LZ185" s="0" t="n">
        <v>0</v>
      </c>
      <c r="MA185" s="0" t="n">
        <v>0</v>
      </c>
      <c r="MB185" s="0" t="n">
        <v>0</v>
      </c>
      <c r="MC185" s="0" t="n">
        <v>37.28</v>
      </c>
      <c r="MD185" s="0" t="n">
        <v>0</v>
      </c>
      <c r="ME185" s="0" t="n">
        <v>0</v>
      </c>
      <c r="MF185" s="0" t="n">
        <v>0</v>
      </c>
      <c r="MG185" s="0" t="n">
        <v>0</v>
      </c>
      <c r="MH185" s="0" t="n">
        <v>0</v>
      </c>
      <c r="MI185" s="0" t="n">
        <v>0</v>
      </c>
      <c r="MJ185" s="0" t="n">
        <v>0</v>
      </c>
      <c r="MK185" s="0" t="n">
        <v>5.91</v>
      </c>
      <c r="ML185" s="0" t="n">
        <v>43.24</v>
      </c>
      <c r="MM185" s="0" t="n">
        <v>0.36</v>
      </c>
      <c r="MN185" s="0" t="n">
        <v>0</v>
      </c>
      <c r="MO185" s="0" t="n">
        <v>0</v>
      </c>
      <c r="MP185" s="0" t="n">
        <v>0</v>
      </c>
      <c r="NC185" s="0" t="n">
        <v>12.7</v>
      </c>
      <c r="ND185" s="0" t="n">
        <v>1</v>
      </c>
      <c r="NE185" s="0" t="n">
        <v>52</v>
      </c>
      <c r="NF185" s="0" t="n">
        <v>13</v>
      </c>
      <c r="NG185" s="0" t="n">
        <f aca="false">7.18+2.15</f>
        <v>9.33</v>
      </c>
      <c r="NH185" s="0" t="n">
        <v>2</v>
      </c>
      <c r="NO185" s="18"/>
      <c r="OG185" s="0" t="n">
        <v>0</v>
      </c>
      <c r="PR185" s="16" t="n">
        <v>1.39</v>
      </c>
      <c r="PS185" s="16" t="n">
        <v>1</v>
      </c>
      <c r="PT185" s="16" t="n">
        <v>1</v>
      </c>
      <c r="PU185" s="16"/>
      <c r="PV185" s="16" t="n">
        <f aca="false">1.32*2+1.62</f>
        <v>4.26</v>
      </c>
      <c r="PW185" s="16"/>
      <c r="PX185" s="16"/>
      <c r="PY185" s="16"/>
      <c r="PZ185" s="16"/>
      <c r="QA185" s="16"/>
      <c r="QB185" s="16"/>
      <c r="QC185" s="16" t="n">
        <v>0</v>
      </c>
      <c r="QD185" s="16" t="n">
        <v>0</v>
      </c>
      <c r="QE185" s="16"/>
      <c r="QF185" s="16"/>
      <c r="QG185" s="16" t="n">
        <v>2.88</v>
      </c>
      <c r="QH185" s="16" t="n">
        <v>5.57</v>
      </c>
      <c r="QI185" s="16" t="n">
        <v>0</v>
      </c>
      <c r="QJ185" s="0" t="n">
        <v>0</v>
      </c>
      <c r="QK185" s="0" t="s">
        <v>664</v>
      </c>
      <c r="QL185" s="0" t="n">
        <v>46</v>
      </c>
      <c r="QM185" s="16" t="n">
        <v>97.8</v>
      </c>
      <c r="QN185" s="16" t="n">
        <v>83.4</v>
      </c>
      <c r="QO185" s="16" t="n">
        <v>9.8</v>
      </c>
      <c r="QP185" s="0" t="n">
        <v>97.48</v>
      </c>
      <c r="QQ185" s="0" t="n">
        <v>0</v>
      </c>
      <c r="QR185" s="0" t="n">
        <v>1.83</v>
      </c>
      <c r="QS185" s="0" t="n">
        <v>0</v>
      </c>
      <c r="QT185" s="0" t="n">
        <v>0</v>
      </c>
      <c r="QU185" s="0" t="n">
        <v>0</v>
      </c>
      <c r="QV185" s="0" t="n">
        <v>0</v>
      </c>
      <c r="QW185" s="0" t="n">
        <v>0</v>
      </c>
      <c r="QX185" s="0" t="n">
        <v>0</v>
      </c>
      <c r="QY185" s="0" t="n">
        <v>0</v>
      </c>
      <c r="QZ185" s="0" t="n">
        <v>0</v>
      </c>
      <c r="RA185" s="0" t="n">
        <v>3.67</v>
      </c>
      <c r="RB185" s="0" t="n">
        <v>10.58</v>
      </c>
      <c r="RC185" s="0" t="n">
        <v>65.89</v>
      </c>
      <c r="RD185" s="0" t="n">
        <v>0</v>
      </c>
      <c r="RE185" s="0" t="n">
        <v>0</v>
      </c>
      <c r="RF185" s="0" t="n">
        <v>0</v>
      </c>
      <c r="RG185" s="0" t="n">
        <v>0</v>
      </c>
      <c r="RT185" s="0" t="n">
        <v>29.3</v>
      </c>
      <c r="RU185" s="0" t="n">
        <v>1</v>
      </c>
      <c r="RV185" s="0" t="n">
        <v>40</v>
      </c>
      <c r="RW185" s="0" t="n">
        <v>10</v>
      </c>
      <c r="RX185" s="0" t="n">
        <f aca="false">0.91+0.39</f>
        <v>1.3</v>
      </c>
      <c r="RY185" s="0" t="n">
        <v>2</v>
      </c>
      <c r="RZ185" s="0" t="n">
        <v>35</v>
      </c>
      <c r="SA185" s="0" t="n">
        <v>10</v>
      </c>
      <c r="SB185" s="0" t="n">
        <f aca="false">0.58+1.36</f>
        <v>1.94</v>
      </c>
      <c r="SC185" s="0" t="n">
        <v>3</v>
      </c>
      <c r="SF185" s="18"/>
      <c r="SX185" s="0" t="n">
        <v>1</v>
      </c>
      <c r="SY185" s="0" t="n">
        <v>60</v>
      </c>
      <c r="SZ185" s="0" t="n">
        <v>5</v>
      </c>
      <c r="TA185" s="0" t="n">
        <v>3.67</v>
      </c>
      <c r="TB185" s="0" t="n">
        <v>3</v>
      </c>
      <c r="TC185" s="0" t="n">
        <v>30</v>
      </c>
      <c r="TD185" s="0" t="n">
        <v>6</v>
      </c>
      <c r="TE185" s="0" t="n">
        <v>5.87</v>
      </c>
      <c r="TF185" s="0" t="n">
        <v>4</v>
      </c>
      <c r="UI185" s="16" t="n">
        <v>1.87</v>
      </c>
      <c r="UJ185" s="16" t="n">
        <v>1</v>
      </c>
      <c r="UK185" s="16" t="n">
        <v>1</v>
      </c>
      <c r="UL185" s="16"/>
      <c r="UM185" s="16" t="n">
        <f aca="false">2.04*2</f>
        <v>4.08</v>
      </c>
      <c r="UN185" s="16" t="n">
        <v>2</v>
      </c>
      <c r="UO185" s="16"/>
      <c r="UP185" s="16" t="n">
        <f aca="false">0.36*2</f>
        <v>0.72</v>
      </c>
      <c r="UQ185" s="16"/>
      <c r="UR185" s="16"/>
      <c r="US185" s="16"/>
      <c r="UT185" s="16" t="n">
        <v>5.07</v>
      </c>
      <c r="UU185" s="16" t="n">
        <v>2.33</v>
      </c>
      <c r="UV185" s="16"/>
      <c r="UW185" s="16"/>
      <c r="UX185" s="16" t="n">
        <v>0</v>
      </c>
      <c r="UY185" s="16" t="n">
        <v>0</v>
      </c>
      <c r="UZ185" s="16" t="n">
        <v>0</v>
      </c>
      <c r="VA185" s="0" t="n">
        <v>0</v>
      </c>
      <c r="VB185" s="0" t="s">
        <v>665</v>
      </c>
      <c r="VC185" s="0" t="n">
        <v>49.5</v>
      </c>
      <c r="VD185" s="16" t="n">
        <v>97.8</v>
      </c>
      <c r="VE185" s="16" t="n">
        <v>83.4</v>
      </c>
      <c r="VF185" s="16" t="n">
        <v>9.9</v>
      </c>
      <c r="VG185" s="0" t="n">
        <v>97.48</v>
      </c>
      <c r="VH185" s="0" t="n">
        <v>0</v>
      </c>
      <c r="VI185" s="0" t="n">
        <v>1.83</v>
      </c>
      <c r="VJ185" s="0" t="n">
        <v>0</v>
      </c>
      <c r="VK185" s="0" t="n">
        <v>0.68</v>
      </c>
      <c r="VL185" s="0" t="n">
        <v>0</v>
      </c>
      <c r="VM185" s="0" t="n">
        <v>0</v>
      </c>
      <c r="VN185" s="0" t="n">
        <v>0</v>
      </c>
      <c r="VO185" s="0" t="n">
        <v>0</v>
      </c>
      <c r="VP185" s="0" t="n">
        <v>0</v>
      </c>
      <c r="VQ185" s="0" t="n">
        <v>0</v>
      </c>
      <c r="VR185" s="0" t="n">
        <v>3.67</v>
      </c>
      <c r="VS185" s="0" t="n">
        <v>8.74</v>
      </c>
      <c r="VT185" s="0" t="n">
        <v>67.72</v>
      </c>
      <c r="VU185" s="0" t="n">
        <v>0</v>
      </c>
      <c r="VV185" s="0" t="n">
        <v>0</v>
      </c>
      <c r="VW185" s="0" t="n">
        <v>0</v>
      </c>
      <c r="VX185" s="0" t="n">
        <v>0</v>
      </c>
      <c r="WK185" s="0" t="n">
        <v>32.5</v>
      </c>
      <c r="WL185" s="0" t="n">
        <v>1</v>
      </c>
      <c r="WM185" s="0" t="n">
        <v>30</v>
      </c>
      <c r="WN185" s="0" t="n">
        <v>11</v>
      </c>
      <c r="WO185" s="0" t="n">
        <f aca="false">6.61+5.5</f>
        <v>12.11</v>
      </c>
      <c r="WP185" s="0" t="n">
        <v>4</v>
      </c>
      <c r="WQ185" s="0" t="n">
        <v>40</v>
      </c>
      <c r="WR185" s="0" t="n">
        <v>12</v>
      </c>
      <c r="WS185" s="0" t="n">
        <f aca="false">2.2+1.47+0.91</f>
        <v>4.58</v>
      </c>
      <c r="WT185" s="0" t="n">
        <v>2</v>
      </c>
      <c r="WU185" s="0" t="n">
        <v>35</v>
      </c>
      <c r="WV185" s="0" t="n">
        <v>10</v>
      </c>
      <c r="WW185" s="18" t="n">
        <f aca="false">1.36+0.58</f>
        <v>1.94</v>
      </c>
      <c r="WX185" s="0" t="n">
        <v>3</v>
      </c>
      <c r="WY185" s="0" t="n">
        <v>78</v>
      </c>
      <c r="WZ185" s="0" t="n">
        <v>3</v>
      </c>
      <c r="XA185" s="0" t="n">
        <v>0.39</v>
      </c>
      <c r="XB185" s="0" t="n">
        <v>2</v>
      </c>
      <c r="XO185" s="0" t="n">
        <v>0</v>
      </c>
      <c r="YZ185" s="16" t="n">
        <v>1.87</v>
      </c>
      <c r="ZA185" s="16" t="n">
        <v>1</v>
      </c>
      <c r="ZB185" s="16" t="n">
        <v>1</v>
      </c>
      <c r="ZC185" s="16"/>
      <c r="ZD185" s="16" t="n">
        <f aca="false">2.04*2</f>
        <v>4.08</v>
      </c>
      <c r="ZE185" s="16" t="n">
        <v>2</v>
      </c>
      <c r="ZF185" s="16"/>
      <c r="ZG185" s="16" t="n">
        <v>0.7</v>
      </c>
      <c r="ZH185" s="16"/>
      <c r="ZI185" s="16"/>
      <c r="ZJ185" s="16"/>
      <c r="ZK185" s="16" t="n">
        <v>5.01</v>
      </c>
      <c r="ZL185" s="16" t="n">
        <v>1.3</v>
      </c>
      <c r="ZM185" s="16"/>
      <c r="ZN185" s="16"/>
      <c r="ZO185" s="16" t="n">
        <v>0</v>
      </c>
      <c r="ZP185" s="16" t="n">
        <v>0</v>
      </c>
      <c r="ZQ185" s="16" t="n">
        <v>0</v>
      </c>
      <c r="ZR185" s="0" t="n">
        <v>0</v>
      </c>
      <c r="ZS185" s="38" t="n">
        <v>120</v>
      </c>
      <c r="ZT185" s="0" t="n">
        <v>41</v>
      </c>
      <c r="ZU185" s="16" t="n">
        <v>75.9</v>
      </c>
      <c r="ZV185" s="16" t="n">
        <v>83.4</v>
      </c>
      <c r="ZW185" s="16" t="n">
        <v>13.8</v>
      </c>
      <c r="ZX185" s="0" t="n">
        <v>83.58</v>
      </c>
      <c r="ZY185" s="0" t="n">
        <v>0</v>
      </c>
      <c r="ZZ185" s="0" t="n">
        <v>0</v>
      </c>
      <c r="AAA185" s="0" t="n">
        <v>0</v>
      </c>
      <c r="AAB185" s="0" t="n">
        <v>9.73</v>
      </c>
      <c r="AAC185" s="0" t="n">
        <v>0</v>
      </c>
      <c r="AAD185" s="0" t="n">
        <v>6.69</v>
      </c>
      <c r="AAE185" s="0" t="n">
        <v>0</v>
      </c>
      <c r="AAF185" s="0" t="n">
        <v>0</v>
      </c>
      <c r="AAG185" s="0" t="n">
        <v>0</v>
      </c>
      <c r="AAH185" s="0" t="n">
        <v>0</v>
      </c>
      <c r="AAI185" s="0" t="n">
        <v>11.59</v>
      </c>
      <c r="AAJ185" s="0" t="n">
        <v>26.54</v>
      </c>
      <c r="AAK185" s="0" t="n">
        <v>10.81</v>
      </c>
      <c r="AAL185" s="0" t="n">
        <v>6.87</v>
      </c>
      <c r="AAM185" s="0" t="n">
        <v>0</v>
      </c>
      <c r="AAN185" s="0" t="n">
        <v>20</v>
      </c>
      <c r="AAO185" s="0" t="n">
        <v>1</v>
      </c>
      <c r="AAP185" s="0" t="n">
        <v>3</v>
      </c>
      <c r="AAR185" s="0" t="n">
        <v>4</v>
      </c>
      <c r="ABB185" s="0" t="n">
        <v>1.9</v>
      </c>
      <c r="ABC185" s="0" t="n">
        <v>1</v>
      </c>
      <c r="ABD185" s="0" t="n">
        <v>34</v>
      </c>
      <c r="ABE185" s="0" t="n">
        <v>4</v>
      </c>
      <c r="ABF185" s="0" t="n">
        <f aca="false">4.04+0.71</f>
        <v>4.75</v>
      </c>
      <c r="ABG185" s="0" t="n">
        <v>1</v>
      </c>
      <c r="ABH185" s="0" t="n">
        <v>52</v>
      </c>
      <c r="ABI185" s="0" t="n">
        <v>2</v>
      </c>
      <c r="ABJ185" s="0" t="n">
        <f aca="false">0.73+0.13</f>
        <v>0.86</v>
      </c>
      <c r="ABK185" s="0" t="n">
        <v>2</v>
      </c>
      <c r="ABN185" s="18"/>
      <c r="ACF185" s="0" t="n">
        <v>0</v>
      </c>
      <c r="ADQ185" s="16" t="n">
        <v>0</v>
      </c>
      <c r="ADR185" s="16" t="n">
        <v>0</v>
      </c>
      <c r="ADS185" s="16"/>
      <c r="ADT185" s="16"/>
      <c r="ADU185" s="16"/>
      <c r="ADV185" s="16"/>
      <c r="ADW185" s="16"/>
      <c r="ADX185" s="16"/>
      <c r="ADY185" s="16"/>
      <c r="ADZ185" s="16"/>
      <c r="AEA185" s="16"/>
      <c r="AEB185" s="16" t="n">
        <v>5.08</v>
      </c>
      <c r="AEC185" s="16" t="n">
        <v>4.75</v>
      </c>
      <c r="AED185" s="16"/>
      <c r="AEE185" s="16"/>
      <c r="AEF185" s="16" t="n">
        <v>0</v>
      </c>
      <c r="AEG185" s="16" t="n">
        <v>0</v>
      </c>
      <c r="AEH185" s="16" t="n">
        <v>0</v>
      </c>
      <c r="AEI185" s="0" t="n">
        <v>0</v>
      </c>
      <c r="AEJ185" s="0" t="s">
        <v>666</v>
      </c>
      <c r="AEK185" s="0" t="n">
        <v>27.5</v>
      </c>
      <c r="AEL185" s="16" t="n">
        <v>76.8</v>
      </c>
      <c r="AEM185" s="16" t="n">
        <v>83.4</v>
      </c>
      <c r="AEN185" s="16" t="n">
        <v>16</v>
      </c>
      <c r="AEO185" s="0" t="n">
        <v>82.97</v>
      </c>
      <c r="AEP185" s="0" t="n">
        <v>0</v>
      </c>
      <c r="AEQ185" s="0" t="n">
        <v>0.29</v>
      </c>
      <c r="AER185" s="0" t="n">
        <v>0</v>
      </c>
      <c r="AES185" s="0" t="n">
        <v>16.74</v>
      </c>
      <c r="AET185" s="0" t="n">
        <v>0</v>
      </c>
      <c r="AEU185" s="0" t="n">
        <v>0</v>
      </c>
      <c r="AEV185" s="0" t="n">
        <v>0</v>
      </c>
      <c r="AEW185" s="0" t="n">
        <v>0</v>
      </c>
      <c r="AEX185" s="0" t="n">
        <v>0</v>
      </c>
      <c r="AEY185" s="0" t="n">
        <v>0</v>
      </c>
      <c r="AEZ185" s="0" t="n">
        <v>0</v>
      </c>
      <c r="AFA185" s="0" t="n">
        <v>1.65</v>
      </c>
      <c r="AFB185" s="0" t="n">
        <v>49.33</v>
      </c>
      <c r="AFC185" s="0" t="n">
        <v>1.23</v>
      </c>
      <c r="AFD185" s="0" t="n">
        <v>0</v>
      </c>
      <c r="AFE185" s="0" t="n">
        <v>0</v>
      </c>
      <c r="AFF185" s="0" t="n">
        <v>0</v>
      </c>
      <c r="AFS185" s="0" t="n">
        <v>8.7</v>
      </c>
      <c r="AFT185" s="0" t="n">
        <v>1</v>
      </c>
      <c r="AFU185" s="0" t="n">
        <v>35</v>
      </c>
      <c r="AFV185" s="0" t="n">
        <v>3</v>
      </c>
      <c r="AFW185" s="0" t="n">
        <f aca="false">0.13*2+0.73</f>
        <v>0.99</v>
      </c>
      <c r="AFX185" s="0" t="n">
        <v>3</v>
      </c>
      <c r="AFY185" s="0" t="n">
        <v>47</v>
      </c>
      <c r="AFZ185" s="0" t="n">
        <v>4</v>
      </c>
      <c r="AGA185" s="0" t="n">
        <v>0.52</v>
      </c>
      <c r="AGB185" s="0" t="n">
        <v>3</v>
      </c>
      <c r="AGE185" s="18"/>
      <c r="AGW185" s="0" t="n">
        <v>0</v>
      </c>
      <c r="AIH185" s="16" t="n">
        <v>1.44</v>
      </c>
      <c r="AII185" s="16" t="n">
        <v>1</v>
      </c>
      <c r="AIJ185" s="16" t="n">
        <v>1</v>
      </c>
      <c r="AIK185" s="16"/>
      <c r="AIL185" s="16" t="n">
        <f aca="false">3.3*2+0.36*2</f>
        <v>7.32</v>
      </c>
      <c r="AIM185" s="16"/>
      <c r="AIN185" s="16"/>
      <c r="AIO185" s="16"/>
      <c r="AIP185" s="16"/>
      <c r="AIQ185" s="16"/>
      <c r="AIR185" s="16"/>
      <c r="AIS185" s="16" t="n">
        <v>1.08</v>
      </c>
      <c r="AIT185" s="16" t="n">
        <v>0.26</v>
      </c>
      <c r="AIU185" s="16"/>
      <c r="AIV185" s="16"/>
      <c r="AIW185" s="16" t="n">
        <v>0</v>
      </c>
      <c r="AIX185" s="16" t="n">
        <v>0</v>
      </c>
      <c r="AIY185" s="16" t="n">
        <v>0</v>
      </c>
      <c r="AIZ185" s="0" t="n">
        <v>0</v>
      </c>
      <c r="AJA185" s="0" t="s">
        <v>668</v>
      </c>
      <c r="AJB185" s="0" t="n">
        <v>45</v>
      </c>
      <c r="AJC185" s="16" t="n">
        <v>68.1</v>
      </c>
      <c r="AJD185" s="16" t="n">
        <v>83.4</v>
      </c>
      <c r="AJE185" s="16" t="n">
        <v>15.3</v>
      </c>
      <c r="AJF185" s="0" t="n">
        <v>83.75</v>
      </c>
      <c r="AJG185" s="0" t="n">
        <v>0</v>
      </c>
      <c r="AJH185" s="0" t="n">
        <v>0.29</v>
      </c>
      <c r="AJI185" s="0" t="n">
        <v>0</v>
      </c>
      <c r="AJJ185" s="0" t="n">
        <v>0</v>
      </c>
      <c r="AJK185" s="0" t="n">
        <v>0</v>
      </c>
      <c r="AJL185" s="0" t="n">
        <v>0</v>
      </c>
      <c r="AJM185" s="0" t="n">
        <v>0</v>
      </c>
      <c r="AJN185" s="0" t="n">
        <v>0</v>
      </c>
      <c r="AJO185" s="0" t="n">
        <v>0</v>
      </c>
      <c r="AJP185" s="0" t="n">
        <v>0</v>
      </c>
      <c r="AJQ185" s="0" t="n">
        <v>0</v>
      </c>
      <c r="AJR185" s="0" t="n">
        <v>5.69</v>
      </c>
      <c r="AJS185" s="0" t="n">
        <v>43.64</v>
      </c>
      <c r="AJT185" s="0" t="n">
        <v>0.45</v>
      </c>
      <c r="AJU185" s="0" t="n">
        <v>0</v>
      </c>
      <c r="AJV185" s="0" t="n">
        <v>0</v>
      </c>
      <c r="AJW185" s="0" t="n">
        <v>0</v>
      </c>
      <c r="AKJ185" s="0" t="n">
        <v>22.5</v>
      </c>
      <c r="AKK185" s="0" t="n">
        <v>1</v>
      </c>
      <c r="AKL185" s="0" t="n">
        <v>35</v>
      </c>
      <c r="AKM185" s="0" t="n">
        <v>5</v>
      </c>
      <c r="AKN185" s="0" t="n">
        <f aca="false">0.73*2+2.2+0.13*2</f>
        <v>3.92</v>
      </c>
      <c r="AKO185" s="0" t="n">
        <v>3</v>
      </c>
      <c r="AKP185" s="0" t="n">
        <v>47</v>
      </c>
      <c r="AKQ185" s="0" t="n">
        <v>4</v>
      </c>
      <c r="AKR185" s="0" t="n">
        <v>0.52</v>
      </c>
      <c r="AKS185" s="0" t="n">
        <v>3</v>
      </c>
      <c r="AKV185" s="18"/>
      <c r="ALN185" s="0" t="n">
        <v>0</v>
      </c>
    </row>
    <row r="186" customFormat="false" ht="14.25" hidden="false" customHeight="true" outlineLevel="0" collapsed="false">
      <c r="A186" s="1" t="s">
        <v>677</v>
      </c>
      <c r="B186" s="12" t="n">
        <v>42907</v>
      </c>
      <c r="C186" s="0" t="n">
        <v>1</v>
      </c>
      <c r="D186" s="13" t="n">
        <v>42793</v>
      </c>
      <c r="E186" s="12" t="n">
        <v>32807</v>
      </c>
      <c r="F186" s="14" t="n">
        <f aca="false">(B186-E186)/365.25</f>
        <v>27.6522929500342</v>
      </c>
      <c r="G186" s="14" t="n">
        <f aca="false">(B186-D186)/365.25</f>
        <v>0.31211498973306</v>
      </c>
      <c r="H186" s="15" t="s">
        <v>306</v>
      </c>
      <c r="I186" s="15" t="s">
        <v>658</v>
      </c>
      <c r="J186" s="21" t="s">
        <v>181</v>
      </c>
      <c r="K186" s="21" t="n">
        <v>8</v>
      </c>
      <c r="L186" s="19"/>
      <c r="M186" s="0" t="n">
        <v>1.63</v>
      </c>
      <c r="N186" s="16" t="n">
        <f aca="false">L186/(M186*M186)</f>
        <v>0</v>
      </c>
      <c r="O186" s="19" t="n">
        <v>0</v>
      </c>
      <c r="P186" s="19" t="n">
        <v>0</v>
      </c>
      <c r="Q186" s="19" t="n">
        <v>0</v>
      </c>
      <c r="R186" s="19" t="n">
        <v>0</v>
      </c>
      <c r="S186" s="19" t="n">
        <v>0</v>
      </c>
      <c r="T186" s="19" t="n">
        <v>0</v>
      </c>
      <c r="U186" s="26" t="n">
        <v>0</v>
      </c>
      <c r="V186" s="26" t="n">
        <v>0</v>
      </c>
      <c r="W186" s="19" t="n">
        <v>0</v>
      </c>
      <c r="X186" s="19" t="n">
        <v>0</v>
      </c>
      <c r="Y186" s="19" t="n">
        <v>1</v>
      </c>
      <c r="Z186" s="19" t="n">
        <v>1</v>
      </c>
      <c r="AA186" s="19" t="n">
        <v>60</v>
      </c>
      <c r="AB186" s="19" t="s">
        <v>678</v>
      </c>
      <c r="AC186" s="19" t="n">
        <v>1</v>
      </c>
      <c r="AD186" s="19" t="n">
        <v>10</v>
      </c>
      <c r="AE186" s="19" t="n">
        <v>0</v>
      </c>
      <c r="AF186" s="19" t="n">
        <v>0</v>
      </c>
      <c r="AG186" s="19" t="n">
        <v>0</v>
      </c>
      <c r="AH186" s="19" t="n">
        <v>0</v>
      </c>
      <c r="AI186" s="19"/>
      <c r="AJ186" s="19"/>
      <c r="AK186" s="19"/>
      <c r="AL186" s="19"/>
      <c r="AM186" s="19"/>
      <c r="AN186" s="19" t="n">
        <v>0</v>
      </c>
      <c r="AO186" s="19"/>
      <c r="AP186" s="19"/>
      <c r="AQ186" s="19"/>
      <c r="AR186" s="19"/>
      <c r="AS186" s="19" t="n">
        <v>3</v>
      </c>
      <c r="AT186" s="19" t="n">
        <v>0</v>
      </c>
      <c r="AU186" s="19" t="n">
        <v>0</v>
      </c>
      <c r="AV186" s="19" t="n">
        <v>0</v>
      </c>
      <c r="AW186" s="19" t="n">
        <v>0</v>
      </c>
      <c r="AX186" s="19" t="n">
        <v>0</v>
      </c>
      <c r="AY186" s="19" t="n">
        <v>0</v>
      </c>
      <c r="AZ186" s="19" t="n">
        <v>0</v>
      </c>
      <c r="BA186" s="19" t="n">
        <v>0</v>
      </c>
      <c r="BB186" s="19" t="n">
        <v>1</v>
      </c>
      <c r="BC186" s="19" t="n">
        <v>0</v>
      </c>
      <c r="BD186" s="19" t="n">
        <v>0</v>
      </c>
      <c r="BE186" s="19" t="n">
        <v>0</v>
      </c>
      <c r="BF186" s="19" t="n">
        <v>0</v>
      </c>
      <c r="BG186" s="19" t="n">
        <v>0</v>
      </c>
      <c r="BH186" s="19" t="n">
        <v>0</v>
      </c>
      <c r="BI186" s="19" t="n">
        <v>0</v>
      </c>
      <c r="BJ186" s="19" t="n">
        <v>0</v>
      </c>
      <c r="BK186" s="19" t="n">
        <v>0</v>
      </c>
      <c r="BL186" s="19" t="n">
        <v>0</v>
      </c>
      <c r="BM186" s="19" t="n">
        <v>0</v>
      </c>
      <c r="BN186" s="19" t="n">
        <v>1</v>
      </c>
      <c r="BO186" s="19" t="n">
        <v>0</v>
      </c>
      <c r="BP186" s="19" t="n">
        <v>0</v>
      </c>
      <c r="BQ186" s="19" t="n">
        <v>0</v>
      </c>
      <c r="BR186" s="19" t="n">
        <v>1</v>
      </c>
      <c r="BS186" s="19" t="n">
        <v>1</v>
      </c>
      <c r="BT186" s="19" t="n">
        <v>2</v>
      </c>
      <c r="BU186" s="19" t="n">
        <v>3</v>
      </c>
      <c r="BV186" s="19" t="n">
        <v>2</v>
      </c>
      <c r="BW186" s="19" t="n">
        <v>1</v>
      </c>
      <c r="BX186" s="19" t="n">
        <v>2</v>
      </c>
      <c r="BY186" s="19" t="n">
        <v>3</v>
      </c>
      <c r="BZ186" s="19" t="n">
        <v>4</v>
      </c>
      <c r="CA186" s="19" t="n">
        <v>5</v>
      </c>
      <c r="CB186" s="19" t="n">
        <v>5</v>
      </c>
      <c r="CC186" s="19" t="n">
        <v>5</v>
      </c>
      <c r="CD186" s="19" t="n">
        <v>5</v>
      </c>
      <c r="CE186" s="19" t="n">
        <v>4</v>
      </c>
      <c r="CF186" s="19" t="n">
        <v>5</v>
      </c>
      <c r="CG186" s="19" t="n">
        <v>5</v>
      </c>
      <c r="CH186" s="19" t="n">
        <v>4</v>
      </c>
      <c r="CI186" s="19" t="n">
        <v>5</v>
      </c>
      <c r="CJ186" s="19" t="n">
        <v>5</v>
      </c>
      <c r="CK186" s="19" t="n">
        <v>8</v>
      </c>
      <c r="CL186" s="0" t="s">
        <v>661</v>
      </c>
      <c r="CM186" s="0" t="n">
        <v>29</v>
      </c>
      <c r="CN186" s="16" t="n">
        <v>86.2</v>
      </c>
      <c r="CO186" s="16" t="n">
        <v>83.4</v>
      </c>
      <c r="CP186" s="16" t="n">
        <v>15.4</v>
      </c>
      <c r="CQ186" s="0" t="n">
        <v>87</v>
      </c>
      <c r="CR186" s="0" t="n">
        <v>0</v>
      </c>
      <c r="CS186" s="0" t="n">
        <v>0</v>
      </c>
      <c r="CT186" s="0" t="n">
        <v>0</v>
      </c>
      <c r="CU186" s="0" t="n">
        <v>13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37.36</v>
      </c>
      <c r="DC186" s="0" t="n">
        <v>46.33</v>
      </c>
      <c r="DD186" s="0" t="n">
        <v>18.45</v>
      </c>
      <c r="DE186" s="0" t="n">
        <v>0</v>
      </c>
      <c r="DF186" s="0" t="n">
        <v>0</v>
      </c>
      <c r="DG186" s="0" t="n">
        <v>0</v>
      </c>
      <c r="DH186" s="0" t="n">
        <v>0</v>
      </c>
      <c r="DU186" s="0" t="n">
        <v>8.3</v>
      </c>
      <c r="DV186" s="0" t="n">
        <v>0</v>
      </c>
      <c r="EG186" s="18"/>
      <c r="EY186" s="0" t="n">
        <v>1</v>
      </c>
      <c r="EZ186" s="0" t="n">
        <v>80</v>
      </c>
      <c r="FA186" s="0" t="n">
        <v>9</v>
      </c>
      <c r="FB186" s="0" t="n">
        <v>6.01</v>
      </c>
      <c r="FC186" s="0" t="n">
        <v>3</v>
      </c>
      <c r="GJ186" s="16" t="n">
        <v>1.8</v>
      </c>
      <c r="GK186" s="16" t="n">
        <v>1</v>
      </c>
      <c r="GL186" s="16" t="n">
        <v>1</v>
      </c>
      <c r="GM186" s="16"/>
      <c r="GN186" s="16" t="n">
        <v>3.6</v>
      </c>
      <c r="GO186" s="16"/>
      <c r="GP186" s="16"/>
      <c r="GQ186" s="16"/>
      <c r="GR186" s="16"/>
      <c r="GS186" s="16"/>
      <c r="GT186" s="16"/>
      <c r="GU186" s="16" t="n">
        <v>0.54</v>
      </c>
      <c r="GV186" s="16" t="n">
        <v>0.13</v>
      </c>
      <c r="GW186" s="16"/>
      <c r="GX186" s="16"/>
      <c r="GY186" s="16" t="n">
        <v>2.88</v>
      </c>
      <c r="GZ186" s="16" t="n">
        <v>6.91</v>
      </c>
      <c r="HA186" s="16" t="n">
        <v>0</v>
      </c>
      <c r="HB186" s="0" t="n">
        <v>0</v>
      </c>
      <c r="HC186" s="0" t="s">
        <v>662</v>
      </c>
      <c r="HD186" s="0" t="n">
        <v>46.5</v>
      </c>
      <c r="HE186" s="16" t="n">
        <v>69.2</v>
      </c>
      <c r="HF186" s="16" t="n">
        <v>83.4</v>
      </c>
      <c r="HG186" s="16" t="n">
        <v>28.7</v>
      </c>
      <c r="HH186" s="0" t="n">
        <v>53.82</v>
      </c>
      <c r="HI186" s="0" t="n">
        <v>0</v>
      </c>
      <c r="HJ186" s="0" t="n">
        <v>0</v>
      </c>
      <c r="HK186" s="0" t="n">
        <v>0</v>
      </c>
      <c r="HL186" s="0" t="n">
        <v>46.18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  <c r="HT186" s="0" t="n">
        <v>5.46</v>
      </c>
      <c r="HU186" s="0" t="n">
        <v>46.31</v>
      </c>
      <c r="HV186" s="0" t="n">
        <v>1.06</v>
      </c>
      <c r="HW186" s="0" t="n">
        <v>0</v>
      </c>
      <c r="HX186" s="0" t="n">
        <v>0</v>
      </c>
      <c r="HY186" s="0" t="n">
        <v>0</v>
      </c>
      <c r="IL186" s="0" t="n">
        <v>13.3</v>
      </c>
      <c r="IM186" s="0" t="n">
        <v>1</v>
      </c>
      <c r="IN186" s="0" t="n">
        <v>52</v>
      </c>
      <c r="IO186" s="0" t="n">
        <v>23</v>
      </c>
      <c r="IP186" s="0" t="n">
        <f aca="false">7.18+2.15+0.07+0.84+0.15+0.14+0.12</f>
        <v>10.65</v>
      </c>
      <c r="IQ186" s="0" t="n">
        <v>2</v>
      </c>
      <c r="IX186" s="18"/>
      <c r="JP186" s="0" t="n">
        <v>0</v>
      </c>
      <c r="LA186" s="16" t="n">
        <v>1.39</v>
      </c>
      <c r="LB186" s="16" t="n">
        <v>1</v>
      </c>
      <c r="LC186" s="16" t="n">
        <v>1</v>
      </c>
      <c r="LD186" s="16"/>
      <c r="LE186" s="16" t="n">
        <f aca="false">1.32*2+1.62</f>
        <v>4.26</v>
      </c>
      <c r="LF186" s="16"/>
      <c r="LG186" s="16"/>
      <c r="LH186" s="16"/>
      <c r="LI186" s="16"/>
      <c r="LJ186" s="16"/>
      <c r="LK186" s="16"/>
      <c r="LL186" s="16" t="n">
        <v>0</v>
      </c>
      <c r="LM186" s="16" t="n">
        <v>0</v>
      </c>
      <c r="LN186" s="16"/>
      <c r="LO186" s="16"/>
      <c r="LP186" s="16" t="n">
        <v>2.88</v>
      </c>
      <c r="LQ186" s="16" t="n">
        <v>5.21</v>
      </c>
      <c r="LR186" s="16" t="n">
        <v>0</v>
      </c>
      <c r="LS186" s="0" t="n">
        <v>0</v>
      </c>
      <c r="LT186" s="0" t="s">
        <v>663</v>
      </c>
      <c r="LU186" s="0" t="n">
        <v>43.5</v>
      </c>
      <c r="LV186" s="16" t="n">
        <v>71.7</v>
      </c>
      <c r="LW186" s="16" t="n">
        <v>83.4</v>
      </c>
      <c r="LX186" s="16" t="n">
        <v>26.2</v>
      </c>
      <c r="LY186" s="0" t="n">
        <v>62.72</v>
      </c>
      <c r="LZ186" s="0" t="n">
        <v>0</v>
      </c>
      <c r="MA186" s="0" t="n">
        <v>0</v>
      </c>
      <c r="MB186" s="0" t="n">
        <v>0</v>
      </c>
      <c r="MC186" s="0" t="n">
        <v>37.28</v>
      </c>
      <c r="MD186" s="0" t="n">
        <v>0</v>
      </c>
      <c r="ME186" s="0" t="n">
        <v>0</v>
      </c>
      <c r="MF186" s="0" t="n">
        <v>0</v>
      </c>
      <c r="MG186" s="0" t="n">
        <v>0</v>
      </c>
      <c r="MH186" s="0" t="n">
        <v>0</v>
      </c>
      <c r="MI186" s="0" t="n">
        <v>0</v>
      </c>
      <c r="MJ186" s="0" t="n">
        <v>0</v>
      </c>
      <c r="MK186" s="0" t="n">
        <v>5.91</v>
      </c>
      <c r="ML186" s="0" t="n">
        <v>43.24</v>
      </c>
      <c r="MM186" s="0" t="n">
        <v>0.36</v>
      </c>
      <c r="MN186" s="0" t="n">
        <v>0</v>
      </c>
      <c r="MO186" s="0" t="n">
        <v>0</v>
      </c>
      <c r="MP186" s="0" t="n">
        <v>0</v>
      </c>
      <c r="NC186" s="0" t="n">
        <v>12.7</v>
      </c>
      <c r="ND186" s="0" t="n">
        <v>1</v>
      </c>
      <c r="NE186" s="0" t="n">
        <v>52</v>
      </c>
      <c r="NF186" s="0" t="n">
        <v>13</v>
      </c>
      <c r="NG186" s="0" t="n">
        <f aca="false">7.18+2.15</f>
        <v>9.33</v>
      </c>
      <c r="NH186" s="0" t="n">
        <v>2</v>
      </c>
      <c r="NO186" s="18"/>
      <c r="OG186" s="0" t="n">
        <v>0</v>
      </c>
      <c r="PR186" s="16" t="n">
        <v>1.39</v>
      </c>
      <c r="PS186" s="16" t="n">
        <v>1</v>
      </c>
      <c r="PT186" s="16" t="n">
        <v>1</v>
      </c>
      <c r="PU186" s="16"/>
      <c r="PV186" s="16" t="n">
        <f aca="false">1.32*2+1.62</f>
        <v>4.26</v>
      </c>
      <c r="PW186" s="16"/>
      <c r="PX186" s="16"/>
      <c r="PY186" s="16"/>
      <c r="PZ186" s="16"/>
      <c r="QA186" s="16"/>
      <c r="QB186" s="16"/>
      <c r="QC186" s="16" t="n">
        <v>0</v>
      </c>
      <c r="QD186" s="16" t="n">
        <v>0</v>
      </c>
      <c r="QE186" s="16"/>
      <c r="QF186" s="16"/>
      <c r="QG186" s="16" t="n">
        <v>2.88</v>
      </c>
      <c r="QH186" s="16" t="n">
        <v>5.57</v>
      </c>
      <c r="QI186" s="16" t="n">
        <v>0</v>
      </c>
      <c r="QJ186" s="0" t="n">
        <v>0</v>
      </c>
      <c r="QK186" s="0" t="s">
        <v>664</v>
      </c>
      <c r="QL186" s="0" t="n">
        <v>46</v>
      </c>
      <c r="QM186" s="16" t="n">
        <v>97.8</v>
      </c>
      <c r="QN186" s="16" t="n">
        <v>83.4</v>
      </c>
      <c r="QO186" s="16" t="n">
        <v>9.8</v>
      </c>
      <c r="QP186" s="0" t="n">
        <v>97.48</v>
      </c>
      <c r="QQ186" s="0" t="n">
        <v>0</v>
      </c>
      <c r="QR186" s="0" t="n">
        <v>1.83</v>
      </c>
      <c r="QS186" s="0" t="n">
        <v>0</v>
      </c>
      <c r="QT186" s="0" t="n">
        <v>0</v>
      </c>
      <c r="QU186" s="0" t="n">
        <v>0</v>
      </c>
      <c r="QV186" s="0" t="n">
        <v>0</v>
      </c>
      <c r="QW186" s="0" t="n">
        <v>0</v>
      </c>
      <c r="QX186" s="0" t="n">
        <v>0</v>
      </c>
      <c r="QY186" s="0" t="n">
        <v>0</v>
      </c>
      <c r="QZ186" s="0" t="n">
        <v>0</v>
      </c>
      <c r="RA186" s="0" t="n">
        <v>3.67</v>
      </c>
      <c r="RB186" s="0" t="n">
        <v>10.58</v>
      </c>
      <c r="RC186" s="0" t="n">
        <v>65.89</v>
      </c>
      <c r="RD186" s="0" t="n">
        <v>0</v>
      </c>
      <c r="RE186" s="0" t="n">
        <v>0</v>
      </c>
      <c r="RF186" s="0" t="n">
        <v>0</v>
      </c>
      <c r="RG186" s="0" t="n">
        <v>0</v>
      </c>
      <c r="RT186" s="0" t="n">
        <v>29.3</v>
      </c>
      <c r="RU186" s="0" t="n">
        <v>1</v>
      </c>
      <c r="RV186" s="0" t="n">
        <v>40</v>
      </c>
      <c r="RW186" s="0" t="n">
        <v>10</v>
      </c>
      <c r="RX186" s="0" t="n">
        <f aca="false">0.91+0.39</f>
        <v>1.3</v>
      </c>
      <c r="RY186" s="0" t="n">
        <v>2</v>
      </c>
      <c r="RZ186" s="0" t="n">
        <v>35</v>
      </c>
      <c r="SA186" s="0" t="n">
        <v>10</v>
      </c>
      <c r="SB186" s="0" t="n">
        <f aca="false">0.58+1.36</f>
        <v>1.94</v>
      </c>
      <c r="SC186" s="0" t="n">
        <v>3</v>
      </c>
      <c r="SF186" s="18"/>
      <c r="SX186" s="0" t="n">
        <v>1</v>
      </c>
      <c r="SY186" s="0" t="n">
        <v>60</v>
      </c>
      <c r="SZ186" s="0" t="n">
        <v>5</v>
      </c>
      <c r="TA186" s="0" t="n">
        <v>3.67</v>
      </c>
      <c r="TB186" s="0" t="n">
        <v>3</v>
      </c>
      <c r="TC186" s="0" t="n">
        <v>30</v>
      </c>
      <c r="TD186" s="0" t="n">
        <v>6</v>
      </c>
      <c r="TE186" s="0" t="n">
        <v>5.87</v>
      </c>
      <c r="TF186" s="0" t="n">
        <v>4</v>
      </c>
      <c r="UI186" s="16" t="n">
        <v>1.87</v>
      </c>
      <c r="UJ186" s="16" t="n">
        <v>1</v>
      </c>
      <c r="UK186" s="16" t="n">
        <v>1</v>
      </c>
      <c r="UL186" s="16"/>
      <c r="UM186" s="16" t="n">
        <f aca="false">2.04*2</f>
        <v>4.08</v>
      </c>
      <c r="UN186" s="16" t="n">
        <v>2</v>
      </c>
      <c r="UO186" s="16"/>
      <c r="UP186" s="16" t="n">
        <f aca="false">0.36*2</f>
        <v>0.72</v>
      </c>
      <c r="UQ186" s="16"/>
      <c r="UR186" s="16"/>
      <c r="US186" s="16"/>
      <c r="UT186" s="16" t="n">
        <v>5.07</v>
      </c>
      <c r="UU186" s="16" t="n">
        <v>2.33</v>
      </c>
      <c r="UV186" s="16"/>
      <c r="UW186" s="16"/>
      <c r="UX186" s="16" t="n">
        <v>0</v>
      </c>
      <c r="UY186" s="16" t="n">
        <v>0</v>
      </c>
      <c r="UZ186" s="16" t="n">
        <v>0</v>
      </c>
      <c r="VA186" s="0" t="n">
        <v>0</v>
      </c>
      <c r="VB186" s="0" t="s">
        <v>665</v>
      </c>
      <c r="VC186" s="0" t="n">
        <v>49.5</v>
      </c>
      <c r="VD186" s="16" t="n">
        <v>97.8</v>
      </c>
      <c r="VE186" s="16" t="n">
        <v>83.4</v>
      </c>
      <c r="VF186" s="16" t="n">
        <v>9.9</v>
      </c>
      <c r="VG186" s="0" t="n">
        <v>97.48</v>
      </c>
      <c r="VH186" s="0" t="n">
        <v>0</v>
      </c>
      <c r="VI186" s="0" t="n">
        <v>1.83</v>
      </c>
      <c r="VJ186" s="0" t="n">
        <v>0</v>
      </c>
      <c r="VK186" s="0" t="n">
        <v>0.68</v>
      </c>
      <c r="VL186" s="0" t="n">
        <v>0</v>
      </c>
      <c r="VM186" s="0" t="n">
        <v>0</v>
      </c>
      <c r="VN186" s="0" t="n">
        <v>0</v>
      </c>
      <c r="VO186" s="0" t="n">
        <v>0</v>
      </c>
      <c r="VP186" s="0" t="n">
        <v>0</v>
      </c>
      <c r="VQ186" s="0" t="n">
        <v>0</v>
      </c>
      <c r="VR186" s="0" t="n">
        <v>3.67</v>
      </c>
      <c r="VS186" s="0" t="n">
        <v>8.74</v>
      </c>
      <c r="VT186" s="0" t="n">
        <v>67.72</v>
      </c>
      <c r="VU186" s="0" t="n">
        <v>0</v>
      </c>
      <c r="VV186" s="0" t="n">
        <v>0</v>
      </c>
      <c r="VW186" s="0" t="n">
        <v>0</v>
      </c>
      <c r="VX186" s="0" t="n">
        <v>0</v>
      </c>
      <c r="WK186" s="0" t="n">
        <v>32.5</v>
      </c>
      <c r="WL186" s="0" t="n">
        <v>1</v>
      </c>
      <c r="WM186" s="0" t="n">
        <v>30</v>
      </c>
      <c r="WN186" s="0" t="n">
        <v>11</v>
      </c>
      <c r="WO186" s="0" t="n">
        <f aca="false">6.61+5.5</f>
        <v>12.11</v>
      </c>
      <c r="WP186" s="0" t="n">
        <v>4</v>
      </c>
      <c r="WQ186" s="0" t="n">
        <v>40</v>
      </c>
      <c r="WR186" s="0" t="n">
        <v>12</v>
      </c>
      <c r="WS186" s="0" t="n">
        <f aca="false">2.2+1.47+0.91</f>
        <v>4.58</v>
      </c>
      <c r="WT186" s="0" t="n">
        <v>2</v>
      </c>
      <c r="WU186" s="0" t="n">
        <v>35</v>
      </c>
      <c r="WV186" s="0" t="n">
        <v>10</v>
      </c>
      <c r="WW186" s="18" t="n">
        <f aca="false">1.36+0.58</f>
        <v>1.94</v>
      </c>
      <c r="WX186" s="0" t="n">
        <v>3</v>
      </c>
      <c r="WY186" s="0" t="n">
        <v>78</v>
      </c>
      <c r="WZ186" s="0" t="n">
        <v>3</v>
      </c>
      <c r="XA186" s="0" t="n">
        <v>0.39</v>
      </c>
      <c r="XB186" s="0" t="n">
        <v>2</v>
      </c>
      <c r="XO186" s="0" t="n">
        <v>0</v>
      </c>
      <c r="YZ186" s="16" t="n">
        <v>1.87</v>
      </c>
      <c r="ZA186" s="16" t="n">
        <v>1</v>
      </c>
      <c r="ZB186" s="16" t="n">
        <v>1</v>
      </c>
      <c r="ZC186" s="16"/>
      <c r="ZD186" s="16" t="n">
        <f aca="false">2.04*2</f>
        <v>4.08</v>
      </c>
      <c r="ZE186" s="16" t="n">
        <v>2</v>
      </c>
      <c r="ZF186" s="16"/>
      <c r="ZG186" s="16" t="n">
        <v>0.7</v>
      </c>
      <c r="ZH186" s="16"/>
      <c r="ZI186" s="16"/>
      <c r="ZJ186" s="16"/>
      <c r="ZK186" s="16" t="n">
        <v>5.01</v>
      </c>
      <c r="ZL186" s="16" t="n">
        <v>1.3</v>
      </c>
      <c r="ZM186" s="16"/>
      <c r="ZN186" s="16"/>
      <c r="ZO186" s="16" t="n">
        <v>0</v>
      </c>
      <c r="ZP186" s="16" t="n">
        <v>0</v>
      </c>
      <c r="ZQ186" s="16" t="n">
        <v>0</v>
      </c>
      <c r="ZR186" s="0" t="n">
        <v>0</v>
      </c>
      <c r="ZS186" s="38" t="n">
        <v>120</v>
      </c>
      <c r="ZT186" s="0" t="n">
        <v>41</v>
      </c>
      <c r="ZU186" s="16" t="n">
        <v>75.9</v>
      </c>
      <c r="ZV186" s="16" t="n">
        <v>83.4</v>
      </c>
      <c r="ZW186" s="16" t="n">
        <v>13.8</v>
      </c>
      <c r="ZX186" s="0" t="n">
        <v>83.58</v>
      </c>
      <c r="ZY186" s="0" t="n">
        <v>0</v>
      </c>
      <c r="ZZ186" s="0" t="n">
        <v>0</v>
      </c>
      <c r="AAA186" s="0" t="n">
        <v>0</v>
      </c>
      <c r="AAB186" s="0" t="n">
        <v>9.73</v>
      </c>
      <c r="AAC186" s="0" t="n">
        <v>0</v>
      </c>
      <c r="AAD186" s="0" t="n">
        <v>6.69</v>
      </c>
      <c r="AAE186" s="0" t="n">
        <v>0</v>
      </c>
      <c r="AAF186" s="0" t="n">
        <v>0</v>
      </c>
      <c r="AAG186" s="0" t="n">
        <v>0</v>
      </c>
      <c r="AAH186" s="0" t="n">
        <v>0</v>
      </c>
      <c r="AAI186" s="0" t="n">
        <v>11.59</v>
      </c>
      <c r="AAJ186" s="0" t="n">
        <v>26.54</v>
      </c>
      <c r="AAK186" s="0" t="n">
        <v>10.81</v>
      </c>
      <c r="AAL186" s="0" t="n">
        <v>6.87</v>
      </c>
      <c r="AAM186" s="0" t="n">
        <v>0</v>
      </c>
      <c r="AAN186" s="0" t="n">
        <v>20</v>
      </c>
      <c r="AAO186" s="0" t="n">
        <v>1</v>
      </c>
      <c r="AAP186" s="0" t="n">
        <v>3</v>
      </c>
      <c r="AAR186" s="0" t="n">
        <v>4</v>
      </c>
      <c r="ABB186" s="0" t="n">
        <v>1.9</v>
      </c>
      <c r="ABC186" s="0" t="n">
        <v>1</v>
      </c>
      <c r="ABD186" s="0" t="n">
        <v>34</v>
      </c>
      <c r="ABE186" s="0" t="n">
        <v>4</v>
      </c>
      <c r="ABF186" s="0" t="n">
        <f aca="false">4.04+0.71</f>
        <v>4.75</v>
      </c>
      <c r="ABG186" s="0" t="n">
        <v>1</v>
      </c>
      <c r="ABH186" s="0" t="n">
        <v>52</v>
      </c>
      <c r="ABI186" s="0" t="n">
        <v>2</v>
      </c>
      <c r="ABJ186" s="0" t="n">
        <f aca="false">0.73+0.13</f>
        <v>0.86</v>
      </c>
      <c r="ABK186" s="0" t="n">
        <v>2</v>
      </c>
      <c r="ABN186" s="18"/>
      <c r="ACF186" s="0" t="n">
        <v>0</v>
      </c>
      <c r="ADQ186" s="16" t="n">
        <v>0</v>
      </c>
      <c r="ADR186" s="16" t="n">
        <v>0</v>
      </c>
      <c r="ADS186" s="16"/>
      <c r="ADT186" s="16"/>
      <c r="ADU186" s="16"/>
      <c r="ADV186" s="16"/>
      <c r="ADW186" s="16"/>
      <c r="ADX186" s="16"/>
      <c r="ADY186" s="16"/>
      <c r="ADZ186" s="16"/>
      <c r="AEA186" s="16"/>
      <c r="AEB186" s="16" t="n">
        <v>5.08</v>
      </c>
      <c r="AEC186" s="16" t="n">
        <v>4.75</v>
      </c>
      <c r="AED186" s="16"/>
      <c r="AEE186" s="16"/>
      <c r="AEF186" s="16" t="n">
        <v>0</v>
      </c>
      <c r="AEG186" s="16" t="n">
        <v>0</v>
      </c>
      <c r="AEH186" s="16" t="n">
        <v>0</v>
      </c>
      <c r="AEI186" s="0" t="n">
        <v>0</v>
      </c>
      <c r="AEJ186" s="0" t="s">
        <v>666</v>
      </c>
      <c r="AEK186" s="0" t="n">
        <v>27.5</v>
      </c>
      <c r="AEL186" s="16" t="n">
        <v>76.8</v>
      </c>
      <c r="AEM186" s="16" t="n">
        <v>83.4</v>
      </c>
      <c r="AEN186" s="16" t="n">
        <v>16</v>
      </c>
      <c r="AEO186" s="0" t="n">
        <v>82.97</v>
      </c>
      <c r="AEP186" s="0" t="n">
        <v>0</v>
      </c>
      <c r="AEQ186" s="0" t="n">
        <v>0.29</v>
      </c>
      <c r="AER186" s="0" t="n">
        <v>0</v>
      </c>
      <c r="AES186" s="0" t="n">
        <v>16.74</v>
      </c>
      <c r="AET186" s="0" t="n">
        <v>0</v>
      </c>
      <c r="AEU186" s="0" t="n">
        <v>0</v>
      </c>
      <c r="AEV186" s="0" t="n">
        <v>0</v>
      </c>
      <c r="AEW186" s="0" t="n">
        <v>0</v>
      </c>
      <c r="AEX186" s="0" t="n">
        <v>0</v>
      </c>
      <c r="AEY186" s="0" t="n">
        <v>0</v>
      </c>
      <c r="AEZ186" s="0" t="n">
        <v>0</v>
      </c>
      <c r="AFA186" s="0" t="n">
        <v>1.65</v>
      </c>
      <c r="AFB186" s="0" t="n">
        <v>49.33</v>
      </c>
      <c r="AFC186" s="0" t="n">
        <v>1.23</v>
      </c>
      <c r="AFD186" s="0" t="n">
        <v>0</v>
      </c>
      <c r="AFE186" s="0" t="n">
        <v>0</v>
      </c>
      <c r="AFF186" s="0" t="n">
        <v>0</v>
      </c>
      <c r="AFS186" s="0" t="n">
        <v>8.7</v>
      </c>
      <c r="AFT186" s="0" t="n">
        <v>1</v>
      </c>
      <c r="AFU186" s="0" t="n">
        <v>35</v>
      </c>
      <c r="AFV186" s="0" t="n">
        <v>3</v>
      </c>
      <c r="AFW186" s="0" t="n">
        <f aca="false">0.13*2+0.73</f>
        <v>0.99</v>
      </c>
      <c r="AFX186" s="0" t="n">
        <v>3</v>
      </c>
      <c r="AFY186" s="0" t="n">
        <v>47</v>
      </c>
      <c r="AFZ186" s="0" t="n">
        <v>4</v>
      </c>
      <c r="AGA186" s="0" t="n">
        <v>0.52</v>
      </c>
      <c r="AGB186" s="0" t="n">
        <v>3</v>
      </c>
      <c r="AGE186" s="18"/>
      <c r="AGW186" s="0" t="n">
        <v>0</v>
      </c>
      <c r="AIH186" s="16" t="n">
        <v>1.44</v>
      </c>
      <c r="AII186" s="16" t="n">
        <v>1</v>
      </c>
      <c r="AIJ186" s="16" t="n">
        <v>1</v>
      </c>
      <c r="AIK186" s="16"/>
      <c r="AIL186" s="16" t="n">
        <f aca="false">3.3*2+0.36*2</f>
        <v>7.32</v>
      </c>
      <c r="AIM186" s="16"/>
      <c r="AIN186" s="16"/>
      <c r="AIO186" s="16"/>
      <c r="AIP186" s="16"/>
      <c r="AIQ186" s="16"/>
      <c r="AIR186" s="16"/>
      <c r="AIS186" s="16" t="n">
        <v>1.08</v>
      </c>
      <c r="AIT186" s="16" t="n">
        <v>0.26</v>
      </c>
      <c r="AIU186" s="16"/>
      <c r="AIV186" s="16"/>
      <c r="AIW186" s="16" t="n">
        <v>0</v>
      </c>
      <c r="AIX186" s="16" t="n">
        <v>0</v>
      </c>
      <c r="AIY186" s="16" t="n">
        <v>0</v>
      </c>
      <c r="AIZ186" s="0" t="n">
        <v>0</v>
      </c>
      <c r="AJA186" s="0" t="s">
        <v>668</v>
      </c>
      <c r="AJB186" s="0" t="n">
        <v>45</v>
      </c>
      <c r="AJC186" s="16" t="n">
        <v>68.1</v>
      </c>
      <c r="AJD186" s="16" t="n">
        <v>83.4</v>
      </c>
      <c r="AJE186" s="16" t="n">
        <v>15.3</v>
      </c>
      <c r="AJF186" s="0" t="n">
        <v>83.75</v>
      </c>
      <c r="AJG186" s="0" t="n">
        <v>0</v>
      </c>
      <c r="AJH186" s="0" t="n">
        <v>0.29</v>
      </c>
      <c r="AJI186" s="0" t="n">
        <v>0</v>
      </c>
      <c r="AJJ186" s="0" t="n">
        <v>0</v>
      </c>
      <c r="AJK186" s="0" t="n">
        <v>0</v>
      </c>
      <c r="AJL186" s="0" t="n">
        <v>0</v>
      </c>
      <c r="AJM186" s="0" t="n">
        <v>0</v>
      </c>
      <c r="AJN186" s="0" t="n">
        <v>0</v>
      </c>
      <c r="AJO186" s="0" t="n">
        <v>0</v>
      </c>
      <c r="AJP186" s="0" t="n">
        <v>0</v>
      </c>
      <c r="AJQ186" s="0" t="n">
        <v>0</v>
      </c>
      <c r="AJR186" s="0" t="n">
        <v>5.69</v>
      </c>
      <c r="AJS186" s="0" t="n">
        <v>43.64</v>
      </c>
      <c r="AJT186" s="0" t="n">
        <v>0.45</v>
      </c>
      <c r="AJU186" s="0" t="n">
        <v>0</v>
      </c>
      <c r="AJV186" s="0" t="n">
        <v>0</v>
      </c>
      <c r="AJW186" s="0" t="n">
        <v>0</v>
      </c>
      <c r="AKJ186" s="0" t="n">
        <v>22.5</v>
      </c>
      <c r="AKK186" s="0" t="n">
        <v>1</v>
      </c>
      <c r="AKL186" s="0" t="n">
        <v>35</v>
      </c>
      <c r="AKM186" s="0" t="n">
        <v>5</v>
      </c>
      <c r="AKN186" s="0" t="n">
        <f aca="false">0.73*2+2.2+0.13*2</f>
        <v>3.92</v>
      </c>
      <c r="AKO186" s="0" t="n">
        <v>3</v>
      </c>
      <c r="AKP186" s="0" t="n">
        <v>47</v>
      </c>
      <c r="AKQ186" s="0" t="n">
        <v>4</v>
      </c>
      <c r="AKR186" s="0" t="n">
        <v>0.52</v>
      </c>
      <c r="AKS186" s="0" t="n">
        <v>3</v>
      </c>
      <c r="AKV186" s="18"/>
      <c r="ALN186" s="0" t="n">
        <v>0</v>
      </c>
    </row>
    <row r="187" customFormat="false" ht="13.8" hidden="false" customHeight="false" outlineLevel="0" collapsed="false">
      <c r="A187" s="1" t="s">
        <v>679</v>
      </c>
      <c r="B187" s="12" t="n">
        <v>42907</v>
      </c>
      <c r="C187" s="0" t="n">
        <v>2</v>
      </c>
      <c r="D187" s="13" t="n">
        <v>35744</v>
      </c>
      <c r="E187" s="12" t="n">
        <v>26592</v>
      </c>
      <c r="F187" s="14" t="n">
        <f aca="false">(B187-E187)/365.25</f>
        <v>44.6680355920602</v>
      </c>
      <c r="G187" s="14" t="n">
        <f aca="false">(B187-D187)/365.25</f>
        <v>19.6112251882272</v>
      </c>
      <c r="H187" s="15" t="s">
        <v>306</v>
      </c>
      <c r="I187" s="15" t="s">
        <v>658</v>
      </c>
      <c r="J187" s="21" t="s">
        <v>181</v>
      </c>
      <c r="K187" s="21" t="n">
        <v>8</v>
      </c>
      <c r="L187" s="19" t="n">
        <v>58</v>
      </c>
      <c r="M187" s="0" t="n">
        <v>1.68</v>
      </c>
      <c r="N187" s="16" t="n">
        <f aca="false">L187/(M187*M187)</f>
        <v>20.5498866213152</v>
      </c>
      <c r="O187" s="19" t="n">
        <v>0</v>
      </c>
      <c r="P187" s="19" t="n">
        <v>0</v>
      </c>
      <c r="Q187" s="19" t="n">
        <v>0</v>
      </c>
      <c r="R187" s="19" t="n">
        <v>0</v>
      </c>
      <c r="S187" s="19" t="n">
        <v>0</v>
      </c>
      <c r="T187" s="19" t="n">
        <v>0</v>
      </c>
      <c r="U187" s="26" t="n">
        <v>0</v>
      </c>
      <c r="V187" s="26" t="n">
        <v>0</v>
      </c>
      <c r="W187" s="19" t="n">
        <v>1</v>
      </c>
      <c r="X187" s="19" t="n">
        <v>0</v>
      </c>
      <c r="Y187" s="19" t="n">
        <v>0</v>
      </c>
      <c r="Z187" s="19" t="n">
        <v>0</v>
      </c>
      <c r="AA187" s="19" t="n">
        <v>0</v>
      </c>
      <c r="AB187" s="19" t="n">
        <v>0</v>
      </c>
      <c r="AC187" s="19" t="n">
        <v>0</v>
      </c>
      <c r="AD187" s="19" t="n">
        <v>0</v>
      </c>
      <c r="AE187" s="19" t="n">
        <v>1</v>
      </c>
      <c r="AF187" s="19"/>
      <c r="AG187" s="19"/>
      <c r="AH187" s="19"/>
      <c r="AI187" s="19"/>
      <c r="AJ187" s="19"/>
      <c r="AK187" s="19"/>
      <c r="AL187" s="19"/>
      <c r="AM187" s="19"/>
      <c r="AN187" s="19" t="n">
        <v>1</v>
      </c>
      <c r="AO187" s="19" t="n">
        <v>1</v>
      </c>
      <c r="AP187" s="19"/>
      <c r="AQ187" s="19"/>
      <c r="AR187" s="19"/>
      <c r="AS187" s="19" t="n">
        <v>3</v>
      </c>
      <c r="AT187" s="19" t="n">
        <v>0</v>
      </c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 t="n">
        <v>1</v>
      </c>
      <c r="BK187" s="19" t="n">
        <v>1</v>
      </c>
      <c r="BL187" s="19" t="n">
        <v>1</v>
      </c>
      <c r="BM187" s="19" t="n">
        <v>4</v>
      </c>
      <c r="BN187" s="19"/>
      <c r="BO187" s="19"/>
      <c r="BP187" s="19"/>
      <c r="BQ187" s="19"/>
      <c r="BR187" s="19" t="n">
        <v>3</v>
      </c>
      <c r="BS187" s="19" t="n">
        <v>2</v>
      </c>
      <c r="BT187" s="19" t="n">
        <v>4</v>
      </c>
      <c r="BU187" s="19" t="n">
        <v>4</v>
      </c>
      <c r="BV187" s="19" t="n">
        <v>3</v>
      </c>
      <c r="BW187" s="19" t="n">
        <v>3</v>
      </c>
      <c r="BX187" s="19" t="n">
        <v>2</v>
      </c>
      <c r="BY187" s="19" t="n">
        <v>3</v>
      </c>
      <c r="BZ187" s="19" t="n">
        <v>2</v>
      </c>
      <c r="CA187" s="19" t="n">
        <v>2</v>
      </c>
      <c r="CB187" s="19" t="n">
        <v>4</v>
      </c>
      <c r="CC187" s="19" t="n">
        <v>5</v>
      </c>
      <c r="CD187" s="19" t="n">
        <v>2</v>
      </c>
      <c r="CE187" s="19" t="n">
        <v>4</v>
      </c>
      <c r="CF187" s="19" t="n">
        <v>4</v>
      </c>
      <c r="CG187" s="19" t="n">
        <v>4</v>
      </c>
      <c r="CH187" s="19" t="n">
        <v>4</v>
      </c>
      <c r="CI187" s="19" t="n">
        <v>4</v>
      </c>
      <c r="CJ187" s="19" t="n">
        <v>4</v>
      </c>
      <c r="CK187" s="19" t="n">
        <v>7</v>
      </c>
      <c r="CL187" s="0" t="s">
        <v>660</v>
      </c>
      <c r="CM187" s="0" t="n">
        <v>35.5</v>
      </c>
      <c r="CN187" s="16" t="n">
        <v>93.5</v>
      </c>
      <c r="CO187" s="16" t="n">
        <v>83.4</v>
      </c>
      <c r="CP187" s="16" t="n">
        <v>18.2</v>
      </c>
      <c r="CQ187" s="0" t="n">
        <v>81.82</v>
      </c>
      <c r="CR187" s="0" t="n">
        <v>0</v>
      </c>
      <c r="CS187" s="0" t="n">
        <v>0</v>
      </c>
      <c r="CT187" s="0" t="n">
        <v>0</v>
      </c>
      <c r="CU187" s="0" t="n">
        <v>18.18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37.1</v>
      </c>
      <c r="DC187" s="0" t="n">
        <v>47.46</v>
      </c>
      <c r="DD187" s="0" t="n">
        <v>20.37</v>
      </c>
      <c r="DE187" s="0" t="n">
        <v>3.52</v>
      </c>
      <c r="DF187" s="0" t="n">
        <v>0</v>
      </c>
      <c r="DG187" s="0" t="n">
        <v>0</v>
      </c>
      <c r="DH187" s="0" t="n">
        <v>0</v>
      </c>
      <c r="DU187" s="0" t="n">
        <v>8.4</v>
      </c>
      <c r="DV187" s="0" t="n">
        <v>0</v>
      </c>
      <c r="EG187" s="18"/>
      <c r="EY187" s="0" t="n">
        <v>1</v>
      </c>
      <c r="EZ187" s="0" t="n">
        <v>80</v>
      </c>
      <c r="FA187" s="0" t="n">
        <v>9</v>
      </c>
      <c r="FB187" s="0" t="n">
        <f aca="false">2.94*2+0.13</f>
        <v>6.01</v>
      </c>
      <c r="FC187" s="0" t="n">
        <v>3</v>
      </c>
      <c r="FD187" s="0" t="n">
        <v>50</v>
      </c>
      <c r="FE187" s="0" t="n">
        <v>4</v>
      </c>
      <c r="FF187" s="0" t="n">
        <v>5.56</v>
      </c>
      <c r="FG187" s="0" t="n">
        <v>3</v>
      </c>
      <c r="GJ187" s="16" t="n">
        <v>1.69</v>
      </c>
      <c r="GK187" s="16" t="n">
        <v>1</v>
      </c>
      <c r="GL187" s="16" t="n">
        <v>1</v>
      </c>
      <c r="GM187" s="16"/>
      <c r="GN187" s="16" t="n">
        <v>3.6</v>
      </c>
      <c r="GO187" s="16"/>
      <c r="GP187" s="16"/>
      <c r="GQ187" s="16"/>
      <c r="GR187" s="16"/>
      <c r="GS187" s="16"/>
      <c r="GT187" s="16"/>
      <c r="GU187" s="16" t="n">
        <v>3.24</v>
      </c>
      <c r="GV187" s="16" t="n">
        <v>2.54</v>
      </c>
      <c r="GW187" s="16"/>
      <c r="GX187" s="16"/>
      <c r="GY187" s="16" t="n">
        <v>3.6</v>
      </c>
      <c r="GZ187" s="16" t="n">
        <v>8.8</v>
      </c>
      <c r="HA187" s="16" t="n">
        <v>0</v>
      </c>
      <c r="HB187" s="0" t="n">
        <v>0</v>
      </c>
      <c r="HC187" s="0" t="s">
        <v>661</v>
      </c>
      <c r="HD187" s="0" t="n">
        <v>29</v>
      </c>
      <c r="HE187" s="16" t="n">
        <v>86.2</v>
      </c>
      <c r="HF187" s="16" t="n">
        <v>83.4</v>
      </c>
      <c r="HG187" s="16" t="n">
        <v>15.4</v>
      </c>
      <c r="HH187" s="0" t="n">
        <v>87</v>
      </c>
      <c r="HI187" s="0" t="n">
        <v>0</v>
      </c>
      <c r="HJ187" s="0" t="n">
        <v>0</v>
      </c>
      <c r="HK187" s="0" t="n">
        <v>0</v>
      </c>
      <c r="HL187" s="0" t="n">
        <v>13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37.36</v>
      </c>
      <c r="HT187" s="0" t="n">
        <v>46.33</v>
      </c>
      <c r="HU187" s="0" t="n">
        <v>18.45</v>
      </c>
      <c r="HV187" s="0" t="n">
        <v>0</v>
      </c>
      <c r="HW187" s="0" t="n">
        <v>0</v>
      </c>
      <c r="HX187" s="0" t="n">
        <v>0</v>
      </c>
      <c r="HY187" s="0" t="n">
        <v>0</v>
      </c>
      <c r="IL187" s="0" t="n">
        <v>8.3</v>
      </c>
      <c r="IM187" s="0" t="n">
        <v>0</v>
      </c>
      <c r="IX187" s="18"/>
      <c r="JP187" s="0" t="n">
        <v>1</v>
      </c>
      <c r="JQ187" s="0" t="n">
        <v>80</v>
      </c>
      <c r="JR187" s="0" t="n">
        <v>9</v>
      </c>
      <c r="JS187" s="0" t="n">
        <v>6.01</v>
      </c>
      <c r="JT187" s="0" t="n">
        <v>3</v>
      </c>
      <c r="LA187" s="16" t="n">
        <v>1.8</v>
      </c>
      <c r="LB187" s="16" t="n">
        <v>1</v>
      </c>
      <c r="LC187" s="16" t="n">
        <v>1</v>
      </c>
      <c r="LD187" s="16"/>
      <c r="LE187" s="16" t="n">
        <v>3.6</v>
      </c>
      <c r="LF187" s="16"/>
      <c r="LG187" s="16"/>
      <c r="LH187" s="16"/>
      <c r="LI187" s="16"/>
      <c r="LJ187" s="16"/>
      <c r="LK187" s="16"/>
      <c r="LL187" s="16" t="n">
        <v>0.54</v>
      </c>
      <c r="LM187" s="16" t="n">
        <v>0.13</v>
      </c>
      <c r="LN187" s="16"/>
      <c r="LO187" s="16"/>
      <c r="LP187" s="16" t="n">
        <v>2.88</v>
      </c>
      <c r="LQ187" s="16" t="n">
        <v>6.91</v>
      </c>
      <c r="LR187" s="16" t="n">
        <v>0</v>
      </c>
      <c r="LS187" s="0" t="n">
        <v>0</v>
      </c>
      <c r="LT187" s="0" t="s">
        <v>662</v>
      </c>
      <c r="LU187" s="0" t="n">
        <v>46.5</v>
      </c>
      <c r="LV187" s="16" t="n">
        <v>69.2</v>
      </c>
      <c r="LW187" s="16" t="n">
        <v>83.4</v>
      </c>
      <c r="LX187" s="16" t="n">
        <v>28.7</v>
      </c>
      <c r="LY187" s="0" t="n">
        <v>53.82</v>
      </c>
      <c r="LZ187" s="0" t="n">
        <v>0</v>
      </c>
      <c r="MA187" s="0" t="n">
        <v>0</v>
      </c>
      <c r="MB187" s="0" t="n">
        <v>0</v>
      </c>
      <c r="MC187" s="0" t="n">
        <v>46.18</v>
      </c>
      <c r="MD187" s="0" t="n">
        <v>0</v>
      </c>
      <c r="ME187" s="0" t="n">
        <v>0</v>
      </c>
      <c r="MF187" s="0" t="n">
        <v>0</v>
      </c>
      <c r="MG187" s="0" t="n">
        <v>0</v>
      </c>
      <c r="MH187" s="0" t="n">
        <v>0</v>
      </c>
      <c r="MI187" s="0" t="n">
        <v>0</v>
      </c>
      <c r="MJ187" s="0" t="n">
        <v>0</v>
      </c>
      <c r="MK187" s="0" t="n">
        <v>5.46</v>
      </c>
      <c r="ML187" s="0" t="n">
        <v>46.31</v>
      </c>
      <c r="MM187" s="0" t="n">
        <v>1.06</v>
      </c>
      <c r="MN187" s="0" t="n">
        <v>0</v>
      </c>
      <c r="MO187" s="0" t="n">
        <v>0</v>
      </c>
      <c r="MP187" s="0" t="n">
        <v>0</v>
      </c>
      <c r="NC187" s="0" t="n">
        <v>13.3</v>
      </c>
      <c r="ND187" s="0" t="n">
        <v>1</v>
      </c>
      <c r="NE187" s="0" t="n">
        <v>52</v>
      </c>
      <c r="NF187" s="0" t="n">
        <v>23</v>
      </c>
      <c r="NG187" s="0" t="n">
        <f aca="false">7.18+2.15+0.07+0.84+0.15+0.14+0.12</f>
        <v>10.65</v>
      </c>
      <c r="NH187" s="0" t="n">
        <v>2</v>
      </c>
      <c r="NO187" s="18"/>
      <c r="OG187" s="0" t="n">
        <v>0</v>
      </c>
      <c r="PR187" s="16" t="n">
        <v>1.39</v>
      </c>
      <c r="PS187" s="16" t="n">
        <v>1</v>
      </c>
      <c r="PT187" s="16" t="n">
        <v>1</v>
      </c>
      <c r="PU187" s="16"/>
      <c r="PV187" s="16" t="n">
        <f aca="false">1.32*2+1.62</f>
        <v>4.26</v>
      </c>
      <c r="PW187" s="16"/>
      <c r="PX187" s="16"/>
      <c r="PY187" s="16"/>
      <c r="PZ187" s="16"/>
      <c r="QA187" s="16"/>
      <c r="QB187" s="16"/>
      <c r="QC187" s="16" t="n">
        <v>0</v>
      </c>
      <c r="QD187" s="16" t="n">
        <v>0</v>
      </c>
      <c r="QE187" s="16"/>
      <c r="QF187" s="16"/>
      <c r="QG187" s="16" t="n">
        <v>2.88</v>
      </c>
      <c r="QH187" s="16" t="n">
        <v>5.21</v>
      </c>
      <c r="QI187" s="16" t="n">
        <v>0</v>
      </c>
      <c r="QJ187" s="0" t="n">
        <v>0</v>
      </c>
      <c r="QK187" s="0" t="s">
        <v>663</v>
      </c>
      <c r="QL187" s="0" t="n">
        <v>43.5</v>
      </c>
      <c r="QM187" s="16" t="n">
        <v>71.7</v>
      </c>
      <c r="QN187" s="16" t="n">
        <v>83.4</v>
      </c>
      <c r="QO187" s="16" t="n">
        <v>26.2</v>
      </c>
      <c r="QP187" s="0" t="n">
        <v>62.72</v>
      </c>
      <c r="QQ187" s="0" t="n">
        <v>0</v>
      </c>
      <c r="QR187" s="0" t="n">
        <v>0</v>
      </c>
      <c r="QS187" s="0" t="n">
        <v>0</v>
      </c>
      <c r="QT187" s="0" t="n">
        <v>37.28</v>
      </c>
      <c r="QU187" s="0" t="n">
        <v>0</v>
      </c>
      <c r="QV187" s="0" t="n">
        <v>0</v>
      </c>
      <c r="QW187" s="0" t="n">
        <v>0</v>
      </c>
      <c r="QX187" s="0" t="n">
        <v>0</v>
      </c>
      <c r="QY187" s="0" t="n">
        <v>0</v>
      </c>
      <c r="QZ187" s="0" t="n">
        <v>0</v>
      </c>
      <c r="RA187" s="0" t="n">
        <v>0</v>
      </c>
      <c r="RB187" s="0" t="n">
        <v>5.91</v>
      </c>
      <c r="RC187" s="0" t="n">
        <v>43.24</v>
      </c>
      <c r="RD187" s="0" t="n">
        <v>0.36</v>
      </c>
      <c r="RE187" s="0" t="n">
        <v>0</v>
      </c>
      <c r="RF187" s="0" t="n">
        <v>0</v>
      </c>
      <c r="RG187" s="0" t="n">
        <v>0</v>
      </c>
      <c r="RT187" s="0" t="n">
        <v>12.7</v>
      </c>
      <c r="RU187" s="0" t="n">
        <v>1</v>
      </c>
      <c r="RV187" s="0" t="n">
        <v>52</v>
      </c>
      <c r="RW187" s="0" t="n">
        <v>13</v>
      </c>
      <c r="RX187" s="0" t="n">
        <f aca="false">7.18+2.15</f>
        <v>9.33</v>
      </c>
      <c r="RY187" s="0" t="n">
        <v>2</v>
      </c>
      <c r="SF187" s="18"/>
      <c r="SX187" s="0" t="n">
        <v>0</v>
      </c>
      <c r="UI187" s="16" t="n">
        <v>1.39</v>
      </c>
      <c r="UJ187" s="16" t="n">
        <v>1</v>
      </c>
      <c r="UK187" s="16" t="n">
        <v>1</v>
      </c>
      <c r="UL187" s="16"/>
      <c r="UM187" s="16" t="n">
        <f aca="false">1.32*2+1.62</f>
        <v>4.26</v>
      </c>
      <c r="UN187" s="16"/>
      <c r="UO187" s="16"/>
      <c r="UP187" s="16"/>
      <c r="UQ187" s="16"/>
      <c r="UR187" s="16"/>
      <c r="US187" s="16"/>
      <c r="UT187" s="16" t="n">
        <v>0</v>
      </c>
      <c r="UU187" s="16" t="n">
        <v>0</v>
      </c>
      <c r="UV187" s="16"/>
      <c r="UW187" s="16"/>
      <c r="UX187" s="16" t="n">
        <v>2.88</v>
      </c>
      <c r="UY187" s="16" t="n">
        <v>5.57</v>
      </c>
      <c r="UZ187" s="16" t="n">
        <v>0</v>
      </c>
      <c r="VA187" s="0" t="n">
        <v>0</v>
      </c>
      <c r="VB187" s="0" t="s">
        <v>664</v>
      </c>
      <c r="VC187" s="0" t="n">
        <v>46</v>
      </c>
      <c r="VD187" s="16" t="n">
        <v>97.8</v>
      </c>
      <c r="VE187" s="16" t="n">
        <v>83.4</v>
      </c>
      <c r="VF187" s="16" t="n">
        <v>9.8</v>
      </c>
      <c r="VG187" s="0" t="n">
        <v>97.48</v>
      </c>
      <c r="VH187" s="0" t="n">
        <v>0</v>
      </c>
      <c r="VI187" s="0" t="n">
        <v>1.83</v>
      </c>
      <c r="VJ187" s="0" t="n">
        <v>0</v>
      </c>
      <c r="VK187" s="0" t="n">
        <v>0</v>
      </c>
      <c r="VL187" s="0" t="n">
        <v>0</v>
      </c>
      <c r="VM187" s="0" t="n">
        <v>0</v>
      </c>
      <c r="VN187" s="0" t="n">
        <v>0</v>
      </c>
      <c r="VO187" s="0" t="n">
        <v>0</v>
      </c>
      <c r="VP187" s="0" t="n">
        <v>0</v>
      </c>
      <c r="VQ187" s="0" t="n">
        <v>0</v>
      </c>
      <c r="VR187" s="0" t="n">
        <v>3.67</v>
      </c>
      <c r="VS187" s="0" t="n">
        <v>10.58</v>
      </c>
      <c r="VT187" s="0" t="n">
        <v>65.89</v>
      </c>
      <c r="VU187" s="0" t="n">
        <v>0</v>
      </c>
      <c r="VV187" s="0" t="n">
        <v>0</v>
      </c>
      <c r="VW187" s="0" t="n">
        <v>0</v>
      </c>
      <c r="VX187" s="0" t="n">
        <v>0</v>
      </c>
      <c r="WK187" s="0" t="n">
        <v>29.3</v>
      </c>
      <c r="WL187" s="0" t="n">
        <v>1</v>
      </c>
      <c r="WM187" s="0" t="n">
        <v>40</v>
      </c>
      <c r="WN187" s="0" t="n">
        <v>10</v>
      </c>
      <c r="WO187" s="0" t="n">
        <f aca="false">0.91+0.39</f>
        <v>1.3</v>
      </c>
      <c r="WP187" s="0" t="n">
        <v>2</v>
      </c>
      <c r="WQ187" s="0" t="n">
        <v>35</v>
      </c>
      <c r="WR187" s="0" t="n">
        <v>10</v>
      </c>
      <c r="WS187" s="0" t="n">
        <f aca="false">0.58+1.36</f>
        <v>1.94</v>
      </c>
      <c r="WT187" s="0" t="n">
        <v>3</v>
      </c>
      <c r="WW187" s="18"/>
      <c r="XO187" s="0" t="n">
        <v>1</v>
      </c>
      <c r="XP187" s="0" t="n">
        <v>60</v>
      </c>
      <c r="XQ187" s="0" t="n">
        <v>5</v>
      </c>
      <c r="XR187" s="0" t="n">
        <v>3.67</v>
      </c>
      <c r="XS187" s="0" t="n">
        <v>3</v>
      </c>
      <c r="XT187" s="0" t="n">
        <v>30</v>
      </c>
      <c r="XU187" s="0" t="n">
        <v>6</v>
      </c>
      <c r="XV187" s="0" t="n">
        <v>5.87</v>
      </c>
      <c r="XW187" s="0" t="n">
        <v>4</v>
      </c>
      <c r="YZ187" s="16" t="n">
        <v>1.87</v>
      </c>
      <c r="ZA187" s="16" t="n">
        <v>1</v>
      </c>
      <c r="ZB187" s="16" t="n">
        <v>1</v>
      </c>
      <c r="ZC187" s="16"/>
      <c r="ZD187" s="16" t="n">
        <f aca="false">2.04*2</f>
        <v>4.08</v>
      </c>
      <c r="ZE187" s="16" t="n">
        <v>2</v>
      </c>
      <c r="ZF187" s="16"/>
      <c r="ZG187" s="16" t="n">
        <f aca="false">0.36*2</f>
        <v>0.72</v>
      </c>
      <c r="ZH187" s="16"/>
      <c r="ZI187" s="16"/>
      <c r="ZJ187" s="16"/>
      <c r="ZK187" s="16" t="n">
        <v>5.07</v>
      </c>
      <c r="ZL187" s="16" t="n">
        <v>2.33</v>
      </c>
      <c r="ZM187" s="16"/>
      <c r="ZN187" s="16"/>
      <c r="ZO187" s="16" t="n">
        <v>0</v>
      </c>
      <c r="ZP187" s="16" t="n">
        <v>0</v>
      </c>
      <c r="ZQ187" s="16" t="n">
        <v>0</v>
      </c>
      <c r="ZR187" s="0" t="n">
        <v>0</v>
      </c>
      <c r="ZS187" s="0" t="s">
        <v>665</v>
      </c>
      <c r="ZT187" s="0" t="n">
        <v>49.5</v>
      </c>
      <c r="ZU187" s="16" t="n">
        <v>97.8</v>
      </c>
      <c r="ZV187" s="16" t="n">
        <v>83.4</v>
      </c>
      <c r="ZW187" s="16" t="n">
        <v>9.9</v>
      </c>
      <c r="ZX187" s="0" t="n">
        <v>97.48</v>
      </c>
      <c r="ZY187" s="0" t="n">
        <v>0</v>
      </c>
      <c r="ZZ187" s="0" t="n">
        <v>1.83</v>
      </c>
      <c r="AAA187" s="0" t="n">
        <v>0</v>
      </c>
      <c r="AAB187" s="0" t="n">
        <v>0.68</v>
      </c>
      <c r="AAC187" s="0" t="n">
        <v>0</v>
      </c>
      <c r="AAD187" s="0" t="n">
        <v>0</v>
      </c>
      <c r="AAE187" s="0" t="n">
        <v>0</v>
      </c>
      <c r="AAF187" s="0" t="n">
        <v>0</v>
      </c>
      <c r="AAG187" s="0" t="n">
        <v>0</v>
      </c>
      <c r="AAH187" s="0" t="n">
        <v>0</v>
      </c>
      <c r="AAI187" s="0" t="n">
        <v>3.67</v>
      </c>
      <c r="AAJ187" s="0" t="n">
        <v>8.74</v>
      </c>
      <c r="AAK187" s="0" t="n">
        <v>67.72</v>
      </c>
      <c r="AAL187" s="0" t="n">
        <v>0</v>
      </c>
      <c r="AAM187" s="0" t="n">
        <v>0</v>
      </c>
      <c r="AAN187" s="0" t="n">
        <v>0</v>
      </c>
      <c r="AAO187" s="0" t="n">
        <v>0</v>
      </c>
      <c r="ABB187" s="0" t="n">
        <v>32.5</v>
      </c>
      <c r="ABC187" s="0" t="n">
        <v>1</v>
      </c>
      <c r="ABD187" s="0" t="n">
        <v>30</v>
      </c>
      <c r="ABE187" s="0" t="n">
        <v>11</v>
      </c>
      <c r="ABF187" s="0" t="n">
        <f aca="false">6.61+5.5</f>
        <v>12.11</v>
      </c>
      <c r="ABG187" s="0" t="n">
        <v>4</v>
      </c>
      <c r="ABH187" s="0" t="n">
        <v>40</v>
      </c>
      <c r="ABI187" s="0" t="n">
        <v>12</v>
      </c>
      <c r="ABJ187" s="0" t="n">
        <f aca="false">2.2+1.47+0.91</f>
        <v>4.58</v>
      </c>
      <c r="ABK187" s="0" t="n">
        <v>2</v>
      </c>
      <c r="ABL187" s="0" t="n">
        <v>35</v>
      </c>
      <c r="ABM187" s="0" t="n">
        <v>10</v>
      </c>
      <c r="ABN187" s="18" t="n">
        <f aca="false">1.36+0.58</f>
        <v>1.94</v>
      </c>
      <c r="ABO187" s="0" t="n">
        <v>3</v>
      </c>
      <c r="ABP187" s="0" t="n">
        <v>78</v>
      </c>
      <c r="ABQ187" s="0" t="n">
        <v>3</v>
      </c>
      <c r="ABR187" s="0" t="n">
        <v>0.39</v>
      </c>
      <c r="ABS187" s="0" t="n">
        <v>2</v>
      </c>
      <c r="ACF187" s="0" t="n">
        <v>0</v>
      </c>
      <c r="ADQ187" s="16" t="n">
        <v>1.87</v>
      </c>
      <c r="ADR187" s="16" t="n">
        <v>1</v>
      </c>
      <c r="ADS187" s="16" t="n">
        <v>1</v>
      </c>
      <c r="ADT187" s="16"/>
      <c r="ADU187" s="16" t="n">
        <f aca="false">2.04*2</f>
        <v>4.08</v>
      </c>
      <c r="ADV187" s="16" t="n">
        <v>2</v>
      </c>
      <c r="ADW187" s="16"/>
      <c r="ADX187" s="16" t="n">
        <v>0.7</v>
      </c>
      <c r="ADY187" s="16"/>
      <c r="ADZ187" s="16"/>
      <c r="AEA187" s="16"/>
      <c r="AEB187" s="16" t="n">
        <v>5.01</v>
      </c>
      <c r="AEC187" s="16" t="n">
        <v>1.3</v>
      </c>
      <c r="AED187" s="16"/>
      <c r="AEE187" s="16"/>
      <c r="AEF187" s="16" t="n">
        <v>0</v>
      </c>
      <c r="AEG187" s="16" t="n">
        <v>0</v>
      </c>
      <c r="AEH187" s="16" t="n">
        <v>0</v>
      </c>
      <c r="AEI187" s="0" t="n">
        <v>0</v>
      </c>
      <c r="AEJ187" s="38" t="n">
        <v>120</v>
      </c>
      <c r="AEK187" s="0" t="n">
        <v>41</v>
      </c>
      <c r="AEL187" s="16" t="n">
        <v>75.9</v>
      </c>
      <c r="AEM187" s="16" t="n">
        <v>83.4</v>
      </c>
      <c r="AEN187" s="16" t="n">
        <v>13.8</v>
      </c>
      <c r="AEO187" s="0" t="n">
        <v>83.58</v>
      </c>
      <c r="AEP187" s="0" t="n">
        <v>0</v>
      </c>
      <c r="AEQ187" s="0" t="n">
        <v>0</v>
      </c>
      <c r="AER187" s="0" t="n">
        <v>0</v>
      </c>
      <c r="AES187" s="0" t="n">
        <v>9.73</v>
      </c>
      <c r="AET187" s="0" t="n">
        <v>0</v>
      </c>
      <c r="AEU187" s="0" t="n">
        <v>6.69</v>
      </c>
      <c r="AEV187" s="0" t="n">
        <v>0</v>
      </c>
      <c r="AEW187" s="0" t="n">
        <v>0</v>
      </c>
      <c r="AEX187" s="0" t="n">
        <v>0</v>
      </c>
      <c r="AEY187" s="0" t="n">
        <v>0</v>
      </c>
      <c r="AEZ187" s="0" t="n">
        <v>11.59</v>
      </c>
      <c r="AFA187" s="0" t="n">
        <v>26.54</v>
      </c>
      <c r="AFB187" s="0" t="n">
        <v>10.81</v>
      </c>
      <c r="AFC187" s="0" t="n">
        <v>6.87</v>
      </c>
      <c r="AFD187" s="0" t="n">
        <v>0</v>
      </c>
      <c r="AFE187" s="0" t="n">
        <v>20</v>
      </c>
      <c r="AFF187" s="0" t="n">
        <v>1</v>
      </c>
      <c r="AFG187" s="0" t="n">
        <v>3</v>
      </c>
      <c r="AFI187" s="0" t="n">
        <v>4</v>
      </c>
      <c r="AFS187" s="0" t="n">
        <v>1.9</v>
      </c>
      <c r="AFT187" s="0" t="n">
        <v>1</v>
      </c>
      <c r="AFU187" s="0" t="n">
        <v>34</v>
      </c>
      <c r="AFV187" s="0" t="n">
        <v>4</v>
      </c>
      <c r="AFW187" s="0" t="n">
        <f aca="false">4.04+0.71</f>
        <v>4.75</v>
      </c>
      <c r="AFX187" s="0" t="n">
        <v>1</v>
      </c>
      <c r="AFY187" s="0" t="n">
        <v>52</v>
      </c>
      <c r="AFZ187" s="0" t="n">
        <v>2</v>
      </c>
      <c r="AGA187" s="0" t="n">
        <f aca="false">0.73+0.13</f>
        <v>0.86</v>
      </c>
      <c r="AGB187" s="0" t="n">
        <v>2</v>
      </c>
      <c r="AGE187" s="18"/>
      <c r="AGW187" s="0" t="n">
        <v>0</v>
      </c>
      <c r="AIH187" s="16" t="n">
        <v>0</v>
      </c>
      <c r="AII187" s="16" t="n">
        <v>0</v>
      </c>
      <c r="AIJ187" s="16"/>
      <c r="AIK187" s="16"/>
      <c r="AIL187" s="16"/>
      <c r="AIM187" s="16"/>
      <c r="AIN187" s="16"/>
      <c r="AIO187" s="16"/>
      <c r="AIP187" s="16"/>
      <c r="AIQ187" s="16"/>
      <c r="AIR187" s="16"/>
      <c r="AIS187" s="16" t="n">
        <v>5.08</v>
      </c>
      <c r="AIT187" s="16" t="n">
        <v>4.75</v>
      </c>
      <c r="AIU187" s="16"/>
      <c r="AIV187" s="16"/>
      <c r="AIW187" s="16" t="n">
        <v>0</v>
      </c>
      <c r="AIX187" s="16" t="n">
        <v>0</v>
      </c>
      <c r="AIY187" s="16" t="n">
        <v>0</v>
      </c>
      <c r="AIZ187" s="0" t="n">
        <v>0</v>
      </c>
      <c r="AJA187" s="0" t="s">
        <v>666</v>
      </c>
      <c r="AJB187" s="0" t="n">
        <v>27.5</v>
      </c>
      <c r="AJC187" s="16" t="n">
        <v>76.8</v>
      </c>
      <c r="AJD187" s="16" t="n">
        <v>83.4</v>
      </c>
      <c r="AJE187" s="16" t="n">
        <v>16</v>
      </c>
      <c r="AJF187" s="0" t="n">
        <v>82.97</v>
      </c>
      <c r="AJG187" s="0" t="n">
        <v>0</v>
      </c>
      <c r="AJH187" s="0" t="n">
        <v>0.29</v>
      </c>
      <c r="AJI187" s="0" t="n">
        <v>0</v>
      </c>
      <c r="AJJ187" s="0" t="n">
        <v>16.74</v>
      </c>
      <c r="AJK187" s="0" t="n">
        <v>0</v>
      </c>
      <c r="AJL187" s="0" t="n">
        <v>0</v>
      </c>
      <c r="AJM187" s="0" t="n">
        <v>0</v>
      </c>
      <c r="AJN187" s="0" t="n">
        <v>0</v>
      </c>
      <c r="AJO187" s="0" t="n">
        <v>0</v>
      </c>
      <c r="AJP187" s="0" t="n">
        <v>0</v>
      </c>
      <c r="AJQ187" s="0" t="n">
        <v>0</v>
      </c>
      <c r="AJR187" s="0" t="n">
        <v>1.65</v>
      </c>
      <c r="AJS187" s="0" t="n">
        <v>49.33</v>
      </c>
      <c r="AJT187" s="0" t="n">
        <v>1.23</v>
      </c>
      <c r="AJU187" s="0" t="n">
        <v>0</v>
      </c>
      <c r="AJV187" s="0" t="n">
        <v>0</v>
      </c>
      <c r="AJW187" s="0" t="n">
        <v>0</v>
      </c>
      <c r="AKJ187" s="0" t="n">
        <v>8.7</v>
      </c>
      <c r="AKK187" s="0" t="n">
        <v>1</v>
      </c>
      <c r="AKL187" s="0" t="n">
        <v>35</v>
      </c>
      <c r="AKM187" s="0" t="n">
        <v>3</v>
      </c>
      <c r="AKN187" s="0" t="n">
        <f aca="false">0.13*2+0.73</f>
        <v>0.99</v>
      </c>
      <c r="AKO187" s="0" t="n">
        <v>3</v>
      </c>
      <c r="AKP187" s="0" t="n">
        <v>47</v>
      </c>
      <c r="AKQ187" s="0" t="n">
        <v>4</v>
      </c>
      <c r="AKR187" s="0" t="n">
        <v>0.52</v>
      </c>
      <c r="AKS187" s="0" t="n">
        <v>3</v>
      </c>
      <c r="AKV187" s="18"/>
      <c r="ALN187" s="0" t="n">
        <v>0</v>
      </c>
    </row>
    <row r="188" customFormat="false" ht="13.8" hidden="false" customHeight="false" outlineLevel="0" collapsed="false">
      <c r="A188" s="1" t="s">
        <v>680</v>
      </c>
      <c r="B188" s="12" t="n">
        <v>42906</v>
      </c>
      <c r="C188" s="0" t="n">
        <v>2</v>
      </c>
      <c r="D188" s="13" t="n">
        <v>42793</v>
      </c>
      <c r="E188" s="12" t="n">
        <v>34692</v>
      </c>
      <c r="F188" s="14" t="n">
        <f aca="false">(B188-E188)/365.25</f>
        <v>22.4887063655031</v>
      </c>
      <c r="G188" s="14" t="n">
        <f aca="false">(B188-D188)/365.25</f>
        <v>0.309377138945927</v>
      </c>
      <c r="H188" s="15" t="s">
        <v>306</v>
      </c>
      <c r="I188" s="15" t="s">
        <v>658</v>
      </c>
      <c r="J188" s="21" t="s">
        <v>181</v>
      </c>
      <c r="K188" s="21" t="n">
        <v>8</v>
      </c>
      <c r="L188" s="19" t="n">
        <v>63</v>
      </c>
      <c r="M188" s="0" t="n">
        <v>1.77</v>
      </c>
      <c r="N188" s="16" t="n">
        <f aca="false">L188/(M188*M188)</f>
        <v>20.1091640333238</v>
      </c>
      <c r="O188" s="19" t="n">
        <v>0</v>
      </c>
      <c r="P188" s="19" t="n">
        <v>0</v>
      </c>
      <c r="Q188" s="19" t="n">
        <v>0</v>
      </c>
      <c r="R188" s="19" t="n">
        <v>0</v>
      </c>
      <c r="S188" s="19" t="n">
        <v>0</v>
      </c>
      <c r="T188" s="19" t="n">
        <v>0</v>
      </c>
      <c r="U188" s="26" t="n">
        <v>0</v>
      </c>
      <c r="V188" s="26" t="n">
        <v>0</v>
      </c>
      <c r="W188" s="19" t="n">
        <v>0</v>
      </c>
      <c r="X188" s="19" t="n">
        <v>0</v>
      </c>
      <c r="Y188" s="19" t="n">
        <v>1</v>
      </c>
      <c r="Z188" s="19" t="n">
        <v>2</v>
      </c>
      <c r="AA188" s="19" t="n">
        <v>60</v>
      </c>
      <c r="AB188" s="19" t="s">
        <v>308</v>
      </c>
      <c r="AC188" s="19" t="n">
        <v>0</v>
      </c>
      <c r="AD188" s="19" t="n">
        <v>0</v>
      </c>
      <c r="AE188" s="19" t="n">
        <v>0</v>
      </c>
      <c r="AF188" s="19" t="n">
        <v>0</v>
      </c>
      <c r="AG188" s="19" t="n">
        <v>0</v>
      </c>
      <c r="AH188" s="19" t="n">
        <v>0</v>
      </c>
      <c r="AI188" s="19" t="n">
        <v>0</v>
      </c>
      <c r="AJ188" s="19" t="n">
        <v>0</v>
      </c>
      <c r="AK188" s="19" t="n">
        <v>0</v>
      </c>
      <c r="AL188" s="19" t="n">
        <v>0</v>
      </c>
      <c r="AM188" s="19" t="n">
        <v>0</v>
      </c>
      <c r="AN188" s="19" t="n">
        <v>0</v>
      </c>
      <c r="AO188" s="19" t="n">
        <v>0</v>
      </c>
      <c r="AP188" s="19" t="n">
        <v>0</v>
      </c>
      <c r="AQ188" s="19" t="n">
        <v>0</v>
      </c>
      <c r="AR188" s="19" t="n">
        <v>0</v>
      </c>
      <c r="AS188" s="19" t="n">
        <v>0</v>
      </c>
      <c r="AT188" s="19" t="n">
        <v>0</v>
      </c>
      <c r="AU188" s="19" t="n">
        <v>0</v>
      </c>
      <c r="AV188" s="19" t="n">
        <v>0</v>
      </c>
      <c r="AW188" s="19" t="n">
        <v>0</v>
      </c>
      <c r="AX188" s="19" t="n">
        <v>0</v>
      </c>
      <c r="AY188" s="19" t="n">
        <v>0</v>
      </c>
      <c r="AZ188" s="19" t="n">
        <v>0</v>
      </c>
      <c r="BA188" s="19" t="n">
        <v>0</v>
      </c>
      <c r="BB188" s="19" t="n">
        <v>0</v>
      </c>
      <c r="BC188" s="19"/>
      <c r="BD188" s="19"/>
      <c r="BE188" s="19"/>
      <c r="BF188" s="19" t="n">
        <v>0</v>
      </c>
      <c r="BG188" s="19" t="n">
        <v>0</v>
      </c>
      <c r="BH188" s="19" t="n">
        <v>0</v>
      </c>
      <c r="BI188" s="19" t="n">
        <v>0</v>
      </c>
      <c r="BJ188" s="19" t="n">
        <v>0</v>
      </c>
      <c r="BK188" s="19" t="n">
        <v>0</v>
      </c>
      <c r="BL188" s="19" t="n">
        <v>0</v>
      </c>
      <c r="BM188" s="19" t="n">
        <v>0</v>
      </c>
      <c r="BN188" s="19" t="n">
        <v>0</v>
      </c>
      <c r="BO188" s="19" t="n">
        <v>0</v>
      </c>
      <c r="BP188" s="19" t="n">
        <v>0</v>
      </c>
      <c r="BQ188" s="19" t="n">
        <v>0</v>
      </c>
      <c r="BR188" s="19" t="n">
        <v>1</v>
      </c>
      <c r="BS188" s="19" t="n">
        <v>5</v>
      </c>
      <c r="BT188" s="19" t="n">
        <v>3</v>
      </c>
      <c r="BU188" s="19" t="n">
        <v>5</v>
      </c>
      <c r="BV188" s="19" t="n">
        <v>3</v>
      </c>
      <c r="BW188" s="19" t="n">
        <v>3</v>
      </c>
      <c r="BX188" s="19" t="n">
        <v>5</v>
      </c>
      <c r="BY188" s="19" t="n">
        <v>5</v>
      </c>
      <c r="BZ188" s="19" t="n">
        <v>3</v>
      </c>
      <c r="CA188" s="19" t="n">
        <v>4</v>
      </c>
      <c r="CB188" s="19" t="n">
        <v>5</v>
      </c>
      <c r="CC188" s="19" t="n">
        <v>5</v>
      </c>
      <c r="CD188" s="19" t="n">
        <v>1</v>
      </c>
      <c r="CE188" s="19" t="n">
        <v>5</v>
      </c>
      <c r="CF188" s="19" t="n">
        <v>5</v>
      </c>
      <c r="CG188" s="19" t="n">
        <v>5</v>
      </c>
      <c r="CH188" s="19" t="n">
        <v>5</v>
      </c>
      <c r="CI188" s="19" t="n">
        <v>5</v>
      </c>
      <c r="CJ188" s="19" t="n">
        <v>4</v>
      </c>
      <c r="CK188" s="19" t="n">
        <v>10</v>
      </c>
      <c r="CL188" s="0" t="s">
        <v>660</v>
      </c>
      <c r="CM188" s="0" t="n">
        <v>35.5</v>
      </c>
      <c r="CN188" s="16" t="n">
        <v>93.5</v>
      </c>
      <c r="CO188" s="16" t="n">
        <v>83.4</v>
      </c>
      <c r="CP188" s="16" t="n">
        <v>18.2</v>
      </c>
      <c r="CQ188" s="0" t="n">
        <v>81.82</v>
      </c>
      <c r="CR188" s="0" t="n">
        <v>0</v>
      </c>
      <c r="CS188" s="0" t="n">
        <v>0</v>
      </c>
      <c r="CT188" s="0" t="n">
        <v>0</v>
      </c>
      <c r="CU188" s="0" t="n">
        <v>18.18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37.1</v>
      </c>
      <c r="DC188" s="0" t="n">
        <v>47.46</v>
      </c>
      <c r="DD188" s="0" t="n">
        <v>20.37</v>
      </c>
      <c r="DE188" s="0" t="n">
        <v>3.52</v>
      </c>
      <c r="DF188" s="0" t="n">
        <v>0</v>
      </c>
      <c r="DG188" s="0" t="n">
        <v>0</v>
      </c>
      <c r="DH188" s="0" t="n">
        <v>0</v>
      </c>
      <c r="DU188" s="0" t="n">
        <v>8.4</v>
      </c>
      <c r="DV188" s="0" t="n">
        <v>0</v>
      </c>
      <c r="EG188" s="18"/>
      <c r="EY188" s="0" t="n">
        <v>1</v>
      </c>
      <c r="EZ188" s="0" t="n">
        <v>80</v>
      </c>
      <c r="FA188" s="0" t="n">
        <v>9</v>
      </c>
      <c r="FB188" s="0" t="n">
        <f aca="false">2.94*2+0.13</f>
        <v>6.01</v>
      </c>
      <c r="FC188" s="0" t="n">
        <v>3</v>
      </c>
      <c r="FD188" s="0" t="n">
        <v>50</v>
      </c>
      <c r="FE188" s="0" t="n">
        <v>4</v>
      </c>
      <c r="FF188" s="0" t="n">
        <v>5.56</v>
      </c>
      <c r="FG188" s="0" t="n">
        <v>3</v>
      </c>
      <c r="GJ188" s="16" t="n">
        <v>1.69</v>
      </c>
      <c r="GK188" s="16" t="n">
        <v>1</v>
      </c>
      <c r="GL188" s="16" t="n">
        <v>1</v>
      </c>
      <c r="GM188" s="16"/>
      <c r="GN188" s="16" t="n">
        <v>3.6</v>
      </c>
      <c r="GO188" s="16"/>
      <c r="GP188" s="16"/>
      <c r="GQ188" s="16"/>
      <c r="GR188" s="16"/>
      <c r="GS188" s="16"/>
      <c r="GT188" s="16"/>
      <c r="GU188" s="16" t="n">
        <v>3.24</v>
      </c>
      <c r="GV188" s="16" t="n">
        <v>2.54</v>
      </c>
      <c r="GW188" s="16"/>
      <c r="GX188" s="16"/>
      <c r="GY188" s="16" t="n">
        <v>3.6</v>
      </c>
      <c r="GZ188" s="16" t="n">
        <v>8.8</v>
      </c>
      <c r="HA188" s="16" t="n">
        <v>0</v>
      </c>
      <c r="HB188" s="0" t="n">
        <v>0</v>
      </c>
      <c r="HC188" s="0" t="s">
        <v>661</v>
      </c>
      <c r="HD188" s="0" t="n">
        <v>29</v>
      </c>
      <c r="HE188" s="16" t="n">
        <v>86.2</v>
      </c>
      <c r="HF188" s="16" t="n">
        <v>83.4</v>
      </c>
      <c r="HG188" s="16" t="n">
        <v>15.4</v>
      </c>
      <c r="HH188" s="0" t="n">
        <v>87</v>
      </c>
      <c r="HI188" s="0" t="n">
        <v>0</v>
      </c>
      <c r="HJ188" s="0" t="n">
        <v>0</v>
      </c>
      <c r="HK188" s="0" t="n">
        <v>0</v>
      </c>
      <c r="HL188" s="0" t="n">
        <v>13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37.36</v>
      </c>
      <c r="HT188" s="0" t="n">
        <v>46.33</v>
      </c>
      <c r="HU188" s="0" t="n">
        <v>18.45</v>
      </c>
      <c r="HV188" s="0" t="n">
        <v>0</v>
      </c>
      <c r="HW188" s="0" t="n">
        <v>0</v>
      </c>
      <c r="HX188" s="0" t="n">
        <v>0</v>
      </c>
      <c r="HY188" s="0" t="n">
        <v>0</v>
      </c>
      <c r="IL188" s="0" t="n">
        <v>8.3</v>
      </c>
      <c r="IM188" s="0" t="n">
        <v>0</v>
      </c>
      <c r="IX188" s="18"/>
      <c r="JP188" s="0" t="n">
        <v>1</v>
      </c>
      <c r="JQ188" s="0" t="n">
        <v>80</v>
      </c>
      <c r="JR188" s="0" t="n">
        <v>9</v>
      </c>
      <c r="JS188" s="0" t="n">
        <v>6.01</v>
      </c>
      <c r="JT188" s="0" t="n">
        <v>3</v>
      </c>
      <c r="LA188" s="16" t="n">
        <v>1.8</v>
      </c>
      <c r="LB188" s="16" t="n">
        <v>1</v>
      </c>
      <c r="LC188" s="16" t="n">
        <v>1</v>
      </c>
      <c r="LD188" s="16"/>
      <c r="LE188" s="16" t="n">
        <v>3.6</v>
      </c>
      <c r="LF188" s="16"/>
      <c r="LG188" s="16"/>
      <c r="LH188" s="16"/>
      <c r="LI188" s="16"/>
      <c r="LJ188" s="16"/>
      <c r="LK188" s="16"/>
      <c r="LL188" s="16" t="n">
        <v>0.54</v>
      </c>
      <c r="LM188" s="16" t="n">
        <v>0.13</v>
      </c>
      <c r="LN188" s="16"/>
      <c r="LO188" s="16"/>
      <c r="LP188" s="16" t="n">
        <v>2.88</v>
      </c>
      <c r="LQ188" s="16" t="n">
        <v>6.91</v>
      </c>
      <c r="LR188" s="16" t="n">
        <v>0</v>
      </c>
      <c r="LS188" s="0" t="n">
        <v>0</v>
      </c>
      <c r="LT188" s="0" t="s">
        <v>662</v>
      </c>
      <c r="LU188" s="0" t="n">
        <v>46.5</v>
      </c>
      <c r="LV188" s="16" t="n">
        <v>69.2</v>
      </c>
      <c r="LW188" s="16" t="n">
        <v>83.4</v>
      </c>
      <c r="LX188" s="16" t="n">
        <v>28.7</v>
      </c>
      <c r="LY188" s="0" t="n">
        <v>53.82</v>
      </c>
      <c r="LZ188" s="0" t="n">
        <v>0</v>
      </c>
      <c r="MA188" s="0" t="n">
        <v>0</v>
      </c>
      <c r="MB188" s="0" t="n">
        <v>0</v>
      </c>
      <c r="MC188" s="0" t="n">
        <v>46.18</v>
      </c>
      <c r="MD188" s="0" t="n">
        <v>0</v>
      </c>
      <c r="ME188" s="0" t="n">
        <v>0</v>
      </c>
      <c r="MF188" s="0" t="n">
        <v>0</v>
      </c>
      <c r="MG188" s="0" t="n">
        <v>0</v>
      </c>
      <c r="MH188" s="0" t="n">
        <v>0</v>
      </c>
      <c r="MI188" s="0" t="n">
        <v>0</v>
      </c>
      <c r="MJ188" s="0" t="n">
        <v>0</v>
      </c>
      <c r="MK188" s="0" t="n">
        <v>5.46</v>
      </c>
      <c r="ML188" s="0" t="n">
        <v>46.31</v>
      </c>
      <c r="MM188" s="0" t="n">
        <v>1.06</v>
      </c>
      <c r="MN188" s="0" t="n">
        <v>0</v>
      </c>
      <c r="MO188" s="0" t="n">
        <v>0</v>
      </c>
      <c r="MP188" s="0" t="n">
        <v>0</v>
      </c>
      <c r="NC188" s="0" t="n">
        <v>13.3</v>
      </c>
      <c r="ND188" s="0" t="n">
        <v>1</v>
      </c>
      <c r="NE188" s="0" t="n">
        <v>52</v>
      </c>
      <c r="NF188" s="0" t="n">
        <v>23</v>
      </c>
      <c r="NG188" s="0" t="n">
        <f aca="false">7.18+2.15+0.07+0.84+0.15+0.14+0.12</f>
        <v>10.65</v>
      </c>
      <c r="NH188" s="0" t="n">
        <v>2</v>
      </c>
      <c r="NO188" s="18"/>
      <c r="OG188" s="0" t="n">
        <v>0</v>
      </c>
      <c r="PR188" s="16" t="n">
        <v>1.39</v>
      </c>
      <c r="PS188" s="16" t="n">
        <v>1</v>
      </c>
      <c r="PT188" s="16" t="n">
        <v>1</v>
      </c>
      <c r="PU188" s="16"/>
      <c r="PV188" s="16" t="n">
        <f aca="false">1.32*2+1.62</f>
        <v>4.26</v>
      </c>
      <c r="PW188" s="16"/>
      <c r="PX188" s="16"/>
      <c r="PY188" s="16"/>
      <c r="PZ188" s="16"/>
      <c r="QA188" s="16"/>
      <c r="QB188" s="16"/>
      <c r="QC188" s="16" t="n">
        <v>0</v>
      </c>
      <c r="QD188" s="16" t="n">
        <v>0</v>
      </c>
      <c r="QE188" s="16"/>
      <c r="QF188" s="16"/>
      <c r="QG188" s="16" t="n">
        <v>2.88</v>
      </c>
      <c r="QH188" s="16" t="n">
        <v>5.21</v>
      </c>
      <c r="QI188" s="16" t="n">
        <v>0</v>
      </c>
      <c r="QJ188" s="0" t="n">
        <v>0</v>
      </c>
      <c r="QK188" s="0" t="s">
        <v>663</v>
      </c>
      <c r="QL188" s="0" t="n">
        <v>43.5</v>
      </c>
      <c r="QM188" s="16" t="n">
        <v>71.7</v>
      </c>
      <c r="QN188" s="16" t="n">
        <v>83.4</v>
      </c>
      <c r="QO188" s="16" t="n">
        <v>26.2</v>
      </c>
      <c r="QP188" s="0" t="n">
        <v>62.72</v>
      </c>
      <c r="QQ188" s="0" t="n">
        <v>0</v>
      </c>
      <c r="QR188" s="0" t="n">
        <v>0</v>
      </c>
      <c r="QS188" s="0" t="n">
        <v>0</v>
      </c>
      <c r="QT188" s="0" t="n">
        <v>37.28</v>
      </c>
      <c r="QU188" s="0" t="n">
        <v>0</v>
      </c>
      <c r="QV188" s="0" t="n">
        <v>0</v>
      </c>
      <c r="QW188" s="0" t="n">
        <v>0</v>
      </c>
      <c r="QX188" s="0" t="n">
        <v>0</v>
      </c>
      <c r="QY188" s="0" t="n">
        <v>0</v>
      </c>
      <c r="QZ188" s="0" t="n">
        <v>0</v>
      </c>
      <c r="RA188" s="0" t="n">
        <v>0</v>
      </c>
      <c r="RB188" s="0" t="n">
        <v>5.91</v>
      </c>
      <c r="RC188" s="0" t="n">
        <v>43.24</v>
      </c>
      <c r="RD188" s="0" t="n">
        <v>0.36</v>
      </c>
      <c r="RE188" s="0" t="n">
        <v>0</v>
      </c>
      <c r="RF188" s="0" t="n">
        <v>0</v>
      </c>
      <c r="RG188" s="0" t="n">
        <v>0</v>
      </c>
      <c r="RT188" s="0" t="n">
        <v>12.7</v>
      </c>
      <c r="RU188" s="0" t="n">
        <v>1</v>
      </c>
      <c r="RV188" s="0" t="n">
        <v>52</v>
      </c>
      <c r="RW188" s="0" t="n">
        <v>13</v>
      </c>
      <c r="RX188" s="0" t="n">
        <f aca="false">7.18+2.15</f>
        <v>9.33</v>
      </c>
      <c r="RY188" s="0" t="n">
        <v>2</v>
      </c>
      <c r="SF188" s="18"/>
      <c r="SX188" s="0" t="n">
        <v>0</v>
      </c>
      <c r="UI188" s="16" t="n">
        <v>1.39</v>
      </c>
      <c r="UJ188" s="16" t="n">
        <v>1</v>
      </c>
      <c r="UK188" s="16" t="n">
        <v>1</v>
      </c>
      <c r="UL188" s="16"/>
      <c r="UM188" s="16" t="n">
        <f aca="false">1.32*2+1.62</f>
        <v>4.26</v>
      </c>
      <c r="UN188" s="16"/>
      <c r="UO188" s="16"/>
      <c r="UP188" s="16"/>
      <c r="UQ188" s="16"/>
      <c r="UR188" s="16"/>
      <c r="US188" s="16"/>
      <c r="UT188" s="16" t="n">
        <v>0</v>
      </c>
      <c r="UU188" s="16" t="n">
        <v>0</v>
      </c>
      <c r="UV188" s="16"/>
      <c r="UW188" s="16"/>
      <c r="UX188" s="16" t="n">
        <v>2.88</v>
      </c>
      <c r="UY188" s="16" t="n">
        <v>5.57</v>
      </c>
      <c r="UZ188" s="16" t="n">
        <v>0</v>
      </c>
      <c r="VA188" s="0" t="n">
        <v>0</v>
      </c>
      <c r="VB188" s="0" t="s">
        <v>664</v>
      </c>
      <c r="VC188" s="0" t="n">
        <v>46</v>
      </c>
      <c r="VD188" s="16" t="n">
        <v>97.8</v>
      </c>
      <c r="VE188" s="16" t="n">
        <v>83.4</v>
      </c>
      <c r="VF188" s="16" t="n">
        <v>9.8</v>
      </c>
      <c r="VG188" s="0" t="n">
        <v>97.48</v>
      </c>
      <c r="VH188" s="0" t="n">
        <v>0</v>
      </c>
      <c r="VI188" s="0" t="n">
        <v>1.83</v>
      </c>
      <c r="VJ188" s="0" t="n">
        <v>0</v>
      </c>
      <c r="VK188" s="0" t="n">
        <v>0</v>
      </c>
      <c r="VL188" s="0" t="n">
        <v>0</v>
      </c>
      <c r="VM188" s="0" t="n">
        <v>0</v>
      </c>
      <c r="VN188" s="0" t="n">
        <v>0</v>
      </c>
      <c r="VO188" s="0" t="n">
        <v>0</v>
      </c>
      <c r="VP188" s="0" t="n">
        <v>0</v>
      </c>
      <c r="VQ188" s="0" t="n">
        <v>0</v>
      </c>
      <c r="VR188" s="0" t="n">
        <v>3.67</v>
      </c>
      <c r="VS188" s="0" t="n">
        <v>10.58</v>
      </c>
      <c r="VT188" s="0" t="n">
        <v>65.89</v>
      </c>
      <c r="VU188" s="0" t="n">
        <v>0</v>
      </c>
      <c r="VV188" s="0" t="n">
        <v>0</v>
      </c>
      <c r="VW188" s="0" t="n">
        <v>0</v>
      </c>
      <c r="VX188" s="0" t="n">
        <v>0</v>
      </c>
      <c r="WK188" s="0" t="n">
        <v>29.3</v>
      </c>
      <c r="WL188" s="0" t="n">
        <v>1</v>
      </c>
      <c r="WM188" s="0" t="n">
        <v>40</v>
      </c>
      <c r="WN188" s="0" t="n">
        <v>10</v>
      </c>
      <c r="WO188" s="0" t="n">
        <f aca="false">0.91+0.39</f>
        <v>1.3</v>
      </c>
      <c r="WP188" s="0" t="n">
        <v>2</v>
      </c>
      <c r="WQ188" s="0" t="n">
        <v>35</v>
      </c>
      <c r="WR188" s="0" t="n">
        <v>10</v>
      </c>
      <c r="WS188" s="0" t="n">
        <f aca="false">0.58+1.36</f>
        <v>1.94</v>
      </c>
      <c r="WT188" s="0" t="n">
        <v>3</v>
      </c>
      <c r="WW188" s="18"/>
      <c r="XO188" s="0" t="n">
        <v>1</v>
      </c>
      <c r="XP188" s="0" t="n">
        <v>60</v>
      </c>
      <c r="XQ188" s="0" t="n">
        <v>5</v>
      </c>
      <c r="XR188" s="0" t="n">
        <v>3.67</v>
      </c>
      <c r="XS188" s="0" t="n">
        <v>3</v>
      </c>
      <c r="XT188" s="0" t="n">
        <v>30</v>
      </c>
      <c r="XU188" s="0" t="n">
        <v>6</v>
      </c>
      <c r="XV188" s="0" t="n">
        <v>5.87</v>
      </c>
      <c r="XW188" s="0" t="n">
        <v>4</v>
      </c>
      <c r="YZ188" s="16" t="n">
        <v>1.87</v>
      </c>
      <c r="ZA188" s="16" t="n">
        <v>1</v>
      </c>
      <c r="ZB188" s="16" t="n">
        <v>1</v>
      </c>
      <c r="ZC188" s="16"/>
      <c r="ZD188" s="16" t="n">
        <f aca="false">2.04*2</f>
        <v>4.08</v>
      </c>
      <c r="ZE188" s="16" t="n">
        <v>2</v>
      </c>
      <c r="ZF188" s="16"/>
      <c r="ZG188" s="16" t="n">
        <f aca="false">0.36*2</f>
        <v>0.72</v>
      </c>
      <c r="ZH188" s="16"/>
      <c r="ZI188" s="16"/>
      <c r="ZJ188" s="16"/>
      <c r="ZK188" s="16" t="n">
        <v>5.07</v>
      </c>
      <c r="ZL188" s="16" t="n">
        <v>2.33</v>
      </c>
      <c r="ZM188" s="16"/>
      <c r="ZN188" s="16"/>
      <c r="ZO188" s="16" t="n">
        <v>0</v>
      </c>
      <c r="ZP188" s="16" t="n">
        <v>0</v>
      </c>
      <c r="ZQ188" s="16" t="n">
        <v>0</v>
      </c>
      <c r="ZR188" s="0" t="n">
        <v>0</v>
      </c>
      <c r="ZS188" s="0" t="s">
        <v>665</v>
      </c>
      <c r="ZT188" s="0" t="n">
        <v>49.5</v>
      </c>
      <c r="ZU188" s="16" t="n">
        <v>97.8</v>
      </c>
      <c r="ZV188" s="16" t="n">
        <v>83.4</v>
      </c>
      <c r="ZW188" s="16" t="n">
        <v>9.9</v>
      </c>
      <c r="ZX188" s="0" t="n">
        <v>97.48</v>
      </c>
      <c r="ZY188" s="0" t="n">
        <v>0</v>
      </c>
      <c r="ZZ188" s="0" t="n">
        <v>1.83</v>
      </c>
      <c r="AAA188" s="0" t="n">
        <v>0</v>
      </c>
      <c r="AAB188" s="0" t="n">
        <v>0.68</v>
      </c>
      <c r="AAC188" s="0" t="n">
        <v>0</v>
      </c>
      <c r="AAD188" s="0" t="n">
        <v>0</v>
      </c>
      <c r="AAE188" s="0" t="n">
        <v>0</v>
      </c>
      <c r="AAF188" s="0" t="n">
        <v>0</v>
      </c>
      <c r="AAG188" s="0" t="n">
        <v>0</v>
      </c>
      <c r="AAH188" s="0" t="n">
        <v>0</v>
      </c>
      <c r="AAI188" s="0" t="n">
        <v>3.67</v>
      </c>
      <c r="AAJ188" s="0" t="n">
        <v>8.74</v>
      </c>
      <c r="AAK188" s="0" t="n">
        <v>67.72</v>
      </c>
      <c r="AAL188" s="0" t="n">
        <v>0</v>
      </c>
      <c r="AAM188" s="0" t="n">
        <v>0</v>
      </c>
      <c r="AAN188" s="0" t="n">
        <v>0</v>
      </c>
      <c r="AAO188" s="0" t="n">
        <v>0</v>
      </c>
      <c r="ABB188" s="0" t="n">
        <v>32.5</v>
      </c>
      <c r="ABC188" s="0" t="n">
        <v>1</v>
      </c>
      <c r="ABD188" s="0" t="n">
        <v>30</v>
      </c>
      <c r="ABE188" s="0" t="n">
        <v>11</v>
      </c>
      <c r="ABF188" s="0" t="n">
        <f aca="false">6.61+5.5</f>
        <v>12.11</v>
      </c>
      <c r="ABG188" s="0" t="n">
        <v>4</v>
      </c>
      <c r="ABH188" s="0" t="n">
        <v>40</v>
      </c>
      <c r="ABI188" s="0" t="n">
        <v>12</v>
      </c>
      <c r="ABJ188" s="0" t="n">
        <f aca="false">2.2+1.47+0.91</f>
        <v>4.58</v>
      </c>
      <c r="ABK188" s="0" t="n">
        <v>2</v>
      </c>
      <c r="ABL188" s="0" t="n">
        <v>35</v>
      </c>
      <c r="ABM188" s="0" t="n">
        <v>10</v>
      </c>
      <c r="ABN188" s="18" t="n">
        <f aca="false">1.36+0.58</f>
        <v>1.94</v>
      </c>
      <c r="ABO188" s="0" t="n">
        <v>3</v>
      </c>
      <c r="ABP188" s="0" t="n">
        <v>78</v>
      </c>
      <c r="ABQ188" s="0" t="n">
        <v>3</v>
      </c>
      <c r="ABR188" s="0" t="n">
        <v>0.39</v>
      </c>
      <c r="ABS188" s="0" t="n">
        <v>2</v>
      </c>
      <c r="ACF188" s="0" t="n">
        <v>0</v>
      </c>
      <c r="ADQ188" s="16" t="n">
        <v>1.87</v>
      </c>
      <c r="ADR188" s="16" t="n">
        <v>1</v>
      </c>
      <c r="ADS188" s="16" t="n">
        <v>1</v>
      </c>
      <c r="ADT188" s="16"/>
      <c r="ADU188" s="16" t="n">
        <f aca="false">2.04*2</f>
        <v>4.08</v>
      </c>
      <c r="ADV188" s="16" t="n">
        <v>2</v>
      </c>
      <c r="ADW188" s="16"/>
      <c r="ADX188" s="16" t="n">
        <v>0.7</v>
      </c>
      <c r="ADY188" s="16"/>
      <c r="ADZ188" s="16"/>
      <c r="AEA188" s="16"/>
      <c r="AEB188" s="16" t="n">
        <v>5.01</v>
      </c>
      <c r="AEC188" s="16" t="n">
        <v>1.3</v>
      </c>
      <c r="AED188" s="16"/>
      <c r="AEE188" s="16"/>
      <c r="AEF188" s="16" t="n">
        <v>0</v>
      </c>
      <c r="AEG188" s="16" t="n">
        <v>0</v>
      </c>
      <c r="AEH188" s="16" t="n">
        <v>0</v>
      </c>
      <c r="AEI188" s="0" t="n">
        <v>0</v>
      </c>
      <c r="AEJ188" s="38" t="n">
        <v>120</v>
      </c>
      <c r="AEK188" s="0" t="n">
        <v>41</v>
      </c>
      <c r="AEL188" s="16" t="n">
        <v>75.9</v>
      </c>
      <c r="AEM188" s="16" t="n">
        <v>83.4</v>
      </c>
      <c r="AEN188" s="16" t="n">
        <v>13.8</v>
      </c>
      <c r="AEO188" s="0" t="n">
        <v>83.58</v>
      </c>
      <c r="AEP188" s="0" t="n">
        <v>0</v>
      </c>
      <c r="AEQ188" s="0" t="n">
        <v>0</v>
      </c>
      <c r="AER188" s="0" t="n">
        <v>0</v>
      </c>
      <c r="AES188" s="0" t="n">
        <v>9.73</v>
      </c>
      <c r="AET188" s="0" t="n">
        <v>0</v>
      </c>
      <c r="AEU188" s="0" t="n">
        <v>6.69</v>
      </c>
      <c r="AEV188" s="0" t="n">
        <v>0</v>
      </c>
      <c r="AEW188" s="0" t="n">
        <v>0</v>
      </c>
      <c r="AEX188" s="0" t="n">
        <v>0</v>
      </c>
      <c r="AEY188" s="0" t="n">
        <v>0</v>
      </c>
      <c r="AEZ188" s="0" t="n">
        <v>11.59</v>
      </c>
      <c r="AFA188" s="0" t="n">
        <v>26.54</v>
      </c>
      <c r="AFB188" s="0" t="n">
        <v>10.81</v>
      </c>
      <c r="AFC188" s="0" t="n">
        <v>6.87</v>
      </c>
      <c r="AFD188" s="0" t="n">
        <v>0</v>
      </c>
      <c r="AFE188" s="0" t="n">
        <v>20</v>
      </c>
      <c r="AFF188" s="0" t="n">
        <v>1</v>
      </c>
      <c r="AFG188" s="0" t="n">
        <v>3</v>
      </c>
      <c r="AFI188" s="0" t="n">
        <v>4</v>
      </c>
      <c r="AFS188" s="0" t="n">
        <v>1.9</v>
      </c>
      <c r="AFT188" s="0" t="n">
        <v>1</v>
      </c>
      <c r="AFU188" s="0" t="n">
        <v>34</v>
      </c>
      <c r="AFV188" s="0" t="n">
        <v>4</v>
      </c>
      <c r="AFW188" s="0" t="n">
        <f aca="false">4.04+0.71</f>
        <v>4.75</v>
      </c>
      <c r="AFX188" s="0" t="n">
        <v>1</v>
      </c>
      <c r="AFY188" s="0" t="n">
        <v>52</v>
      </c>
      <c r="AFZ188" s="0" t="n">
        <v>2</v>
      </c>
      <c r="AGA188" s="0" t="n">
        <f aca="false">0.73+0.13</f>
        <v>0.86</v>
      </c>
      <c r="AGB188" s="0" t="n">
        <v>2</v>
      </c>
      <c r="AGE188" s="18"/>
      <c r="AGW188" s="0" t="n">
        <v>0</v>
      </c>
      <c r="AIH188" s="16" t="n">
        <v>0</v>
      </c>
      <c r="AII188" s="16" t="n">
        <v>0</v>
      </c>
      <c r="AIJ188" s="16"/>
      <c r="AIK188" s="16"/>
      <c r="AIL188" s="16"/>
      <c r="AIM188" s="16"/>
      <c r="AIN188" s="16"/>
      <c r="AIO188" s="16"/>
      <c r="AIP188" s="16"/>
      <c r="AIQ188" s="16"/>
      <c r="AIR188" s="16"/>
      <c r="AIS188" s="16" t="n">
        <v>5.08</v>
      </c>
      <c r="AIT188" s="16" t="n">
        <v>4.75</v>
      </c>
      <c r="AIU188" s="16"/>
      <c r="AIV188" s="16"/>
      <c r="AIW188" s="16" t="n">
        <v>0</v>
      </c>
      <c r="AIX188" s="16" t="n">
        <v>0</v>
      </c>
      <c r="AIY188" s="16" t="n">
        <v>0</v>
      </c>
      <c r="AIZ188" s="0" t="n">
        <v>0</v>
      </c>
      <c r="AJA188" s="0" t="s">
        <v>666</v>
      </c>
      <c r="AJB188" s="0" t="n">
        <v>27.5</v>
      </c>
      <c r="AJC188" s="16" t="n">
        <v>76.8</v>
      </c>
      <c r="AJD188" s="16" t="n">
        <v>83.4</v>
      </c>
      <c r="AJE188" s="16" t="n">
        <v>16</v>
      </c>
      <c r="AJF188" s="0" t="n">
        <v>82.97</v>
      </c>
      <c r="AJG188" s="0" t="n">
        <v>0</v>
      </c>
      <c r="AJH188" s="0" t="n">
        <v>0.29</v>
      </c>
      <c r="AJI188" s="0" t="n">
        <v>0</v>
      </c>
      <c r="AJJ188" s="0" t="n">
        <v>16.74</v>
      </c>
      <c r="AJK188" s="0" t="n">
        <v>0</v>
      </c>
      <c r="AJL188" s="0" t="n">
        <v>0</v>
      </c>
      <c r="AJM188" s="0" t="n">
        <v>0</v>
      </c>
      <c r="AJN188" s="0" t="n">
        <v>0</v>
      </c>
      <c r="AJO188" s="0" t="n">
        <v>0</v>
      </c>
      <c r="AJP188" s="0" t="n">
        <v>0</v>
      </c>
      <c r="AJQ188" s="0" t="n">
        <v>0</v>
      </c>
      <c r="AJR188" s="0" t="n">
        <v>1.65</v>
      </c>
      <c r="AJS188" s="0" t="n">
        <v>49.33</v>
      </c>
      <c r="AJT188" s="0" t="n">
        <v>1.23</v>
      </c>
      <c r="AJU188" s="0" t="n">
        <v>0</v>
      </c>
      <c r="AJV188" s="0" t="n">
        <v>0</v>
      </c>
      <c r="AJW188" s="0" t="n">
        <v>0</v>
      </c>
      <c r="AKJ188" s="0" t="n">
        <v>8.7</v>
      </c>
      <c r="AKK188" s="0" t="n">
        <v>1</v>
      </c>
      <c r="AKL188" s="0" t="n">
        <v>35</v>
      </c>
      <c r="AKM188" s="0" t="n">
        <v>3</v>
      </c>
      <c r="AKN188" s="0" t="n">
        <f aca="false">0.13*2+0.73</f>
        <v>0.99</v>
      </c>
      <c r="AKO188" s="0" t="n">
        <v>3</v>
      </c>
      <c r="AKP188" s="0" t="n">
        <v>47</v>
      </c>
      <c r="AKQ188" s="0" t="n">
        <v>4</v>
      </c>
      <c r="AKR188" s="0" t="n">
        <v>0.52</v>
      </c>
      <c r="AKS188" s="0" t="n">
        <v>3</v>
      </c>
      <c r="AKV188" s="18"/>
      <c r="ALN188" s="0" t="n">
        <v>0</v>
      </c>
    </row>
    <row r="189" s="24" customFormat="true" ht="13.8" hidden="false" customHeight="false" outlineLevel="0" collapsed="false">
      <c r="A189" s="22" t="s">
        <v>681</v>
      </c>
      <c r="B189" s="23" t="n">
        <v>42905</v>
      </c>
      <c r="C189" s="24" t="n">
        <v>1</v>
      </c>
      <c r="D189" s="25" t="n">
        <v>39622</v>
      </c>
      <c r="E189" s="23" t="n">
        <v>27380</v>
      </c>
      <c r="F189" s="14" t="n">
        <f aca="false">(B189-E189)/365.25</f>
        <v>42.5051334702259</v>
      </c>
      <c r="G189" s="14" t="n">
        <f aca="false">(B189-D189)/365.25</f>
        <v>8.98836413415469</v>
      </c>
      <c r="H189" s="21" t="s">
        <v>228</v>
      </c>
      <c r="I189" s="21" t="s">
        <v>240</v>
      </c>
      <c r="J189" s="21" t="s">
        <v>181</v>
      </c>
      <c r="K189" s="21" t="n">
        <v>8</v>
      </c>
      <c r="L189" s="26" t="n">
        <v>57</v>
      </c>
      <c r="M189" s="24" t="n">
        <v>1.57</v>
      </c>
      <c r="N189" s="27" t="n">
        <f aca="false">L189/(M189*M189)</f>
        <v>23.1246703720232</v>
      </c>
      <c r="O189" s="26" t="n">
        <v>1</v>
      </c>
      <c r="P189" s="26"/>
      <c r="Q189" s="26"/>
      <c r="R189" s="26" t="n">
        <v>0</v>
      </c>
      <c r="S189" s="26" t="n">
        <v>0</v>
      </c>
      <c r="T189" s="26" t="n">
        <v>0</v>
      </c>
      <c r="U189" s="26" t="n">
        <v>0</v>
      </c>
      <c r="V189" s="26" t="n">
        <v>0</v>
      </c>
      <c r="W189" s="26" t="n">
        <v>1</v>
      </c>
      <c r="X189" s="26" t="n">
        <v>0</v>
      </c>
      <c r="Y189" s="26" t="n">
        <v>1</v>
      </c>
      <c r="Z189" s="26" t="n">
        <v>1</v>
      </c>
      <c r="AA189" s="26" t="n">
        <v>90</v>
      </c>
      <c r="AB189" s="26" t="s">
        <v>682</v>
      </c>
      <c r="AC189" s="26" t="n">
        <v>1</v>
      </c>
      <c r="AD189" s="26" t="n">
        <v>8</v>
      </c>
      <c r="AE189" s="26" t="n">
        <v>0</v>
      </c>
      <c r="AF189" s="26" t="n">
        <v>0</v>
      </c>
      <c r="AG189" s="26" t="n">
        <v>0</v>
      </c>
      <c r="AH189" s="26" t="n">
        <v>0</v>
      </c>
      <c r="AI189" s="26" t="n">
        <v>1</v>
      </c>
      <c r="AJ189" s="26" t="n">
        <v>1</v>
      </c>
      <c r="AK189" s="26" t="n">
        <v>1</v>
      </c>
      <c r="AL189" s="26" t="n">
        <v>5</v>
      </c>
      <c r="AM189" s="26" t="n">
        <v>0</v>
      </c>
      <c r="AN189" s="26" t="n">
        <v>1</v>
      </c>
      <c r="AO189" s="26" t="n">
        <v>1</v>
      </c>
      <c r="AP189" s="26" t="n">
        <v>1</v>
      </c>
      <c r="AQ189" s="26" t="n">
        <v>5</v>
      </c>
      <c r="AR189" s="26" t="n">
        <v>0</v>
      </c>
      <c r="AS189" s="26" t="n">
        <v>1</v>
      </c>
      <c r="AT189" s="26" t="n">
        <v>1</v>
      </c>
      <c r="AU189" s="26" t="n">
        <v>1</v>
      </c>
      <c r="AV189" s="26" t="n">
        <v>6</v>
      </c>
      <c r="AW189" s="26" t="n">
        <v>0</v>
      </c>
      <c r="AX189" s="26" t="n">
        <v>0</v>
      </c>
      <c r="AY189" s="26" t="n">
        <v>0</v>
      </c>
      <c r="AZ189" s="26" t="n">
        <v>0</v>
      </c>
      <c r="BA189" s="26" t="n">
        <v>0</v>
      </c>
      <c r="BB189" s="26" t="n">
        <v>1</v>
      </c>
      <c r="BC189" s="26" t="n">
        <v>1</v>
      </c>
      <c r="BD189" s="26" t="n">
        <v>1</v>
      </c>
      <c r="BE189" s="26" t="n">
        <v>6</v>
      </c>
      <c r="BF189" s="26" t="n">
        <v>0</v>
      </c>
      <c r="BG189" s="26" t="n">
        <v>0</v>
      </c>
      <c r="BH189" s="26" t="n">
        <v>0</v>
      </c>
      <c r="BI189" s="26" t="n">
        <v>0</v>
      </c>
      <c r="BJ189" s="26" t="n">
        <v>0</v>
      </c>
      <c r="BK189" s="26" t="n">
        <v>0</v>
      </c>
      <c r="BL189" s="26" t="n">
        <v>0</v>
      </c>
      <c r="BM189" s="26" t="n">
        <v>0</v>
      </c>
      <c r="BN189" s="26" t="n">
        <v>0</v>
      </c>
      <c r="BO189" s="26" t="n">
        <v>0</v>
      </c>
      <c r="BP189" s="26" t="n">
        <v>0</v>
      </c>
      <c r="BQ189" s="26" t="n">
        <v>0</v>
      </c>
      <c r="BR189" s="26" t="n">
        <v>4</v>
      </c>
      <c r="BS189" s="26" t="n">
        <v>3</v>
      </c>
      <c r="BT189" s="26" t="n">
        <v>5</v>
      </c>
      <c r="BU189" s="26" t="n">
        <v>5</v>
      </c>
      <c r="BV189" s="26" t="n">
        <v>3</v>
      </c>
      <c r="BW189" s="26" t="n">
        <v>5</v>
      </c>
      <c r="BX189" s="26" t="n">
        <v>3</v>
      </c>
      <c r="BY189" s="26" t="n">
        <v>4</v>
      </c>
      <c r="BZ189" s="26" t="n">
        <v>5</v>
      </c>
      <c r="CA189" s="26" t="n">
        <v>5</v>
      </c>
      <c r="CB189" s="26" t="n">
        <v>5</v>
      </c>
      <c r="CC189" s="26" t="n">
        <v>4</v>
      </c>
      <c r="CD189" s="26" t="n">
        <v>3</v>
      </c>
      <c r="CE189" s="26" t="n">
        <v>3</v>
      </c>
      <c r="CF189" s="26" t="n">
        <v>4</v>
      </c>
      <c r="CG189" s="26" t="n">
        <v>4</v>
      </c>
      <c r="CH189" s="26" t="n">
        <v>3</v>
      </c>
      <c r="CI189" s="26" t="n">
        <v>4</v>
      </c>
      <c r="CJ189" s="26" t="n">
        <v>3</v>
      </c>
      <c r="CK189" s="26" t="n">
        <v>7</v>
      </c>
      <c r="CL189" s="24" t="s">
        <v>244</v>
      </c>
      <c r="CM189" s="24" t="n">
        <v>24.5</v>
      </c>
      <c r="CN189" s="27" t="n">
        <v>84.2</v>
      </c>
      <c r="CO189" s="27" t="n">
        <v>80.4</v>
      </c>
      <c r="CP189" s="27" t="n">
        <v>11.9</v>
      </c>
      <c r="CQ189" s="24" t="n">
        <v>97.51</v>
      </c>
      <c r="CR189" s="24" t="n">
        <v>0</v>
      </c>
      <c r="CS189" s="24" t="n">
        <v>2.49</v>
      </c>
      <c r="CT189" s="24" t="n">
        <v>0</v>
      </c>
      <c r="CU189" s="24" t="n">
        <v>0</v>
      </c>
      <c r="CV189" s="24" t="n">
        <v>0</v>
      </c>
      <c r="CW189" s="24" t="n">
        <v>0</v>
      </c>
      <c r="CX189" s="24" t="n">
        <v>0</v>
      </c>
      <c r="CY189" s="24" t="n">
        <v>0</v>
      </c>
      <c r="CZ189" s="24" t="n">
        <v>0</v>
      </c>
      <c r="DA189" s="24" t="n">
        <v>0</v>
      </c>
      <c r="DB189" s="24" t="n">
        <v>0</v>
      </c>
      <c r="DC189" s="24" t="n">
        <v>3.13</v>
      </c>
      <c r="DD189" s="24" t="n">
        <v>26.34</v>
      </c>
      <c r="DE189" s="24" t="n">
        <v>45.74</v>
      </c>
      <c r="DF189" s="24" t="n">
        <v>0</v>
      </c>
      <c r="DG189" s="24" t="n">
        <v>0</v>
      </c>
      <c r="DH189" s="24" t="n">
        <v>0</v>
      </c>
      <c r="DU189" s="24" t="n">
        <v>0</v>
      </c>
      <c r="DV189" s="24" t="n">
        <v>0</v>
      </c>
      <c r="EG189" s="28"/>
      <c r="EY189" s="24" t="n">
        <v>0</v>
      </c>
      <c r="GJ189" s="27" t="n">
        <v>6.4</v>
      </c>
      <c r="GK189" s="27" t="n">
        <v>1</v>
      </c>
      <c r="GL189" s="27" t="n">
        <v>2</v>
      </c>
      <c r="GM189" s="27"/>
      <c r="GN189" s="27" t="n">
        <f aca="false">1.24*2</f>
        <v>2.48</v>
      </c>
      <c r="GO189" s="27" t="n">
        <v>1</v>
      </c>
      <c r="GP189" s="27"/>
      <c r="GQ189" s="27" t="n">
        <f aca="false">1.24*3+0.62+0.93+3.18+1.59+3.73+7.46</f>
        <v>21.23</v>
      </c>
      <c r="GR189" s="27"/>
      <c r="GS189" s="27"/>
      <c r="GT189" s="27"/>
      <c r="GU189" s="27" t="n">
        <v>1.61</v>
      </c>
      <c r="GV189" s="27" t="n">
        <v>1.46</v>
      </c>
      <c r="GW189" s="27"/>
      <c r="GX189" s="27"/>
      <c r="GY189" s="27" t="n">
        <v>0</v>
      </c>
      <c r="GZ189" s="27" t="n">
        <v>0</v>
      </c>
      <c r="HA189" s="27" t="n">
        <v>0</v>
      </c>
      <c r="HB189" s="24" t="n">
        <v>0</v>
      </c>
      <c r="HC189" s="24" t="s">
        <v>246</v>
      </c>
      <c r="HD189" s="24" t="n">
        <v>27</v>
      </c>
      <c r="HE189" s="27" t="n">
        <v>72</v>
      </c>
      <c r="HF189" s="27" t="n">
        <v>80.4</v>
      </c>
      <c r="HG189" s="27" t="n">
        <v>19.2</v>
      </c>
      <c r="HH189" s="24" t="n">
        <v>86.83</v>
      </c>
      <c r="HI189" s="24" t="n">
        <v>0</v>
      </c>
      <c r="HJ189" s="24" t="n">
        <v>0</v>
      </c>
      <c r="HK189" s="24" t="n">
        <v>0</v>
      </c>
      <c r="HL189" s="24" t="n">
        <v>13.17</v>
      </c>
      <c r="HM189" s="24" t="n">
        <v>0</v>
      </c>
      <c r="HN189" s="24" t="n">
        <v>0</v>
      </c>
      <c r="HO189" s="24" t="n">
        <v>0</v>
      </c>
      <c r="HP189" s="24" t="n">
        <v>0</v>
      </c>
      <c r="HQ189" s="24" t="n">
        <v>0</v>
      </c>
      <c r="HR189" s="24" t="n">
        <v>0</v>
      </c>
      <c r="HS189" s="24" t="n">
        <v>18.28</v>
      </c>
      <c r="HT189" s="24" t="n">
        <v>16.81</v>
      </c>
      <c r="HU189" s="24" t="n">
        <v>9.64</v>
      </c>
      <c r="HV189" s="24" t="n">
        <v>19.74</v>
      </c>
      <c r="HW189" s="24" t="n">
        <v>0</v>
      </c>
      <c r="HX189" s="24" t="n">
        <v>0</v>
      </c>
      <c r="HY189" s="24" t="n">
        <v>0</v>
      </c>
      <c r="IL189" s="24" t="n">
        <v>0</v>
      </c>
      <c r="IM189" s="24" t="n">
        <v>0</v>
      </c>
      <c r="IX189" s="28"/>
      <c r="JP189" s="24" t="n">
        <v>0</v>
      </c>
      <c r="LA189" s="27" t="n">
        <v>1.43</v>
      </c>
      <c r="LB189" s="27" t="n">
        <v>1</v>
      </c>
      <c r="LC189" s="27" t="n">
        <v>1</v>
      </c>
      <c r="LD189" s="27"/>
      <c r="LE189" s="27" t="n">
        <f aca="false">6.34+2.11+0.08+0.37</f>
        <v>8.9</v>
      </c>
      <c r="LF189" s="27"/>
      <c r="LG189" s="27"/>
      <c r="LH189" s="27"/>
      <c r="LI189" s="27"/>
      <c r="LJ189" s="27"/>
      <c r="LK189" s="27"/>
      <c r="LL189" s="27" t="n">
        <v>3.5</v>
      </c>
      <c r="LM189" s="27" t="n">
        <v>3.5</v>
      </c>
      <c r="LN189" s="27"/>
      <c r="LO189" s="27"/>
      <c r="LP189" s="27" t="n">
        <v>0</v>
      </c>
      <c r="LQ189" s="27" t="n">
        <v>0</v>
      </c>
      <c r="LR189" s="27" t="n">
        <v>0</v>
      </c>
      <c r="LS189" s="24" t="n">
        <v>0</v>
      </c>
      <c r="LT189" s="24" t="s">
        <v>247</v>
      </c>
      <c r="LU189" s="24" t="n">
        <v>37</v>
      </c>
      <c r="LV189" s="27" t="n">
        <v>79.2</v>
      </c>
      <c r="LW189" s="27" t="n">
        <v>80.4</v>
      </c>
      <c r="LX189" s="27" t="n">
        <v>12.1</v>
      </c>
      <c r="LY189" s="24" t="n">
        <v>96.75</v>
      </c>
      <c r="LZ189" s="24" t="n">
        <v>0</v>
      </c>
      <c r="MA189" s="24" t="n">
        <v>0</v>
      </c>
      <c r="MB189" s="24" t="n">
        <v>0</v>
      </c>
      <c r="MC189" s="24" t="n">
        <v>3.25</v>
      </c>
      <c r="MD189" s="24" t="n">
        <v>0</v>
      </c>
      <c r="ME189" s="24" t="n">
        <v>0</v>
      </c>
      <c r="MF189" s="24" t="n">
        <v>0</v>
      </c>
      <c r="MG189" s="24" t="n">
        <v>0</v>
      </c>
      <c r="MH189" s="24" t="n">
        <v>0</v>
      </c>
      <c r="MI189" s="24" t="n">
        <v>0</v>
      </c>
      <c r="MJ189" s="24" t="n">
        <v>9.06</v>
      </c>
      <c r="MK189" s="24" t="n">
        <v>18.15</v>
      </c>
      <c r="ML189" s="24" t="n">
        <v>25.66</v>
      </c>
      <c r="MM189" s="24" t="n">
        <v>15.61</v>
      </c>
      <c r="MN189" s="24" t="n">
        <v>0</v>
      </c>
      <c r="MO189" s="24" t="n">
        <v>0</v>
      </c>
      <c r="MP189" s="24" t="n">
        <v>0</v>
      </c>
      <c r="NC189" s="24" t="n">
        <v>17.8</v>
      </c>
      <c r="ND189" s="24" t="n">
        <v>1</v>
      </c>
      <c r="NE189" s="24" t="n">
        <v>47</v>
      </c>
      <c r="NF189" s="24" t="n">
        <v>3</v>
      </c>
      <c r="NG189" s="24" t="n">
        <v>2.28</v>
      </c>
      <c r="NH189" s="24" t="n">
        <v>3</v>
      </c>
      <c r="NI189" s="24" t="n">
        <v>26</v>
      </c>
      <c r="NJ189" s="24" t="n">
        <v>1</v>
      </c>
      <c r="NK189" s="24" t="n">
        <v>0.76</v>
      </c>
      <c r="NL189" s="24" t="n">
        <v>2</v>
      </c>
      <c r="NO189" s="28"/>
      <c r="OG189" s="24" t="n">
        <v>0</v>
      </c>
      <c r="PR189" s="27" t="n">
        <v>1.27</v>
      </c>
      <c r="PS189" s="27" t="n">
        <v>1</v>
      </c>
      <c r="PT189" s="27" t="n">
        <v>1</v>
      </c>
      <c r="PU189" s="27"/>
      <c r="PV189" s="27" t="n">
        <f aca="false">6.34+1.06</f>
        <v>7.4</v>
      </c>
      <c r="PW189" s="27"/>
      <c r="PX189" s="27"/>
      <c r="PY189" s="27"/>
      <c r="PZ189" s="27"/>
      <c r="QA189" s="27"/>
      <c r="QB189" s="27"/>
      <c r="QC189" s="27" t="n">
        <v>2.86</v>
      </c>
      <c r="QD189" s="27" t="n">
        <v>2.86</v>
      </c>
      <c r="QE189" s="27"/>
      <c r="QF189" s="27"/>
      <c r="QG189" s="27" t="n">
        <v>0</v>
      </c>
      <c r="QH189" s="27" t="n">
        <v>0</v>
      </c>
      <c r="QI189" s="27" t="n">
        <v>0</v>
      </c>
      <c r="QJ189" s="24" t="n">
        <v>0</v>
      </c>
      <c r="QK189" s="24" t="s">
        <v>683</v>
      </c>
      <c r="QL189" s="24" t="n">
        <v>38</v>
      </c>
      <c r="QM189" s="27" t="n">
        <v>88.8</v>
      </c>
      <c r="QN189" s="27" t="n">
        <v>80.4</v>
      </c>
      <c r="QO189" s="27" t="n">
        <v>9.2</v>
      </c>
      <c r="QP189" s="24" t="n">
        <v>98.76</v>
      </c>
      <c r="QQ189" s="24" t="n">
        <v>0</v>
      </c>
      <c r="QR189" s="24" t="n">
        <v>0.57</v>
      </c>
      <c r="QS189" s="24" t="n">
        <v>0.67</v>
      </c>
      <c r="QT189" s="24" t="n">
        <v>0</v>
      </c>
      <c r="QU189" s="24" t="n">
        <v>0</v>
      </c>
      <c r="QV189" s="24" t="n">
        <v>0</v>
      </c>
      <c r="QW189" s="24" t="n">
        <v>0</v>
      </c>
      <c r="QX189" s="24" t="n">
        <v>0</v>
      </c>
      <c r="QY189" s="24" t="n">
        <v>0</v>
      </c>
      <c r="QZ189" s="24" t="n">
        <v>0</v>
      </c>
      <c r="RA189" s="24" t="n">
        <v>0</v>
      </c>
      <c r="RB189" s="24" t="n">
        <v>7.89</v>
      </c>
      <c r="RC189" s="24" t="n">
        <v>42.56</v>
      </c>
      <c r="RD189" s="24" t="n">
        <v>9.85</v>
      </c>
      <c r="RE189" s="24" t="n">
        <v>0</v>
      </c>
      <c r="RF189" s="24" t="n">
        <v>15.8</v>
      </c>
      <c r="RG189" s="24" t="n">
        <v>1</v>
      </c>
      <c r="RH189" s="24" t="n">
        <v>3</v>
      </c>
      <c r="RJ189" s="24" t="n">
        <v>1</v>
      </c>
      <c r="RN189" s="24" t="n">
        <v>3</v>
      </c>
      <c r="RP189" s="24" t="n">
        <v>1</v>
      </c>
      <c r="RT189" s="24" t="n">
        <v>0.6</v>
      </c>
      <c r="RU189" s="24" t="n">
        <v>1</v>
      </c>
      <c r="RV189" s="24" t="n">
        <v>23</v>
      </c>
      <c r="RW189" s="24" t="n">
        <v>1</v>
      </c>
      <c r="RX189" s="24" t="n">
        <v>0.05</v>
      </c>
      <c r="RY189" s="24" t="n">
        <v>3</v>
      </c>
      <c r="RZ189" s="24" t="n">
        <v>35</v>
      </c>
      <c r="SA189" s="24" t="n">
        <v>2</v>
      </c>
      <c r="SB189" s="24" t="n">
        <v>0.18</v>
      </c>
      <c r="SC189" s="24" t="n">
        <v>3</v>
      </c>
      <c r="SF189" s="28"/>
      <c r="SX189" s="24" t="n">
        <v>0</v>
      </c>
      <c r="UI189" s="27" t="n">
        <v>2.69</v>
      </c>
      <c r="UJ189" s="27" t="n">
        <v>1</v>
      </c>
      <c r="UK189" s="27" t="n">
        <v>1</v>
      </c>
      <c r="UL189" s="27"/>
      <c r="UM189" s="27" t="n">
        <f aca="false">2.11*4+1.86</f>
        <v>10.3</v>
      </c>
      <c r="UN189" s="27"/>
      <c r="UO189" s="27"/>
      <c r="UP189" s="27"/>
      <c r="UQ189" s="27"/>
      <c r="UR189" s="27"/>
      <c r="US189" s="27"/>
      <c r="UT189" s="27" t="n">
        <v>6.26</v>
      </c>
      <c r="UU189" s="27" t="n">
        <v>17.05</v>
      </c>
      <c r="UV189" s="27"/>
      <c r="UW189" s="27"/>
      <c r="UX189" s="27" t="n">
        <v>0</v>
      </c>
      <c r="UY189" s="27" t="n">
        <v>0</v>
      </c>
      <c r="UZ189" s="27" t="n">
        <v>0</v>
      </c>
      <c r="VA189" s="24" t="n">
        <v>0</v>
      </c>
      <c r="VB189" s="24" t="s">
        <v>684</v>
      </c>
      <c r="VC189" s="24" t="n">
        <v>37.5</v>
      </c>
      <c r="VD189" s="27" t="n">
        <v>88.7</v>
      </c>
      <c r="VE189" s="27" t="n">
        <v>80.4</v>
      </c>
      <c r="VF189" s="27" t="n">
        <v>11.3</v>
      </c>
      <c r="VG189" s="24" t="n">
        <v>16.12</v>
      </c>
      <c r="VH189" s="24" t="n">
        <v>0</v>
      </c>
      <c r="VI189" s="24" t="n">
        <v>0</v>
      </c>
      <c r="VJ189" s="24" t="n">
        <v>0</v>
      </c>
      <c r="VK189" s="24" t="n">
        <v>0</v>
      </c>
      <c r="VL189" s="24" t="n">
        <v>0</v>
      </c>
      <c r="VM189" s="24" t="n">
        <v>83.88</v>
      </c>
      <c r="VN189" s="24" t="n">
        <v>0</v>
      </c>
      <c r="VO189" s="24" t="n">
        <v>0</v>
      </c>
      <c r="VP189" s="24" t="n">
        <v>0</v>
      </c>
      <c r="VQ189" s="24" t="n">
        <v>0</v>
      </c>
      <c r="VR189" s="24" t="n">
        <v>0</v>
      </c>
      <c r="VS189" s="24" t="n">
        <v>43.66</v>
      </c>
      <c r="VT189" s="24" t="n">
        <v>0</v>
      </c>
      <c r="VU189" s="24" t="n">
        <v>0</v>
      </c>
      <c r="VV189" s="24" t="n">
        <v>0</v>
      </c>
      <c r="VW189" s="24" t="n">
        <v>0</v>
      </c>
      <c r="VX189" s="24" t="n">
        <v>0</v>
      </c>
      <c r="WK189" s="24" t="n">
        <v>14</v>
      </c>
      <c r="WL189" s="24" t="n">
        <v>1</v>
      </c>
      <c r="WM189" s="24" t="n">
        <v>70</v>
      </c>
      <c r="WN189" s="24" t="n">
        <v>2</v>
      </c>
      <c r="WO189" s="24" t="n">
        <v>1.34</v>
      </c>
      <c r="WP189" s="24" t="n">
        <v>3</v>
      </c>
      <c r="WW189" s="28"/>
      <c r="XO189" s="24" t="n">
        <v>0</v>
      </c>
      <c r="YZ189" s="27" t="n">
        <v>5.5</v>
      </c>
      <c r="ZA189" s="27" t="n">
        <v>1</v>
      </c>
      <c r="ZB189" s="27" t="n">
        <v>1</v>
      </c>
      <c r="ZC189" s="27"/>
      <c r="ZD189" s="27" t="n">
        <f aca="false">1.14+1.9+1.14+0.67+0.2+0.2</f>
        <v>5.25</v>
      </c>
      <c r="ZE189" s="27" t="n">
        <v>2</v>
      </c>
      <c r="ZF189" s="27"/>
      <c r="ZG189" s="27" t="n">
        <v>2.13</v>
      </c>
      <c r="ZH189" s="27"/>
      <c r="ZI189" s="27"/>
      <c r="ZJ189" s="27"/>
      <c r="ZK189" s="27" t="n">
        <v>5.64</v>
      </c>
      <c r="ZL189" s="27" t="n">
        <v>11.15</v>
      </c>
      <c r="ZM189" s="27"/>
      <c r="ZN189" s="27"/>
      <c r="ZO189" s="27" t="n">
        <v>0</v>
      </c>
      <c r="ZP189" s="27" t="n">
        <v>0</v>
      </c>
      <c r="ZQ189" s="27" t="n">
        <v>0.58</v>
      </c>
      <c r="ZR189" s="24" t="n">
        <v>0</v>
      </c>
      <c r="ZS189" s="24" t="s">
        <v>685</v>
      </c>
      <c r="ZT189" s="24" t="n">
        <v>41.5</v>
      </c>
      <c r="ZU189" s="27" t="n">
        <v>84.1</v>
      </c>
      <c r="ZV189" s="27" t="n">
        <v>80.4</v>
      </c>
      <c r="ZW189" s="27" t="n">
        <v>11.2</v>
      </c>
      <c r="ZX189" s="24" t="n">
        <v>13.46</v>
      </c>
      <c r="ZY189" s="24" t="n">
        <v>0</v>
      </c>
      <c r="ZZ189" s="24" t="n">
        <v>0</v>
      </c>
      <c r="AAA189" s="24" t="n">
        <v>0</v>
      </c>
      <c r="AAB189" s="24" t="n">
        <v>0</v>
      </c>
      <c r="AAC189" s="24" t="n">
        <v>0</v>
      </c>
      <c r="AAD189" s="24" t="n">
        <v>86.54</v>
      </c>
      <c r="AAE189" s="24" t="n">
        <v>0</v>
      </c>
      <c r="AAF189" s="24" t="n">
        <v>0</v>
      </c>
      <c r="AAG189" s="24" t="n">
        <v>0</v>
      </c>
      <c r="AAH189" s="24" t="n">
        <v>0</v>
      </c>
      <c r="AAI189" s="24" t="n">
        <v>0</v>
      </c>
      <c r="AAJ189" s="24" t="n">
        <v>0</v>
      </c>
      <c r="AAK189" s="24" t="n">
        <v>39.2</v>
      </c>
      <c r="AAL189" s="24" t="n">
        <v>0</v>
      </c>
      <c r="AAM189" s="24" t="n">
        <v>0</v>
      </c>
      <c r="AAN189" s="24" t="n">
        <v>0</v>
      </c>
      <c r="AAO189" s="24" t="n">
        <v>0</v>
      </c>
      <c r="ABB189" s="24" t="n">
        <v>18.9</v>
      </c>
      <c r="ABC189" s="24" t="n">
        <v>1</v>
      </c>
      <c r="ABD189" s="24" t="n">
        <v>70</v>
      </c>
      <c r="ABE189" s="24" t="n">
        <v>3</v>
      </c>
      <c r="ABF189" s="24" t="n">
        <f aca="false">1.14+0.47+0.2</f>
        <v>1.81</v>
      </c>
      <c r="ABG189" s="24" t="n">
        <v>3</v>
      </c>
      <c r="ABN189" s="28"/>
      <c r="ACF189" s="24" t="n">
        <v>0</v>
      </c>
      <c r="ADQ189" s="27" t="n">
        <v>5.5</v>
      </c>
      <c r="ADR189" s="27" t="n">
        <v>1</v>
      </c>
      <c r="ADS189" s="27" t="n">
        <v>1</v>
      </c>
      <c r="ADT189" s="27"/>
      <c r="ADU189" s="27" t="n">
        <f aca="false">1.14*2+1.9+0.67+0.27+0.13</f>
        <v>5.25</v>
      </c>
      <c r="ADV189" s="27" t="n">
        <v>2</v>
      </c>
      <c r="ADW189" s="27"/>
      <c r="ADX189" s="27" t="n">
        <v>2.13</v>
      </c>
      <c r="ADY189" s="27"/>
      <c r="ADZ189" s="27"/>
      <c r="AEA189" s="27"/>
      <c r="AEB189" s="27" t="n">
        <v>5.09</v>
      </c>
      <c r="AEC189" s="27" t="n">
        <v>5.83</v>
      </c>
      <c r="AED189" s="27"/>
      <c r="AEE189" s="27"/>
      <c r="AEF189" s="27" t="n">
        <v>0</v>
      </c>
      <c r="AEG189" s="27" t="n">
        <v>0</v>
      </c>
      <c r="AEH189" s="27" t="n">
        <v>0.45</v>
      </c>
      <c r="AEI189" s="24" t="n">
        <v>0</v>
      </c>
      <c r="AEJ189" s="33"/>
      <c r="AEK189" s="21"/>
      <c r="AEL189" s="21"/>
      <c r="AEN189" s="33"/>
      <c r="AEO189" s="33"/>
      <c r="AER189" s="33"/>
      <c r="AES189" s="21"/>
      <c r="AET189" s="21"/>
      <c r="AEV189" s="33"/>
      <c r="AEW189" s="33"/>
      <c r="AEZ189" s="33"/>
      <c r="AFA189" s="21"/>
      <c r="AFB189" s="21"/>
      <c r="AFD189" s="33"/>
      <c r="AFE189" s="33"/>
      <c r="AFH189" s="33"/>
      <c r="AFI189" s="21"/>
      <c r="AFJ189" s="21"/>
      <c r="AFL189" s="33"/>
      <c r="AFM189" s="33"/>
      <c r="AFP189" s="33"/>
      <c r="AFQ189" s="21"/>
      <c r="AFR189" s="21"/>
      <c r="AFT189" s="33"/>
      <c r="AFU189" s="33"/>
      <c r="AFX189" s="33"/>
      <c r="AFY189" s="21"/>
      <c r="AFZ189" s="21"/>
      <c r="AGB189" s="33"/>
      <c r="AGC189" s="33"/>
      <c r="AGF189" s="33"/>
      <c r="AGG189" s="21"/>
      <c r="AGH189" s="21"/>
      <c r="AGJ189" s="33"/>
      <c r="AGK189" s="33"/>
      <c r="AGN189" s="33"/>
      <c r="AGO189" s="21"/>
      <c r="AGP189" s="21"/>
      <c r="AGR189" s="33"/>
      <c r="AGS189" s="33"/>
      <c r="AGV189" s="33"/>
      <c r="AGW189" s="21"/>
      <c r="AGX189" s="21"/>
      <c r="AGZ189" s="33"/>
      <c r="AHA189" s="33"/>
      <c r="AHD189" s="33"/>
      <c r="AHE189" s="21"/>
      <c r="AHF189" s="21"/>
      <c r="AHH189" s="33"/>
      <c r="AHI189" s="33"/>
      <c r="AHL189" s="33"/>
      <c r="AHM189" s="21"/>
      <c r="AHN189" s="21"/>
      <c r="AHP189" s="33"/>
      <c r="AHQ189" s="33"/>
      <c r="AHT189" s="33"/>
      <c r="AHU189" s="21"/>
      <c r="AHV189" s="21"/>
      <c r="AHX189" s="33"/>
      <c r="AHY189" s="33"/>
      <c r="AIB189" s="33"/>
      <c r="AIC189" s="21"/>
      <c r="AID189" s="21"/>
      <c r="AIF189" s="33"/>
      <c r="AIG189" s="33"/>
      <c r="AIJ189" s="33"/>
      <c r="AIK189" s="21"/>
      <c r="AIL189" s="21"/>
      <c r="AIN189" s="33"/>
      <c r="AIO189" s="33"/>
      <c r="AIR189" s="33"/>
      <c r="AIS189" s="21"/>
      <c r="AIT189" s="21"/>
      <c r="AIV189" s="33"/>
      <c r="AIW189" s="33"/>
      <c r="AIZ189" s="33"/>
      <c r="AJA189" s="21"/>
      <c r="AJB189" s="21"/>
      <c r="AJD189" s="33"/>
      <c r="AJE189" s="33"/>
      <c r="AJH189" s="33"/>
      <c r="AJI189" s="21"/>
      <c r="AJJ189" s="21"/>
      <c r="AJL189" s="33"/>
      <c r="AJM189" s="33"/>
      <c r="AJP189" s="33"/>
      <c r="AJQ189" s="21"/>
      <c r="AJR189" s="21"/>
      <c r="AJT189" s="33"/>
      <c r="AJU189" s="33"/>
      <c r="AJX189" s="33"/>
      <c r="AJY189" s="21"/>
      <c r="AJZ189" s="21"/>
      <c r="AKB189" s="33"/>
      <c r="AKC189" s="33"/>
      <c r="AKF189" s="33"/>
      <c r="AKG189" s="21"/>
      <c r="AKH189" s="21"/>
      <c r="AKJ189" s="33"/>
      <c r="AKK189" s="33"/>
      <c r="AKN189" s="33"/>
      <c r="AKO189" s="21"/>
      <c r="AKP189" s="21"/>
      <c r="AKR189" s="33"/>
      <c r="AKS189" s="33"/>
      <c r="AKV189" s="33"/>
      <c r="AKW189" s="21"/>
      <c r="AKX189" s="21"/>
      <c r="AKZ189" s="33"/>
      <c r="ALA189" s="33"/>
      <c r="ALD189" s="33"/>
      <c r="ALE189" s="21"/>
      <c r="ALF189" s="21"/>
      <c r="ALH189" s="33"/>
      <c r="ALI189" s="33"/>
      <c r="ALL189" s="33"/>
      <c r="ALM189" s="21"/>
      <c r="ALN189" s="21"/>
      <c r="ALP189" s="33"/>
      <c r="ALQ189" s="33"/>
      <c r="ALT189" s="33"/>
      <c r="ALU189" s="21"/>
      <c r="ALV189" s="21"/>
      <c r="ALX189" s="33"/>
      <c r="ALY189" s="33"/>
      <c r="AMB189" s="33"/>
      <c r="AMC189" s="21"/>
      <c r="AMD189" s="21"/>
      <c r="AMF189" s="33"/>
      <c r="AMG189" s="33"/>
      <c r="AMJ189" s="33"/>
    </row>
    <row r="190" customFormat="false" ht="13.8" hidden="false" customHeight="false" outlineLevel="0" collapsed="false">
      <c r="A190" s="37" t="s">
        <v>686</v>
      </c>
      <c r="B190" s="23" t="n">
        <v>42905</v>
      </c>
      <c r="C190" s="24" t="n">
        <v>2</v>
      </c>
      <c r="D190" s="25" t="n">
        <v>42849</v>
      </c>
      <c r="E190" s="23" t="n">
        <v>34094</v>
      </c>
      <c r="F190" s="14" t="n">
        <f aca="false">(B190-E190)/365.25</f>
        <v>24.1232032854209</v>
      </c>
      <c r="G190" s="14" t="n">
        <f aca="false">(B190-D190)/365.25</f>
        <v>0.153319644079398</v>
      </c>
      <c r="H190" s="21" t="s">
        <v>228</v>
      </c>
      <c r="I190" s="21" t="s">
        <v>240</v>
      </c>
      <c r="J190" s="21" t="s">
        <v>181</v>
      </c>
      <c r="K190" s="21" t="n">
        <v>8</v>
      </c>
      <c r="L190" s="26" t="n">
        <v>87</v>
      </c>
      <c r="M190" s="24" t="n">
        <v>2.02</v>
      </c>
      <c r="N190" s="27" t="n">
        <f aca="false">L190/(M190*M190)</f>
        <v>21.3214390746005</v>
      </c>
      <c r="O190" s="26" t="n">
        <v>0</v>
      </c>
      <c r="P190" s="26" t="n">
        <v>0</v>
      </c>
      <c r="Q190" s="26" t="n">
        <v>0</v>
      </c>
      <c r="R190" s="26" t="n">
        <v>0</v>
      </c>
      <c r="S190" s="26" t="n">
        <v>0</v>
      </c>
      <c r="T190" s="26" t="n">
        <v>0</v>
      </c>
      <c r="U190" s="26" t="n">
        <v>0</v>
      </c>
      <c r="V190" s="26" t="n">
        <v>0</v>
      </c>
      <c r="W190" s="26" t="n">
        <v>0</v>
      </c>
      <c r="X190" s="26" t="n">
        <v>0</v>
      </c>
      <c r="Y190" s="26" t="n">
        <v>0</v>
      </c>
      <c r="Z190" s="26" t="n">
        <v>0</v>
      </c>
      <c r="AA190" s="26" t="n">
        <v>0</v>
      </c>
      <c r="AB190" s="26" t="n">
        <v>0</v>
      </c>
      <c r="AC190" s="26" t="n">
        <v>1</v>
      </c>
      <c r="AD190" s="26" t="n">
        <v>10</v>
      </c>
      <c r="AE190" s="26" t="n">
        <v>0</v>
      </c>
      <c r="AF190" s="26" t="n">
        <v>0</v>
      </c>
      <c r="AG190" s="26" t="n">
        <v>0</v>
      </c>
      <c r="AH190" s="26" t="n">
        <v>0</v>
      </c>
      <c r="AI190" s="26" t="n">
        <v>0</v>
      </c>
      <c r="AJ190" s="26" t="n">
        <v>0</v>
      </c>
      <c r="AK190" s="26" t="n">
        <v>0</v>
      </c>
      <c r="AL190" s="26" t="n">
        <v>0</v>
      </c>
      <c r="AM190" s="26" t="n">
        <v>0</v>
      </c>
      <c r="AN190" s="26" t="n">
        <v>0</v>
      </c>
      <c r="AO190" s="26"/>
      <c r="AP190" s="26"/>
      <c r="AQ190" s="26"/>
      <c r="AR190" s="26"/>
      <c r="AS190" s="26" t="n">
        <v>0</v>
      </c>
      <c r="AT190" s="26" t="n">
        <v>0</v>
      </c>
      <c r="AU190" s="26" t="n">
        <v>0</v>
      </c>
      <c r="AV190" s="26" t="n">
        <v>0</v>
      </c>
      <c r="AW190" s="26" t="n">
        <v>0</v>
      </c>
      <c r="AX190" s="26" t="n">
        <v>0</v>
      </c>
      <c r="AY190" s="26" t="n">
        <v>0</v>
      </c>
      <c r="AZ190" s="26" t="n">
        <v>0</v>
      </c>
      <c r="BA190" s="26" t="n">
        <v>0</v>
      </c>
      <c r="BB190" s="26" t="n">
        <v>0</v>
      </c>
      <c r="BC190" s="26" t="n">
        <v>0</v>
      </c>
      <c r="BD190" s="26" t="n">
        <v>0</v>
      </c>
      <c r="BE190" s="26" t="n">
        <v>0</v>
      </c>
      <c r="BF190" s="26" t="n">
        <v>0</v>
      </c>
      <c r="BG190" s="26" t="n">
        <v>0</v>
      </c>
      <c r="BH190" s="26" t="n">
        <v>0</v>
      </c>
      <c r="BI190" s="26" t="n">
        <v>0</v>
      </c>
      <c r="BJ190" s="26" t="n">
        <v>0</v>
      </c>
      <c r="BK190" s="26" t="n">
        <v>0</v>
      </c>
      <c r="BL190" s="26" t="n">
        <v>0</v>
      </c>
      <c r="BM190" s="26" t="n">
        <v>0</v>
      </c>
      <c r="BN190" s="26" t="n">
        <v>0</v>
      </c>
      <c r="BO190" s="26" t="n">
        <v>0</v>
      </c>
      <c r="BP190" s="26" t="n">
        <v>0</v>
      </c>
      <c r="BQ190" s="26" t="n">
        <v>0</v>
      </c>
      <c r="BR190" s="26" t="n">
        <v>1</v>
      </c>
      <c r="BS190" s="26" t="n">
        <v>1</v>
      </c>
      <c r="BT190" s="26" t="n">
        <v>2</v>
      </c>
      <c r="BU190" s="26" t="n">
        <v>5</v>
      </c>
      <c r="BV190" s="26" t="n">
        <v>1</v>
      </c>
      <c r="BW190" s="26" t="n">
        <v>1</v>
      </c>
      <c r="BX190" s="26" t="n">
        <v>1</v>
      </c>
      <c r="BY190" s="26" t="n">
        <v>1</v>
      </c>
      <c r="BZ190" s="26" t="n">
        <v>5</v>
      </c>
      <c r="CA190" s="26" t="n">
        <v>5</v>
      </c>
      <c r="CB190" s="26" t="n">
        <v>5</v>
      </c>
      <c r="CC190" s="26" t="n">
        <v>5</v>
      </c>
      <c r="CD190" s="26" t="n">
        <v>4</v>
      </c>
      <c r="CE190" s="26" t="n">
        <v>5</v>
      </c>
      <c r="CF190" s="26" t="n">
        <v>4</v>
      </c>
      <c r="CG190" s="26" t="n">
        <v>5</v>
      </c>
      <c r="CH190" s="26" t="n">
        <v>5</v>
      </c>
      <c r="CI190" s="26" t="n">
        <v>5</v>
      </c>
      <c r="CJ190" s="26" t="n">
        <v>5</v>
      </c>
      <c r="CK190" s="26" t="n">
        <v>6</v>
      </c>
      <c r="CL190" s="24" t="s">
        <v>242</v>
      </c>
      <c r="CM190" s="24" t="n">
        <v>36.5</v>
      </c>
      <c r="CN190" s="27" t="n">
        <v>88.3</v>
      </c>
      <c r="CO190" s="27" t="n">
        <v>80.4</v>
      </c>
      <c r="CP190" s="27" t="n">
        <v>28.2</v>
      </c>
      <c r="CQ190" s="24" t="n">
        <v>73.82</v>
      </c>
      <c r="CR190" s="24" t="n">
        <v>0</v>
      </c>
      <c r="CS190" s="24" t="n">
        <v>25.61</v>
      </c>
      <c r="CT190" s="24" t="n">
        <v>0</v>
      </c>
      <c r="CU190" s="24" t="n">
        <v>0.57</v>
      </c>
      <c r="CV190" s="24" t="n">
        <v>0</v>
      </c>
      <c r="CW190" s="24" t="n">
        <v>0</v>
      </c>
      <c r="CX190" s="24" t="n">
        <v>0</v>
      </c>
      <c r="CY190" s="24" t="n">
        <v>0</v>
      </c>
      <c r="CZ190" s="24" t="n">
        <v>0</v>
      </c>
      <c r="DA190" s="24" t="n">
        <v>0</v>
      </c>
      <c r="DB190" s="24" t="n">
        <v>1.17</v>
      </c>
      <c r="DC190" s="24" t="n">
        <v>31.76</v>
      </c>
      <c r="DD190" s="24" t="n">
        <v>23.3</v>
      </c>
      <c r="DE190" s="24" t="n">
        <v>26.08</v>
      </c>
      <c r="DF190" s="24" t="n">
        <v>0</v>
      </c>
      <c r="DG190" s="24" t="n">
        <v>0</v>
      </c>
      <c r="DH190" s="24" t="n">
        <v>0</v>
      </c>
      <c r="DI190" s="24"/>
      <c r="DJ190" s="24"/>
      <c r="DK190" s="24"/>
      <c r="DL190" s="24"/>
      <c r="DM190" s="24"/>
      <c r="DN190" s="24"/>
      <c r="DO190" s="24"/>
      <c r="DP190" s="24"/>
      <c r="DQ190" s="24"/>
      <c r="DR190" s="24"/>
      <c r="DS190" s="24"/>
      <c r="DT190" s="24"/>
      <c r="DU190" s="24" t="n">
        <v>2.1</v>
      </c>
      <c r="DV190" s="24" t="n">
        <v>1</v>
      </c>
      <c r="DW190" s="24" t="n">
        <v>47</v>
      </c>
      <c r="DX190" s="24" t="n">
        <v>2</v>
      </c>
      <c r="DY190" s="24" t="n">
        <v>0.27</v>
      </c>
      <c r="DZ190" s="24" t="n">
        <v>3</v>
      </c>
      <c r="EG190" s="28"/>
      <c r="EY190" s="24" t="n">
        <v>0</v>
      </c>
      <c r="GJ190" s="27" t="n">
        <v>1.9</v>
      </c>
      <c r="GK190" s="27" t="n">
        <v>1</v>
      </c>
      <c r="GL190" s="27" t="n">
        <v>1</v>
      </c>
      <c r="GM190" s="27"/>
      <c r="GN190" s="27" t="n">
        <f aca="false">5.29*3</f>
        <v>15.87</v>
      </c>
      <c r="GO190" s="27"/>
      <c r="GP190" s="27"/>
      <c r="GQ190" s="27"/>
      <c r="GR190" s="27"/>
      <c r="GS190" s="27"/>
      <c r="GT190" s="27"/>
      <c r="GU190" s="27" t="n">
        <v>0.57</v>
      </c>
      <c r="GV190" s="27" t="n">
        <v>0.56</v>
      </c>
      <c r="GW190" s="27"/>
      <c r="GX190" s="27"/>
      <c r="GY190" s="27" t="n">
        <v>0</v>
      </c>
      <c r="GZ190" s="27" t="n">
        <v>0</v>
      </c>
      <c r="HA190" s="27" t="n">
        <v>0</v>
      </c>
      <c r="HB190" s="24" t="n">
        <v>0</v>
      </c>
      <c r="HC190" s="24" t="s">
        <v>243</v>
      </c>
      <c r="HD190" s="24" t="n">
        <v>38</v>
      </c>
      <c r="HE190" s="27" t="n">
        <v>87.8</v>
      </c>
      <c r="HF190" s="27" t="n">
        <v>80.4</v>
      </c>
      <c r="HG190" s="27" t="n">
        <v>29.1</v>
      </c>
      <c r="HH190" s="24" t="n">
        <v>71.17</v>
      </c>
      <c r="HI190" s="24" t="n">
        <v>0</v>
      </c>
      <c r="HJ190" s="24" t="n">
        <v>25.61</v>
      </c>
      <c r="HK190" s="24" t="n">
        <v>0</v>
      </c>
      <c r="HL190" s="24" t="n">
        <v>3.22</v>
      </c>
      <c r="HM190" s="24" t="n">
        <v>0</v>
      </c>
      <c r="HN190" s="24" t="n">
        <v>0</v>
      </c>
      <c r="HO190" s="24" t="n">
        <v>0</v>
      </c>
      <c r="HP190" s="24" t="n">
        <v>0</v>
      </c>
      <c r="HQ190" s="24" t="n">
        <v>0</v>
      </c>
      <c r="HR190" s="24" t="n">
        <v>0</v>
      </c>
      <c r="HS190" s="24" t="n">
        <v>1.08</v>
      </c>
      <c r="HT190" s="24" t="n">
        <v>31.76</v>
      </c>
      <c r="HU190" s="24" t="n">
        <v>22.19</v>
      </c>
      <c r="HV190" s="24" t="n">
        <v>26.38</v>
      </c>
      <c r="HW190" s="24" t="n">
        <v>0</v>
      </c>
      <c r="HX190" s="24" t="n">
        <v>0</v>
      </c>
      <c r="HY190" s="24" t="n">
        <v>0</v>
      </c>
      <c r="IL190" s="24" t="n">
        <v>2.1</v>
      </c>
      <c r="IM190" s="24" t="n">
        <v>1</v>
      </c>
      <c r="IN190" s="24" t="n">
        <v>47</v>
      </c>
      <c r="IO190" s="24" t="n">
        <v>2</v>
      </c>
      <c r="IP190" s="24" t="n">
        <v>0.27</v>
      </c>
      <c r="IQ190" s="24" t="n">
        <v>3</v>
      </c>
      <c r="IX190" s="28"/>
      <c r="JP190" s="24" t="n">
        <v>0</v>
      </c>
      <c r="LA190" s="27" t="n">
        <v>1.9</v>
      </c>
      <c r="LB190" s="27" t="n">
        <v>1</v>
      </c>
      <c r="LC190" s="27" t="n">
        <v>1</v>
      </c>
      <c r="LD190" s="27"/>
      <c r="LE190" s="27" t="n">
        <f aca="false">5.29*3</f>
        <v>15.87</v>
      </c>
      <c r="LF190" s="27"/>
      <c r="LG190" s="27"/>
      <c r="LH190" s="27"/>
      <c r="LI190" s="27"/>
      <c r="LJ190" s="27"/>
      <c r="LK190" s="27"/>
      <c r="LL190" s="27" t="n">
        <v>1.12</v>
      </c>
      <c r="LM190" s="27" t="n">
        <v>0.27</v>
      </c>
      <c r="LN190" s="27"/>
      <c r="LO190" s="27"/>
      <c r="LP190" s="27" t="n">
        <v>0</v>
      </c>
      <c r="LQ190" s="27" t="n">
        <v>0</v>
      </c>
      <c r="LR190" s="27" t="n">
        <v>0</v>
      </c>
      <c r="LS190" s="24" t="n">
        <v>0</v>
      </c>
      <c r="LT190" s="24" t="s">
        <v>247</v>
      </c>
      <c r="LU190" s="24" t="n">
        <v>37</v>
      </c>
      <c r="LV190" s="27" t="n">
        <v>79.2</v>
      </c>
      <c r="LW190" s="27" t="n">
        <v>80.4</v>
      </c>
      <c r="LX190" s="27" t="n">
        <v>12.1</v>
      </c>
      <c r="LY190" s="24" t="n">
        <v>96.75</v>
      </c>
      <c r="LZ190" s="24" t="n">
        <v>0</v>
      </c>
      <c r="MA190" s="24" t="n">
        <v>0</v>
      </c>
      <c r="MB190" s="24" t="n">
        <v>0</v>
      </c>
      <c r="MC190" s="24" t="n">
        <v>3.25</v>
      </c>
      <c r="MD190" s="24" t="n">
        <v>0</v>
      </c>
      <c r="ME190" s="24" t="n">
        <v>0</v>
      </c>
      <c r="MF190" s="24" t="n">
        <v>0</v>
      </c>
      <c r="MG190" s="24" t="n">
        <v>0</v>
      </c>
      <c r="MH190" s="24" t="n">
        <v>0</v>
      </c>
      <c r="MI190" s="24" t="n">
        <v>0</v>
      </c>
      <c r="MJ190" s="24" t="n">
        <v>9.06</v>
      </c>
      <c r="MK190" s="24" t="n">
        <v>18.15</v>
      </c>
      <c r="ML190" s="24" t="n">
        <v>25.66</v>
      </c>
      <c r="MM190" s="24" t="n">
        <v>15.61</v>
      </c>
      <c r="MN190" s="24" t="n">
        <v>0</v>
      </c>
      <c r="MO190" s="24" t="n">
        <v>0</v>
      </c>
      <c r="MP190" s="24" t="n">
        <v>0</v>
      </c>
      <c r="NC190" s="24" t="n">
        <v>17.8</v>
      </c>
      <c r="ND190" s="24" t="n">
        <v>1</v>
      </c>
      <c r="NE190" s="24" t="n">
        <v>47</v>
      </c>
      <c r="NF190" s="24" t="n">
        <v>3</v>
      </c>
      <c r="NG190" s="24" t="n">
        <v>2.28</v>
      </c>
      <c r="NH190" s="24" t="n">
        <v>3</v>
      </c>
      <c r="NI190" s="24" t="n">
        <v>26</v>
      </c>
      <c r="NJ190" s="24" t="n">
        <v>1</v>
      </c>
      <c r="NK190" s="24" t="n">
        <v>0.76</v>
      </c>
      <c r="NL190" s="24" t="n">
        <v>2</v>
      </c>
      <c r="NO190" s="28"/>
      <c r="OG190" s="24" t="n">
        <v>0</v>
      </c>
      <c r="PR190" s="27" t="n">
        <v>1.27</v>
      </c>
      <c r="PS190" s="27" t="n">
        <v>1</v>
      </c>
      <c r="PT190" s="27" t="n">
        <v>1</v>
      </c>
      <c r="PU190" s="27"/>
      <c r="PV190" s="27" t="n">
        <f aca="false">6.34+1.06</f>
        <v>7.4</v>
      </c>
      <c r="PW190" s="27"/>
      <c r="PX190" s="27"/>
      <c r="PY190" s="27"/>
      <c r="PZ190" s="27"/>
      <c r="QA190" s="27"/>
      <c r="QB190" s="27"/>
      <c r="QC190" s="27" t="n">
        <v>2.86</v>
      </c>
      <c r="QD190" s="27" t="n">
        <v>2.86</v>
      </c>
      <c r="QE190" s="27"/>
      <c r="QF190" s="27"/>
      <c r="QG190" s="27" t="n">
        <v>0</v>
      </c>
      <c r="QH190" s="27" t="n">
        <v>0</v>
      </c>
      <c r="QI190" s="27" t="n">
        <v>0</v>
      </c>
      <c r="QJ190" s="24" t="n">
        <v>0</v>
      </c>
      <c r="QK190" s="24" t="s">
        <v>247</v>
      </c>
      <c r="QL190" s="24" t="n">
        <v>37</v>
      </c>
      <c r="QM190" s="27" t="n">
        <v>79.2</v>
      </c>
      <c r="QN190" s="27" t="n">
        <v>80.4</v>
      </c>
      <c r="QO190" s="27" t="n">
        <v>12.1</v>
      </c>
      <c r="QP190" s="24" t="n">
        <v>96.75</v>
      </c>
      <c r="QQ190" s="24" t="n">
        <v>0</v>
      </c>
      <c r="QR190" s="24" t="n">
        <v>0</v>
      </c>
      <c r="QS190" s="24" t="n">
        <v>0</v>
      </c>
      <c r="QT190" s="24" t="n">
        <v>3.25</v>
      </c>
      <c r="QU190" s="24" t="n">
        <v>0</v>
      </c>
      <c r="QV190" s="24" t="n">
        <v>0</v>
      </c>
      <c r="QW190" s="24" t="n">
        <v>0</v>
      </c>
      <c r="QX190" s="24" t="n">
        <v>0</v>
      </c>
      <c r="QY190" s="24" t="n">
        <v>0</v>
      </c>
      <c r="QZ190" s="24" t="n">
        <v>0</v>
      </c>
      <c r="RA190" s="24" t="n">
        <v>9.06</v>
      </c>
      <c r="RB190" s="24" t="n">
        <v>18.15</v>
      </c>
      <c r="RC190" s="24" t="n">
        <v>25.66</v>
      </c>
      <c r="RD190" s="24" t="n">
        <v>15.61</v>
      </c>
      <c r="RE190" s="24" t="n">
        <v>0</v>
      </c>
      <c r="RF190" s="24" t="n">
        <v>0</v>
      </c>
      <c r="RG190" s="24" t="n">
        <v>0</v>
      </c>
      <c r="RT190" s="24" t="n">
        <v>17.8</v>
      </c>
      <c r="RU190" s="24" t="n">
        <v>1</v>
      </c>
      <c r="RV190" s="24" t="n">
        <v>47</v>
      </c>
      <c r="RW190" s="24" t="n">
        <v>3</v>
      </c>
      <c r="RX190" s="24" t="n">
        <v>2.28</v>
      </c>
      <c r="RY190" s="24" t="n">
        <v>3</v>
      </c>
      <c r="RZ190" s="24" t="n">
        <v>26</v>
      </c>
      <c r="SA190" s="24" t="n">
        <v>1</v>
      </c>
      <c r="SB190" s="24" t="n">
        <v>0.76</v>
      </c>
      <c r="SC190" s="24" t="n">
        <v>2</v>
      </c>
      <c r="SF190" s="28"/>
      <c r="SX190" s="24" t="n">
        <v>0</v>
      </c>
      <c r="UI190" s="27" t="n">
        <v>1.27</v>
      </c>
      <c r="UJ190" s="27" t="n">
        <v>1</v>
      </c>
      <c r="UK190" s="27" t="n">
        <v>1</v>
      </c>
      <c r="UL190" s="27"/>
      <c r="UM190" s="27" t="n">
        <f aca="false">6.34+1.06</f>
        <v>7.4</v>
      </c>
      <c r="UN190" s="27"/>
      <c r="UO190" s="27"/>
      <c r="UP190" s="27"/>
      <c r="UQ190" s="27"/>
      <c r="UR190" s="27"/>
      <c r="US190" s="27"/>
      <c r="UT190" s="27" t="n">
        <v>2.86</v>
      </c>
      <c r="UU190" s="27" t="n">
        <v>2.86</v>
      </c>
      <c r="UV190" s="27"/>
      <c r="UW190" s="27"/>
      <c r="UX190" s="27" t="n">
        <v>0</v>
      </c>
      <c r="UY190" s="27" t="n">
        <v>0</v>
      </c>
      <c r="UZ190" s="27" t="n">
        <v>0</v>
      </c>
      <c r="VA190" s="24" t="n">
        <v>0</v>
      </c>
      <c r="VB190" s="24" t="s">
        <v>248</v>
      </c>
      <c r="VC190" s="24" t="n">
        <v>33</v>
      </c>
      <c r="VD190" s="27" t="n">
        <v>122.1</v>
      </c>
      <c r="VE190" s="27" t="n">
        <v>80.4</v>
      </c>
      <c r="VF190" s="27" t="n">
        <v>14.1</v>
      </c>
      <c r="VG190" s="24" t="n">
        <v>91.87</v>
      </c>
      <c r="VH190" s="24" t="n">
        <v>0</v>
      </c>
      <c r="VI190" s="24" t="n">
        <v>5.85</v>
      </c>
      <c r="VJ190" s="24" t="n">
        <v>0</v>
      </c>
      <c r="VK190" s="24" t="n">
        <v>2.28</v>
      </c>
      <c r="VL190" s="24" t="n">
        <v>0</v>
      </c>
      <c r="VM190" s="24" t="n">
        <v>0</v>
      </c>
      <c r="VN190" s="24" t="n">
        <v>0</v>
      </c>
      <c r="VO190" s="24" t="n">
        <v>0</v>
      </c>
      <c r="VP190" s="24" t="n">
        <v>0</v>
      </c>
      <c r="VQ190" s="24" t="n">
        <v>0</v>
      </c>
      <c r="VR190" s="24" t="n">
        <v>0</v>
      </c>
      <c r="VS190" s="24" t="n">
        <v>23.39</v>
      </c>
      <c r="VT190" s="24" t="n">
        <v>10.3</v>
      </c>
      <c r="VU190" s="24" t="n">
        <v>49.9</v>
      </c>
      <c r="VV190" s="24" t="n">
        <v>0</v>
      </c>
      <c r="VW190" s="24" t="n">
        <v>0</v>
      </c>
      <c r="VX190" s="24" t="n">
        <v>0</v>
      </c>
      <c r="WK190" s="24" t="n">
        <v>0</v>
      </c>
      <c r="WL190" s="24" t="n">
        <v>1</v>
      </c>
      <c r="WM190" s="24" t="n">
        <v>34</v>
      </c>
      <c r="WN190" s="24" t="n">
        <v>1</v>
      </c>
      <c r="WO190" s="24" t="n">
        <v>1.14</v>
      </c>
      <c r="WP190" s="24" t="n">
        <v>1</v>
      </c>
      <c r="WW190" s="28"/>
      <c r="XO190" s="24" t="n">
        <v>0</v>
      </c>
      <c r="YZ190" s="27" t="n">
        <v>4.78</v>
      </c>
      <c r="ZA190" s="27" t="n">
        <v>1</v>
      </c>
      <c r="ZB190" s="27" t="n">
        <v>1</v>
      </c>
      <c r="ZC190" s="27"/>
      <c r="ZD190" s="27" t="n">
        <v>4.23</v>
      </c>
      <c r="ZE190" s="27" t="n">
        <v>2</v>
      </c>
      <c r="ZF190" s="27"/>
      <c r="ZG190" s="27" t="n">
        <f aca="false">1.14+9.52+1.68</f>
        <v>12.34</v>
      </c>
      <c r="ZH190" s="27"/>
      <c r="ZI190" s="27"/>
      <c r="ZJ190" s="27"/>
      <c r="ZK190" s="27" t="n">
        <v>10.43</v>
      </c>
      <c r="ZL190" s="27" t="n">
        <v>22.43</v>
      </c>
      <c r="ZM190" s="27"/>
      <c r="ZN190" s="27"/>
      <c r="ZO190" s="27" t="n">
        <v>0</v>
      </c>
      <c r="ZP190" s="27" t="n">
        <v>0</v>
      </c>
      <c r="ZQ190" s="27" t="n">
        <v>0</v>
      </c>
      <c r="ZR190" s="24" t="n">
        <v>0</v>
      </c>
      <c r="ZS190" s="24" t="s">
        <v>249</v>
      </c>
      <c r="ZT190" s="24" t="n">
        <v>25</v>
      </c>
      <c r="ZU190" s="27" t="n">
        <v>87.3</v>
      </c>
      <c r="ZV190" s="27" t="n">
        <v>80.4</v>
      </c>
      <c r="ZW190" s="27" t="n">
        <v>8.8</v>
      </c>
      <c r="ZX190" s="24" t="n">
        <v>100</v>
      </c>
      <c r="ZY190" s="24" t="n">
        <v>0</v>
      </c>
      <c r="ZZ190" s="24" t="n">
        <v>0</v>
      </c>
      <c r="AAA190" s="24" t="n">
        <v>0</v>
      </c>
      <c r="AAB190" s="24" t="n">
        <v>0</v>
      </c>
      <c r="AAC190" s="24" t="n">
        <v>0</v>
      </c>
      <c r="AAD190" s="24" t="n">
        <v>0</v>
      </c>
      <c r="AAE190" s="24" t="n">
        <v>0</v>
      </c>
      <c r="AAF190" s="24" t="n">
        <v>0</v>
      </c>
      <c r="AAG190" s="24" t="n">
        <v>0</v>
      </c>
      <c r="AAH190" s="24" t="n">
        <v>0</v>
      </c>
      <c r="AAI190" s="24" t="n">
        <v>0</v>
      </c>
      <c r="AAJ190" s="24" t="n">
        <v>11.94</v>
      </c>
      <c r="AAK190" s="24" t="n">
        <v>34.17</v>
      </c>
      <c r="AAL190" s="24" t="n">
        <v>24.72</v>
      </c>
      <c r="AAM190" s="24" t="n">
        <v>0</v>
      </c>
      <c r="AAN190" s="24" t="n">
        <v>6.9</v>
      </c>
      <c r="AAO190" s="24" t="n">
        <v>3</v>
      </c>
      <c r="AAP190" s="24" t="n">
        <v>50</v>
      </c>
      <c r="AAR190" s="24" t="n">
        <v>2</v>
      </c>
      <c r="AAV190" s="24" t="n">
        <v>50</v>
      </c>
      <c r="AAX190" s="24" t="n">
        <v>2</v>
      </c>
      <c r="ABB190" s="24" t="n">
        <v>0</v>
      </c>
      <c r="ABC190" s="24" t="n">
        <v>0</v>
      </c>
      <c r="ABN190" s="28"/>
      <c r="ACF190" s="24" t="n">
        <v>1</v>
      </c>
      <c r="ACG190" s="24" t="n">
        <v>50</v>
      </c>
      <c r="ACH190" s="24" t="n">
        <v>1</v>
      </c>
      <c r="ACI190" s="24" t="n">
        <v>1.86</v>
      </c>
      <c r="ACJ190" s="24" t="n">
        <v>3</v>
      </c>
      <c r="ADQ190" s="27" t="n">
        <v>0.75</v>
      </c>
      <c r="ADR190" s="27" t="n">
        <v>1</v>
      </c>
      <c r="ADS190" s="27" t="n">
        <v>1</v>
      </c>
      <c r="ADT190" s="27"/>
      <c r="ADU190" s="27" t="n">
        <f aca="false">12.69+1.68</f>
        <v>14.37</v>
      </c>
      <c r="ADV190" s="27"/>
      <c r="ADW190" s="27"/>
      <c r="ADX190" s="27"/>
      <c r="ADY190" s="27"/>
      <c r="ADZ190" s="27"/>
      <c r="AEA190" s="27"/>
      <c r="AEB190" s="27" t="n">
        <v>5.16</v>
      </c>
      <c r="AEC190" s="27" t="n">
        <v>2.28</v>
      </c>
      <c r="AED190" s="27"/>
      <c r="AEE190" s="27"/>
      <c r="AEF190" s="27" t="n">
        <v>0</v>
      </c>
      <c r="AEG190" s="27" t="n">
        <v>0</v>
      </c>
      <c r="AEH190" s="27" t="n">
        <v>0</v>
      </c>
      <c r="AEI190" s="24" t="n">
        <v>0</v>
      </c>
      <c r="AEJ190" s="24" t="s">
        <v>582</v>
      </c>
      <c r="AEK190" s="24" t="n">
        <v>31.5</v>
      </c>
      <c r="AEL190" s="27" t="n">
        <v>78.3</v>
      </c>
      <c r="AEM190" s="27" t="n">
        <v>80.4</v>
      </c>
      <c r="AEN190" s="27" t="n">
        <v>15.4</v>
      </c>
      <c r="AEO190" s="24" t="n">
        <v>93.39</v>
      </c>
      <c r="AEP190" s="24" t="n">
        <v>0.76</v>
      </c>
      <c r="AEQ190" s="24" t="n">
        <v>5.85</v>
      </c>
      <c r="AER190" s="24" t="n">
        <v>0</v>
      </c>
      <c r="AES190" s="24" t="n">
        <v>0</v>
      </c>
      <c r="AET190" s="24" t="n">
        <v>0</v>
      </c>
      <c r="AEU190" s="24" t="n">
        <v>0</v>
      </c>
      <c r="AEV190" s="24" t="n">
        <v>0</v>
      </c>
      <c r="AEW190" s="24" t="n">
        <v>0</v>
      </c>
      <c r="AEX190" s="24" t="n">
        <v>0</v>
      </c>
      <c r="AEY190" s="24" t="n">
        <v>0</v>
      </c>
      <c r="AEZ190" s="24" t="n">
        <v>0</v>
      </c>
      <c r="AFA190" s="24" t="n">
        <v>0</v>
      </c>
      <c r="AFB190" s="24" t="n">
        <v>18.87</v>
      </c>
      <c r="AFC190" s="24" t="n">
        <v>44.71</v>
      </c>
      <c r="AFD190" s="24" t="n">
        <v>0</v>
      </c>
      <c r="AFE190" s="24" t="n">
        <v>0</v>
      </c>
      <c r="AFF190" s="24" t="n">
        <v>0</v>
      </c>
      <c r="AFS190" s="24" t="n">
        <v>0</v>
      </c>
      <c r="AFT190" s="24" t="n">
        <v>0</v>
      </c>
      <c r="AGE190" s="28"/>
      <c r="AGW190" s="24" t="n">
        <v>0</v>
      </c>
      <c r="AIH190" s="27" t="n">
        <v>4.48</v>
      </c>
      <c r="AII190" s="27" t="n">
        <v>1</v>
      </c>
      <c r="AIJ190" s="27" t="n">
        <v>2</v>
      </c>
      <c r="AIK190" s="27"/>
      <c r="AIL190" s="27" t="n">
        <f aca="false">6.34+1.12</f>
        <v>7.46</v>
      </c>
      <c r="AIM190" s="27"/>
      <c r="AIN190" s="27"/>
      <c r="AIO190" s="27"/>
      <c r="AIP190" s="27"/>
      <c r="AIQ190" s="27"/>
      <c r="AIR190" s="27"/>
      <c r="AIS190" s="27" t="n">
        <v>8.48</v>
      </c>
      <c r="AIT190" s="27" t="n">
        <v>26.48</v>
      </c>
      <c r="AIU190" s="27"/>
      <c r="AIV190" s="27"/>
      <c r="AIW190" s="27" t="n">
        <v>0</v>
      </c>
      <c r="AIX190" s="27" t="n">
        <v>0</v>
      </c>
      <c r="AIY190" s="27" t="n">
        <v>0</v>
      </c>
      <c r="AIZ190" s="24" t="n">
        <v>0</v>
      </c>
      <c r="AJA190" s="24" t="s">
        <v>684</v>
      </c>
      <c r="AJB190" s="24" t="n">
        <v>37.5</v>
      </c>
      <c r="AJC190" s="27" t="n">
        <v>88.7</v>
      </c>
      <c r="AJD190" s="27" t="n">
        <v>80.4</v>
      </c>
      <c r="AJE190" s="27" t="n">
        <v>11.3</v>
      </c>
      <c r="AJF190" s="24" t="n">
        <v>16.12</v>
      </c>
      <c r="AJG190" s="24" t="n">
        <v>0</v>
      </c>
      <c r="AJH190" s="24" t="n">
        <v>0</v>
      </c>
      <c r="AJI190" s="24" t="n">
        <v>0</v>
      </c>
      <c r="AJJ190" s="24" t="n">
        <v>0</v>
      </c>
      <c r="AJK190" s="24" t="n">
        <v>0</v>
      </c>
      <c r="AJL190" s="24" t="n">
        <v>83.88</v>
      </c>
      <c r="AJM190" s="24" t="n">
        <v>0</v>
      </c>
      <c r="AJN190" s="24" t="n">
        <v>0</v>
      </c>
      <c r="AJO190" s="24" t="n">
        <v>0</v>
      </c>
      <c r="AJP190" s="24" t="n">
        <v>0</v>
      </c>
      <c r="AJQ190" s="24" t="n">
        <v>0</v>
      </c>
      <c r="AJR190" s="24" t="n">
        <v>43.66</v>
      </c>
      <c r="AJS190" s="24" t="n">
        <v>0</v>
      </c>
      <c r="AJT190" s="24" t="n">
        <v>0</v>
      </c>
      <c r="AJU190" s="24" t="n">
        <v>0</v>
      </c>
      <c r="AJV190" s="24" t="n">
        <v>0</v>
      </c>
      <c r="AJW190" s="24" t="n">
        <v>0</v>
      </c>
      <c r="AKJ190" s="24" t="n">
        <v>14</v>
      </c>
      <c r="AKK190" s="24" t="n">
        <v>1</v>
      </c>
      <c r="AKL190" s="24" t="n">
        <v>70</v>
      </c>
      <c r="AKM190" s="24" t="n">
        <v>2</v>
      </c>
      <c r="AKN190" s="24" t="n">
        <v>1.34</v>
      </c>
      <c r="AKO190" s="24" t="n">
        <v>3</v>
      </c>
      <c r="AKV190" s="28"/>
      <c r="ALN190" s="24" t="n">
        <v>0</v>
      </c>
    </row>
    <row r="191" customFormat="false" ht="13.8" hidden="false" customHeight="false" outlineLevel="0" collapsed="false">
      <c r="A191" s="1" t="s">
        <v>687</v>
      </c>
      <c r="B191" s="12" t="n">
        <v>42887</v>
      </c>
      <c r="C191" s="0" t="n">
        <v>1</v>
      </c>
      <c r="D191" s="13" t="n">
        <v>42811</v>
      </c>
      <c r="E191" s="12" t="n">
        <v>28636</v>
      </c>
      <c r="F191" s="14" t="n">
        <f aca="false">(B191-E191)/365.25</f>
        <v>39.0171115674196</v>
      </c>
      <c r="G191" s="14" t="n">
        <f aca="false">(B191-D191)/365.25</f>
        <v>0.20807665982204</v>
      </c>
      <c r="H191" s="15" t="s">
        <v>228</v>
      </c>
      <c r="I191" s="15" t="s">
        <v>240</v>
      </c>
      <c r="J191" s="15" t="s">
        <v>181</v>
      </c>
      <c r="K191" s="21" t="n">
        <v>8</v>
      </c>
      <c r="L191" s="19" t="n">
        <v>80</v>
      </c>
      <c r="M191" s="0" t="n">
        <v>1.65</v>
      </c>
      <c r="N191" s="16" t="n">
        <f aca="false">L191/(M191*M191)</f>
        <v>29.3847566574839</v>
      </c>
      <c r="O191" s="19" t="n">
        <v>0</v>
      </c>
      <c r="P191" s="19" t="n">
        <v>0</v>
      </c>
      <c r="Q191" s="19" t="n">
        <v>0</v>
      </c>
      <c r="R191" s="26" t="n">
        <v>0</v>
      </c>
      <c r="S191" s="26" t="n">
        <v>0</v>
      </c>
      <c r="T191" s="26" t="n">
        <v>0</v>
      </c>
      <c r="U191" s="19" t="n">
        <v>1</v>
      </c>
      <c r="V191" s="19" t="n">
        <v>8</v>
      </c>
      <c r="W191" s="19" t="n">
        <v>0</v>
      </c>
      <c r="X191" s="19" t="n">
        <v>0</v>
      </c>
      <c r="Y191" s="19" t="n">
        <v>0</v>
      </c>
      <c r="Z191" s="19" t="n">
        <v>0</v>
      </c>
      <c r="AA191" s="19" t="n">
        <v>0</v>
      </c>
      <c r="AB191" s="19" t="n">
        <v>0</v>
      </c>
      <c r="AC191" s="19" t="n">
        <v>0</v>
      </c>
      <c r="AD191" s="19" t="n">
        <v>0</v>
      </c>
      <c r="AE191" s="19" t="n">
        <v>0</v>
      </c>
      <c r="AF191" s="19" t="n">
        <v>0</v>
      </c>
      <c r="AG191" s="19" t="n">
        <v>0</v>
      </c>
      <c r="AH191" s="19" t="n">
        <v>0</v>
      </c>
      <c r="AI191" s="19" t="n">
        <v>0</v>
      </c>
      <c r="AJ191" s="19" t="n">
        <v>0</v>
      </c>
      <c r="AK191" s="19" t="n">
        <v>0</v>
      </c>
      <c r="AL191" s="19" t="n">
        <v>0</v>
      </c>
      <c r="AM191" s="19" t="n">
        <v>0</v>
      </c>
      <c r="AN191" s="19" t="n">
        <v>1</v>
      </c>
      <c r="AO191" s="19" t="n">
        <v>0</v>
      </c>
      <c r="AP191" s="19" t="n">
        <v>0</v>
      </c>
      <c r="AQ191" s="19" t="n">
        <v>0</v>
      </c>
      <c r="AR191" s="19" t="n">
        <v>0</v>
      </c>
      <c r="AS191" s="19" t="n">
        <v>3</v>
      </c>
      <c r="AT191" s="19" t="n">
        <v>0</v>
      </c>
      <c r="AU191" s="19" t="n">
        <v>3</v>
      </c>
      <c r="AV191" s="19" t="n">
        <v>3</v>
      </c>
      <c r="AW191" s="19" t="n">
        <v>3</v>
      </c>
      <c r="AX191" s="19" t="n">
        <v>0</v>
      </c>
      <c r="AY191" s="19" t="n">
        <v>0</v>
      </c>
      <c r="AZ191" s="19" t="n">
        <v>0</v>
      </c>
      <c r="BA191" s="19" t="n">
        <v>0</v>
      </c>
      <c r="BB191" s="19" t="n">
        <v>1</v>
      </c>
      <c r="BC191" s="19" t="n">
        <v>0</v>
      </c>
      <c r="BD191" s="19" t="n">
        <v>1</v>
      </c>
      <c r="BE191" s="19" t="n">
        <v>3</v>
      </c>
      <c r="BF191" s="19" t="n">
        <v>0</v>
      </c>
      <c r="BG191" s="19" t="n">
        <v>0</v>
      </c>
      <c r="BH191" s="19" t="n">
        <v>0</v>
      </c>
      <c r="BI191" s="19" t="n">
        <v>0</v>
      </c>
      <c r="BJ191" s="19" t="n">
        <v>1</v>
      </c>
      <c r="BK191" s="19" t="n">
        <v>0</v>
      </c>
      <c r="BL191" s="19" t="n">
        <v>1</v>
      </c>
      <c r="BM191" s="19" t="n">
        <v>3</v>
      </c>
      <c r="BN191" s="19" t="n">
        <v>1</v>
      </c>
      <c r="BO191" s="19" t="n">
        <v>0</v>
      </c>
      <c r="BP191" s="19" t="n">
        <v>0</v>
      </c>
      <c r="BQ191" s="19" t="n">
        <v>0</v>
      </c>
      <c r="BR191" s="19" t="n">
        <v>2</v>
      </c>
      <c r="BS191" s="19" t="n">
        <v>2</v>
      </c>
      <c r="BT191" s="19" t="n">
        <v>3</v>
      </c>
      <c r="BU191" s="19" t="n">
        <v>5</v>
      </c>
      <c r="BV191" s="19" t="n">
        <v>1</v>
      </c>
      <c r="BW191" s="19" t="n">
        <v>2</v>
      </c>
      <c r="BX191" s="19" t="n">
        <v>1</v>
      </c>
      <c r="BY191" s="19" t="n">
        <v>4</v>
      </c>
      <c r="BZ191" s="19" t="n">
        <v>3</v>
      </c>
      <c r="CA191" s="19" t="n">
        <v>2</v>
      </c>
      <c r="CB191" s="19" t="n">
        <v>5</v>
      </c>
      <c r="CC191" s="19" t="n">
        <v>5</v>
      </c>
      <c r="CD191" s="19" t="n">
        <v>3</v>
      </c>
      <c r="CE191" s="19" t="n">
        <v>4</v>
      </c>
      <c r="CF191" s="19" t="n">
        <v>4</v>
      </c>
      <c r="CG191" s="19" t="n">
        <v>5</v>
      </c>
      <c r="CH191" s="19" t="n">
        <v>3</v>
      </c>
      <c r="CI191" s="19" t="n">
        <v>4</v>
      </c>
      <c r="CJ191" s="19" t="n">
        <v>3</v>
      </c>
      <c r="CK191" s="19" t="n">
        <v>10</v>
      </c>
      <c r="CL191" s="24" t="s">
        <v>242</v>
      </c>
      <c r="CM191" s="24" t="n">
        <v>36.5</v>
      </c>
      <c r="CN191" s="27" t="n">
        <v>88.3</v>
      </c>
      <c r="CO191" s="27" t="n">
        <v>80.4</v>
      </c>
      <c r="CP191" s="27" t="n">
        <v>28.2</v>
      </c>
      <c r="CQ191" s="24" t="n">
        <v>73.82</v>
      </c>
      <c r="CR191" s="24" t="n">
        <v>0</v>
      </c>
      <c r="CS191" s="24" t="n">
        <v>25.61</v>
      </c>
      <c r="CT191" s="24" t="n">
        <v>0</v>
      </c>
      <c r="CU191" s="24" t="n">
        <v>0.57</v>
      </c>
      <c r="CV191" s="24" t="n">
        <v>0</v>
      </c>
      <c r="CW191" s="24" t="n">
        <v>0</v>
      </c>
      <c r="CX191" s="24" t="n">
        <v>0</v>
      </c>
      <c r="CY191" s="24" t="n">
        <v>0</v>
      </c>
      <c r="CZ191" s="24" t="n">
        <v>0</v>
      </c>
      <c r="DA191" s="24" t="n">
        <v>0</v>
      </c>
      <c r="DB191" s="24" t="n">
        <v>1.17</v>
      </c>
      <c r="DC191" s="24" t="n">
        <v>31.76</v>
      </c>
      <c r="DD191" s="24" t="n">
        <v>23.3</v>
      </c>
      <c r="DE191" s="24" t="n">
        <v>26.08</v>
      </c>
      <c r="DF191" s="24" t="n">
        <v>0</v>
      </c>
      <c r="DG191" s="24" t="n">
        <v>0</v>
      </c>
      <c r="DH191" s="24" t="n">
        <v>0</v>
      </c>
      <c r="DU191" s="24" t="n">
        <v>2.1</v>
      </c>
      <c r="DV191" s="24" t="n">
        <v>1</v>
      </c>
      <c r="DW191" s="24" t="n">
        <v>47</v>
      </c>
      <c r="DX191" s="24" t="n">
        <v>2</v>
      </c>
      <c r="DY191" s="24" t="n">
        <v>0.27</v>
      </c>
      <c r="DZ191" s="24" t="n">
        <v>3</v>
      </c>
      <c r="EG191" s="28"/>
      <c r="EY191" s="24" t="n">
        <v>0</v>
      </c>
      <c r="GJ191" s="27" t="n">
        <v>1.9</v>
      </c>
      <c r="GK191" s="27" t="n">
        <v>1</v>
      </c>
      <c r="GL191" s="27" t="n">
        <v>1</v>
      </c>
      <c r="GM191" s="27"/>
      <c r="GN191" s="27" t="n">
        <f aca="false">5.29*3</f>
        <v>15.87</v>
      </c>
      <c r="GO191" s="27"/>
      <c r="GP191" s="27"/>
      <c r="GQ191" s="27"/>
      <c r="GR191" s="27"/>
      <c r="GS191" s="27"/>
      <c r="GT191" s="27"/>
      <c r="GU191" s="27" t="n">
        <v>0.57</v>
      </c>
      <c r="GV191" s="27" t="n">
        <v>0.56</v>
      </c>
      <c r="GW191" s="27"/>
      <c r="GX191" s="27"/>
      <c r="GY191" s="27" t="n">
        <v>0</v>
      </c>
      <c r="GZ191" s="27" t="n">
        <v>0</v>
      </c>
      <c r="HA191" s="27" t="n">
        <v>0</v>
      </c>
      <c r="HB191" s="24" t="n">
        <v>0</v>
      </c>
      <c r="HC191" s="24" t="s">
        <v>243</v>
      </c>
      <c r="HD191" s="24" t="n">
        <v>38</v>
      </c>
      <c r="HE191" s="27" t="n">
        <v>87.8</v>
      </c>
      <c r="HF191" s="27" t="n">
        <v>80.4</v>
      </c>
      <c r="HG191" s="27" t="n">
        <v>29.1</v>
      </c>
      <c r="HH191" s="24" t="n">
        <v>71.17</v>
      </c>
      <c r="HI191" s="24" t="n">
        <v>0</v>
      </c>
      <c r="HJ191" s="24" t="n">
        <v>25.61</v>
      </c>
      <c r="HK191" s="24" t="n">
        <v>0</v>
      </c>
      <c r="HL191" s="24" t="n">
        <v>3.22</v>
      </c>
      <c r="HM191" s="24" t="n">
        <v>0</v>
      </c>
      <c r="HN191" s="24" t="n">
        <v>0</v>
      </c>
      <c r="HO191" s="24" t="n">
        <v>0</v>
      </c>
      <c r="HP191" s="24" t="n">
        <v>0</v>
      </c>
      <c r="HQ191" s="24" t="n">
        <v>0</v>
      </c>
      <c r="HR191" s="24" t="n">
        <v>0</v>
      </c>
      <c r="HS191" s="24" t="n">
        <v>1.08</v>
      </c>
      <c r="HT191" s="24" t="n">
        <v>31.76</v>
      </c>
      <c r="HU191" s="24" t="n">
        <v>22.19</v>
      </c>
      <c r="HV191" s="24" t="n">
        <v>26.38</v>
      </c>
      <c r="HW191" s="24" t="n">
        <v>0</v>
      </c>
      <c r="HX191" s="24" t="n">
        <v>0</v>
      </c>
      <c r="HY191" s="24" t="n">
        <v>0</v>
      </c>
      <c r="IL191" s="24" t="n">
        <v>2.1</v>
      </c>
      <c r="IM191" s="24" t="n">
        <v>1</v>
      </c>
      <c r="IN191" s="24" t="n">
        <v>47</v>
      </c>
      <c r="IO191" s="24" t="n">
        <v>2</v>
      </c>
      <c r="IP191" s="24" t="n">
        <v>0.27</v>
      </c>
      <c r="IQ191" s="24" t="n">
        <v>3</v>
      </c>
      <c r="IX191" s="28"/>
      <c r="JP191" s="24" t="n">
        <v>0</v>
      </c>
      <c r="LA191" s="27" t="n">
        <v>1.9</v>
      </c>
      <c r="LB191" s="27" t="n">
        <v>1</v>
      </c>
      <c r="LC191" s="27" t="n">
        <v>1</v>
      </c>
      <c r="LD191" s="27"/>
      <c r="LE191" s="27" t="n">
        <f aca="false">5.29*3</f>
        <v>15.87</v>
      </c>
      <c r="LF191" s="27"/>
      <c r="LG191" s="27"/>
      <c r="LH191" s="27"/>
      <c r="LI191" s="27"/>
      <c r="LJ191" s="27"/>
      <c r="LK191" s="27"/>
      <c r="LL191" s="27" t="n">
        <v>1.12</v>
      </c>
      <c r="LM191" s="27" t="n">
        <v>0.27</v>
      </c>
      <c r="LN191" s="27"/>
      <c r="LO191" s="27"/>
      <c r="LP191" s="27" t="n">
        <v>0</v>
      </c>
      <c r="LQ191" s="27" t="n">
        <v>0</v>
      </c>
      <c r="LR191" s="27" t="n">
        <v>0</v>
      </c>
      <c r="LS191" s="24" t="n">
        <v>0</v>
      </c>
      <c r="LT191" s="24" t="s">
        <v>244</v>
      </c>
      <c r="LU191" s="24" t="n">
        <v>24.5</v>
      </c>
      <c r="LV191" s="27" t="n">
        <v>84.2</v>
      </c>
      <c r="LW191" s="27" t="n">
        <v>80.4</v>
      </c>
      <c r="LX191" s="27" t="n">
        <v>11.9</v>
      </c>
      <c r="LY191" s="24" t="n">
        <v>97.51</v>
      </c>
      <c r="LZ191" s="24" t="n">
        <v>0</v>
      </c>
      <c r="MA191" s="24" t="n">
        <v>2.49</v>
      </c>
      <c r="MB191" s="24" t="n">
        <v>0</v>
      </c>
      <c r="MC191" s="24" t="n">
        <v>0</v>
      </c>
      <c r="MD191" s="24" t="n">
        <v>0</v>
      </c>
      <c r="ME191" s="24" t="n">
        <v>0</v>
      </c>
      <c r="MF191" s="24" t="n">
        <v>0</v>
      </c>
      <c r="MG191" s="24" t="n">
        <v>0</v>
      </c>
      <c r="MH191" s="24" t="n">
        <v>0</v>
      </c>
      <c r="MI191" s="24" t="n">
        <v>0</v>
      </c>
      <c r="MJ191" s="24" t="n">
        <v>0</v>
      </c>
      <c r="MK191" s="24" t="n">
        <v>3.13</v>
      </c>
      <c r="ML191" s="24" t="n">
        <v>26.34</v>
      </c>
      <c r="MM191" s="24" t="n">
        <v>45.74</v>
      </c>
      <c r="MN191" s="24" t="n">
        <v>0</v>
      </c>
      <c r="MO191" s="24" t="n">
        <v>0</v>
      </c>
      <c r="MP191" s="24" t="n">
        <v>0</v>
      </c>
      <c r="NC191" s="24" t="n">
        <v>0</v>
      </c>
      <c r="ND191" s="24" t="n">
        <v>0</v>
      </c>
      <c r="NO191" s="28"/>
      <c r="OG191" s="24" t="n">
        <v>0</v>
      </c>
      <c r="PR191" s="27" t="n">
        <v>6.4</v>
      </c>
      <c r="PS191" s="27" t="n">
        <v>1</v>
      </c>
      <c r="PT191" s="27" t="n">
        <v>2</v>
      </c>
      <c r="PU191" s="27"/>
      <c r="PV191" s="27" t="n">
        <f aca="false">1.24*2</f>
        <v>2.48</v>
      </c>
      <c r="PW191" s="27" t="n">
        <v>1</v>
      </c>
      <c r="PX191" s="27"/>
      <c r="PY191" s="27" t="n">
        <f aca="false">1.24*3+0.62+0.93+3.18+1.59+3.73+7.46</f>
        <v>21.23</v>
      </c>
      <c r="PZ191" s="27"/>
      <c r="QA191" s="27"/>
      <c r="QB191" s="27"/>
      <c r="QC191" s="27" t="n">
        <v>1.61</v>
      </c>
      <c r="QD191" s="27" t="n">
        <v>1.46</v>
      </c>
      <c r="QE191" s="27"/>
      <c r="QF191" s="27"/>
      <c r="QG191" s="27" t="n">
        <v>0</v>
      </c>
      <c r="QH191" s="27" t="n">
        <v>0</v>
      </c>
      <c r="QI191" s="27" t="n">
        <v>0</v>
      </c>
      <c r="QJ191" s="24" t="n">
        <v>0</v>
      </c>
      <c r="QK191" s="24" t="s">
        <v>245</v>
      </c>
      <c r="QL191" s="24" t="n">
        <v>19.5</v>
      </c>
      <c r="QM191" s="27" t="n">
        <v>76</v>
      </c>
      <c r="QN191" s="27" t="n">
        <v>80.4</v>
      </c>
      <c r="QO191" s="27" t="n">
        <v>10.9</v>
      </c>
      <c r="QP191" s="24" t="n">
        <v>99.87</v>
      </c>
      <c r="QQ191" s="24" t="n">
        <v>0</v>
      </c>
      <c r="QR191" s="24" t="n">
        <v>0</v>
      </c>
      <c r="QS191" s="24" t="n">
        <v>0</v>
      </c>
      <c r="QT191" s="24" t="n">
        <v>0.13</v>
      </c>
      <c r="QU191" s="24" t="n">
        <v>0</v>
      </c>
      <c r="QV191" s="24" t="n">
        <v>0</v>
      </c>
      <c r="QW191" s="24" t="n">
        <v>0</v>
      </c>
      <c r="QX191" s="24" t="n">
        <v>0</v>
      </c>
      <c r="QY191" s="24" t="n">
        <v>0</v>
      </c>
      <c r="QZ191" s="24" t="n">
        <v>0</v>
      </c>
      <c r="RA191" s="24" t="n">
        <v>0.1</v>
      </c>
      <c r="RB191" s="24" t="n">
        <v>0</v>
      </c>
      <c r="RC191" s="24" t="n">
        <v>17.25</v>
      </c>
      <c r="RD191" s="24" t="n">
        <v>40.01</v>
      </c>
      <c r="RE191" s="24" t="n">
        <v>0</v>
      </c>
      <c r="RF191" s="24" t="n">
        <v>0</v>
      </c>
      <c r="RG191" s="24" t="n">
        <v>0</v>
      </c>
      <c r="RT191" s="24" t="n">
        <v>4.5</v>
      </c>
      <c r="RU191" s="24" t="n">
        <v>1</v>
      </c>
      <c r="RV191" s="24" t="n">
        <v>34</v>
      </c>
      <c r="RW191" s="24" t="n">
        <v>2</v>
      </c>
      <c r="RX191" s="24" t="n">
        <v>0.13</v>
      </c>
      <c r="RY191" s="24" t="n">
        <v>1</v>
      </c>
      <c r="RZ191" s="24" t="n">
        <v>52</v>
      </c>
      <c r="SA191" s="24" t="n">
        <v>2</v>
      </c>
      <c r="SB191" s="24" t="n">
        <v>1.52</v>
      </c>
      <c r="SC191" s="24" t="n">
        <v>2</v>
      </c>
      <c r="SF191" s="28"/>
      <c r="SX191" s="24" t="n">
        <v>1</v>
      </c>
      <c r="SY191" s="24" t="n">
        <v>70</v>
      </c>
      <c r="SZ191" s="24" t="n">
        <v>7</v>
      </c>
      <c r="TA191" s="24" t="n">
        <v>0.7</v>
      </c>
      <c r="TB191" s="24" t="n">
        <v>3</v>
      </c>
      <c r="UI191" s="27" t="n">
        <v>0.72</v>
      </c>
      <c r="UJ191" s="27" t="n">
        <v>1</v>
      </c>
      <c r="UK191" s="27" t="n">
        <v>1</v>
      </c>
      <c r="UL191" s="27"/>
      <c r="UM191" s="27" t="n">
        <f aca="false">1.15+0.56+0.29</f>
        <v>2</v>
      </c>
      <c r="UN191" s="27"/>
      <c r="UO191" s="27"/>
      <c r="UP191" s="27"/>
      <c r="UQ191" s="27"/>
      <c r="UR191" s="27"/>
      <c r="US191" s="27"/>
      <c r="UT191" s="27" t="n">
        <v>0.17</v>
      </c>
      <c r="UU191" s="27" t="n">
        <v>0.17</v>
      </c>
      <c r="UV191" s="27"/>
      <c r="UW191" s="27"/>
      <c r="UX191" s="27" t="n">
        <v>0</v>
      </c>
      <c r="UY191" s="27" t="n">
        <v>0</v>
      </c>
      <c r="UZ191" s="27" t="n">
        <v>0</v>
      </c>
      <c r="VA191" s="24" t="n">
        <v>0</v>
      </c>
      <c r="VB191" s="24" t="s">
        <v>246</v>
      </c>
      <c r="VC191" s="24" t="n">
        <v>27</v>
      </c>
      <c r="VD191" s="27" t="n">
        <v>72</v>
      </c>
      <c r="VE191" s="27" t="n">
        <v>80.4</v>
      </c>
      <c r="VF191" s="27" t="n">
        <v>19.2</v>
      </c>
      <c r="VG191" s="24" t="n">
        <v>86.83</v>
      </c>
      <c r="VH191" s="24" t="n">
        <v>0</v>
      </c>
      <c r="VI191" s="24" t="n">
        <v>0</v>
      </c>
      <c r="VJ191" s="24" t="n">
        <v>0</v>
      </c>
      <c r="VK191" s="24" t="n">
        <v>13.17</v>
      </c>
      <c r="VL191" s="24" t="n">
        <v>0</v>
      </c>
      <c r="VM191" s="24" t="n">
        <v>0</v>
      </c>
      <c r="VN191" s="24" t="n">
        <v>0</v>
      </c>
      <c r="VO191" s="24" t="n">
        <v>0</v>
      </c>
      <c r="VP191" s="24" t="n">
        <v>0</v>
      </c>
      <c r="VQ191" s="24" t="n">
        <v>0</v>
      </c>
      <c r="VR191" s="24" t="n">
        <v>18.28</v>
      </c>
      <c r="VS191" s="24" t="n">
        <v>16.81</v>
      </c>
      <c r="VT191" s="24" t="n">
        <v>9.64</v>
      </c>
      <c r="VU191" s="24" t="n">
        <v>19.74</v>
      </c>
      <c r="VV191" s="24" t="n">
        <v>0</v>
      </c>
      <c r="VW191" s="24" t="n">
        <v>0</v>
      </c>
      <c r="VX191" s="24" t="n">
        <v>0</v>
      </c>
      <c r="WK191" s="24" t="n">
        <v>0</v>
      </c>
      <c r="WL191" s="24" t="n">
        <v>0</v>
      </c>
      <c r="WW191" s="28"/>
      <c r="XO191" s="24" t="n">
        <v>0</v>
      </c>
      <c r="YZ191" s="27" t="n">
        <v>1.43</v>
      </c>
      <c r="ZA191" s="27" t="n">
        <v>1</v>
      </c>
      <c r="ZB191" s="27" t="n">
        <v>1</v>
      </c>
      <c r="ZC191" s="27"/>
      <c r="ZD191" s="27" t="n">
        <f aca="false">6.34+2.11+0.08+0.37</f>
        <v>8.9</v>
      </c>
      <c r="ZE191" s="27"/>
      <c r="ZF191" s="27"/>
      <c r="ZG191" s="27"/>
      <c r="ZH191" s="27"/>
      <c r="ZI191" s="27"/>
      <c r="ZJ191" s="27"/>
      <c r="ZK191" s="27" t="n">
        <v>3.5</v>
      </c>
      <c r="ZL191" s="27" t="n">
        <v>3.5</v>
      </c>
      <c r="ZM191" s="27"/>
      <c r="ZN191" s="27"/>
      <c r="ZO191" s="27" t="n">
        <v>0</v>
      </c>
      <c r="ZP191" s="27" t="n">
        <v>0</v>
      </c>
      <c r="ZQ191" s="27" t="n">
        <v>0</v>
      </c>
      <c r="ZR191" s="24" t="n">
        <v>0</v>
      </c>
      <c r="ZS191" s="24" t="s">
        <v>247</v>
      </c>
      <c r="ZT191" s="24" t="n">
        <v>37</v>
      </c>
      <c r="ZU191" s="27" t="n">
        <v>79.2</v>
      </c>
      <c r="ZV191" s="27" t="n">
        <v>80.4</v>
      </c>
      <c r="ZW191" s="27" t="n">
        <v>12.1</v>
      </c>
      <c r="ZX191" s="24" t="n">
        <v>96.75</v>
      </c>
      <c r="ZY191" s="24" t="n">
        <v>0</v>
      </c>
      <c r="ZZ191" s="24" t="n">
        <v>0</v>
      </c>
      <c r="AAA191" s="24" t="n">
        <v>0</v>
      </c>
      <c r="AAB191" s="24" t="n">
        <v>3.25</v>
      </c>
      <c r="AAC191" s="24" t="n">
        <v>0</v>
      </c>
      <c r="AAD191" s="24" t="n">
        <v>0</v>
      </c>
      <c r="AAE191" s="24" t="n">
        <v>0</v>
      </c>
      <c r="AAF191" s="24" t="n">
        <v>0</v>
      </c>
      <c r="AAG191" s="24" t="n">
        <v>0</v>
      </c>
      <c r="AAH191" s="24" t="n">
        <v>0</v>
      </c>
      <c r="AAI191" s="24" t="n">
        <v>9.06</v>
      </c>
      <c r="AAJ191" s="24" t="n">
        <v>18.15</v>
      </c>
      <c r="AAK191" s="24" t="n">
        <v>25.66</v>
      </c>
      <c r="AAL191" s="24" t="n">
        <v>15.61</v>
      </c>
      <c r="AAM191" s="24" t="n">
        <v>0</v>
      </c>
      <c r="AAN191" s="24" t="n">
        <v>0</v>
      </c>
      <c r="AAO191" s="24" t="n">
        <v>0</v>
      </c>
      <c r="ABB191" s="24" t="n">
        <v>17.8</v>
      </c>
      <c r="ABC191" s="24" t="n">
        <v>1</v>
      </c>
      <c r="ABD191" s="24" t="n">
        <v>47</v>
      </c>
      <c r="ABE191" s="24" t="n">
        <v>3</v>
      </c>
      <c r="ABF191" s="24" t="n">
        <v>2.28</v>
      </c>
      <c r="ABG191" s="24" t="n">
        <v>3</v>
      </c>
      <c r="ABH191" s="24" t="n">
        <v>26</v>
      </c>
      <c r="ABI191" s="24" t="n">
        <v>1</v>
      </c>
      <c r="ABJ191" s="24" t="n">
        <v>0.76</v>
      </c>
      <c r="ABK191" s="24" t="n">
        <v>2</v>
      </c>
      <c r="ABN191" s="28"/>
      <c r="ACF191" s="24" t="n">
        <v>0</v>
      </c>
      <c r="ADQ191" s="27" t="n">
        <v>1.27</v>
      </c>
      <c r="ADR191" s="27" t="n">
        <v>1</v>
      </c>
      <c r="ADS191" s="27" t="n">
        <v>1</v>
      </c>
      <c r="ADT191" s="27"/>
      <c r="ADU191" s="27" t="n">
        <f aca="false">6.34+1.06</f>
        <v>7.4</v>
      </c>
      <c r="ADV191" s="27"/>
      <c r="ADW191" s="27"/>
      <c r="ADX191" s="27"/>
      <c r="ADY191" s="27"/>
      <c r="ADZ191" s="27"/>
      <c r="AEA191" s="27"/>
      <c r="AEB191" s="27" t="n">
        <v>2.86</v>
      </c>
      <c r="AEC191" s="27" t="n">
        <v>2.86</v>
      </c>
      <c r="AED191" s="27"/>
      <c r="AEE191" s="27"/>
      <c r="AEF191" s="27" t="n">
        <v>0</v>
      </c>
      <c r="AEG191" s="27" t="n">
        <v>0</v>
      </c>
      <c r="AEH191" s="27" t="n">
        <v>0</v>
      </c>
      <c r="AEI191" s="24" t="n">
        <v>0</v>
      </c>
      <c r="AEJ191" s="24" t="s">
        <v>248</v>
      </c>
      <c r="AEK191" s="24" t="n">
        <v>33</v>
      </c>
      <c r="AEL191" s="27" t="n">
        <v>122.1</v>
      </c>
      <c r="AEM191" s="27" t="n">
        <v>80.4</v>
      </c>
      <c r="AEN191" s="27" t="n">
        <v>14.1</v>
      </c>
      <c r="AEO191" s="24" t="n">
        <v>91.87</v>
      </c>
      <c r="AEP191" s="24" t="n">
        <v>0</v>
      </c>
      <c r="AEQ191" s="24" t="n">
        <v>5.85</v>
      </c>
      <c r="AER191" s="24" t="n">
        <v>0</v>
      </c>
      <c r="AES191" s="24" t="n">
        <v>2.28</v>
      </c>
      <c r="AET191" s="24" t="n">
        <v>0</v>
      </c>
      <c r="AEU191" s="24" t="n">
        <v>0</v>
      </c>
      <c r="AEV191" s="24" t="n">
        <v>0</v>
      </c>
      <c r="AEW191" s="24" t="n">
        <v>0</v>
      </c>
      <c r="AEX191" s="24" t="n">
        <v>0</v>
      </c>
      <c r="AEY191" s="24" t="n">
        <v>0</v>
      </c>
      <c r="AEZ191" s="24" t="n">
        <v>0</v>
      </c>
      <c r="AFA191" s="24" t="n">
        <v>23.39</v>
      </c>
      <c r="AFB191" s="24" t="n">
        <v>10.3</v>
      </c>
      <c r="AFC191" s="24" t="n">
        <v>49.9</v>
      </c>
      <c r="AFD191" s="24" t="n">
        <v>0</v>
      </c>
      <c r="AFE191" s="24" t="n">
        <v>0</v>
      </c>
      <c r="AFF191" s="24" t="n">
        <v>0</v>
      </c>
      <c r="AFS191" s="24" t="n">
        <v>0</v>
      </c>
      <c r="AFT191" s="24" t="n">
        <v>1</v>
      </c>
      <c r="AFU191" s="24" t="n">
        <v>34</v>
      </c>
      <c r="AFV191" s="24" t="n">
        <v>1</v>
      </c>
      <c r="AFW191" s="24" t="n">
        <v>1.14</v>
      </c>
      <c r="AFX191" s="24" t="n">
        <v>1</v>
      </c>
      <c r="AGE191" s="28"/>
      <c r="AGW191" s="24" t="n">
        <v>0</v>
      </c>
      <c r="AIH191" s="27" t="n">
        <v>4.78</v>
      </c>
      <c r="AII191" s="27" t="n">
        <v>1</v>
      </c>
      <c r="AIJ191" s="27" t="n">
        <v>1</v>
      </c>
      <c r="AIK191" s="27"/>
      <c r="AIL191" s="27" t="n">
        <v>4.23</v>
      </c>
      <c r="AIM191" s="27" t="n">
        <v>2</v>
      </c>
      <c r="AIN191" s="27"/>
      <c r="AIO191" s="27" t="n">
        <f aca="false">1.14+9.52+1.68</f>
        <v>12.34</v>
      </c>
      <c r="AIP191" s="27"/>
      <c r="AIQ191" s="27"/>
      <c r="AIR191" s="27"/>
      <c r="AIS191" s="27" t="n">
        <v>10.43</v>
      </c>
      <c r="AIT191" s="27" t="n">
        <v>22.43</v>
      </c>
      <c r="AIU191" s="27"/>
      <c r="AIV191" s="27"/>
      <c r="AIW191" s="27" t="n">
        <v>0</v>
      </c>
      <c r="AIX191" s="27" t="n">
        <v>0</v>
      </c>
      <c r="AIY191" s="27" t="n">
        <v>0</v>
      </c>
      <c r="AIZ191" s="24" t="n">
        <v>0</v>
      </c>
      <c r="AJA191" s="24" t="s">
        <v>249</v>
      </c>
      <c r="AJB191" s="24" t="n">
        <v>25</v>
      </c>
      <c r="AJC191" s="27" t="n">
        <v>87.3</v>
      </c>
      <c r="AJD191" s="27" t="n">
        <v>80.4</v>
      </c>
      <c r="AJE191" s="27" t="n">
        <v>8.8</v>
      </c>
      <c r="AJF191" s="24" t="n">
        <v>100</v>
      </c>
      <c r="AJG191" s="24" t="n">
        <v>0</v>
      </c>
      <c r="AJH191" s="24" t="n">
        <v>0</v>
      </c>
      <c r="AJI191" s="24" t="n">
        <v>0</v>
      </c>
      <c r="AJJ191" s="24" t="n">
        <v>0</v>
      </c>
      <c r="AJK191" s="24" t="n">
        <v>0</v>
      </c>
      <c r="AJL191" s="24" t="n">
        <v>0</v>
      </c>
      <c r="AJM191" s="24" t="n">
        <v>0</v>
      </c>
      <c r="AJN191" s="24" t="n">
        <v>0</v>
      </c>
      <c r="AJO191" s="24" t="n">
        <v>0</v>
      </c>
      <c r="AJP191" s="24" t="n">
        <v>0</v>
      </c>
      <c r="AJQ191" s="24" t="n">
        <v>0</v>
      </c>
      <c r="AJR191" s="24" t="n">
        <v>11.94</v>
      </c>
      <c r="AJS191" s="24" t="n">
        <v>34.17</v>
      </c>
      <c r="AJT191" s="24" t="n">
        <v>24.72</v>
      </c>
      <c r="AJU191" s="24" t="n">
        <v>0</v>
      </c>
      <c r="AJV191" s="24" t="n">
        <v>6.9</v>
      </c>
      <c r="AJW191" s="24" t="n">
        <v>3</v>
      </c>
      <c r="AJX191" s="24" t="n">
        <v>50</v>
      </c>
      <c r="AJZ191" s="24" t="n">
        <v>2</v>
      </c>
      <c r="AKD191" s="24" t="n">
        <v>50</v>
      </c>
      <c r="AKF191" s="24" t="n">
        <v>2</v>
      </c>
      <c r="AKJ191" s="24" t="n">
        <v>0</v>
      </c>
      <c r="AKK191" s="24" t="n">
        <v>0</v>
      </c>
      <c r="AKV191" s="28"/>
      <c r="ALN191" s="24" t="n">
        <v>1</v>
      </c>
      <c r="ALO191" s="24" t="n">
        <v>50</v>
      </c>
      <c r="ALP191" s="24" t="n">
        <v>1</v>
      </c>
      <c r="ALQ191" s="24" t="n">
        <v>1.86</v>
      </c>
      <c r="ALR191" s="24" t="n">
        <v>3</v>
      </c>
    </row>
    <row r="192" customFormat="false" ht="13.8" hidden="false" customHeight="false" outlineLevel="0" collapsed="false">
      <c r="A192" s="22" t="s">
        <v>688</v>
      </c>
      <c r="B192" s="23" t="n">
        <v>42903</v>
      </c>
      <c r="C192" s="24" t="n">
        <v>2</v>
      </c>
      <c r="D192" s="25" t="n">
        <v>42814</v>
      </c>
      <c r="E192" s="23" t="n">
        <v>30369</v>
      </c>
      <c r="F192" s="14" t="n">
        <f aca="false">(B192-E192)/365.25</f>
        <v>34.3162217659138</v>
      </c>
      <c r="G192" s="14" t="n">
        <f aca="false">(B192-D192)/365.25</f>
        <v>0.243668720054757</v>
      </c>
      <c r="H192" s="21" t="s">
        <v>306</v>
      </c>
      <c r="I192" s="21" t="s">
        <v>689</v>
      </c>
      <c r="J192" s="21" t="s">
        <v>181</v>
      </c>
      <c r="K192" s="21" t="n">
        <v>8</v>
      </c>
      <c r="L192" s="26" t="n">
        <v>109</v>
      </c>
      <c r="M192" s="24" t="n">
        <v>1.75</v>
      </c>
      <c r="N192" s="27" t="n">
        <f aca="false">L192/(M192*M192)</f>
        <v>35.5918367346939</v>
      </c>
      <c r="O192" s="26" t="n">
        <v>0</v>
      </c>
      <c r="P192" s="26" t="n">
        <v>0</v>
      </c>
      <c r="Q192" s="26" t="n">
        <v>0</v>
      </c>
      <c r="R192" s="26" t="n">
        <v>0</v>
      </c>
      <c r="S192" s="26" t="n">
        <v>0</v>
      </c>
      <c r="T192" s="26" t="n">
        <v>0</v>
      </c>
      <c r="U192" s="26" t="n">
        <v>1</v>
      </c>
      <c r="V192" s="26" t="n">
        <v>6</v>
      </c>
      <c r="W192" s="26" t="n">
        <v>1</v>
      </c>
      <c r="X192" s="26" t="n">
        <v>0</v>
      </c>
      <c r="Y192" s="26" t="n">
        <v>0</v>
      </c>
      <c r="Z192" s="26" t="n">
        <v>0</v>
      </c>
      <c r="AA192" s="26" t="n">
        <v>0</v>
      </c>
      <c r="AB192" s="26" t="n">
        <v>0</v>
      </c>
      <c r="AC192" s="26" t="n">
        <v>0</v>
      </c>
      <c r="AD192" s="26" t="n">
        <v>0</v>
      </c>
      <c r="AE192" s="26" t="n">
        <v>1</v>
      </c>
      <c r="AF192" s="26" t="n">
        <v>0</v>
      </c>
      <c r="AG192" s="26" t="n">
        <v>1</v>
      </c>
      <c r="AH192" s="26" t="n">
        <v>4</v>
      </c>
      <c r="AI192" s="26" t="n">
        <v>0</v>
      </c>
      <c r="AJ192" s="26" t="n">
        <v>0</v>
      </c>
      <c r="AK192" s="26" t="n">
        <v>0</v>
      </c>
      <c r="AL192" s="26" t="n">
        <v>0</v>
      </c>
      <c r="AM192" s="26" t="n">
        <v>0</v>
      </c>
      <c r="AN192" s="26" t="n">
        <v>1</v>
      </c>
      <c r="AO192" s="26" t="n">
        <v>0</v>
      </c>
      <c r="AP192" s="26" t="n">
        <v>0</v>
      </c>
      <c r="AQ192" s="26" t="n">
        <v>0</v>
      </c>
      <c r="AR192" s="26" t="n">
        <v>0</v>
      </c>
      <c r="AS192" s="26" t="n">
        <v>1</v>
      </c>
      <c r="AT192" s="26" t="n">
        <v>1</v>
      </c>
      <c r="AU192" s="26" t="n">
        <v>0</v>
      </c>
      <c r="AV192" s="26" t="n">
        <v>0</v>
      </c>
      <c r="AW192" s="26" t="n">
        <v>0</v>
      </c>
      <c r="AX192" s="26" t="n">
        <v>0</v>
      </c>
      <c r="AY192" s="26" t="n">
        <v>0</v>
      </c>
      <c r="AZ192" s="26" t="n">
        <v>0</v>
      </c>
      <c r="BA192" s="26" t="n">
        <v>0</v>
      </c>
      <c r="BB192" s="26" t="n">
        <v>1</v>
      </c>
      <c r="BC192" s="26" t="n">
        <v>1</v>
      </c>
      <c r="BD192" s="26" t="n">
        <v>0</v>
      </c>
      <c r="BE192" s="26" t="n">
        <v>0</v>
      </c>
      <c r="BF192" s="26" t="n">
        <v>0</v>
      </c>
      <c r="BG192" s="26" t="n">
        <v>0</v>
      </c>
      <c r="BH192" s="26" t="n">
        <v>0</v>
      </c>
      <c r="BI192" s="26" t="n">
        <v>0</v>
      </c>
      <c r="BJ192" s="26" t="n">
        <v>1</v>
      </c>
      <c r="BK192" s="26" t="n">
        <v>0</v>
      </c>
      <c r="BL192" s="26" t="n">
        <v>0</v>
      </c>
      <c r="BM192" s="26" t="n">
        <v>0</v>
      </c>
      <c r="BN192" s="26" t="n">
        <v>0</v>
      </c>
      <c r="BO192" s="26" t="n">
        <v>0</v>
      </c>
      <c r="BP192" s="26" t="n">
        <v>0</v>
      </c>
      <c r="BQ192" s="26" t="n">
        <v>0</v>
      </c>
      <c r="BR192" s="26" t="n">
        <v>1</v>
      </c>
      <c r="BS192" s="26" t="n">
        <v>2</v>
      </c>
      <c r="BT192" s="26" t="n">
        <v>4</v>
      </c>
      <c r="BU192" s="26" t="n">
        <v>5</v>
      </c>
      <c r="BV192" s="26" t="n">
        <v>3</v>
      </c>
      <c r="BW192" s="26" t="n">
        <v>1</v>
      </c>
      <c r="BX192" s="26" t="n">
        <v>5</v>
      </c>
      <c r="BY192" s="26" t="n">
        <v>4</v>
      </c>
      <c r="BZ192" s="26" t="n">
        <v>5</v>
      </c>
      <c r="CA192" s="26" t="n">
        <v>4</v>
      </c>
      <c r="CB192" s="26" t="n">
        <v>4</v>
      </c>
      <c r="CC192" s="26" t="n">
        <v>4</v>
      </c>
      <c r="CD192" s="26" t="n">
        <v>4</v>
      </c>
      <c r="CE192" s="26" t="n">
        <v>5</v>
      </c>
      <c r="CF192" s="26" t="n">
        <v>4</v>
      </c>
      <c r="CG192" s="26" t="n">
        <v>5</v>
      </c>
      <c r="CH192" s="26" t="n">
        <v>5</v>
      </c>
      <c r="CI192" s="26" t="n">
        <v>5</v>
      </c>
      <c r="CJ192" s="26" t="n">
        <v>4</v>
      </c>
      <c r="CK192" s="26" t="n">
        <v>8</v>
      </c>
      <c r="CL192" s="24" t="s">
        <v>690</v>
      </c>
      <c r="CM192" s="24" t="n">
        <v>38</v>
      </c>
      <c r="CN192" s="27" t="n">
        <v>85.5</v>
      </c>
      <c r="CO192" s="27" t="n">
        <v>83.4</v>
      </c>
      <c r="CP192" s="27" t="n">
        <v>28.7</v>
      </c>
      <c r="CQ192" s="24" t="n">
        <v>61.84</v>
      </c>
      <c r="CR192" s="24" t="n">
        <v>0</v>
      </c>
      <c r="CS192" s="24" t="n">
        <v>0</v>
      </c>
      <c r="CT192" s="24" t="n">
        <v>0</v>
      </c>
      <c r="CU192" s="24" t="n">
        <v>37.42</v>
      </c>
      <c r="CV192" s="24" t="n">
        <v>0</v>
      </c>
      <c r="CW192" s="24" t="n">
        <v>0.73</v>
      </c>
      <c r="CX192" s="24" t="n">
        <v>0</v>
      </c>
      <c r="CY192" s="24" t="n">
        <v>0</v>
      </c>
      <c r="CZ192" s="24" t="n">
        <v>0.74</v>
      </c>
      <c r="DA192" s="24" t="n">
        <v>0</v>
      </c>
      <c r="DB192" s="24" t="n">
        <v>7.34</v>
      </c>
      <c r="DC192" s="24" t="n">
        <v>25.37</v>
      </c>
      <c r="DD192" s="24" t="n">
        <v>15.03</v>
      </c>
      <c r="DE192" s="24" t="n">
        <v>30.09</v>
      </c>
      <c r="DF192" s="24" t="n">
        <v>0</v>
      </c>
      <c r="DG192" s="24" t="n">
        <v>0</v>
      </c>
      <c r="DH192" s="24" t="n">
        <v>0</v>
      </c>
      <c r="DU192" s="24" t="n">
        <v>1.7</v>
      </c>
      <c r="DV192" s="24" t="n">
        <v>0</v>
      </c>
      <c r="EG192" s="28"/>
      <c r="EY192" s="24" t="n">
        <v>1</v>
      </c>
      <c r="EZ192" s="24" t="n">
        <v>50</v>
      </c>
      <c r="FA192" s="24" t="n">
        <v>4</v>
      </c>
      <c r="FB192" s="24" t="n">
        <v>0.46</v>
      </c>
      <c r="FC192" s="24" t="n">
        <v>6</v>
      </c>
      <c r="FD192" s="24" t="n">
        <v>40</v>
      </c>
      <c r="FE192" s="24" t="n">
        <v>10</v>
      </c>
      <c r="FF192" s="24" t="n">
        <f aca="false">0.17*2+0.06+0.07</f>
        <v>0.47</v>
      </c>
      <c r="FG192" s="24" t="n">
        <v>1</v>
      </c>
      <c r="FH192" s="24" t="n">
        <v>40</v>
      </c>
      <c r="FI192" s="24" t="n">
        <v>10</v>
      </c>
      <c r="FJ192" s="24" t="n">
        <f aca="false">0.17*2+0.07*2+0.03</f>
        <v>0.51</v>
      </c>
      <c r="FK192" s="24" t="n">
        <v>6</v>
      </c>
      <c r="FL192" s="24" t="n">
        <v>60</v>
      </c>
      <c r="FM192" s="24" t="n">
        <v>6</v>
      </c>
      <c r="FN192" s="24" t="n">
        <f aca="false">4.4*2+0.39*2+0.26</f>
        <v>9.84</v>
      </c>
      <c r="FO192" s="24" t="n">
        <v>3</v>
      </c>
      <c r="GJ192" s="27" t="n">
        <v>1.55</v>
      </c>
      <c r="GK192" s="27" t="n">
        <v>1</v>
      </c>
      <c r="GL192" s="27" t="n">
        <v>1</v>
      </c>
      <c r="GM192" s="27"/>
      <c r="GN192" s="27" t="n">
        <f aca="false">1.65*2</f>
        <v>3.3</v>
      </c>
      <c r="GO192" s="27" t="n">
        <v>2</v>
      </c>
      <c r="GP192" s="27"/>
      <c r="GQ192" s="27" t="n">
        <v>0.54</v>
      </c>
      <c r="GR192" s="27"/>
      <c r="GS192" s="27"/>
      <c r="GT192" s="27"/>
      <c r="GU192" s="27" t="n">
        <v>5.74</v>
      </c>
      <c r="GV192" s="27" t="n">
        <v>3.64</v>
      </c>
      <c r="GW192" s="27"/>
      <c r="GX192" s="27"/>
      <c r="GY192" s="27" t="n">
        <v>0</v>
      </c>
      <c r="GZ192" s="27" t="n">
        <v>0</v>
      </c>
      <c r="HA192" s="27" t="n">
        <v>0</v>
      </c>
      <c r="HB192" s="24" t="n">
        <v>0</v>
      </c>
      <c r="HC192" s="24" t="s">
        <v>691</v>
      </c>
      <c r="HD192" s="24" t="n">
        <v>63.5</v>
      </c>
      <c r="HE192" s="27" t="n">
        <v>98.9</v>
      </c>
      <c r="HF192" s="27" t="n">
        <v>83.4</v>
      </c>
      <c r="HG192" s="27" t="n">
        <v>51</v>
      </c>
      <c r="HH192" s="24" t="n">
        <v>53.65</v>
      </c>
      <c r="HI192" s="24" t="n">
        <v>0</v>
      </c>
      <c r="HJ192" s="24" t="n">
        <v>11.99</v>
      </c>
      <c r="HK192" s="24" t="n">
        <v>24.1</v>
      </c>
      <c r="HL192" s="24" t="n">
        <v>10.26</v>
      </c>
      <c r="HM192" s="24" t="n">
        <v>0</v>
      </c>
      <c r="HN192" s="24" t="n">
        <v>0</v>
      </c>
      <c r="HO192" s="24" t="n">
        <v>0</v>
      </c>
      <c r="HP192" s="24" t="n">
        <v>0</v>
      </c>
      <c r="HQ192" s="24" t="n">
        <v>0</v>
      </c>
      <c r="HR192" s="24" t="n">
        <v>0</v>
      </c>
      <c r="HS192" s="24" t="n">
        <v>9.1</v>
      </c>
      <c r="HT192" s="24" t="n">
        <v>26.31</v>
      </c>
      <c r="HU192" s="24" t="n">
        <v>5.53</v>
      </c>
      <c r="HV192" s="24" t="n">
        <v>0.94</v>
      </c>
      <c r="HW192" s="24" t="n">
        <v>0</v>
      </c>
      <c r="HX192" s="24" t="n">
        <v>0</v>
      </c>
      <c r="HY192" s="24" t="n">
        <v>0</v>
      </c>
      <c r="IL192" s="24" t="n">
        <v>6.1</v>
      </c>
      <c r="IM192" s="24" t="n">
        <v>0</v>
      </c>
      <c r="IX192" s="28"/>
      <c r="JP192" s="24" t="n">
        <v>1</v>
      </c>
      <c r="JQ192" s="24" t="n">
        <v>50</v>
      </c>
      <c r="JR192" s="24" t="n">
        <v>1</v>
      </c>
      <c r="JS192" s="24" t="n">
        <v>0.39</v>
      </c>
      <c r="JT192" s="24" t="n">
        <v>3</v>
      </c>
      <c r="JU192" s="24" t="n">
        <v>50</v>
      </c>
      <c r="JV192" s="24" t="n">
        <v>2</v>
      </c>
      <c r="JW192" s="24" t="n">
        <f aca="false">0.19+0.23</f>
        <v>0.42</v>
      </c>
      <c r="JX192" s="24" t="n">
        <v>4</v>
      </c>
      <c r="JY192" s="24" t="n">
        <v>60</v>
      </c>
      <c r="JZ192" s="24" t="n">
        <v>12</v>
      </c>
      <c r="KA192" s="24" t="n">
        <f aca="false">0.78*2</f>
        <v>1.56</v>
      </c>
      <c r="KB192" s="24" t="n">
        <v>6</v>
      </c>
      <c r="LA192" s="27" t="n">
        <v>5.39</v>
      </c>
      <c r="LB192" s="27" t="n">
        <v>1</v>
      </c>
      <c r="LC192" s="27" t="n">
        <v>1</v>
      </c>
      <c r="LD192" s="27"/>
      <c r="LE192" s="27" t="n">
        <f aca="false">2.04*3+0.36*2</f>
        <v>6.84</v>
      </c>
      <c r="LF192" s="27" t="n">
        <v>2</v>
      </c>
      <c r="LG192" s="27"/>
      <c r="LH192" s="27" t="n">
        <f aca="false">0.72*2+0.36</f>
        <v>1.8</v>
      </c>
      <c r="LI192" s="27" t="n">
        <v>3</v>
      </c>
      <c r="LJ192" s="27"/>
      <c r="LK192" s="27" t="n">
        <v>0.5</v>
      </c>
      <c r="LL192" s="27" t="n">
        <v>0.94</v>
      </c>
      <c r="LM192" s="27" t="n">
        <v>0.94</v>
      </c>
      <c r="LN192" s="27"/>
      <c r="LO192" s="27"/>
      <c r="LP192" s="27" t="n">
        <v>0</v>
      </c>
      <c r="LQ192" s="27" t="n">
        <v>0</v>
      </c>
      <c r="LR192" s="27" t="n">
        <v>0</v>
      </c>
      <c r="LS192" s="24" t="n">
        <v>0</v>
      </c>
      <c r="LT192" s="24" t="s">
        <v>692</v>
      </c>
      <c r="LU192" s="24" t="n">
        <v>30.5</v>
      </c>
      <c r="LV192" s="27" t="n">
        <v>69.11</v>
      </c>
      <c r="LW192" s="27" t="n">
        <v>83.4</v>
      </c>
      <c r="LX192" s="27" t="n">
        <v>18.1</v>
      </c>
      <c r="LY192" s="24" t="n">
        <v>79.03</v>
      </c>
      <c r="LZ192" s="24" t="n">
        <v>0.45</v>
      </c>
      <c r="MA192" s="24" t="n">
        <v>0</v>
      </c>
      <c r="MB192" s="24" t="n">
        <v>0</v>
      </c>
      <c r="MC192" s="24" t="n">
        <v>20.52</v>
      </c>
      <c r="MD192" s="24" t="n">
        <v>0</v>
      </c>
      <c r="ME192" s="24" t="n">
        <v>0</v>
      </c>
      <c r="MF192" s="24" t="n">
        <v>0</v>
      </c>
      <c r="MG192" s="24" t="n">
        <v>0</v>
      </c>
      <c r="MH192" s="24" t="n">
        <v>0</v>
      </c>
      <c r="MI192" s="24" t="n">
        <v>0</v>
      </c>
      <c r="MJ192" s="24" t="n">
        <v>0</v>
      </c>
      <c r="MK192" s="24" t="n">
        <v>12.58</v>
      </c>
      <c r="ML192" s="24" t="n">
        <v>17.94</v>
      </c>
      <c r="MM192" s="24" t="n">
        <v>18.04</v>
      </c>
      <c r="MN192" s="24" t="n">
        <v>0</v>
      </c>
      <c r="MO192" s="24" t="n">
        <v>0</v>
      </c>
      <c r="MP192" s="24" t="n">
        <v>0</v>
      </c>
      <c r="NC192" s="24" t="n">
        <v>8.1</v>
      </c>
      <c r="ND192" s="24" t="n">
        <v>1</v>
      </c>
      <c r="NE192" s="24" t="n">
        <v>35</v>
      </c>
      <c r="NF192" s="24" t="n">
        <v>4</v>
      </c>
      <c r="NG192" s="24" t="n">
        <f aca="false">2.2+0.39</f>
        <v>2.59</v>
      </c>
      <c r="NH192" s="24" t="n">
        <v>3</v>
      </c>
      <c r="NO192" s="28"/>
      <c r="OG192" s="24" t="n">
        <v>1</v>
      </c>
      <c r="OH192" s="24" t="n">
        <v>60</v>
      </c>
      <c r="OI192" s="24" t="n">
        <v>1</v>
      </c>
      <c r="OJ192" s="24" t="n">
        <v>0.73</v>
      </c>
      <c r="OK192" s="24" t="n">
        <v>3</v>
      </c>
      <c r="PR192" s="27" t="n">
        <v>3.89</v>
      </c>
      <c r="PS192" s="27" t="n">
        <v>1</v>
      </c>
      <c r="PT192" s="27" t="n">
        <v>1</v>
      </c>
      <c r="PU192" s="27"/>
      <c r="PV192" s="27" t="n">
        <f aca="false">0.14*2+0.21*2</f>
        <v>0.7</v>
      </c>
      <c r="PW192" s="27" t="n">
        <v>2</v>
      </c>
      <c r="PX192" s="27"/>
      <c r="PY192" s="27" t="n">
        <f aca="false">1.65*2</f>
        <v>3.3</v>
      </c>
      <c r="PZ192" s="27"/>
      <c r="QA192" s="27"/>
      <c r="QB192" s="27"/>
      <c r="QC192" s="27" t="n">
        <v>0</v>
      </c>
      <c r="QD192" s="27" t="n">
        <v>0</v>
      </c>
      <c r="QE192" s="27"/>
      <c r="QF192" s="27"/>
      <c r="QG192" s="27" t="n">
        <v>0</v>
      </c>
      <c r="QH192" s="27" t="n">
        <v>0</v>
      </c>
      <c r="QI192" s="27" t="n">
        <v>0</v>
      </c>
      <c r="QJ192" s="24" t="n">
        <v>0</v>
      </c>
      <c r="QK192" s="24" t="s">
        <v>693</v>
      </c>
      <c r="QL192" s="24" t="n">
        <v>33.5</v>
      </c>
      <c r="QM192" s="27" t="n">
        <v>92.3</v>
      </c>
      <c r="QN192" s="27" t="n">
        <v>83.4</v>
      </c>
      <c r="QO192" s="27" t="n">
        <v>19.8</v>
      </c>
      <c r="QP192" s="24" t="n">
        <v>72.02</v>
      </c>
      <c r="QQ192" s="24" t="n">
        <v>2.2</v>
      </c>
      <c r="QR192" s="24" t="n">
        <v>7.75</v>
      </c>
      <c r="QS192" s="24" t="n">
        <v>0</v>
      </c>
      <c r="QT192" s="24" t="n">
        <v>5.49</v>
      </c>
      <c r="QU192" s="24" t="n">
        <v>0</v>
      </c>
      <c r="QV192" s="24" t="n">
        <v>6.84</v>
      </c>
      <c r="QW192" s="24" t="n">
        <v>0</v>
      </c>
      <c r="QX192" s="24" t="n">
        <v>0</v>
      </c>
      <c r="QY192" s="24" t="n">
        <v>0</v>
      </c>
      <c r="QZ192" s="24" t="n">
        <v>0</v>
      </c>
      <c r="RA192" s="24" t="n">
        <v>7.13</v>
      </c>
      <c r="RB192" s="24" t="n">
        <v>54.84</v>
      </c>
      <c r="RC192" s="24" t="n">
        <v>10.13</v>
      </c>
      <c r="RD192" s="24" t="n">
        <v>3.36</v>
      </c>
      <c r="RE192" s="24" t="n">
        <v>5.7</v>
      </c>
      <c r="RF192" s="24" t="n">
        <v>0</v>
      </c>
      <c r="RG192" s="24" t="n">
        <v>0</v>
      </c>
      <c r="RP192" s="24" t="n">
        <v>2</v>
      </c>
      <c r="RT192" s="24" t="n">
        <v>3.4</v>
      </c>
      <c r="RU192" s="24" t="n">
        <v>1</v>
      </c>
      <c r="RV192" s="24" t="n">
        <v>34</v>
      </c>
      <c r="RW192" s="24" t="n">
        <v>1</v>
      </c>
      <c r="RX192" s="24" t="n">
        <v>1.28</v>
      </c>
      <c r="RY192" s="24" t="n">
        <v>1</v>
      </c>
      <c r="RZ192" s="24" t="n">
        <v>52</v>
      </c>
      <c r="SA192" s="24" t="n">
        <v>1</v>
      </c>
      <c r="SB192" s="24" t="n">
        <v>0.73</v>
      </c>
      <c r="SC192" s="24" t="n">
        <v>2</v>
      </c>
      <c r="SD192" s="24" t="n">
        <v>30</v>
      </c>
      <c r="SE192" s="24" t="n">
        <v>1</v>
      </c>
      <c r="SF192" s="28" t="n">
        <v>0.13</v>
      </c>
      <c r="SG192" s="24" t="n">
        <v>3</v>
      </c>
      <c r="SX192" s="24" t="n">
        <v>1</v>
      </c>
      <c r="SY192" s="24" t="n">
        <v>40</v>
      </c>
      <c r="SZ192" s="24" t="n">
        <v>1</v>
      </c>
      <c r="TA192" s="24" t="n">
        <v>1.83</v>
      </c>
      <c r="TB192" s="24" t="n">
        <v>6</v>
      </c>
      <c r="TC192" s="24" t="n">
        <v>40</v>
      </c>
      <c r="TD192" s="24" t="n">
        <v>1</v>
      </c>
      <c r="TE192" s="24" t="n">
        <v>1.65</v>
      </c>
      <c r="TF192" s="24" t="n">
        <v>3</v>
      </c>
      <c r="TG192" s="24" t="n">
        <v>40</v>
      </c>
      <c r="TH192" s="24" t="n">
        <v>1</v>
      </c>
      <c r="TI192" s="24" t="n">
        <v>1.83</v>
      </c>
      <c r="TJ192" s="24" t="n">
        <v>4</v>
      </c>
      <c r="TK192" s="24" t="n">
        <v>40</v>
      </c>
      <c r="TL192" s="24" t="n">
        <v>4</v>
      </c>
      <c r="TM192" s="24" t="n">
        <v>0.26</v>
      </c>
      <c r="TN192" s="24" t="n">
        <v>1</v>
      </c>
      <c r="UI192" s="27" t="n">
        <v>3.89</v>
      </c>
      <c r="UJ192" s="27" t="n">
        <v>1</v>
      </c>
      <c r="UK192" s="27" t="n">
        <v>1</v>
      </c>
      <c r="UL192" s="27"/>
      <c r="UM192" s="27" t="n">
        <f aca="false">0.36*2</f>
        <v>0.72</v>
      </c>
      <c r="UN192" s="27" t="n">
        <v>2</v>
      </c>
      <c r="UO192" s="27"/>
      <c r="UP192" s="27" t="n">
        <f aca="false">2.04*2</f>
        <v>4.08</v>
      </c>
      <c r="UQ192" s="27"/>
      <c r="UR192" s="27"/>
      <c r="US192" s="27"/>
      <c r="UT192" s="27" t="n">
        <v>3.27</v>
      </c>
      <c r="UU192" s="27" t="n">
        <v>2.46</v>
      </c>
      <c r="UV192" s="27"/>
      <c r="UW192" s="27"/>
      <c r="UX192" s="27" t="n">
        <v>2.88</v>
      </c>
      <c r="UY192" s="27" t="n">
        <v>4.14</v>
      </c>
      <c r="UZ192" s="27" t="n">
        <v>0</v>
      </c>
      <c r="VA192" s="24" t="n">
        <v>0</v>
      </c>
      <c r="VB192" s="24" t="s">
        <v>694</v>
      </c>
      <c r="VC192" s="24" t="n">
        <v>40</v>
      </c>
      <c r="VD192" s="27" t="n">
        <v>78.1</v>
      </c>
      <c r="VE192" s="27" t="n">
        <v>83.4</v>
      </c>
      <c r="VF192" s="27" t="n">
        <v>34.6</v>
      </c>
      <c r="VG192" s="24" t="n">
        <v>66.6</v>
      </c>
      <c r="VH192" s="24" t="n">
        <v>0</v>
      </c>
      <c r="VI192" s="24" t="n">
        <v>18.54</v>
      </c>
      <c r="VJ192" s="24" t="n">
        <v>7.52</v>
      </c>
      <c r="VK192" s="24" t="n">
        <v>0</v>
      </c>
      <c r="VL192" s="24" t="n">
        <v>0</v>
      </c>
      <c r="VM192" s="24" t="n">
        <v>0</v>
      </c>
      <c r="VN192" s="24" t="n">
        <v>0</v>
      </c>
      <c r="VO192" s="24" t="n">
        <v>0</v>
      </c>
      <c r="VP192" s="24" t="n">
        <v>0</v>
      </c>
      <c r="VQ192" s="24" t="n">
        <v>0</v>
      </c>
      <c r="VR192" s="24" t="n">
        <v>0</v>
      </c>
      <c r="VS192" s="24" t="n">
        <v>28.45</v>
      </c>
      <c r="VT192" s="24" t="n">
        <v>20.45</v>
      </c>
      <c r="VU192" s="24" t="n">
        <v>0.01</v>
      </c>
      <c r="VV192" s="24" t="n">
        <v>7.34</v>
      </c>
      <c r="VW192" s="24" t="n">
        <v>0</v>
      </c>
      <c r="VX192" s="24" t="n">
        <v>0</v>
      </c>
      <c r="WK192" s="24" t="n">
        <v>0</v>
      </c>
      <c r="WL192" s="24" t="n">
        <v>0</v>
      </c>
      <c r="WW192" s="28"/>
      <c r="XO192" s="24" t="n">
        <v>1</v>
      </c>
      <c r="XP192" s="24" t="n">
        <v>40</v>
      </c>
      <c r="XQ192" s="24" t="n">
        <v>1</v>
      </c>
      <c r="XR192" s="24" t="n">
        <v>0.73</v>
      </c>
      <c r="XS192" s="24" t="n">
        <v>3</v>
      </c>
      <c r="YZ192" s="27" t="n">
        <v>1.22</v>
      </c>
      <c r="ZA192" s="27" t="n">
        <v>1</v>
      </c>
      <c r="ZB192" s="27" t="n">
        <v>1</v>
      </c>
      <c r="ZC192" s="27"/>
      <c r="ZD192" s="27" t="n">
        <f aca="false">1.65+3.3</f>
        <v>4.95</v>
      </c>
      <c r="ZE192" s="27"/>
      <c r="ZF192" s="27"/>
      <c r="ZG192" s="27"/>
      <c r="ZH192" s="27"/>
      <c r="ZI192" s="27"/>
      <c r="ZJ192" s="27"/>
      <c r="ZK192" s="27" t="n">
        <v>1.1</v>
      </c>
      <c r="ZL192" s="27" t="n">
        <v>1.1</v>
      </c>
      <c r="ZM192" s="27"/>
      <c r="ZN192" s="27"/>
      <c r="ZO192" s="27" t="n">
        <v>2.88</v>
      </c>
      <c r="ZP192" s="27" t="n">
        <v>6.79</v>
      </c>
      <c r="ZQ192" s="27" t="n">
        <v>0</v>
      </c>
      <c r="ZR192" s="24" t="n">
        <v>0</v>
      </c>
      <c r="ZS192" s="24" t="s">
        <v>695</v>
      </c>
      <c r="ZT192" s="24" t="n">
        <v>34</v>
      </c>
      <c r="ZU192" s="27" t="n">
        <v>59.4</v>
      </c>
      <c r="ZV192" s="27" t="n">
        <v>83.4</v>
      </c>
      <c r="ZW192" s="27" t="n">
        <v>9.1</v>
      </c>
      <c r="ZX192" s="24" t="n">
        <v>92.63</v>
      </c>
      <c r="ZY192" s="24" t="n">
        <v>0</v>
      </c>
      <c r="ZZ192" s="24" t="n">
        <v>0.36</v>
      </c>
      <c r="AAA192" s="24" t="n">
        <v>0</v>
      </c>
      <c r="AAB192" s="24" t="n">
        <v>7.01</v>
      </c>
      <c r="AAC192" s="24" t="n">
        <v>0</v>
      </c>
      <c r="AAD192" s="24" t="n">
        <v>0</v>
      </c>
      <c r="AAE192" s="24" t="n">
        <v>0</v>
      </c>
      <c r="AAF192" s="24" t="n">
        <v>0</v>
      </c>
      <c r="AAG192" s="24" t="n">
        <v>0</v>
      </c>
      <c r="AAH192" s="24" t="n">
        <v>0</v>
      </c>
      <c r="AAI192" s="24" t="n">
        <v>0</v>
      </c>
      <c r="AAJ192" s="24" t="n">
        <v>16.01</v>
      </c>
      <c r="AAK192" s="24" t="n">
        <v>17.15</v>
      </c>
      <c r="AAL192" s="24" t="n">
        <v>0</v>
      </c>
      <c r="AAM192" s="24" t="n">
        <v>0</v>
      </c>
      <c r="AAN192" s="24" t="n">
        <v>0</v>
      </c>
      <c r="AAO192" s="24" t="n">
        <v>0</v>
      </c>
      <c r="ABB192" s="24" t="n">
        <v>5.1</v>
      </c>
      <c r="ABC192" s="24" t="n">
        <v>0</v>
      </c>
      <c r="ABN192" s="28"/>
      <c r="ACF192" s="24" t="n">
        <v>1</v>
      </c>
      <c r="ACG192" s="24" t="n">
        <v>80</v>
      </c>
      <c r="ACH192" s="24" t="n">
        <v>4</v>
      </c>
      <c r="ACI192" s="24" t="n">
        <f aca="false">0.95*2</f>
        <v>1.9</v>
      </c>
      <c r="ACJ192" s="24" t="n">
        <v>3</v>
      </c>
      <c r="ACK192" s="24" t="n">
        <v>100</v>
      </c>
      <c r="ACL192" s="24" t="n">
        <v>1</v>
      </c>
      <c r="ACM192" s="24" t="n">
        <v>0.36</v>
      </c>
      <c r="ACN192" s="24" t="n">
        <v>1</v>
      </c>
      <c r="ADQ192" s="27" t="n">
        <v>8.7</v>
      </c>
      <c r="ADR192" s="27" t="n">
        <v>1</v>
      </c>
      <c r="ADS192" s="27" t="n">
        <v>2</v>
      </c>
      <c r="ADT192" s="27"/>
      <c r="ADU192" s="27" t="n">
        <f aca="false">2.04*4+1.65+0.29</f>
        <v>10.1</v>
      </c>
      <c r="ADV192" s="27"/>
      <c r="ADW192" s="27"/>
      <c r="ADX192" s="27"/>
      <c r="ADY192" s="27"/>
      <c r="ADZ192" s="27"/>
      <c r="AEA192" s="27"/>
      <c r="AEB192" s="27" t="n">
        <v>11.09</v>
      </c>
      <c r="AEC192" s="27" t="n">
        <v>17.02</v>
      </c>
      <c r="AED192" s="27"/>
      <c r="AEE192" s="27"/>
      <c r="AEF192" s="27" t="n">
        <v>0</v>
      </c>
      <c r="AEG192" s="27" t="n">
        <v>0</v>
      </c>
      <c r="AEH192" s="27" t="n">
        <v>0</v>
      </c>
      <c r="AEI192" s="24" t="n">
        <v>0</v>
      </c>
      <c r="AEJ192" s="33"/>
      <c r="AEK192" s="21"/>
      <c r="AEL192" s="21"/>
      <c r="AEN192" s="33"/>
      <c r="AEO192" s="33"/>
      <c r="AER192" s="33"/>
      <c r="AES192" s="21"/>
      <c r="AET192" s="21"/>
      <c r="AEV192" s="33"/>
      <c r="AEW192" s="33"/>
      <c r="AEZ192" s="33"/>
      <c r="AFA192" s="21"/>
      <c r="AFB192" s="21"/>
      <c r="AFD192" s="33"/>
      <c r="AFE192" s="33"/>
      <c r="AFH192" s="33"/>
      <c r="AFI192" s="21"/>
      <c r="AFJ192" s="21"/>
      <c r="AFL192" s="33"/>
      <c r="AFM192" s="33"/>
      <c r="AFP192" s="33"/>
      <c r="AFQ192" s="21"/>
      <c r="AFR192" s="21"/>
      <c r="AFT192" s="33"/>
      <c r="AFU192" s="33"/>
      <c r="AFX192" s="33"/>
      <c r="AFY192" s="21"/>
      <c r="AFZ192" s="21"/>
      <c r="AGB192" s="33"/>
      <c r="AGC192" s="33"/>
      <c r="AGF192" s="33"/>
      <c r="AGG192" s="21"/>
      <c r="AGH192" s="21"/>
      <c r="AGJ192" s="33"/>
      <c r="AGK192" s="33"/>
      <c r="AGN192" s="33"/>
      <c r="AGO192" s="21"/>
      <c r="AGP192" s="21"/>
      <c r="AGR192" s="33"/>
      <c r="AGS192" s="33"/>
      <c r="AGV192" s="33"/>
      <c r="AGW192" s="21"/>
      <c r="AGX192" s="21"/>
      <c r="AGZ192" s="33"/>
      <c r="AHA192" s="33"/>
      <c r="AHD192" s="33"/>
      <c r="AHE192" s="21"/>
      <c r="AHF192" s="21"/>
      <c r="AHH192" s="33"/>
      <c r="AHI192" s="33"/>
      <c r="AHL192" s="33"/>
      <c r="AHM192" s="21"/>
      <c r="AHN192" s="21"/>
      <c r="AHP192" s="33"/>
      <c r="AHQ192" s="33"/>
      <c r="AHT192" s="33"/>
      <c r="AHU192" s="21"/>
      <c r="AHV192" s="21"/>
      <c r="AHX192" s="33"/>
      <c r="AHY192" s="33"/>
      <c r="AIB192" s="33"/>
      <c r="AIC192" s="21"/>
      <c r="AID192" s="21"/>
      <c r="AIF192" s="33"/>
      <c r="AIG192" s="33"/>
      <c r="AIJ192" s="33"/>
      <c r="AIK192" s="21"/>
      <c r="AIL192" s="21"/>
      <c r="AIN192" s="33"/>
      <c r="AIO192" s="33"/>
      <c r="AIR192" s="33"/>
      <c r="AIS192" s="21"/>
      <c r="AIT192" s="21"/>
      <c r="AIV192" s="33"/>
      <c r="AIW192" s="33"/>
      <c r="AIZ192" s="33"/>
      <c r="AJA192" s="21"/>
      <c r="AJB192" s="21"/>
      <c r="AJD192" s="33"/>
      <c r="AJE192" s="33"/>
      <c r="AJH192" s="33"/>
      <c r="AJI192" s="21"/>
      <c r="AJJ192" s="21"/>
      <c r="AJL192" s="33"/>
      <c r="AJM192" s="33"/>
      <c r="AJP192" s="33"/>
      <c r="AJQ192" s="21"/>
      <c r="AJR192" s="21"/>
      <c r="AJT192" s="33"/>
      <c r="AJU192" s="33"/>
      <c r="AJX192" s="33"/>
      <c r="AJY192" s="21"/>
      <c r="AJZ192" s="21"/>
      <c r="AKB192" s="33"/>
      <c r="AKC192" s="33"/>
      <c r="AKF192" s="33"/>
      <c r="AKG192" s="21"/>
      <c r="AKH192" s="21"/>
      <c r="AKJ192" s="33"/>
      <c r="AKK192" s="33"/>
      <c r="AKN192" s="33"/>
      <c r="AKO192" s="21"/>
      <c r="AKP192" s="21"/>
      <c r="AKR192" s="33"/>
      <c r="AKS192" s="33"/>
      <c r="AKV192" s="33"/>
      <c r="AKW192" s="21"/>
      <c r="AKX192" s="21"/>
      <c r="AKZ192" s="33"/>
      <c r="ALA192" s="33"/>
      <c r="ALD192" s="33"/>
      <c r="ALE192" s="21"/>
      <c r="ALF192" s="21"/>
      <c r="ALH192" s="33"/>
      <c r="ALI192" s="33"/>
      <c r="ALL192" s="33"/>
      <c r="ALM192" s="21"/>
      <c r="ALN192" s="21"/>
      <c r="ALP192" s="33"/>
      <c r="ALQ192" s="33"/>
      <c r="ALT192" s="33"/>
      <c r="ALU192" s="21"/>
      <c r="ALV192" s="21"/>
      <c r="ALX192" s="33"/>
      <c r="ALY192" s="33"/>
      <c r="AMB192" s="33"/>
      <c r="AMC192" s="21"/>
      <c r="AMD192" s="21"/>
      <c r="AMF192" s="33"/>
      <c r="AMG192" s="33"/>
      <c r="AMJ192" s="33"/>
    </row>
    <row r="193" customFormat="false" ht="13.8" hidden="false" customHeight="false" outlineLevel="0" collapsed="false">
      <c r="A193" s="22" t="s">
        <v>696</v>
      </c>
      <c r="B193" s="23" t="n">
        <v>42900</v>
      </c>
      <c r="C193" s="24" t="n">
        <v>2</v>
      </c>
      <c r="D193" s="25" t="n">
        <v>42793</v>
      </c>
      <c r="E193" s="23" t="n">
        <v>35112</v>
      </c>
      <c r="F193" s="14" t="n">
        <f aca="false">(B193-E193)/365.25</f>
        <v>21.3223819301848</v>
      </c>
      <c r="G193" s="14" t="n">
        <f aca="false">(B193-D193)/365.25</f>
        <v>0.292950034223135</v>
      </c>
      <c r="H193" s="21" t="s">
        <v>306</v>
      </c>
      <c r="I193" s="21" t="s">
        <v>689</v>
      </c>
      <c r="J193" s="21" t="s">
        <v>181</v>
      </c>
      <c r="K193" s="21" t="n">
        <v>4</v>
      </c>
      <c r="L193" s="26" t="n">
        <v>76.5</v>
      </c>
      <c r="M193" s="24" t="n">
        <v>1.83</v>
      </c>
      <c r="N193" s="27" t="n">
        <f aca="false">L193/(M193*M193)</f>
        <v>22.8433216877184</v>
      </c>
      <c r="O193" s="26" t="n">
        <v>0</v>
      </c>
      <c r="P193" s="26" t="n">
        <v>0</v>
      </c>
      <c r="Q193" s="26" t="n">
        <v>0</v>
      </c>
      <c r="R193" s="26" t="n">
        <v>0</v>
      </c>
      <c r="S193" s="26" t="n">
        <v>0</v>
      </c>
      <c r="T193" s="26" t="n">
        <v>0</v>
      </c>
      <c r="U193" s="26" t="n">
        <v>0</v>
      </c>
      <c r="V193" s="26" t="n">
        <v>0</v>
      </c>
      <c r="W193" s="26"/>
      <c r="X193" s="26" t="n">
        <v>0</v>
      </c>
      <c r="Y193" s="26" t="n">
        <v>1</v>
      </c>
      <c r="Z193" s="26" t="n">
        <v>1</v>
      </c>
      <c r="AA193" s="26" t="n">
        <v>60</v>
      </c>
      <c r="AB193" s="26" t="s">
        <v>349</v>
      </c>
      <c r="AC193" s="26" t="n">
        <v>1</v>
      </c>
      <c r="AD193" s="26" t="n">
        <v>6</v>
      </c>
      <c r="AE193" s="26" t="n">
        <v>0</v>
      </c>
      <c r="AF193" s="26"/>
      <c r="AG193" s="26"/>
      <c r="AH193" s="26"/>
      <c r="AI193" s="26" t="n">
        <v>2</v>
      </c>
      <c r="AJ193" s="26" t="n">
        <v>0</v>
      </c>
      <c r="AK193" s="26" t="n">
        <v>0</v>
      </c>
      <c r="AL193" s="26" t="n">
        <v>0</v>
      </c>
      <c r="AM193" s="26" t="n">
        <v>0</v>
      </c>
      <c r="AN193" s="26" t="n">
        <v>0</v>
      </c>
      <c r="AO193" s="26" t="n">
        <v>0</v>
      </c>
      <c r="AP193" s="26" t="n">
        <v>0</v>
      </c>
      <c r="AQ193" s="26" t="n">
        <v>0</v>
      </c>
      <c r="AR193" s="26" t="n">
        <v>0</v>
      </c>
      <c r="AS193" s="26" t="n">
        <v>3</v>
      </c>
      <c r="AT193" s="26" t="n">
        <v>0</v>
      </c>
      <c r="AU193" s="26" t="n">
        <v>0</v>
      </c>
      <c r="AV193" s="26" t="n">
        <v>0</v>
      </c>
      <c r="AW193" s="26" t="n">
        <v>0</v>
      </c>
      <c r="AX193" s="26" t="n">
        <v>0</v>
      </c>
      <c r="AY193" s="26" t="n">
        <v>0</v>
      </c>
      <c r="AZ193" s="26" t="n">
        <v>0</v>
      </c>
      <c r="BA193" s="26" t="n">
        <v>0</v>
      </c>
      <c r="BB193" s="26" t="n">
        <v>0</v>
      </c>
      <c r="BC193" s="26" t="n">
        <v>0</v>
      </c>
      <c r="BD193" s="26" t="n">
        <v>0</v>
      </c>
      <c r="BE193" s="26" t="n">
        <v>0</v>
      </c>
      <c r="BF193" s="26" t="n">
        <v>0</v>
      </c>
      <c r="BG193" s="26" t="n">
        <v>0</v>
      </c>
      <c r="BH193" s="26" t="n">
        <v>0</v>
      </c>
      <c r="BI193" s="26" t="n">
        <v>0</v>
      </c>
      <c r="BJ193" s="26" t="n">
        <v>0</v>
      </c>
      <c r="BK193" s="26" t="n">
        <v>0</v>
      </c>
      <c r="BL193" s="26" t="n">
        <v>0</v>
      </c>
      <c r="BM193" s="26" t="n">
        <v>0</v>
      </c>
      <c r="BN193" s="26" t="n">
        <v>0</v>
      </c>
      <c r="BO193" s="26" t="n">
        <v>0</v>
      </c>
      <c r="BP193" s="26" t="n">
        <v>0</v>
      </c>
      <c r="BQ193" s="26" t="n">
        <v>0</v>
      </c>
      <c r="BR193" s="26" t="n">
        <v>2</v>
      </c>
      <c r="BS193" s="26" t="n">
        <v>2</v>
      </c>
      <c r="BT193" s="26" t="n">
        <v>3</v>
      </c>
      <c r="BU193" s="26" t="n">
        <v>5</v>
      </c>
      <c r="BV193" s="26" t="n">
        <v>3</v>
      </c>
      <c r="BW193" s="26" t="n">
        <v>3</v>
      </c>
      <c r="BX193" s="26" t="n">
        <v>3</v>
      </c>
      <c r="BY193" s="26" t="n">
        <v>5</v>
      </c>
      <c r="BZ193" s="26" t="n">
        <v>5</v>
      </c>
      <c r="CA193" s="26" t="n">
        <v>5</v>
      </c>
      <c r="CB193" s="26" t="n">
        <v>5</v>
      </c>
      <c r="CC193" s="26" t="n">
        <v>5</v>
      </c>
      <c r="CD193" s="26" t="n">
        <v>5</v>
      </c>
      <c r="CE193" s="26" t="n">
        <v>5</v>
      </c>
      <c r="CF193" s="26" t="n">
        <v>5</v>
      </c>
      <c r="CG193" s="26" t="n">
        <v>5</v>
      </c>
      <c r="CH193" s="26" t="n">
        <v>5</v>
      </c>
      <c r="CI193" s="26" t="n">
        <v>5</v>
      </c>
      <c r="CJ193" s="26" t="n">
        <v>5</v>
      </c>
      <c r="CK193" s="26" t="n">
        <v>8</v>
      </c>
      <c r="CL193" s="24" t="s">
        <v>690</v>
      </c>
      <c r="CM193" s="24" t="n">
        <v>38</v>
      </c>
      <c r="CN193" s="27" t="n">
        <v>85.5</v>
      </c>
      <c r="CO193" s="27" t="n">
        <v>83.4</v>
      </c>
      <c r="CP193" s="27" t="n">
        <v>28.7</v>
      </c>
      <c r="CQ193" s="24" t="n">
        <v>61.84</v>
      </c>
      <c r="CR193" s="24" t="n">
        <v>0</v>
      </c>
      <c r="CS193" s="24" t="n">
        <v>0</v>
      </c>
      <c r="CT193" s="24" t="n">
        <v>0</v>
      </c>
      <c r="CU193" s="24" t="n">
        <v>37.42</v>
      </c>
      <c r="CV193" s="24" t="n">
        <v>0</v>
      </c>
      <c r="CW193" s="24" t="n">
        <v>0.73</v>
      </c>
      <c r="CX193" s="24" t="n">
        <v>0</v>
      </c>
      <c r="CY193" s="24" t="n">
        <v>0</v>
      </c>
      <c r="CZ193" s="24" t="n">
        <v>0.74</v>
      </c>
      <c r="DA193" s="24" t="n">
        <v>0</v>
      </c>
      <c r="DB193" s="24" t="n">
        <v>7.34</v>
      </c>
      <c r="DC193" s="24" t="n">
        <v>25.37</v>
      </c>
      <c r="DD193" s="24" t="n">
        <v>15.03</v>
      </c>
      <c r="DE193" s="24" t="n">
        <v>30.09</v>
      </c>
      <c r="DF193" s="24" t="n">
        <v>0</v>
      </c>
      <c r="DG193" s="24" t="n">
        <v>0</v>
      </c>
      <c r="DH193" s="24" t="n">
        <v>0</v>
      </c>
      <c r="DU193" s="24" t="n">
        <v>1.7</v>
      </c>
      <c r="DV193" s="24" t="n">
        <v>0</v>
      </c>
      <c r="EG193" s="28"/>
      <c r="EY193" s="24" t="n">
        <v>1</v>
      </c>
      <c r="EZ193" s="24" t="n">
        <v>50</v>
      </c>
      <c r="FA193" s="24" t="n">
        <v>4</v>
      </c>
      <c r="FB193" s="24" t="n">
        <v>0.46</v>
      </c>
      <c r="FC193" s="24" t="n">
        <v>6</v>
      </c>
      <c r="FD193" s="24" t="n">
        <v>40</v>
      </c>
      <c r="FE193" s="24" t="n">
        <v>10</v>
      </c>
      <c r="FF193" s="24" t="n">
        <f aca="false">0.17*2+0.06+0.07</f>
        <v>0.47</v>
      </c>
      <c r="FG193" s="24" t="n">
        <v>1</v>
      </c>
      <c r="FH193" s="24" t="n">
        <v>40</v>
      </c>
      <c r="FI193" s="24" t="n">
        <v>10</v>
      </c>
      <c r="FJ193" s="24" t="n">
        <f aca="false">0.17*2+0.07*2+0.03</f>
        <v>0.51</v>
      </c>
      <c r="FK193" s="24" t="n">
        <v>6</v>
      </c>
      <c r="FL193" s="24" t="n">
        <v>60</v>
      </c>
      <c r="FM193" s="24" t="n">
        <v>6</v>
      </c>
      <c r="FN193" s="24" t="n">
        <f aca="false">4.4*2+0.39*2+0.26</f>
        <v>9.84</v>
      </c>
      <c r="FO193" s="24" t="n">
        <v>3</v>
      </c>
      <c r="GJ193" s="27" t="n">
        <v>1.55</v>
      </c>
      <c r="GK193" s="27" t="n">
        <v>1</v>
      </c>
      <c r="GL193" s="27" t="n">
        <v>1</v>
      </c>
      <c r="GM193" s="27"/>
      <c r="GN193" s="27" t="n">
        <f aca="false">1.65*2</f>
        <v>3.3</v>
      </c>
      <c r="GO193" s="27" t="n">
        <v>2</v>
      </c>
      <c r="GP193" s="27"/>
      <c r="GQ193" s="27" t="n">
        <v>0.54</v>
      </c>
      <c r="GR193" s="27"/>
      <c r="GS193" s="27"/>
      <c r="GT193" s="27"/>
      <c r="GU193" s="27" t="n">
        <v>5.74</v>
      </c>
      <c r="GV193" s="27" t="n">
        <v>3.64</v>
      </c>
      <c r="GW193" s="27"/>
      <c r="GX193" s="27"/>
      <c r="GY193" s="27" t="n">
        <v>0</v>
      </c>
      <c r="GZ193" s="27" t="n">
        <v>0</v>
      </c>
      <c r="HA193" s="27" t="n">
        <v>0</v>
      </c>
      <c r="HB193" s="24" t="n">
        <v>0</v>
      </c>
      <c r="HC193" s="24" t="s">
        <v>691</v>
      </c>
      <c r="HD193" s="24" t="n">
        <v>63.5</v>
      </c>
      <c r="HE193" s="27" t="n">
        <v>98.9</v>
      </c>
      <c r="HF193" s="27" t="n">
        <v>83.4</v>
      </c>
      <c r="HG193" s="27" t="n">
        <v>51</v>
      </c>
      <c r="HH193" s="24" t="n">
        <v>53.65</v>
      </c>
      <c r="HI193" s="24" t="n">
        <v>0</v>
      </c>
      <c r="HJ193" s="24" t="n">
        <v>11.99</v>
      </c>
      <c r="HK193" s="24" t="n">
        <v>24.1</v>
      </c>
      <c r="HL193" s="24" t="n">
        <v>10.26</v>
      </c>
      <c r="HM193" s="24" t="n">
        <v>0</v>
      </c>
      <c r="HN193" s="24" t="n">
        <v>0</v>
      </c>
      <c r="HO193" s="24" t="n">
        <v>0</v>
      </c>
      <c r="HP193" s="24" t="n">
        <v>0</v>
      </c>
      <c r="HQ193" s="24" t="n">
        <v>0</v>
      </c>
      <c r="HR193" s="24" t="n">
        <v>0</v>
      </c>
      <c r="HS193" s="24" t="n">
        <v>9.1</v>
      </c>
      <c r="HT193" s="24" t="n">
        <v>26.31</v>
      </c>
      <c r="HU193" s="24" t="n">
        <v>5.53</v>
      </c>
      <c r="HV193" s="24" t="n">
        <v>0.94</v>
      </c>
      <c r="HW193" s="24" t="n">
        <v>0</v>
      </c>
      <c r="HX193" s="24" t="n">
        <v>0</v>
      </c>
      <c r="HY193" s="24" t="n">
        <v>0</v>
      </c>
      <c r="IL193" s="24" t="n">
        <v>6.1</v>
      </c>
      <c r="IM193" s="24" t="n">
        <v>0</v>
      </c>
      <c r="IX193" s="28"/>
      <c r="JP193" s="24" t="n">
        <v>1</v>
      </c>
      <c r="JQ193" s="24" t="n">
        <v>50</v>
      </c>
      <c r="JR193" s="24" t="n">
        <v>1</v>
      </c>
      <c r="JS193" s="24" t="n">
        <v>0.39</v>
      </c>
      <c r="JT193" s="24" t="n">
        <v>3</v>
      </c>
      <c r="JU193" s="24" t="n">
        <v>50</v>
      </c>
      <c r="JV193" s="24" t="n">
        <v>2</v>
      </c>
      <c r="JW193" s="24" t="n">
        <f aca="false">0.19+0.23</f>
        <v>0.42</v>
      </c>
      <c r="JX193" s="24" t="n">
        <v>4</v>
      </c>
      <c r="JY193" s="24" t="n">
        <v>60</v>
      </c>
      <c r="JZ193" s="24" t="n">
        <v>12</v>
      </c>
      <c r="KA193" s="24" t="n">
        <f aca="false">0.78*2</f>
        <v>1.56</v>
      </c>
      <c r="KB193" s="24" t="n">
        <v>6</v>
      </c>
      <c r="LA193" s="27" t="n">
        <v>5.39</v>
      </c>
      <c r="LB193" s="27" t="n">
        <v>1</v>
      </c>
      <c r="LC193" s="27" t="n">
        <v>1</v>
      </c>
      <c r="LD193" s="27"/>
      <c r="LE193" s="27" t="n">
        <f aca="false">2.04*3+0.36*2</f>
        <v>6.84</v>
      </c>
      <c r="LF193" s="27" t="n">
        <v>2</v>
      </c>
      <c r="LG193" s="27"/>
      <c r="LH193" s="27" t="n">
        <f aca="false">0.72*2+0.36</f>
        <v>1.8</v>
      </c>
      <c r="LI193" s="27" t="n">
        <v>3</v>
      </c>
      <c r="LJ193" s="27"/>
      <c r="LK193" s="27" t="n">
        <v>0.5</v>
      </c>
      <c r="LL193" s="27" t="n">
        <v>0.94</v>
      </c>
      <c r="LM193" s="27" t="n">
        <v>0.94</v>
      </c>
      <c r="LN193" s="27"/>
      <c r="LO193" s="27"/>
      <c r="LP193" s="27" t="n">
        <v>0</v>
      </c>
      <c r="LQ193" s="27" t="n">
        <v>0</v>
      </c>
      <c r="LR193" s="27" t="n">
        <v>0</v>
      </c>
      <c r="LS193" s="24" t="n">
        <v>0</v>
      </c>
      <c r="LT193" s="24" t="s">
        <v>692</v>
      </c>
      <c r="LU193" s="24" t="n">
        <v>30.5</v>
      </c>
      <c r="LV193" s="27" t="n">
        <v>69.11</v>
      </c>
      <c r="LW193" s="27" t="n">
        <v>83.4</v>
      </c>
      <c r="LX193" s="27" t="n">
        <v>18.1</v>
      </c>
      <c r="LY193" s="24" t="n">
        <v>79.03</v>
      </c>
      <c r="LZ193" s="24" t="n">
        <v>0.45</v>
      </c>
      <c r="MA193" s="24" t="n">
        <v>0</v>
      </c>
      <c r="MB193" s="24" t="n">
        <v>0</v>
      </c>
      <c r="MC193" s="24" t="n">
        <v>20.52</v>
      </c>
      <c r="MD193" s="24" t="n">
        <v>0</v>
      </c>
      <c r="ME193" s="24" t="n">
        <v>0</v>
      </c>
      <c r="MF193" s="24" t="n">
        <v>0</v>
      </c>
      <c r="MG193" s="24" t="n">
        <v>0</v>
      </c>
      <c r="MH193" s="24" t="n">
        <v>0</v>
      </c>
      <c r="MI193" s="24" t="n">
        <v>0</v>
      </c>
      <c r="MJ193" s="24" t="n">
        <v>0</v>
      </c>
      <c r="MK193" s="24" t="n">
        <v>12.58</v>
      </c>
      <c r="ML193" s="24" t="n">
        <v>17.94</v>
      </c>
      <c r="MM193" s="24" t="n">
        <v>18.04</v>
      </c>
      <c r="MN193" s="24" t="n">
        <v>0</v>
      </c>
      <c r="MO193" s="24" t="n">
        <v>0</v>
      </c>
      <c r="MP193" s="24" t="n">
        <v>0</v>
      </c>
      <c r="NC193" s="24" t="n">
        <v>8.1</v>
      </c>
      <c r="ND193" s="24" t="n">
        <v>1</v>
      </c>
      <c r="NE193" s="24" t="n">
        <v>35</v>
      </c>
      <c r="NF193" s="24" t="n">
        <v>4</v>
      </c>
      <c r="NG193" s="24" t="n">
        <f aca="false">2.2+0.39</f>
        <v>2.59</v>
      </c>
      <c r="NH193" s="24" t="n">
        <v>3</v>
      </c>
      <c r="NO193" s="28"/>
      <c r="OG193" s="24" t="n">
        <v>1</v>
      </c>
      <c r="OH193" s="24" t="n">
        <v>60</v>
      </c>
      <c r="OI193" s="24" t="n">
        <v>1</v>
      </c>
      <c r="OJ193" s="24" t="n">
        <v>0.73</v>
      </c>
      <c r="OK193" s="24" t="n">
        <v>3</v>
      </c>
      <c r="PR193" s="27" t="n">
        <v>3.89</v>
      </c>
      <c r="PS193" s="27" t="n">
        <v>1</v>
      </c>
      <c r="PT193" s="27" t="n">
        <v>1</v>
      </c>
      <c r="PU193" s="27"/>
      <c r="PV193" s="27" t="n">
        <f aca="false">0.14*2+0.21*2</f>
        <v>0.7</v>
      </c>
      <c r="PW193" s="27" t="n">
        <v>2</v>
      </c>
      <c r="PX193" s="27"/>
      <c r="PY193" s="27" t="n">
        <f aca="false">1.65*2</f>
        <v>3.3</v>
      </c>
      <c r="PZ193" s="27"/>
      <c r="QA193" s="27"/>
      <c r="QB193" s="27"/>
      <c r="QC193" s="27" t="n">
        <v>0</v>
      </c>
      <c r="QD193" s="27" t="n">
        <v>0</v>
      </c>
      <c r="QE193" s="27"/>
      <c r="QF193" s="27"/>
      <c r="QG193" s="27" t="n">
        <v>0</v>
      </c>
      <c r="QH193" s="27" t="n">
        <v>0</v>
      </c>
      <c r="QI193" s="27" t="n">
        <v>0</v>
      </c>
      <c r="QJ193" s="24" t="n">
        <v>0</v>
      </c>
      <c r="QK193" s="24" t="s">
        <v>697</v>
      </c>
      <c r="QL193" s="24" t="n">
        <v>42.5</v>
      </c>
      <c r="QM193" s="27" t="n">
        <v>92.2</v>
      </c>
      <c r="QN193" s="27" t="n">
        <v>83.4</v>
      </c>
      <c r="QO193" s="27" t="n">
        <v>33.5</v>
      </c>
      <c r="QP193" s="24" t="n">
        <v>25.89</v>
      </c>
      <c r="QQ193" s="24" t="n">
        <v>0</v>
      </c>
      <c r="QR193" s="24" t="n">
        <v>0</v>
      </c>
      <c r="QS193" s="24" t="n">
        <v>0</v>
      </c>
      <c r="QT193" s="24" t="n">
        <v>0</v>
      </c>
      <c r="QU193" s="24" t="n">
        <v>0</v>
      </c>
      <c r="QV193" s="24" t="n">
        <v>74.11</v>
      </c>
      <c r="QW193" s="24" t="n">
        <v>25.43</v>
      </c>
      <c r="QX193" s="24" t="n">
        <v>9.72</v>
      </c>
      <c r="QY193" s="24" t="n">
        <v>2.94</v>
      </c>
      <c r="QZ193" s="24" t="n">
        <v>0</v>
      </c>
      <c r="RA193" s="24" t="n">
        <v>11.38</v>
      </c>
      <c r="RB193" s="24" t="n">
        <v>16.89</v>
      </c>
      <c r="RC193" s="24" t="n">
        <v>27.26</v>
      </c>
      <c r="RD193" s="24" t="n">
        <v>0</v>
      </c>
      <c r="RE193" s="24" t="n">
        <v>0</v>
      </c>
      <c r="RF193" s="24" t="n">
        <v>0</v>
      </c>
      <c r="RG193" s="24" t="n">
        <v>0</v>
      </c>
      <c r="RT193" s="24" t="n">
        <v>3.6</v>
      </c>
      <c r="RU193" s="24" t="n">
        <v>1</v>
      </c>
      <c r="RV193" s="24" t="n">
        <v>35</v>
      </c>
      <c r="RW193" s="24" t="n">
        <v>6</v>
      </c>
      <c r="RX193" s="24" t="n">
        <f aca="false">0.13*4</f>
        <v>0.52</v>
      </c>
      <c r="RY193" s="24" t="n">
        <v>3</v>
      </c>
      <c r="RZ193" s="24" t="n">
        <v>25</v>
      </c>
      <c r="SA193" s="24" t="n">
        <v>2</v>
      </c>
      <c r="SB193" s="24" t="n">
        <f aca="false">0.13*2</f>
        <v>0.26</v>
      </c>
      <c r="SC193" s="24" t="n">
        <v>4</v>
      </c>
      <c r="SF193" s="28"/>
      <c r="SX193" s="24" t="n">
        <v>0</v>
      </c>
      <c r="UI193" s="27" t="n">
        <v>3.01</v>
      </c>
      <c r="UJ193" s="27" t="n">
        <v>1</v>
      </c>
      <c r="UK193" s="27" t="n">
        <v>1</v>
      </c>
      <c r="UL193" s="27"/>
      <c r="UM193" s="27" t="n">
        <f aca="false">1.65*5+0.13*2+0.36+0.18</f>
        <v>9.05</v>
      </c>
      <c r="UN193" s="27"/>
      <c r="UO193" s="27"/>
      <c r="UP193" s="27"/>
      <c r="UQ193" s="27"/>
      <c r="UR193" s="27"/>
      <c r="US193" s="27"/>
      <c r="UT193" s="27" t="n">
        <v>2.16</v>
      </c>
      <c r="UU193" s="27" t="n">
        <v>0.52</v>
      </c>
      <c r="UV193" s="27"/>
      <c r="UW193" s="27"/>
      <c r="UX193" s="27" t="n">
        <v>0</v>
      </c>
      <c r="UY193" s="27" t="n">
        <v>0</v>
      </c>
      <c r="UZ193" s="27" t="n">
        <v>0</v>
      </c>
      <c r="VA193" s="24" t="n">
        <v>0</v>
      </c>
      <c r="VB193" s="24" t="s">
        <v>698</v>
      </c>
      <c r="VC193" s="24" t="n">
        <v>37</v>
      </c>
      <c r="VD193" s="27" t="n">
        <v>86.3</v>
      </c>
      <c r="VE193" s="27" t="n">
        <v>83.4</v>
      </c>
      <c r="VF193" s="27" t="n">
        <v>31.3</v>
      </c>
      <c r="VG193" s="24" t="n">
        <v>24.09</v>
      </c>
      <c r="VH193" s="24" t="n">
        <v>0</v>
      </c>
      <c r="VI193" s="24" t="n">
        <v>0</v>
      </c>
      <c r="VJ193" s="24" t="n">
        <v>0</v>
      </c>
      <c r="VK193" s="24" t="n">
        <v>0</v>
      </c>
      <c r="VL193" s="24" t="n">
        <v>0</v>
      </c>
      <c r="VM193" s="24" t="n">
        <v>75.91</v>
      </c>
      <c r="VN193" s="24" t="n">
        <v>21.83</v>
      </c>
      <c r="VO193" s="24" t="n">
        <v>8.63</v>
      </c>
      <c r="VP193" s="24" t="n">
        <v>2.94</v>
      </c>
      <c r="VQ193" s="24" t="n">
        <v>0</v>
      </c>
      <c r="VR193" s="24" t="n">
        <v>13.66</v>
      </c>
      <c r="VS193" s="24" t="n">
        <v>10.54</v>
      </c>
      <c r="VT193" s="24" t="n">
        <v>28.39</v>
      </c>
      <c r="VU193" s="24" t="n">
        <v>0</v>
      </c>
      <c r="VV193" s="24" t="n">
        <v>0</v>
      </c>
      <c r="VW193" s="24" t="n">
        <v>0</v>
      </c>
      <c r="VX193" s="24" t="n">
        <v>0</v>
      </c>
      <c r="WK193" s="24" t="n">
        <v>2.7</v>
      </c>
      <c r="WL193" s="24" t="n">
        <v>1</v>
      </c>
      <c r="WM193" s="24" t="n">
        <v>52</v>
      </c>
      <c r="WN193" s="24" t="n">
        <v>1</v>
      </c>
      <c r="WO193" s="24" t="n">
        <v>0.39</v>
      </c>
      <c r="WP193" s="24" t="n">
        <v>2</v>
      </c>
      <c r="WQ193" s="24" t="n">
        <v>35</v>
      </c>
      <c r="WR193" s="24" t="n">
        <v>4</v>
      </c>
      <c r="WS193" s="24" t="n">
        <v>0.26</v>
      </c>
      <c r="WT193" s="24" t="n">
        <v>3</v>
      </c>
      <c r="WW193" s="28"/>
      <c r="XO193" s="24" t="n">
        <v>0</v>
      </c>
      <c r="YZ193" s="27" t="n">
        <v>2.83</v>
      </c>
      <c r="ZA193" s="27" t="n">
        <v>1</v>
      </c>
      <c r="ZB193" s="27" t="n">
        <v>1</v>
      </c>
      <c r="ZC193" s="27"/>
      <c r="ZD193" s="27" t="n">
        <f aca="false">1.65*5</f>
        <v>8.25</v>
      </c>
      <c r="ZE193" s="27"/>
      <c r="ZF193" s="27"/>
      <c r="ZG193" s="27"/>
      <c r="ZH193" s="27"/>
      <c r="ZI193" s="27"/>
      <c r="ZJ193" s="27"/>
      <c r="ZK193" s="27" t="n">
        <v>0</v>
      </c>
      <c r="ZL193" s="27" t="n">
        <v>0</v>
      </c>
      <c r="ZM193" s="27"/>
      <c r="ZN193" s="27"/>
      <c r="ZO193" s="27" t="n">
        <v>0</v>
      </c>
      <c r="ZP193" s="27" t="n">
        <v>0</v>
      </c>
      <c r="ZQ193" s="27" t="n">
        <v>0</v>
      </c>
      <c r="ZR193" s="24" t="n">
        <v>0</v>
      </c>
      <c r="ZS193" s="24" t="s">
        <v>693</v>
      </c>
      <c r="ZT193" s="24" t="n">
        <v>33.5</v>
      </c>
      <c r="ZU193" s="27" t="n">
        <v>92.3</v>
      </c>
      <c r="ZV193" s="27" t="n">
        <v>83.4</v>
      </c>
      <c r="ZW193" s="27" t="n">
        <v>19.8</v>
      </c>
      <c r="ZX193" s="24" t="n">
        <v>72.02</v>
      </c>
      <c r="ZY193" s="24" t="n">
        <v>2.2</v>
      </c>
      <c r="ZZ193" s="24" t="n">
        <v>7.75</v>
      </c>
      <c r="AAA193" s="24" t="n">
        <v>0</v>
      </c>
      <c r="AAB193" s="24" t="n">
        <v>5.49</v>
      </c>
      <c r="AAC193" s="24" t="n">
        <v>0</v>
      </c>
      <c r="AAD193" s="24" t="n">
        <v>6.84</v>
      </c>
      <c r="AAE193" s="24" t="n">
        <v>0</v>
      </c>
      <c r="AAF193" s="24" t="n">
        <v>0</v>
      </c>
      <c r="AAG193" s="24" t="n">
        <v>0</v>
      </c>
      <c r="AAH193" s="24" t="n">
        <v>0</v>
      </c>
      <c r="AAI193" s="24" t="n">
        <v>7.13</v>
      </c>
      <c r="AAJ193" s="24" t="n">
        <v>54.84</v>
      </c>
      <c r="AAK193" s="24" t="n">
        <v>10.13</v>
      </c>
      <c r="AAL193" s="24" t="n">
        <v>3.36</v>
      </c>
      <c r="AAM193" s="24" t="n">
        <v>5.7</v>
      </c>
      <c r="AAN193" s="24" t="n">
        <v>0</v>
      </c>
      <c r="AAO193" s="24" t="n">
        <v>0</v>
      </c>
      <c r="AAX193" s="24" t="n">
        <v>2</v>
      </c>
      <c r="ABB193" s="24" t="n">
        <v>3.4</v>
      </c>
      <c r="ABC193" s="24" t="n">
        <v>1</v>
      </c>
      <c r="ABD193" s="24" t="n">
        <v>34</v>
      </c>
      <c r="ABE193" s="24" t="n">
        <v>1</v>
      </c>
      <c r="ABF193" s="24" t="n">
        <v>1.28</v>
      </c>
      <c r="ABG193" s="24" t="n">
        <v>1</v>
      </c>
      <c r="ABH193" s="24" t="n">
        <v>52</v>
      </c>
      <c r="ABI193" s="24" t="n">
        <v>1</v>
      </c>
      <c r="ABJ193" s="24" t="n">
        <v>0.73</v>
      </c>
      <c r="ABK193" s="24" t="n">
        <v>2</v>
      </c>
      <c r="ABL193" s="24" t="n">
        <v>30</v>
      </c>
      <c r="ABM193" s="24" t="n">
        <v>1</v>
      </c>
      <c r="ABN193" s="28" t="n">
        <v>0.13</v>
      </c>
      <c r="ABO193" s="24" t="n">
        <v>3</v>
      </c>
      <c r="ACF193" s="24" t="n">
        <v>1</v>
      </c>
      <c r="ACG193" s="24" t="n">
        <v>40</v>
      </c>
      <c r="ACH193" s="24" t="n">
        <v>1</v>
      </c>
      <c r="ACI193" s="24" t="n">
        <v>1.83</v>
      </c>
      <c r="ACJ193" s="24" t="n">
        <v>6</v>
      </c>
      <c r="ACK193" s="24" t="n">
        <v>40</v>
      </c>
      <c r="ACL193" s="24" t="n">
        <v>1</v>
      </c>
      <c r="ACM193" s="24" t="n">
        <v>1.65</v>
      </c>
      <c r="ACN193" s="24" t="n">
        <v>3</v>
      </c>
      <c r="ACO193" s="24" t="n">
        <v>40</v>
      </c>
      <c r="ACP193" s="24" t="n">
        <v>1</v>
      </c>
      <c r="ACQ193" s="24" t="n">
        <v>1.83</v>
      </c>
      <c r="ACR193" s="24" t="n">
        <v>4</v>
      </c>
      <c r="ACS193" s="24" t="n">
        <v>40</v>
      </c>
      <c r="ACT193" s="24" t="n">
        <v>4</v>
      </c>
      <c r="ACU193" s="24" t="n">
        <v>0.26</v>
      </c>
      <c r="ACV193" s="24" t="n">
        <v>1</v>
      </c>
      <c r="ADQ193" s="27" t="n">
        <v>3.89</v>
      </c>
      <c r="ADR193" s="27" t="n">
        <v>1</v>
      </c>
      <c r="ADS193" s="27" t="n">
        <v>1</v>
      </c>
      <c r="ADT193" s="27"/>
      <c r="ADU193" s="27" t="n">
        <f aca="false">0.36*2</f>
        <v>0.72</v>
      </c>
      <c r="ADV193" s="27" t="n">
        <v>2</v>
      </c>
      <c r="ADW193" s="27"/>
      <c r="ADX193" s="27" t="n">
        <f aca="false">2.04*2</f>
        <v>4.08</v>
      </c>
      <c r="ADY193" s="27"/>
      <c r="ADZ193" s="27"/>
      <c r="AEA193" s="27"/>
      <c r="AEB193" s="27" t="n">
        <v>3.27</v>
      </c>
      <c r="AEC193" s="27" t="n">
        <v>2.46</v>
      </c>
      <c r="AED193" s="27"/>
      <c r="AEE193" s="27"/>
      <c r="AEF193" s="27" t="n">
        <v>2.88</v>
      </c>
      <c r="AEG193" s="27" t="n">
        <v>4.14</v>
      </c>
      <c r="AEH193" s="27" t="n">
        <v>0</v>
      </c>
      <c r="AEI193" s="24" t="n">
        <v>0</v>
      </c>
      <c r="AEJ193" s="24" t="s">
        <v>699</v>
      </c>
      <c r="AEK193" s="24" t="n">
        <v>44.5</v>
      </c>
      <c r="AEL193" s="27" t="n">
        <v>101.7</v>
      </c>
      <c r="AEM193" s="27" t="n">
        <v>83.4</v>
      </c>
      <c r="AEN193" s="27" t="n">
        <v>22.5</v>
      </c>
      <c r="AEO193" s="24" t="n">
        <v>75.78</v>
      </c>
      <c r="AEP193" s="24" t="n">
        <v>0</v>
      </c>
      <c r="AEQ193" s="24" t="n">
        <v>2.04</v>
      </c>
      <c r="AER193" s="24" t="n">
        <v>0</v>
      </c>
      <c r="AES193" s="24" t="n">
        <v>8.57</v>
      </c>
      <c r="AET193" s="24" t="n">
        <v>0</v>
      </c>
      <c r="AEU193" s="24" t="n">
        <v>2.21</v>
      </c>
      <c r="AEV193" s="24" t="n">
        <v>0</v>
      </c>
      <c r="AEW193" s="24" t="n">
        <v>1.1</v>
      </c>
      <c r="AEX193" s="24" t="n">
        <v>0</v>
      </c>
      <c r="AEY193" s="24" t="n">
        <v>0</v>
      </c>
      <c r="AEZ193" s="24" t="n">
        <v>1.61</v>
      </c>
      <c r="AFA193" s="24" t="n">
        <v>54.76</v>
      </c>
      <c r="AFB193" s="24" t="n">
        <v>16</v>
      </c>
      <c r="AFC193" s="24" t="n">
        <v>6.05</v>
      </c>
      <c r="AFD193" s="24" t="n">
        <v>10.83</v>
      </c>
      <c r="AFE193" s="24" t="n">
        <v>10.1</v>
      </c>
      <c r="AFF193" s="24" t="n">
        <v>1</v>
      </c>
      <c r="AFG193" s="24" t="n">
        <v>2</v>
      </c>
      <c r="AFI193" s="24" t="n">
        <v>3</v>
      </c>
      <c r="AFJ193" s="24" t="n">
        <v>5</v>
      </c>
      <c r="AFL193" s="24" t="n">
        <v>1</v>
      </c>
      <c r="AFM193" s="24" t="n">
        <v>3</v>
      </c>
      <c r="AFO193" s="24" t="n">
        <v>1</v>
      </c>
      <c r="AFS193" s="24" t="n">
        <v>3</v>
      </c>
      <c r="AFT193" s="24" t="n">
        <v>1</v>
      </c>
      <c r="AFU193" s="24" t="n">
        <v>52</v>
      </c>
      <c r="AFV193" s="24" t="n">
        <v>1</v>
      </c>
      <c r="AFW193" s="24" t="n">
        <v>0.73</v>
      </c>
      <c r="AFX193" s="24" t="n">
        <v>2</v>
      </c>
      <c r="AFY193" s="24" t="n">
        <v>34</v>
      </c>
      <c r="AFZ193" s="24" t="n">
        <v>1</v>
      </c>
      <c r="AGA193" s="24" t="n">
        <v>1.28</v>
      </c>
      <c r="AGB193" s="24" t="n">
        <v>1</v>
      </c>
      <c r="AGE193" s="28"/>
      <c r="AGW193" s="24" t="n">
        <v>1</v>
      </c>
      <c r="AGX193" s="24" t="n">
        <v>40</v>
      </c>
      <c r="AGY193" s="24" t="n">
        <v>1</v>
      </c>
      <c r="AGZ193" s="24" t="n">
        <v>1.83</v>
      </c>
      <c r="AHA193" s="24" t="n">
        <v>6</v>
      </c>
      <c r="AHB193" s="24" t="n">
        <v>40</v>
      </c>
      <c r="AHC193" s="24" t="n">
        <v>1</v>
      </c>
      <c r="AHD193" s="24" t="n">
        <v>1.65</v>
      </c>
      <c r="AHE193" s="24" t="n">
        <v>3</v>
      </c>
      <c r="AHF193" s="24" t="n">
        <v>40</v>
      </c>
      <c r="AHG193" s="24" t="n">
        <v>3</v>
      </c>
      <c r="AHH193" s="24" t="n">
        <f aca="false">0.26+1.83</f>
        <v>2.09</v>
      </c>
      <c r="AHI193" s="24" t="n">
        <v>4</v>
      </c>
      <c r="AIH193" s="27" t="n">
        <v>3.87</v>
      </c>
      <c r="AII193" s="27" t="n">
        <v>1</v>
      </c>
      <c r="AIJ193" s="27" t="n">
        <v>1</v>
      </c>
      <c r="AIK193" s="27"/>
      <c r="AIL193" s="27" t="n">
        <f aca="false">0.46*2+0.08</f>
        <v>1</v>
      </c>
      <c r="AIM193" s="27" t="n">
        <v>2</v>
      </c>
      <c r="AIN193" s="27"/>
      <c r="AIO193" s="27" t="n">
        <f aca="false">4.08</f>
        <v>4.08</v>
      </c>
      <c r="AIP193" s="27"/>
      <c r="AIQ193" s="27"/>
      <c r="AIR193" s="27"/>
      <c r="AIS193" s="27" t="n">
        <v>2.2</v>
      </c>
      <c r="AIT193" s="27" t="n">
        <v>2.2</v>
      </c>
      <c r="AIU193" s="27"/>
      <c r="AIV193" s="27"/>
      <c r="AIW193" s="27" t="n">
        <v>2.88</v>
      </c>
      <c r="AIX193" s="27" t="n">
        <v>3.04</v>
      </c>
      <c r="AIY193" s="27" t="n">
        <v>0</v>
      </c>
      <c r="AIZ193" s="24" t="n">
        <v>0</v>
      </c>
      <c r="AJA193" s="24" t="s">
        <v>694</v>
      </c>
      <c r="AJB193" s="24" t="n">
        <v>40</v>
      </c>
      <c r="AJC193" s="27" t="n">
        <v>78.1</v>
      </c>
      <c r="AJD193" s="27" t="n">
        <v>83.4</v>
      </c>
      <c r="AJE193" s="27" t="n">
        <v>34.6</v>
      </c>
      <c r="AJF193" s="24" t="n">
        <v>66.6</v>
      </c>
      <c r="AJG193" s="24" t="n">
        <v>0</v>
      </c>
      <c r="AJH193" s="24" t="n">
        <v>18.54</v>
      </c>
      <c r="AJI193" s="24" t="n">
        <v>7.52</v>
      </c>
      <c r="AJJ193" s="24" t="n">
        <v>0</v>
      </c>
      <c r="AJK193" s="24" t="n">
        <v>0</v>
      </c>
      <c r="AJL193" s="24" t="n">
        <v>0</v>
      </c>
      <c r="AJM193" s="24" t="n">
        <v>0</v>
      </c>
      <c r="AJN193" s="24" t="n">
        <v>0</v>
      </c>
      <c r="AJO193" s="24" t="n">
        <v>0</v>
      </c>
      <c r="AJP193" s="24" t="n">
        <v>0</v>
      </c>
      <c r="AJQ193" s="24" t="n">
        <v>0</v>
      </c>
      <c r="AJR193" s="24" t="n">
        <v>28.45</v>
      </c>
      <c r="AJS193" s="24" t="n">
        <v>20.45</v>
      </c>
      <c r="AJT193" s="24" t="n">
        <v>0.01</v>
      </c>
      <c r="AJU193" s="24" t="n">
        <v>7.34</v>
      </c>
      <c r="AJV193" s="24" t="n">
        <v>0</v>
      </c>
      <c r="AJW193" s="24" t="n">
        <v>0</v>
      </c>
      <c r="AKJ193" s="24" t="n">
        <v>0</v>
      </c>
      <c r="AKK193" s="24" t="n">
        <v>0</v>
      </c>
      <c r="AKV193" s="28"/>
      <c r="ALN193" s="24" t="n">
        <v>1</v>
      </c>
      <c r="ALO193" s="24" t="n">
        <v>40</v>
      </c>
      <c r="ALP193" s="24" t="n">
        <v>1</v>
      </c>
      <c r="ALQ193" s="24" t="n">
        <v>0.73</v>
      </c>
      <c r="ALR193" s="24" t="n">
        <v>3</v>
      </c>
    </row>
    <row r="194" customFormat="false" ht="13.8" hidden="false" customHeight="false" outlineLevel="0" collapsed="false">
      <c r="A194" s="1" t="s">
        <v>700</v>
      </c>
      <c r="B194" s="12" t="n">
        <v>42900</v>
      </c>
      <c r="C194" s="0" t="n">
        <v>1</v>
      </c>
      <c r="D194" s="13" t="n">
        <v>40817</v>
      </c>
      <c r="E194" s="12" t="n">
        <v>26542</v>
      </c>
      <c r="F194" s="14" t="n">
        <f aca="false">(B194-E194)/365.25</f>
        <v>44.7857631759069</v>
      </c>
      <c r="G194" s="14" t="n">
        <f aca="false">(B194-D194)/365.25</f>
        <v>5.70294318959617</v>
      </c>
      <c r="H194" s="15" t="s">
        <v>641</v>
      </c>
      <c r="I194" s="15" t="s">
        <v>650</v>
      </c>
      <c r="J194" s="15" t="s">
        <v>183</v>
      </c>
      <c r="K194" s="21" t="n">
        <v>8</v>
      </c>
      <c r="L194" s="19" t="n">
        <v>65</v>
      </c>
      <c r="M194" s="0" t="n">
        <v>1.62</v>
      </c>
      <c r="N194" s="16" t="n">
        <f aca="false">L194/(M194*M194)</f>
        <v>24.7675659198293</v>
      </c>
      <c r="O194" s="19" t="n">
        <v>0</v>
      </c>
      <c r="P194" s="19" t="n">
        <v>0</v>
      </c>
      <c r="Q194" s="19" t="n">
        <v>0</v>
      </c>
      <c r="R194" s="26" t="n">
        <v>0</v>
      </c>
      <c r="S194" s="26" t="n">
        <v>0</v>
      </c>
      <c r="T194" s="26" t="n">
        <v>0</v>
      </c>
      <c r="U194" s="26" t="n">
        <v>0</v>
      </c>
      <c r="V194" s="26" t="n">
        <v>0</v>
      </c>
      <c r="W194" s="19" t="n">
        <v>0</v>
      </c>
      <c r="X194" s="19" t="n">
        <v>0</v>
      </c>
      <c r="Y194" s="19" t="n">
        <v>1</v>
      </c>
      <c r="Z194" s="19" t="n">
        <v>1</v>
      </c>
      <c r="AA194" s="19" t="n">
        <v>30</v>
      </c>
      <c r="AB194" s="19" t="s">
        <v>578</v>
      </c>
      <c r="AC194" s="19" t="n">
        <v>0</v>
      </c>
      <c r="AD194" s="19" t="n">
        <v>0</v>
      </c>
      <c r="AE194" s="19" t="n">
        <v>1</v>
      </c>
      <c r="AF194" s="19" t="n">
        <v>1</v>
      </c>
      <c r="AG194" s="19" t="n">
        <v>0</v>
      </c>
      <c r="AH194" s="19" t="n">
        <v>0</v>
      </c>
      <c r="AI194" s="19" t="n">
        <v>3</v>
      </c>
      <c r="AJ194" s="19" t="n">
        <v>0</v>
      </c>
      <c r="AK194" s="19" t="n">
        <v>0</v>
      </c>
      <c r="AL194" s="19" t="n">
        <v>0</v>
      </c>
      <c r="AM194" s="19" t="n">
        <v>0</v>
      </c>
      <c r="AN194" s="19" t="n">
        <v>0</v>
      </c>
      <c r="AO194" s="19" t="n">
        <v>0</v>
      </c>
      <c r="AP194" s="19" t="n">
        <v>0</v>
      </c>
      <c r="AQ194" s="19" t="n">
        <v>0</v>
      </c>
      <c r="AR194" s="19" t="n">
        <v>0</v>
      </c>
      <c r="AS194" s="19" t="n">
        <v>3</v>
      </c>
      <c r="AT194" s="19" t="n">
        <v>3</v>
      </c>
      <c r="AU194" s="19" t="n">
        <v>3</v>
      </c>
      <c r="AV194" s="19" t="n">
        <v>5</v>
      </c>
      <c r="AW194" s="19" t="n">
        <v>5</v>
      </c>
      <c r="AX194" s="19" t="n">
        <v>0</v>
      </c>
      <c r="AY194" s="19" t="n">
        <v>0</v>
      </c>
      <c r="AZ194" s="19" t="n">
        <v>0</v>
      </c>
      <c r="BA194" s="19" t="n">
        <v>0</v>
      </c>
      <c r="BB194" s="19" t="n">
        <v>1</v>
      </c>
      <c r="BC194" s="19" t="n">
        <v>1</v>
      </c>
      <c r="BD194" s="19" t="n">
        <v>1</v>
      </c>
      <c r="BE194" s="19" t="n">
        <v>4</v>
      </c>
      <c r="BF194" s="19" t="n">
        <v>0</v>
      </c>
      <c r="BG194" s="19" t="n">
        <v>0</v>
      </c>
      <c r="BH194" s="19" t="n">
        <v>0</v>
      </c>
      <c r="BI194" s="19" t="n">
        <v>0</v>
      </c>
      <c r="BJ194" s="19" t="n">
        <v>1</v>
      </c>
      <c r="BK194" s="19" t="n">
        <v>1</v>
      </c>
      <c r="BL194" s="19" t="n">
        <v>0</v>
      </c>
      <c r="BM194" s="19" t="n">
        <v>0</v>
      </c>
      <c r="BN194" s="19" t="n">
        <v>1</v>
      </c>
      <c r="BO194" s="19" t="n">
        <v>1</v>
      </c>
      <c r="BP194" s="19" t="n">
        <v>0</v>
      </c>
      <c r="BQ194" s="19" t="n">
        <v>0</v>
      </c>
      <c r="BR194" s="19" t="n">
        <v>2</v>
      </c>
      <c r="BS194" s="19" t="n">
        <v>3</v>
      </c>
      <c r="BT194" s="19" t="n">
        <v>3</v>
      </c>
      <c r="BU194" s="19" t="n">
        <v>5</v>
      </c>
      <c r="BV194" s="19" t="n">
        <v>1</v>
      </c>
      <c r="BW194" s="19" t="n">
        <v>1</v>
      </c>
      <c r="BX194" s="19" t="n">
        <v>4</v>
      </c>
      <c r="BY194" s="19" t="n">
        <v>4</v>
      </c>
      <c r="BZ194" s="19" t="n">
        <v>4</v>
      </c>
      <c r="CA194" s="19" t="n">
        <v>5</v>
      </c>
      <c r="CB194" s="19" t="n">
        <v>5</v>
      </c>
      <c r="CC194" s="19" t="n">
        <v>5</v>
      </c>
      <c r="CD194" s="19" t="n">
        <v>4</v>
      </c>
      <c r="CE194" s="19" t="n">
        <v>5</v>
      </c>
      <c r="CF194" s="19" t="n">
        <v>5</v>
      </c>
      <c r="CG194" s="19" t="n">
        <v>5</v>
      </c>
      <c r="CH194" s="19" t="n">
        <v>4</v>
      </c>
      <c r="CI194" s="19" t="n">
        <v>4</v>
      </c>
      <c r="CJ194" s="19" t="n">
        <v>4</v>
      </c>
      <c r="CK194" s="19" t="n">
        <v>5</v>
      </c>
      <c r="CL194" s="0" t="s">
        <v>651</v>
      </c>
      <c r="CM194" s="0" t="n">
        <v>8</v>
      </c>
      <c r="CN194" s="16" t="n">
        <v>55.4</v>
      </c>
      <c r="CO194" s="16" t="n">
        <v>560.98</v>
      </c>
      <c r="CP194" s="16" t="n">
        <v>5.9</v>
      </c>
      <c r="CQ194" s="0" t="n">
        <v>5.07</v>
      </c>
      <c r="CR194" s="0" t="n">
        <v>0</v>
      </c>
      <c r="CS194" s="0" t="n">
        <v>0.51</v>
      </c>
      <c r="CT194" s="0" t="n">
        <v>0</v>
      </c>
      <c r="CU194" s="0" t="n">
        <v>2.61</v>
      </c>
      <c r="CV194" s="0" t="n">
        <v>0</v>
      </c>
      <c r="CW194" s="0" t="n">
        <v>91.79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0.41</v>
      </c>
      <c r="DC194" s="0" t="n">
        <v>3.78</v>
      </c>
      <c r="DD194" s="0" t="n">
        <v>1.66</v>
      </c>
      <c r="DE194" s="0" t="n">
        <v>0.5</v>
      </c>
      <c r="DF194" s="0" t="n">
        <v>0.71</v>
      </c>
      <c r="DG194" s="0" t="n">
        <v>0</v>
      </c>
      <c r="DH194" s="0" t="n">
        <v>0</v>
      </c>
      <c r="DU194" s="0" t="n">
        <v>0.2</v>
      </c>
      <c r="DV194" s="0" t="n">
        <v>1</v>
      </c>
      <c r="DW194" s="0" t="n">
        <v>103</v>
      </c>
      <c r="DX194" s="0" t="n">
        <v>2</v>
      </c>
      <c r="DY194" s="0" t="n">
        <v>0.51</v>
      </c>
      <c r="DZ194" s="0" t="n">
        <v>1</v>
      </c>
      <c r="EA194" s="0" t="n">
        <v>23</v>
      </c>
      <c r="EB194" s="0" t="n">
        <v>1</v>
      </c>
      <c r="EC194" s="0" t="n">
        <v>0.13</v>
      </c>
      <c r="ED194" s="0" t="n">
        <v>3</v>
      </c>
      <c r="EG194" s="18"/>
      <c r="EY194" s="0" t="n">
        <v>0</v>
      </c>
      <c r="GJ194" s="16" t="n">
        <v>0.02</v>
      </c>
      <c r="GK194" s="16" t="n">
        <v>1</v>
      </c>
      <c r="GL194" s="16" t="n">
        <v>1</v>
      </c>
      <c r="GM194" s="16"/>
      <c r="GN194" s="16" t="n">
        <v>0.53</v>
      </c>
      <c r="GO194" s="16"/>
      <c r="GP194" s="16"/>
      <c r="GQ194" s="16"/>
      <c r="GR194" s="16"/>
      <c r="GS194" s="16"/>
      <c r="GT194" s="16"/>
      <c r="GU194" s="16" t="n">
        <v>1.21</v>
      </c>
      <c r="GV194" s="16" t="n">
        <v>1.2</v>
      </c>
      <c r="GW194" s="16"/>
      <c r="GX194" s="16"/>
      <c r="GY194" s="16" t="n">
        <v>0.53</v>
      </c>
      <c r="GZ194" s="16" t="n">
        <v>0.45</v>
      </c>
      <c r="HA194" s="16" t="n">
        <v>0</v>
      </c>
      <c r="HB194" s="0" t="n">
        <v>0</v>
      </c>
      <c r="HC194" s="0" t="s">
        <v>652</v>
      </c>
      <c r="HD194" s="0" t="n">
        <v>9</v>
      </c>
      <c r="HE194" s="16" t="n">
        <v>99.6</v>
      </c>
      <c r="HF194" s="16" t="n">
        <v>560.98</v>
      </c>
      <c r="HG194" s="16" t="n">
        <v>6.6</v>
      </c>
      <c r="HH194" s="0" t="n">
        <v>89.32</v>
      </c>
      <c r="HI194" s="0" t="n">
        <v>0</v>
      </c>
      <c r="HJ194" s="0" t="n">
        <v>1.61</v>
      </c>
      <c r="HK194" s="0" t="n">
        <v>0.49</v>
      </c>
      <c r="HL194" s="0" t="n">
        <v>2.21</v>
      </c>
      <c r="HM194" s="0" t="n">
        <v>0</v>
      </c>
      <c r="HN194" s="0" t="n">
        <v>6.31</v>
      </c>
      <c r="HO194" s="0" t="n">
        <v>0</v>
      </c>
      <c r="HP194" s="0" t="n">
        <v>0</v>
      </c>
      <c r="HQ194" s="0" t="n">
        <v>0</v>
      </c>
      <c r="HR194" s="0" t="n">
        <v>0</v>
      </c>
      <c r="HS194" s="0" t="n">
        <v>0</v>
      </c>
      <c r="HT194" s="0" t="n">
        <v>56.24</v>
      </c>
      <c r="HU194" s="0" t="n">
        <v>1.47</v>
      </c>
      <c r="HV194" s="0" t="n">
        <v>0.02</v>
      </c>
      <c r="HW194" s="0" t="n">
        <v>0.06</v>
      </c>
      <c r="HX194" s="0" t="n">
        <v>0</v>
      </c>
      <c r="HY194" s="0" t="n">
        <v>0</v>
      </c>
      <c r="IL194" s="0" t="n">
        <v>1</v>
      </c>
      <c r="IM194" s="0" t="n">
        <v>1</v>
      </c>
      <c r="IN194" s="0" t="n">
        <v>90</v>
      </c>
      <c r="IO194" s="0" t="n">
        <v>6</v>
      </c>
      <c r="IP194" s="0" t="n">
        <f aca="false">0.26*2+0.03</f>
        <v>0.55</v>
      </c>
      <c r="IQ194" s="0" t="n">
        <v>1</v>
      </c>
      <c r="IR194" s="0" t="n">
        <v>55</v>
      </c>
      <c r="IS194" s="0" t="n">
        <v>3</v>
      </c>
      <c r="IT194" s="0" t="n">
        <v>0.39</v>
      </c>
      <c r="IU194" s="0" t="n">
        <v>2</v>
      </c>
      <c r="IX194" s="18"/>
      <c r="JP194" s="0" t="n">
        <v>1</v>
      </c>
      <c r="JQ194" s="0" t="n">
        <v>85</v>
      </c>
      <c r="JR194" s="0" t="n">
        <v>3</v>
      </c>
      <c r="JS194" s="0" t="n">
        <f aca="false">0.18+0.39+0.02</f>
        <v>0.59</v>
      </c>
      <c r="JT194" s="0" t="n">
        <v>2</v>
      </c>
      <c r="LA194" s="16" t="n">
        <v>0</v>
      </c>
      <c r="LB194" s="16" t="n">
        <v>0</v>
      </c>
      <c r="LC194" s="16"/>
      <c r="LD194" s="16"/>
      <c r="LE194" s="16"/>
      <c r="LF194" s="16"/>
      <c r="LG194" s="16"/>
      <c r="LH194" s="16"/>
      <c r="LI194" s="16"/>
      <c r="LJ194" s="16"/>
      <c r="LK194" s="16"/>
      <c r="LL194" s="16" t="n">
        <v>0.02</v>
      </c>
      <c r="LM194" s="16" t="n">
        <v>0.02</v>
      </c>
      <c r="LN194" s="16"/>
      <c r="LO194" s="16"/>
      <c r="LP194" s="16" t="n">
        <v>0.96</v>
      </c>
      <c r="LQ194" s="16" t="n">
        <v>0</v>
      </c>
      <c r="LR194" s="16" t="n">
        <v>0</v>
      </c>
      <c r="LS194" s="0" t="n">
        <v>1</v>
      </c>
      <c r="LT194" s="0" t="s">
        <v>653</v>
      </c>
      <c r="LU194" s="0" t="n">
        <v>49.5</v>
      </c>
      <c r="LV194" s="16" t="n">
        <v>119.9</v>
      </c>
      <c r="LW194" s="16" t="n">
        <v>99</v>
      </c>
      <c r="LX194" s="16" t="n">
        <v>32.4</v>
      </c>
      <c r="LY194" s="0" t="n">
        <v>65.09</v>
      </c>
      <c r="LZ194" s="0" t="n">
        <v>0</v>
      </c>
      <c r="MA194" s="0" t="n">
        <v>1.99</v>
      </c>
      <c r="MB194" s="0" t="n">
        <v>3.4</v>
      </c>
      <c r="MC194" s="0" t="n">
        <v>33.9</v>
      </c>
      <c r="MD194" s="0" t="n">
        <v>0</v>
      </c>
      <c r="ME194" s="0" t="n">
        <v>0</v>
      </c>
      <c r="MF194" s="0" t="n">
        <v>0</v>
      </c>
      <c r="MG194" s="0" t="n">
        <v>0</v>
      </c>
      <c r="MH194" s="0" t="n">
        <v>0</v>
      </c>
      <c r="MI194" s="0" t="n">
        <v>0</v>
      </c>
      <c r="MJ194" s="0" t="n">
        <v>2.15</v>
      </c>
      <c r="MK194" s="0" t="n">
        <v>28.92</v>
      </c>
      <c r="ML194" s="0" t="n">
        <v>5.9</v>
      </c>
      <c r="MM194" s="0" t="n">
        <v>31.04</v>
      </c>
      <c r="MN194" s="0" t="n">
        <v>0</v>
      </c>
      <c r="MO194" s="0" t="n">
        <v>0</v>
      </c>
      <c r="MP194" s="0" t="n">
        <v>0</v>
      </c>
      <c r="NC194" s="0" t="n">
        <v>1.8</v>
      </c>
      <c r="ND194" s="0" t="n">
        <v>1</v>
      </c>
      <c r="NE194" s="0" t="n">
        <v>23</v>
      </c>
      <c r="NF194" s="0" t="n">
        <v>4</v>
      </c>
      <c r="NG194" s="0" t="n">
        <v>2.91</v>
      </c>
      <c r="NH194" s="0" t="n">
        <v>3</v>
      </c>
      <c r="NO194" s="18"/>
      <c r="OG194" s="0" t="n">
        <v>1</v>
      </c>
      <c r="OH194" s="0" t="n">
        <v>40</v>
      </c>
      <c r="OI194" s="0" t="n">
        <v>3</v>
      </c>
      <c r="OJ194" s="0" t="n">
        <v>2.55</v>
      </c>
      <c r="OK194" s="0" t="n">
        <v>1</v>
      </c>
      <c r="PR194" s="16" t="n">
        <v>3.09</v>
      </c>
      <c r="PS194" s="16" t="n">
        <v>1</v>
      </c>
      <c r="PT194" s="16" t="n">
        <v>2</v>
      </c>
      <c r="PU194" s="16"/>
      <c r="PV194" s="16" t="n">
        <f aca="false">1.82*2</f>
        <v>3.64</v>
      </c>
      <c r="PW194" s="16"/>
      <c r="PX194" s="16"/>
      <c r="PY194" s="16"/>
      <c r="PZ194" s="16"/>
      <c r="QA194" s="16"/>
      <c r="QB194" s="16"/>
      <c r="QC194" s="16" t="n">
        <v>11.81</v>
      </c>
      <c r="QD194" s="16" t="n">
        <v>7.83</v>
      </c>
      <c r="QE194" s="16"/>
      <c r="QF194" s="16"/>
      <c r="QG194" s="16" t="n">
        <v>0</v>
      </c>
      <c r="QH194" s="16" t="n">
        <v>0</v>
      </c>
      <c r="QI194" s="16" t="n">
        <v>0</v>
      </c>
      <c r="QJ194" s="0" t="n">
        <v>0</v>
      </c>
      <c r="QK194" s="0" t="s">
        <v>654</v>
      </c>
      <c r="QL194" s="0" t="n">
        <v>23.5</v>
      </c>
      <c r="QM194" s="16" t="n">
        <v>99.2</v>
      </c>
      <c r="QN194" s="16" t="n">
        <v>99</v>
      </c>
      <c r="QO194" s="16" t="n">
        <v>5.3</v>
      </c>
      <c r="QP194" s="0" t="n">
        <v>12.8</v>
      </c>
      <c r="QQ194" s="0" t="n">
        <v>0</v>
      </c>
      <c r="QR194" s="0" t="n">
        <v>0.14</v>
      </c>
      <c r="QS194" s="0" t="n">
        <v>0</v>
      </c>
      <c r="QT194" s="0" t="n">
        <v>1.75</v>
      </c>
      <c r="QU194" s="0" t="n">
        <v>0</v>
      </c>
      <c r="QV194" s="0" t="n">
        <v>85.3</v>
      </c>
      <c r="QW194" s="0" t="n">
        <v>0</v>
      </c>
      <c r="QX194" s="0" t="n">
        <v>0</v>
      </c>
      <c r="QY194" s="0" t="n">
        <v>1.03</v>
      </c>
      <c r="QZ194" s="0" t="n">
        <v>0</v>
      </c>
      <c r="RA194" s="0" t="n">
        <v>0</v>
      </c>
      <c r="RB194" s="0" t="n">
        <v>83.09</v>
      </c>
      <c r="RC194" s="0" t="n">
        <v>3.01</v>
      </c>
      <c r="RD194" s="0" t="n">
        <v>1.49</v>
      </c>
      <c r="RE194" s="0" t="n">
        <v>0</v>
      </c>
      <c r="RF194" s="0" t="n">
        <v>0</v>
      </c>
      <c r="RG194" s="0" t="n">
        <v>0</v>
      </c>
      <c r="RT194" s="0" t="n">
        <v>0</v>
      </c>
      <c r="RU194" s="0" t="n">
        <v>0</v>
      </c>
      <c r="SF194" s="18"/>
      <c r="SX194" s="0" t="n">
        <v>1</v>
      </c>
      <c r="SY194" s="0" t="n">
        <v>60</v>
      </c>
      <c r="SZ194" s="0" t="n">
        <v>1</v>
      </c>
      <c r="TA194" s="0" t="n">
        <v>0.03</v>
      </c>
      <c r="TB194" s="0" t="n">
        <v>3</v>
      </c>
      <c r="UI194" s="16" t="n">
        <v>0</v>
      </c>
      <c r="UJ194" s="16" t="n">
        <v>0</v>
      </c>
      <c r="UK194" s="16"/>
      <c r="UL194" s="16"/>
      <c r="UM194" s="16"/>
      <c r="UN194" s="16"/>
      <c r="UO194" s="16"/>
      <c r="UP194" s="16"/>
      <c r="UQ194" s="16"/>
      <c r="UR194" s="16"/>
      <c r="US194" s="16"/>
      <c r="UT194" s="16" t="n">
        <v>17.03</v>
      </c>
      <c r="UU194" s="16" t="n">
        <v>80.41</v>
      </c>
      <c r="UV194" s="16"/>
      <c r="UW194" s="16"/>
      <c r="UX194" s="16" t="n">
        <v>0.97</v>
      </c>
      <c r="UY194" s="16" t="n">
        <v>0</v>
      </c>
      <c r="UZ194" s="16" t="n">
        <v>0</v>
      </c>
      <c r="VA194" s="0" t="n">
        <v>1</v>
      </c>
      <c r="VB194" s="0" t="s">
        <v>655</v>
      </c>
      <c r="VC194" s="0" t="n">
        <v>26</v>
      </c>
      <c r="VD194" s="16" t="n">
        <v>87.5</v>
      </c>
      <c r="VE194" s="16" t="n">
        <v>99</v>
      </c>
      <c r="VF194" s="16" t="n">
        <v>12.5</v>
      </c>
      <c r="VG194" s="0" t="n">
        <v>84.55</v>
      </c>
      <c r="VH194" s="0" t="n">
        <v>0</v>
      </c>
      <c r="VI194" s="0" t="n">
        <v>2.29</v>
      </c>
      <c r="VJ194" s="0" t="n">
        <v>2.39</v>
      </c>
      <c r="VK194" s="0" t="n">
        <v>1.61</v>
      </c>
      <c r="VL194" s="0" t="n">
        <v>0</v>
      </c>
      <c r="VM194" s="0" t="n">
        <v>9.16</v>
      </c>
      <c r="VN194" s="0" t="n">
        <v>0</v>
      </c>
      <c r="VO194" s="0" t="n">
        <v>0</v>
      </c>
      <c r="VP194" s="0" t="n">
        <v>0</v>
      </c>
      <c r="VQ194" s="0" t="n">
        <v>0</v>
      </c>
      <c r="VR194" s="0" t="n">
        <v>4.6</v>
      </c>
      <c r="VS194" s="0" t="n">
        <v>1.19</v>
      </c>
      <c r="VT194" s="0" t="n">
        <v>6.51</v>
      </c>
      <c r="VU194" s="0" t="n">
        <v>0.03</v>
      </c>
      <c r="VV194" s="0" t="n">
        <v>0</v>
      </c>
      <c r="VW194" s="0" t="n">
        <v>7</v>
      </c>
      <c r="VX194" s="0" t="n">
        <v>1</v>
      </c>
      <c r="VY194" s="0" t="n">
        <v>3</v>
      </c>
      <c r="WA194" s="0" t="n">
        <v>1</v>
      </c>
      <c r="WB194" s="0" t="n">
        <v>3.83</v>
      </c>
      <c r="WD194" s="0" t="n">
        <v>1</v>
      </c>
      <c r="WK194" s="0" t="n">
        <v>4.5</v>
      </c>
      <c r="WL194" s="0" t="n">
        <v>1</v>
      </c>
      <c r="WM194" s="0" t="n">
        <v>90</v>
      </c>
      <c r="WN194" s="0" t="n">
        <v>6</v>
      </c>
      <c r="WO194" s="0" t="n">
        <f aca="false">0.48*2+0.03</f>
        <v>0.99</v>
      </c>
      <c r="WP194" s="0" t="n">
        <v>1</v>
      </c>
      <c r="WW194" s="18"/>
      <c r="XO194" s="0" t="n">
        <v>1</v>
      </c>
      <c r="XP194" s="0" t="n">
        <v>55</v>
      </c>
      <c r="XQ194" s="0" t="n">
        <v>1</v>
      </c>
      <c r="XR194" s="0" t="n">
        <v>0.55</v>
      </c>
      <c r="XS194" s="0" t="n">
        <v>2</v>
      </c>
      <c r="XT194" s="0" t="n">
        <v>85</v>
      </c>
      <c r="XU194" s="0" t="n">
        <v>1</v>
      </c>
      <c r="XV194" s="0" t="n">
        <v>0.05</v>
      </c>
      <c r="XW194" s="0" t="n">
        <v>2</v>
      </c>
      <c r="YZ194" s="16" t="n">
        <v>0</v>
      </c>
      <c r="ZA194" s="16" t="n">
        <v>0</v>
      </c>
      <c r="ZB194" s="16"/>
      <c r="ZC194" s="16"/>
      <c r="ZD194" s="16"/>
      <c r="ZE194" s="16"/>
      <c r="ZF194" s="16"/>
      <c r="ZG194" s="16"/>
      <c r="ZH194" s="16"/>
      <c r="ZI194" s="16"/>
      <c r="ZJ194" s="16"/>
      <c r="ZK194" s="16" t="n">
        <v>0</v>
      </c>
      <c r="ZL194" s="16" t="n">
        <v>0</v>
      </c>
      <c r="ZM194" s="16"/>
      <c r="ZN194" s="16"/>
      <c r="ZO194" s="16" t="n">
        <v>1.82</v>
      </c>
      <c r="ZP194" s="16" t="n">
        <v>0</v>
      </c>
      <c r="ZQ194" s="16" t="n">
        <v>0</v>
      </c>
      <c r="ZR194" s="0" t="n">
        <v>2</v>
      </c>
      <c r="ZU194" s="15"/>
      <c r="ZV194" s="15"/>
      <c r="AAC194" s="15"/>
      <c r="AAD194" s="15"/>
      <c r="AAK194" s="15"/>
      <c r="AAL194" s="15"/>
      <c r="AAS194" s="15"/>
      <c r="AAT194" s="15"/>
      <c r="ABA194" s="15"/>
      <c r="ABB194" s="15"/>
      <c r="ABI194" s="15"/>
      <c r="ABJ194" s="15"/>
      <c r="ABQ194" s="15"/>
      <c r="ABR194" s="15"/>
      <c r="ABY194" s="15"/>
      <c r="ABZ194" s="15"/>
      <c r="ACG194" s="15"/>
      <c r="ACH194" s="15"/>
      <c r="ACO194" s="15"/>
      <c r="ACP194" s="15"/>
      <c r="ACW194" s="15"/>
      <c r="ACX194" s="15"/>
      <c r="ADE194" s="15"/>
      <c r="ADF194" s="15"/>
      <c r="ADM194" s="15"/>
      <c r="ADN194" s="15"/>
      <c r="ADU194" s="15"/>
      <c r="ADV194" s="15"/>
      <c r="AEC194" s="15"/>
      <c r="AED194" s="15"/>
      <c r="AEK194" s="15"/>
      <c r="AEL194" s="15"/>
      <c r="AES194" s="15"/>
      <c r="AET194" s="15"/>
      <c r="AFA194" s="15"/>
      <c r="AFB194" s="15"/>
      <c r="AFI194" s="15"/>
      <c r="AFJ194" s="15"/>
      <c r="AFQ194" s="15"/>
      <c r="AFR194" s="15"/>
      <c r="AFY194" s="15"/>
      <c r="AFZ194" s="15"/>
      <c r="AGG194" s="15"/>
      <c r="AGH194" s="15"/>
      <c r="AGO194" s="15"/>
      <c r="AGP194" s="15"/>
      <c r="AGW194" s="15"/>
      <c r="AGX194" s="15"/>
      <c r="AHE194" s="15"/>
      <c r="AHF194" s="15"/>
      <c r="AHM194" s="15"/>
      <c r="AHN194" s="15"/>
      <c r="AHU194" s="15"/>
      <c r="AHV194" s="15"/>
      <c r="AIC194" s="15"/>
      <c r="AID194" s="15"/>
      <c r="AIK194" s="15"/>
      <c r="AIL194" s="15"/>
      <c r="AIS194" s="15"/>
      <c r="AIT194" s="15"/>
      <c r="AJA194" s="15"/>
      <c r="AJB194" s="15"/>
      <c r="AJI194" s="15"/>
      <c r="AJJ194" s="15"/>
      <c r="AJQ194" s="15"/>
      <c r="AJR194" s="15"/>
      <c r="AJY194" s="15"/>
      <c r="AJZ194" s="15"/>
      <c r="AKG194" s="15"/>
      <c r="AKH194" s="15"/>
      <c r="AKO194" s="15"/>
      <c r="AKP194" s="15"/>
      <c r="AKW194" s="15"/>
      <c r="AKX194" s="15"/>
      <c r="ALE194" s="15"/>
      <c r="ALF194" s="15"/>
      <c r="ALM194" s="15"/>
      <c r="ALN194" s="15"/>
      <c r="ALU194" s="15"/>
      <c r="ALV194" s="15"/>
      <c r="AMC194" s="15"/>
      <c r="AMD194" s="15"/>
    </row>
    <row r="195" s="24" customFormat="true" ht="13.8" hidden="false" customHeight="false" outlineLevel="0" collapsed="false">
      <c r="A195" s="22" t="s">
        <v>701</v>
      </c>
      <c r="B195" s="23" t="n">
        <v>42901</v>
      </c>
      <c r="C195" s="24" t="n">
        <v>1</v>
      </c>
      <c r="D195" s="25" t="n">
        <v>42793</v>
      </c>
      <c r="E195" s="23" t="n">
        <v>35648</v>
      </c>
      <c r="F195" s="14" t="n">
        <f aca="false">(B195-E195)/365.25</f>
        <v>19.8576317590691</v>
      </c>
      <c r="G195" s="14" t="n">
        <f aca="false">(B195-D195)/365.25</f>
        <v>0.295687885010267</v>
      </c>
      <c r="H195" s="21" t="s">
        <v>306</v>
      </c>
      <c r="I195" s="21" t="s">
        <v>689</v>
      </c>
      <c r="J195" s="21" t="s">
        <v>181</v>
      </c>
      <c r="K195" s="21" t="n">
        <v>8</v>
      </c>
      <c r="L195" s="26" t="n">
        <v>51</v>
      </c>
      <c r="M195" s="24" t="n">
        <v>1.7</v>
      </c>
      <c r="N195" s="27" t="n">
        <f aca="false">L195/(M195*M195)</f>
        <v>17.6470588235294</v>
      </c>
      <c r="O195" s="26" t="n">
        <v>0</v>
      </c>
      <c r="P195" s="26" t="n">
        <v>0</v>
      </c>
      <c r="Q195" s="26" t="n">
        <v>0</v>
      </c>
      <c r="R195" s="26" t="n">
        <v>0</v>
      </c>
      <c r="S195" s="26" t="n">
        <v>0</v>
      </c>
      <c r="T195" s="26" t="n">
        <v>0</v>
      </c>
      <c r="U195" s="26" t="n">
        <v>0</v>
      </c>
      <c r="V195" s="26" t="n">
        <v>0</v>
      </c>
      <c r="W195" s="26" t="n">
        <v>0</v>
      </c>
      <c r="X195" s="26" t="n">
        <v>0</v>
      </c>
      <c r="Y195" s="26" t="n">
        <v>0</v>
      </c>
      <c r="Z195" s="26" t="n">
        <v>0</v>
      </c>
      <c r="AA195" s="26" t="n">
        <v>0</v>
      </c>
      <c r="AB195" s="26" t="n">
        <v>0</v>
      </c>
      <c r="AC195" s="26" t="n">
        <v>0</v>
      </c>
      <c r="AD195" s="26" t="n">
        <v>0</v>
      </c>
      <c r="AE195" s="26" t="n">
        <v>0</v>
      </c>
      <c r="AF195" s="26" t="n">
        <v>0</v>
      </c>
      <c r="AG195" s="26" t="n">
        <v>0</v>
      </c>
      <c r="AH195" s="26" t="n">
        <v>0</v>
      </c>
      <c r="AI195" s="26" t="n">
        <v>3</v>
      </c>
      <c r="AJ195" s="26" t="n">
        <v>0</v>
      </c>
      <c r="AK195" s="26" t="n">
        <v>3</v>
      </c>
      <c r="AL195" s="26" t="n">
        <v>4</v>
      </c>
      <c r="AM195" s="26" t="n">
        <v>4</v>
      </c>
      <c r="AN195" s="26" t="n">
        <v>0</v>
      </c>
      <c r="AO195" s="26" t="n">
        <v>0</v>
      </c>
      <c r="AP195" s="26" t="n">
        <v>0</v>
      </c>
      <c r="AQ195" s="26" t="n">
        <v>0</v>
      </c>
      <c r="AR195" s="26" t="n">
        <v>0</v>
      </c>
      <c r="AS195" s="26" t="n">
        <v>1</v>
      </c>
      <c r="AT195" s="26" t="n">
        <v>0</v>
      </c>
      <c r="AU195" s="26" t="n">
        <v>2</v>
      </c>
      <c r="AV195" s="26"/>
      <c r="AW195" s="26" t="n">
        <v>2</v>
      </c>
      <c r="AX195" s="26" t="n">
        <v>0</v>
      </c>
      <c r="AY195" s="26" t="n">
        <v>0</v>
      </c>
      <c r="AZ195" s="26" t="n">
        <v>0</v>
      </c>
      <c r="BA195" s="26" t="n">
        <v>0</v>
      </c>
      <c r="BB195" s="26" t="n">
        <v>0</v>
      </c>
      <c r="BC195" s="26" t="n">
        <v>0</v>
      </c>
      <c r="BD195" s="26" t="n">
        <v>0</v>
      </c>
      <c r="BE195" s="26" t="n">
        <v>0</v>
      </c>
      <c r="BF195" s="26" t="n">
        <v>0</v>
      </c>
      <c r="BG195" s="26" t="n">
        <v>0</v>
      </c>
      <c r="BH195" s="26" t="n">
        <v>0</v>
      </c>
      <c r="BI195" s="26" t="n">
        <v>0</v>
      </c>
      <c r="BJ195" s="26" t="n">
        <v>0</v>
      </c>
      <c r="BK195" s="26" t="n">
        <v>0</v>
      </c>
      <c r="BL195" s="26" t="n">
        <v>0</v>
      </c>
      <c r="BM195" s="26" t="n">
        <v>0</v>
      </c>
      <c r="BN195" s="26" t="n">
        <v>0</v>
      </c>
      <c r="BO195" s="26" t="n">
        <v>0</v>
      </c>
      <c r="BP195" s="26" t="n">
        <v>0</v>
      </c>
      <c r="BQ195" s="26" t="n">
        <v>0</v>
      </c>
      <c r="BR195" s="26" t="n">
        <v>1</v>
      </c>
      <c r="BS195" s="26" t="n">
        <v>1</v>
      </c>
      <c r="BT195" s="26" t="n">
        <v>3</v>
      </c>
      <c r="BU195" s="26" t="n">
        <v>5</v>
      </c>
      <c r="BV195" s="26" t="n">
        <v>1</v>
      </c>
      <c r="BW195" s="26" t="n">
        <v>1</v>
      </c>
      <c r="BX195" s="26" t="n">
        <v>3</v>
      </c>
      <c r="BY195" s="26" t="n">
        <v>1</v>
      </c>
      <c r="BZ195" s="26" t="n">
        <v>3</v>
      </c>
      <c r="CA195" s="26" t="n">
        <v>2</v>
      </c>
      <c r="CB195" s="26" t="n">
        <v>4</v>
      </c>
      <c r="CC195" s="26" t="n">
        <v>4</v>
      </c>
      <c r="CD195" s="26" t="n">
        <v>1</v>
      </c>
      <c r="CE195" s="26" t="n">
        <v>3</v>
      </c>
      <c r="CF195" s="26" t="n">
        <v>2</v>
      </c>
      <c r="CG195" s="26" t="n">
        <v>4</v>
      </c>
      <c r="CH195" s="26" t="n">
        <v>4</v>
      </c>
      <c r="CI195" s="26" t="n">
        <v>4</v>
      </c>
      <c r="CJ195" s="26" t="n">
        <v>4</v>
      </c>
      <c r="CK195" s="26" t="n">
        <v>8</v>
      </c>
      <c r="CL195" s="24" t="s">
        <v>690</v>
      </c>
      <c r="CM195" s="24" t="n">
        <v>38</v>
      </c>
      <c r="CN195" s="27" t="n">
        <v>85.5</v>
      </c>
      <c r="CO195" s="27" t="n">
        <v>83.4</v>
      </c>
      <c r="CP195" s="27" t="n">
        <v>28.7</v>
      </c>
      <c r="CQ195" s="24" t="n">
        <v>61.84</v>
      </c>
      <c r="CR195" s="24" t="n">
        <v>0</v>
      </c>
      <c r="CS195" s="24" t="n">
        <v>0</v>
      </c>
      <c r="CT195" s="24" t="n">
        <v>0</v>
      </c>
      <c r="CU195" s="24" t="n">
        <v>37.42</v>
      </c>
      <c r="CV195" s="24" t="n">
        <v>0</v>
      </c>
      <c r="CW195" s="24" t="n">
        <v>0.73</v>
      </c>
      <c r="CX195" s="24" t="n">
        <v>0</v>
      </c>
      <c r="CY195" s="24" t="n">
        <v>0</v>
      </c>
      <c r="CZ195" s="24" t="n">
        <v>0.74</v>
      </c>
      <c r="DA195" s="24" t="n">
        <v>0</v>
      </c>
      <c r="DB195" s="24" t="n">
        <v>7.34</v>
      </c>
      <c r="DC195" s="24" t="n">
        <v>25.37</v>
      </c>
      <c r="DD195" s="24" t="n">
        <v>15.03</v>
      </c>
      <c r="DE195" s="24" t="n">
        <v>30.09</v>
      </c>
      <c r="DF195" s="24" t="n">
        <v>0</v>
      </c>
      <c r="DG195" s="24" t="n">
        <v>0</v>
      </c>
      <c r="DH195" s="24" t="n">
        <v>0</v>
      </c>
      <c r="DU195" s="24" t="n">
        <v>1.7</v>
      </c>
      <c r="DV195" s="24" t="n">
        <v>0</v>
      </c>
      <c r="EG195" s="28"/>
      <c r="EY195" s="24" t="n">
        <v>1</v>
      </c>
      <c r="EZ195" s="24" t="n">
        <v>50</v>
      </c>
      <c r="FA195" s="24" t="n">
        <v>4</v>
      </c>
      <c r="FB195" s="24" t="n">
        <v>0.46</v>
      </c>
      <c r="FC195" s="24" t="n">
        <v>6</v>
      </c>
      <c r="FD195" s="24" t="n">
        <v>40</v>
      </c>
      <c r="FE195" s="24" t="n">
        <v>10</v>
      </c>
      <c r="FF195" s="24" t="n">
        <f aca="false">0.17*2+0.06+0.07</f>
        <v>0.47</v>
      </c>
      <c r="FG195" s="24" t="n">
        <v>1</v>
      </c>
      <c r="FH195" s="24" t="n">
        <v>40</v>
      </c>
      <c r="FI195" s="24" t="n">
        <v>10</v>
      </c>
      <c r="FJ195" s="24" t="n">
        <f aca="false">0.17*2+0.07*2+0.03</f>
        <v>0.51</v>
      </c>
      <c r="FK195" s="24" t="n">
        <v>6</v>
      </c>
      <c r="FL195" s="24" t="n">
        <v>60</v>
      </c>
      <c r="FM195" s="24" t="n">
        <v>6</v>
      </c>
      <c r="FN195" s="24" t="n">
        <f aca="false">4.4*2+0.39*2+0.26</f>
        <v>9.84</v>
      </c>
      <c r="FO195" s="24" t="n">
        <v>3</v>
      </c>
      <c r="GJ195" s="27" t="n">
        <v>1.55</v>
      </c>
      <c r="GK195" s="27" t="n">
        <v>1</v>
      </c>
      <c r="GL195" s="27" t="n">
        <v>1</v>
      </c>
      <c r="GM195" s="27"/>
      <c r="GN195" s="27" t="n">
        <f aca="false">1.65*2</f>
        <v>3.3</v>
      </c>
      <c r="GO195" s="27" t="n">
        <v>2</v>
      </c>
      <c r="GP195" s="27"/>
      <c r="GQ195" s="27" t="n">
        <v>0.54</v>
      </c>
      <c r="GR195" s="27"/>
      <c r="GS195" s="27"/>
      <c r="GT195" s="27"/>
      <c r="GU195" s="27" t="n">
        <v>5.74</v>
      </c>
      <c r="GV195" s="27" t="n">
        <v>3.64</v>
      </c>
      <c r="GW195" s="27"/>
      <c r="GX195" s="27"/>
      <c r="GY195" s="27" t="n">
        <v>0</v>
      </c>
      <c r="GZ195" s="27" t="n">
        <v>0</v>
      </c>
      <c r="HA195" s="27" t="n">
        <v>0</v>
      </c>
      <c r="HB195" s="24" t="n">
        <v>0</v>
      </c>
      <c r="HC195" s="24" t="s">
        <v>691</v>
      </c>
      <c r="HD195" s="24" t="n">
        <v>63.5</v>
      </c>
      <c r="HE195" s="27" t="n">
        <v>98.9</v>
      </c>
      <c r="HF195" s="27" t="n">
        <v>83.4</v>
      </c>
      <c r="HG195" s="27" t="n">
        <v>51</v>
      </c>
      <c r="HH195" s="24" t="n">
        <v>53.65</v>
      </c>
      <c r="HI195" s="24" t="n">
        <v>0</v>
      </c>
      <c r="HJ195" s="24" t="n">
        <v>11.99</v>
      </c>
      <c r="HK195" s="24" t="n">
        <v>24.1</v>
      </c>
      <c r="HL195" s="24" t="n">
        <v>10.26</v>
      </c>
      <c r="HM195" s="24" t="n">
        <v>0</v>
      </c>
      <c r="HN195" s="24" t="n">
        <v>0</v>
      </c>
      <c r="HO195" s="24" t="n">
        <v>0</v>
      </c>
      <c r="HP195" s="24" t="n">
        <v>0</v>
      </c>
      <c r="HQ195" s="24" t="n">
        <v>0</v>
      </c>
      <c r="HR195" s="24" t="n">
        <v>0</v>
      </c>
      <c r="HS195" s="24" t="n">
        <v>9.1</v>
      </c>
      <c r="HT195" s="24" t="n">
        <v>26.31</v>
      </c>
      <c r="HU195" s="24" t="n">
        <v>5.53</v>
      </c>
      <c r="HV195" s="24" t="n">
        <v>0.94</v>
      </c>
      <c r="HW195" s="24" t="n">
        <v>0</v>
      </c>
      <c r="HX195" s="24" t="n">
        <v>0</v>
      </c>
      <c r="HY195" s="24" t="n">
        <v>0</v>
      </c>
      <c r="IL195" s="24" t="n">
        <v>6.1</v>
      </c>
      <c r="IM195" s="24" t="n">
        <v>0</v>
      </c>
      <c r="IX195" s="28"/>
      <c r="JP195" s="24" t="n">
        <v>1</v>
      </c>
      <c r="JQ195" s="24" t="n">
        <v>50</v>
      </c>
      <c r="JR195" s="24" t="n">
        <v>1</v>
      </c>
      <c r="JS195" s="24" t="n">
        <v>0.39</v>
      </c>
      <c r="JT195" s="24" t="n">
        <v>3</v>
      </c>
      <c r="JU195" s="24" t="n">
        <v>50</v>
      </c>
      <c r="JV195" s="24" t="n">
        <v>2</v>
      </c>
      <c r="JW195" s="24" t="n">
        <f aca="false">0.19+0.23</f>
        <v>0.42</v>
      </c>
      <c r="JX195" s="24" t="n">
        <v>4</v>
      </c>
      <c r="JY195" s="24" t="n">
        <v>60</v>
      </c>
      <c r="JZ195" s="24" t="n">
        <v>12</v>
      </c>
      <c r="KA195" s="24" t="n">
        <f aca="false">0.78*2</f>
        <v>1.56</v>
      </c>
      <c r="KB195" s="24" t="n">
        <v>6</v>
      </c>
      <c r="LA195" s="27" t="n">
        <v>5.39</v>
      </c>
      <c r="LB195" s="27" t="n">
        <v>1</v>
      </c>
      <c r="LC195" s="27" t="n">
        <v>1</v>
      </c>
      <c r="LD195" s="27"/>
      <c r="LE195" s="27" t="n">
        <f aca="false">2.04*3+0.36*2</f>
        <v>6.84</v>
      </c>
      <c r="LF195" s="27" t="n">
        <v>2</v>
      </c>
      <c r="LG195" s="27"/>
      <c r="LH195" s="27" t="n">
        <f aca="false">0.72*2+0.36</f>
        <v>1.8</v>
      </c>
      <c r="LI195" s="27" t="n">
        <v>3</v>
      </c>
      <c r="LJ195" s="27"/>
      <c r="LK195" s="27" t="n">
        <v>0.5</v>
      </c>
      <c r="LL195" s="27" t="n">
        <v>0.94</v>
      </c>
      <c r="LM195" s="27" t="n">
        <v>0.94</v>
      </c>
      <c r="LN195" s="27"/>
      <c r="LO195" s="27"/>
      <c r="LP195" s="27" t="n">
        <v>0</v>
      </c>
      <c r="LQ195" s="27" t="n">
        <v>0</v>
      </c>
      <c r="LR195" s="27" t="n">
        <v>0</v>
      </c>
      <c r="LS195" s="24" t="n">
        <v>0</v>
      </c>
      <c r="LT195" s="24" t="s">
        <v>697</v>
      </c>
      <c r="LU195" s="24" t="n">
        <v>42.5</v>
      </c>
      <c r="LV195" s="27" t="n">
        <v>92.2</v>
      </c>
      <c r="LW195" s="27" t="n">
        <v>83.4</v>
      </c>
      <c r="LX195" s="27" t="n">
        <v>33.5</v>
      </c>
      <c r="LY195" s="24" t="n">
        <v>25.89</v>
      </c>
      <c r="LZ195" s="24" t="n">
        <v>0</v>
      </c>
      <c r="MA195" s="24" t="n">
        <v>0</v>
      </c>
      <c r="MB195" s="24" t="n">
        <v>0</v>
      </c>
      <c r="MC195" s="24" t="n">
        <v>0</v>
      </c>
      <c r="MD195" s="24" t="n">
        <v>0</v>
      </c>
      <c r="ME195" s="24" t="n">
        <v>74.11</v>
      </c>
      <c r="MF195" s="24" t="n">
        <v>25.43</v>
      </c>
      <c r="MG195" s="24" t="n">
        <v>9.72</v>
      </c>
      <c r="MH195" s="24" t="n">
        <v>2.94</v>
      </c>
      <c r="MI195" s="24" t="n">
        <v>0</v>
      </c>
      <c r="MJ195" s="24" t="n">
        <v>11.38</v>
      </c>
      <c r="MK195" s="24" t="n">
        <v>16.89</v>
      </c>
      <c r="ML195" s="24" t="n">
        <v>27.26</v>
      </c>
      <c r="MM195" s="24" t="n">
        <v>0</v>
      </c>
      <c r="MN195" s="24" t="n">
        <v>0</v>
      </c>
      <c r="MO195" s="24" t="n">
        <v>0</v>
      </c>
      <c r="MP195" s="24" t="n">
        <v>0</v>
      </c>
      <c r="NC195" s="24" t="n">
        <v>3.6</v>
      </c>
      <c r="ND195" s="24" t="n">
        <v>1</v>
      </c>
      <c r="NE195" s="24" t="n">
        <v>35</v>
      </c>
      <c r="NF195" s="24" t="n">
        <v>6</v>
      </c>
      <c r="NG195" s="24" t="n">
        <f aca="false">0.13*4</f>
        <v>0.52</v>
      </c>
      <c r="NH195" s="24" t="n">
        <v>3</v>
      </c>
      <c r="NI195" s="24" t="n">
        <v>25</v>
      </c>
      <c r="NJ195" s="24" t="n">
        <v>2</v>
      </c>
      <c r="NK195" s="24" t="n">
        <f aca="false">0.13*2</f>
        <v>0.26</v>
      </c>
      <c r="NL195" s="24" t="n">
        <v>4</v>
      </c>
      <c r="NO195" s="28"/>
      <c r="OG195" s="24" t="n">
        <v>0</v>
      </c>
      <c r="PR195" s="27" t="n">
        <v>3.01</v>
      </c>
      <c r="PS195" s="27" t="n">
        <v>1</v>
      </c>
      <c r="PT195" s="27" t="n">
        <v>1</v>
      </c>
      <c r="PU195" s="27"/>
      <c r="PV195" s="27" t="n">
        <f aca="false">1.65*5+0.13*2+0.36+0.18</f>
        <v>9.05</v>
      </c>
      <c r="PW195" s="27"/>
      <c r="PX195" s="27"/>
      <c r="PY195" s="27"/>
      <c r="PZ195" s="27"/>
      <c r="QA195" s="27"/>
      <c r="QB195" s="27"/>
      <c r="QC195" s="27" t="n">
        <v>2.16</v>
      </c>
      <c r="QD195" s="27" t="n">
        <v>0.52</v>
      </c>
      <c r="QE195" s="27"/>
      <c r="QF195" s="27"/>
      <c r="QG195" s="27" t="n">
        <v>0</v>
      </c>
      <c r="QH195" s="27" t="n">
        <v>0</v>
      </c>
      <c r="QI195" s="27" t="n">
        <v>0</v>
      </c>
      <c r="QJ195" s="24" t="n">
        <v>0</v>
      </c>
      <c r="QK195" s="24" t="s">
        <v>698</v>
      </c>
      <c r="QL195" s="24" t="n">
        <v>37</v>
      </c>
      <c r="QM195" s="27" t="n">
        <v>86.3</v>
      </c>
      <c r="QN195" s="27" t="n">
        <v>83.4</v>
      </c>
      <c r="QO195" s="27" t="n">
        <v>31.3</v>
      </c>
      <c r="QP195" s="24" t="n">
        <v>24.09</v>
      </c>
      <c r="QQ195" s="24" t="n">
        <v>0</v>
      </c>
      <c r="QR195" s="24" t="n">
        <v>0</v>
      </c>
      <c r="QS195" s="24" t="n">
        <v>0</v>
      </c>
      <c r="QT195" s="24" t="n">
        <v>0</v>
      </c>
      <c r="QU195" s="24" t="n">
        <v>0</v>
      </c>
      <c r="QV195" s="24" t="n">
        <v>75.91</v>
      </c>
      <c r="QW195" s="24" t="n">
        <v>21.83</v>
      </c>
      <c r="QX195" s="24" t="n">
        <v>8.63</v>
      </c>
      <c r="QY195" s="24" t="n">
        <v>2.94</v>
      </c>
      <c r="QZ195" s="24" t="n">
        <v>0</v>
      </c>
      <c r="RA195" s="24" t="n">
        <v>13.66</v>
      </c>
      <c r="RB195" s="24" t="n">
        <v>10.54</v>
      </c>
      <c r="RC195" s="24" t="n">
        <v>28.39</v>
      </c>
      <c r="RD195" s="24" t="n">
        <v>0</v>
      </c>
      <c r="RE195" s="24" t="n">
        <v>0</v>
      </c>
      <c r="RF195" s="24" t="n">
        <v>0</v>
      </c>
      <c r="RG195" s="24" t="n">
        <v>0</v>
      </c>
      <c r="RT195" s="24" t="n">
        <v>2.7</v>
      </c>
      <c r="RU195" s="24" t="n">
        <v>1</v>
      </c>
      <c r="RV195" s="24" t="n">
        <v>52</v>
      </c>
      <c r="RW195" s="24" t="n">
        <v>1</v>
      </c>
      <c r="RX195" s="24" t="n">
        <v>0.39</v>
      </c>
      <c r="RY195" s="24" t="n">
        <v>2</v>
      </c>
      <c r="RZ195" s="24" t="n">
        <v>35</v>
      </c>
      <c r="SA195" s="24" t="n">
        <v>4</v>
      </c>
      <c r="SB195" s="24" t="n">
        <v>0.26</v>
      </c>
      <c r="SC195" s="24" t="n">
        <v>3</v>
      </c>
      <c r="SF195" s="28"/>
      <c r="SX195" s="24" t="n">
        <v>0</v>
      </c>
      <c r="UI195" s="27" t="n">
        <v>2.83</v>
      </c>
      <c r="UJ195" s="27" t="n">
        <v>1</v>
      </c>
      <c r="UK195" s="27" t="n">
        <v>1</v>
      </c>
      <c r="UL195" s="27"/>
      <c r="UM195" s="27" t="n">
        <f aca="false">1.65*5</f>
        <v>8.25</v>
      </c>
      <c r="UN195" s="27"/>
      <c r="UO195" s="27"/>
      <c r="UP195" s="27"/>
      <c r="UQ195" s="27"/>
      <c r="UR195" s="27"/>
      <c r="US195" s="27"/>
      <c r="UT195" s="27" t="n">
        <v>0</v>
      </c>
      <c r="UU195" s="27" t="n">
        <v>0</v>
      </c>
      <c r="UV195" s="27"/>
      <c r="UW195" s="27"/>
      <c r="UX195" s="27" t="n">
        <v>0</v>
      </c>
      <c r="UY195" s="27" t="n">
        <v>0</v>
      </c>
      <c r="UZ195" s="27" t="n">
        <v>0</v>
      </c>
      <c r="VA195" s="24" t="n">
        <v>0</v>
      </c>
      <c r="VB195" s="24" t="s">
        <v>702</v>
      </c>
      <c r="VC195" s="24" t="n">
        <v>43.5</v>
      </c>
      <c r="VD195" s="27" t="n">
        <v>73.8</v>
      </c>
      <c r="VE195" s="27" t="n">
        <v>83.4</v>
      </c>
      <c r="VF195" s="27" t="n">
        <v>26.5</v>
      </c>
      <c r="VG195" s="24" t="n">
        <v>20.2</v>
      </c>
      <c r="VH195" s="24" t="n">
        <v>0</v>
      </c>
      <c r="VI195" s="24" t="n">
        <v>26.95</v>
      </c>
      <c r="VJ195" s="24" t="n">
        <v>0</v>
      </c>
      <c r="VK195" s="24" t="n">
        <v>0.39</v>
      </c>
      <c r="VL195" s="24" t="n">
        <v>0</v>
      </c>
      <c r="VM195" s="24" t="n">
        <v>79.41</v>
      </c>
      <c r="VN195" s="24" t="n">
        <v>26.95</v>
      </c>
      <c r="VO195" s="24" t="n">
        <v>0</v>
      </c>
      <c r="VP195" s="24" t="n">
        <v>0</v>
      </c>
      <c r="VQ195" s="24" t="n">
        <v>0</v>
      </c>
      <c r="VR195" s="24" t="n">
        <v>35.2</v>
      </c>
      <c r="VS195" s="24" t="n">
        <v>15.96</v>
      </c>
      <c r="VT195" s="24" t="n">
        <v>39.09</v>
      </c>
      <c r="VU195" s="24" t="n">
        <v>0.32</v>
      </c>
      <c r="VV195" s="24" t="n">
        <v>0</v>
      </c>
      <c r="VW195" s="24" t="n">
        <v>0</v>
      </c>
      <c r="VX195" s="24" t="n">
        <v>0</v>
      </c>
      <c r="WK195" s="24" t="n">
        <v>14.4</v>
      </c>
      <c r="WL195" s="24" t="n">
        <v>1</v>
      </c>
      <c r="WM195" s="24" t="n">
        <v>30</v>
      </c>
      <c r="WN195" s="24" t="n">
        <v>5</v>
      </c>
      <c r="WO195" s="24" t="n">
        <f aca="false">2.94+0.6</f>
        <v>3.54</v>
      </c>
      <c r="WP195" s="24" t="n">
        <v>3</v>
      </c>
      <c r="WQ195" s="24" t="n">
        <v>34</v>
      </c>
      <c r="WR195" s="24" t="n">
        <v>1</v>
      </c>
      <c r="WS195" s="24" t="n">
        <v>1.65</v>
      </c>
      <c r="WT195" s="24" t="n">
        <v>1</v>
      </c>
      <c r="WU195" s="24" t="n">
        <v>52</v>
      </c>
      <c r="WV195" s="24" t="n">
        <v>6</v>
      </c>
      <c r="WW195" s="28" t="n">
        <f aca="false">0.7+0.77+0.08+0.05</f>
        <v>1.6</v>
      </c>
      <c r="WX195" s="24" t="n">
        <v>2</v>
      </c>
      <c r="WY195" s="24" t="n">
        <v>35</v>
      </c>
      <c r="WZ195" s="24" t="n">
        <v>1</v>
      </c>
      <c r="XA195" s="24" t="n">
        <v>0.19</v>
      </c>
      <c r="XB195" s="24" t="n">
        <v>3</v>
      </c>
      <c r="XC195" s="24" t="n">
        <v>23</v>
      </c>
      <c r="XD195" s="24" t="n">
        <v>3</v>
      </c>
      <c r="XE195" s="24" t="n">
        <f aca="false">0.39+0.77</f>
        <v>1.16</v>
      </c>
      <c r="XF195" s="24" t="n">
        <v>3</v>
      </c>
      <c r="XO195" s="24" t="n">
        <v>0</v>
      </c>
      <c r="YZ195" s="27" t="n">
        <v>1.22</v>
      </c>
      <c r="ZA195" s="27" t="n">
        <v>1</v>
      </c>
      <c r="ZB195" s="27" t="n">
        <v>1</v>
      </c>
      <c r="ZC195" s="27"/>
      <c r="ZD195" s="27" t="n">
        <f aca="false">0.97*2+1.07*2</f>
        <v>4.08</v>
      </c>
      <c r="ZE195" s="27"/>
      <c r="ZF195" s="27"/>
      <c r="ZG195" s="27"/>
      <c r="ZH195" s="27"/>
      <c r="ZI195" s="27"/>
      <c r="ZJ195" s="27"/>
      <c r="ZK195" s="27" t="n">
        <v>0</v>
      </c>
      <c r="ZL195" s="27" t="n">
        <v>0</v>
      </c>
      <c r="ZM195" s="27"/>
      <c r="ZN195" s="27"/>
      <c r="ZO195" s="27" t="n">
        <v>0</v>
      </c>
      <c r="ZP195" s="27" t="n">
        <v>0</v>
      </c>
      <c r="ZQ195" s="27" t="n">
        <v>1.22</v>
      </c>
      <c r="ZR195" s="24" t="n">
        <v>0</v>
      </c>
      <c r="ZS195" s="24" t="s">
        <v>694</v>
      </c>
      <c r="ZT195" s="24" t="n">
        <v>40</v>
      </c>
      <c r="ZU195" s="27" t="n">
        <v>78.1</v>
      </c>
      <c r="ZV195" s="27" t="n">
        <v>83.4</v>
      </c>
      <c r="ZW195" s="27" t="n">
        <v>34.6</v>
      </c>
      <c r="ZX195" s="24" t="n">
        <v>66.6</v>
      </c>
      <c r="ZY195" s="24" t="n">
        <v>0</v>
      </c>
      <c r="ZZ195" s="24" t="n">
        <v>18.54</v>
      </c>
      <c r="AAA195" s="24" t="n">
        <v>7.52</v>
      </c>
      <c r="AAB195" s="24" t="n">
        <v>0</v>
      </c>
      <c r="AAC195" s="24" t="n">
        <v>0</v>
      </c>
      <c r="AAD195" s="24" t="n">
        <v>0</v>
      </c>
      <c r="AAE195" s="24" t="n">
        <v>0</v>
      </c>
      <c r="AAF195" s="24" t="n">
        <v>0</v>
      </c>
      <c r="AAG195" s="24" t="n">
        <v>0</v>
      </c>
      <c r="AAH195" s="24" t="n">
        <v>0</v>
      </c>
      <c r="AAI195" s="24" t="n">
        <v>0</v>
      </c>
      <c r="AAJ195" s="24" t="n">
        <v>28.45</v>
      </c>
      <c r="AAK195" s="24" t="n">
        <v>20.45</v>
      </c>
      <c r="AAL195" s="24" t="n">
        <v>0.01</v>
      </c>
      <c r="AAM195" s="24" t="n">
        <v>7.34</v>
      </c>
      <c r="AAN195" s="24" t="n">
        <v>0</v>
      </c>
      <c r="AAO195" s="24" t="n">
        <v>0</v>
      </c>
      <c r="ABB195" s="24" t="n">
        <v>0</v>
      </c>
      <c r="ABC195" s="24" t="n">
        <v>0</v>
      </c>
      <c r="ABN195" s="28"/>
      <c r="ACF195" s="24" t="n">
        <v>1</v>
      </c>
      <c r="ACG195" s="24" t="n">
        <v>40</v>
      </c>
      <c r="ACH195" s="24" t="n">
        <v>1</v>
      </c>
      <c r="ACI195" s="24" t="n">
        <v>0.73</v>
      </c>
      <c r="ACJ195" s="24" t="n">
        <v>3</v>
      </c>
      <c r="ADQ195" s="27" t="n">
        <v>1.22</v>
      </c>
      <c r="ADR195" s="27" t="n">
        <v>1</v>
      </c>
      <c r="ADS195" s="27" t="n">
        <v>1</v>
      </c>
      <c r="ADT195" s="27"/>
      <c r="ADU195" s="27" t="n">
        <f aca="false">1.65+3.3</f>
        <v>4.95</v>
      </c>
      <c r="ADV195" s="27"/>
      <c r="ADW195" s="27"/>
      <c r="ADX195" s="27"/>
      <c r="ADY195" s="27"/>
      <c r="ADZ195" s="27"/>
      <c r="AEA195" s="27"/>
      <c r="AEB195" s="27" t="n">
        <v>1.1</v>
      </c>
      <c r="AEC195" s="27" t="n">
        <v>1.1</v>
      </c>
      <c r="AED195" s="27"/>
      <c r="AEE195" s="27"/>
      <c r="AEF195" s="27" t="n">
        <v>2.88</v>
      </c>
      <c r="AEG195" s="27" t="n">
        <v>6.79</v>
      </c>
      <c r="AEH195" s="27" t="n">
        <v>0</v>
      </c>
      <c r="AEI195" s="24" t="n">
        <v>0</v>
      </c>
      <c r="AEJ195" s="24" t="s">
        <v>703</v>
      </c>
      <c r="AEK195" s="24" t="n">
        <v>34.5</v>
      </c>
      <c r="AEL195" s="27" t="n">
        <v>62.2</v>
      </c>
      <c r="AEM195" s="27" t="n">
        <v>83.4</v>
      </c>
      <c r="AEN195" s="27" t="n">
        <v>29.9</v>
      </c>
      <c r="AEO195" s="24" t="n">
        <v>73.95</v>
      </c>
      <c r="AEP195" s="24" t="n">
        <v>0</v>
      </c>
      <c r="AEQ195" s="24" t="n">
        <v>18.53</v>
      </c>
      <c r="AER195" s="24" t="n">
        <v>7.52</v>
      </c>
      <c r="AES195" s="24" t="n">
        <v>0</v>
      </c>
      <c r="AET195" s="24" t="n">
        <v>0</v>
      </c>
      <c r="AEU195" s="24" t="n">
        <v>0</v>
      </c>
      <c r="AEV195" s="24" t="n">
        <v>0</v>
      </c>
      <c r="AEW195" s="24" t="n">
        <v>0</v>
      </c>
      <c r="AEX195" s="24" t="n">
        <v>0</v>
      </c>
      <c r="AEY195" s="24" t="n">
        <v>0</v>
      </c>
      <c r="AEZ195" s="24" t="n">
        <v>0</v>
      </c>
      <c r="AFA195" s="24" t="n">
        <v>11.93</v>
      </c>
      <c r="AFB195" s="24" t="n">
        <v>21.11</v>
      </c>
      <c r="AFC195" s="24" t="n">
        <v>0</v>
      </c>
      <c r="AFD195" s="24" t="n">
        <v>0</v>
      </c>
      <c r="AFE195" s="24" t="n">
        <v>0</v>
      </c>
      <c r="AFF195" s="24" t="n">
        <v>0</v>
      </c>
      <c r="AFS195" s="24" t="n">
        <v>0</v>
      </c>
      <c r="AFT195" s="24" t="n">
        <v>0</v>
      </c>
      <c r="AGE195" s="28"/>
      <c r="AGW195" s="24" t="n">
        <v>1</v>
      </c>
      <c r="AGX195" s="24" t="n">
        <v>40</v>
      </c>
      <c r="AGY195" s="24" t="n">
        <v>1</v>
      </c>
      <c r="AGZ195" s="24" t="n">
        <v>0.73</v>
      </c>
      <c r="AHA195" s="24" t="n">
        <v>3</v>
      </c>
      <c r="AIH195" s="27" t="n">
        <v>0.61</v>
      </c>
      <c r="AII195" s="27" t="n">
        <v>1</v>
      </c>
      <c r="AIJ195" s="27" t="n">
        <v>1</v>
      </c>
      <c r="AIK195" s="27"/>
      <c r="AIL195" s="27" t="n">
        <v>3.3</v>
      </c>
      <c r="AIM195" s="27"/>
      <c r="AIN195" s="27"/>
      <c r="AIO195" s="27"/>
      <c r="AIP195" s="27"/>
      <c r="AIQ195" s="27"/>
      <c r="AIR195" s="27"/>
      <c r="AIS195" s="27" t="n">
        <v>1.1</v>
      </c>
      <c r="AIT195" s="27" t="n">
        <v>1.1</v>
      </c>
      <c r="AIU195" s="27"/>
      <c r="AIV195" s="27"/>
      <c r="AIW195" s="27" t="n">
        <v>2.88</v>
      </c>
      <c r="AIX195" s="27" t="n">
        <v>5.69</v>
      </c>
      <c r="AIY195" s="27" t="n">
        <v>0</v>
      </c>
      <c r="AIZ195" s="24" t="n">
        <v>0</v>
      </c>
      <c r="AJA195" s="24" t="s">
        <v>704</v>
      </c>
      <c r="AJB195" s="24" t="n">
        <v>43.5</v>
      </c>
      <c r="AJC195" s="27" t="n">
        <v>66.4</v>
      </c>
      <c r="AJD195" s="27" t="n">
        <v>83.4</v>
      </c>
      <c r="AJE195" s="27" t="n">
        <v>16.5</v>
      </c>
      <c r="AJF195" s="24" t="n">
        <v>78.51</v>
      </c>
      <c r="AJG195" s="24" t="n">
        <v>0</v>
      </c>
      <c r="AJH195" s="24" t="n">
        <v>0</v>
      </c>
      <c r="AJI195" s="24" t="n">
        <v>0.19</v>
      </c>
      <c r="AJJ195" s="24" t="n">
        <v>6.28</v>
      </c>
      <c r="AJK195" s="24" t="n">
        <v>0</v>
      </c>
      <c r="AJL195" s="24" t="n">
        <v>7.67</v>
      </c>
      <c r="AJM195" s="24" t="n">
        <v>5.27</v>
      </c>
      <c r="AJN195" s="24" t="n">
        <v>0</v>
      </c>
      <c r="AJO195" s="24" t="n">
        <v>0</v>
      </c>
      <c r="AJP195" s="24" t="n">
        <v>0</v>
      </c>
      <c r="AJQ195" s="24" t="n">
        <v>7.48</v>
      </c>
      <c r="AJR195" s="24" t="n">
        <v>24.58</v>
      </c>
      <c r="AJS195" s="24" t="n">
        <v>13.75</v>
      </c>
      <c r="AJT195" s="24" t="n">
        <v>0</v>
      </c>
      <c r="AJU195" s="24" t="n">
        <v>7.34</v>
      </c>
      <c r="AJV195" s="24" t="n">
        <v>0</v>
      </c>
      <c r="AJW195" s="24" t="n">
        <v>0</v>
      </c>
      <c r="AKJ195" s="24" t="n">
        <v>4.9</v>
      </c>
      <c r="AKK195" s="24" t="n">
        <v>1</v>
      </c>
      <c r="AKL195" s="24" t="n">
        <v>35</v>
      </c>
      <c r="AKM195" s="24" t="n">
        <v>2</v>
      </c>
      <c r="AKN195" s="24" t="n">
        <f aca="false">0.42+0.07</f>
        <v>0.49</v>
      </c>
      <c r="AKO195" s="24" t="n">
        <v>3</v>
      </c>
      <c r="AKP195" s="24" t="n">
        <v>26</v>
      </c>
      <c r="AKQ195" s="24" t="n">
        <v>2</v>
      </c>
      <c r="AKR195" s="24" t="n">
        <v>0.12</v>
      </c>
      <c r="AKS195" s="24" t="n">
        <v>2</v>
      </c>
      <c r="AKT195" s="24" t="n">
        <v>52</v>
      </c>
      <c r="AKU195" s="24" t="n">
        <v>1</v>
      </c>
      <c r="AKV195" s="28" t="n">
        <v>0.08</v>
      </c>
      <c r="AKW195" s="24" t="n">
        <v>2</v>
      </c>
      <c r="ALN195" s="24" t="n">
        <v>1</v>
      </c>
      <c r="ALO195" s="24" t="n">
        <v>60</v>
      </c>
      <c r="ALP195" s="24" t="n">
        <v>5</v>
      </c>
      <c r="ALQ195" s="24" t="n">
        <f aca="false">0.13+0.42+0.03+0.07+0.19</f>
        <v>0.84</v>
      </c>
      <c r="ALR195" s="24" t="n">
        <v>1</v>
      </c>
      <c r="ALS195" s="24" t="n">
        <v>50</v>
      </c>
      <c r="ALT195" s="24" t="n">
        <v>1</v>
      </c>
      <c r="ALU195" s="24" t="n">
        <v>0.19</v>
      </c>
      <c r="ALV195" s="24" t="n">
        <v>1</v>
      </c>
    </row>
    <row r="196" customFormat="false" ht="13.8" hidden="false" customHeight="false" outlineLevel="0" collapsed="false">
      <c r="A196" s="1" t="s">
        <v>705</v>
      </c>
      <c r="B196" s="12" t="n">
        <v>42902</v>
      </c>
      <c r="C196" s="0" t="n">
        <v>2</v>
      </c>
      <c r="D196" s="13" t="n">
        <v>42790</v>
      </c>
      <c r="E196" s="12" t="n">
        <v>30289</v>
      </c>
      <c r="F196" s="14" t="n">
        <f aca="false">(B196-E196)/365.25</f>
        <v>34.5325119780972</v>
      </c>
      <c r="G196" s="14" t="n">
        <f aca="false">(B196-D196)/365.25</f>
        <v>0.306639288158795</v>
      </c>
      <c r="H196" s="15" t="s">
        <v>228</v>
      </c>
      <c r="I196" s="15" t="s">
        <v>229</v>
      </c>
      <c r="J196" s="15" t="s">
        <v>183</v>
      </c>
      <c r="K196" s="21" t="n">
        <v>4</v>
      </c>
      <c r="L196" s="19" t="n">
        <v>86</v>
      </c>
      <c r="M196" s="0" t="n">
        <v>1.85</v>
      </c>
      <c r="N196" s="16" t="n">
        <f aca="false">L196/(M196*M196)</f>
        <v>25.1278305332359</v>
      </c>
      <c r="O196" s="19" t="n">
        <v>0</v>
      </c>
      <c r="P196" s="19" t="n">
        <v>0</v>
      </c>
      <c r="Q196" s="19" t="n">
        <v>0</v>
      </c>
      <c r="R196" s="26" t="n">
        <v>0</v>
      </c>
      <c r="S196" s="26" t="n">
        <v>0</v>
      </c>
      <c r="T196" s="26" t="n">
        <v>0</v>
      </c>
      <c r="U196" s="19" t="n">
        <v>1</v>
      </c>
      <c r="V196" s="19" t="n">
        <v>2</v>
      </c>
      <c r="W196" s="19" t="n">
        <v>0</v>
      </c>
      <c r="X196" s="19" t="n">
        <v>0</v>
      </c>
      <c r="Y196" s="19" t="n">
        <v>0</v>
      </c>
      <c r="Z196" s="19" t="n">
        <v>0</v>
      </c>
      <c r="AA196" s="19" t="n">
        <v>0</v>
      </c>
      <c r="AB196" s="19" t="n">
        <v>0</v>
      </c>
      <c r="AC196" s="19" t="n">
        <v>0</v>
      </c>
      <c r="AD196" s="19" t="n">
        <v>0</v>
      </c>
      <c r="AE196" s="19" t="n">
        <v>0</v>
      </c>
      <c r="AF196" s="19" t="n">
        <v>0</v>
      </c>
      <c r="AG196" s="19" t="n">
        <v>0</v>
      </c>
      <c r="AH196" s="19" t="n">
        <v>0</v>
      </c>
      <c r="AI196" s="19" t="n">
        <v>0</v>
      </c>
      <c r="AJ196" s="19" t="n">
        <v>0</v>
      </c>
      <c r="AK196" s="19" t="n">
        <v>0</v>
      </c>
      <c r="AL196" s="19" t="n">
        <v>0</v>
      </c>
      <c r="AM196" s="19" t="n">
        <v>0</v>
      </c>
      <c r="AN196" s="19" t="n">
        <v>0</v>
      </c>
      <c r="AO196" s="19" t="n">
        <v>0</v>
      </c>
      <c r="AP196" s="19" t="n">
        <v>0</v>
      </c>
      <c r="AQ196" s="19" t="n">
        <v>0</v>
      </c>
      <c r="AR196" s="19" t="n">
        <v>0</v>
      </c>
      <c r="AS196" s="19" t="n">
        <v>1</v>
      </c>
      <c r="AT196" s="19" t="n">
        <v>0</v>
      </c>
      <c r="AU196" s="19" t="n">
        <v>0</v>
      </c>
      <c r="AV196" s="19" t="n">
        <v>0</v>
      </c>
      <c r="AW196" s="19" t="n">
        <v>0</v>
      </c>
      <c r="AX196" s="19" t="n">
        <v>0</v>
      </c>
      <c r="AY196" s="19" t="n">
        <v>0</v>
      </c>
      <c r="AZ196" s="19" t="n">
        <v>0</v>
      </c>
      <c r="BA196" s="19" t="n">
        <v>0</v>
      </c>
      <c r="BB196" s="19" t="n">
        <v>1</v>
      </c>
      <c r="BC196" s="19" t="n">
        <v>0</v>
      </c>
      <c r="BD196" s="19" t="n">
        <v>1</v>
      </c>
      <c r="BE196" s="19" t="n">
        <v>3</v>
      </c>
      <c r="BF196" s="19" t="n">
        <v>0</v>
      </c>
      <c r="BG196" s="19" t="n">
        <v>0</v>
      </c>
      <c r="BH196" s="19" t="n">
        <v>0</v>
      </c>
      <c r="BI196" s="19" t="n">
        <v>0</v>
      </c>
      <c r="BJ196" s="19" t="n">
        <v>0</v>
      </c>
      <c r="BK196" s="19" t="n">
        <v>0</v>
      </c>
      <c r="BL196" s="19" t="n">
        <v>0</v>
      </c>
      <c r="BM196" s="19" t="n">
        <v>0</v>
      </c>
      <c r="BN196" s="19" t="n">
        <v>1</v>
      </c>
      <c r="BO196" s="19" t="n">
        <v>0</v>
      </c>
      <c r="BP196" s="19" t="n">
        <v>1</v>
      </c>
      <c r="BQ196" s="19" t="n">
        <v>3</v>
      </c>
      <c r="BR196" s="19" t="n">
        <v>1</v>
      </c>
      <c r="BS196" s="19" t="n">
        <v>2</v>
      </c>
      <c r="BT196" s="19" t="n">
        <v>3</v>
      </c>
      <c r="BU196" s="19" t="n">
        <v>4</v>
      </c>
      <c r="BV196" s="19" t="n">
        <v>2</v>
      </c>
      <c r="BW196" s="19" t="n">
        <v>1</v>
      </c>
      <c r="BX196" s="19" t="n">
        <v>2</v>
      </c>
      <c r="BY196" s="19" t="n">
        <v>3</v>
      </c>
      <c r="BZ196" s="19" t="n">
        <v>3</v>
      </c>
      <c r="CA196" s="19" t="n">
        <v>3</v>
      </c>
      <c r="CB196" s="19" t="n">
        <v>4</v>
      </c>
      <c r="CC196" s="19" t="n">
        <v>5</v>
      </c>
      <c r="CD196" s="19" t="n">
        <v>4</v>
      </c>
      <c r="CE196" s="19" t="n">
        <v>4</v>
      </c>
      <c r="CF196" s="19" t="n">
        <v>4</v>
      </c>
      <c r="CG196" s="19" t="n">
        <v>5</v>
      </c>
      <c r="CH196" s="19" t="n">
        <v>4</v>
      </c>
      <c r="CI196" s="19" t="n">
        <v>4</v>
      </c>
      <c r="CJ196" s="19" t="n">
        <v>4</v>
      </c>
      <c r="CK196" s="19" t="n">
        <v>7</v>
      </c>
      <c r="CL196" s="0" t="s">
        <v>230</v>
      </c>
      <c r="CM196" s="0" t="n">
        <v>64</v>
      </c>
      <c r="CN196" s="16" t="n">
        <v>74.3</v>
      </c>
      <c r="CO196" s="16" t="n">
        <v>81</v>
      </c>
      <c r="CP196" s="16" t="n">
        <v>58.5</v>
      </c>
      <c r="CQ196" s="0" t="n">
        <v>49.17</v>
      </c>
      <c r="CR196" s="0" t="n">
        <v>0</v>
      </c>
      <c r="CS196" s="0" t="n">
        <v>34.45</v>
      </c>
      <c r="CT196" s="0" t="n">
        <v>16.22</v>
      </c>
      <c r="CU196" s="0" t="n">
        <v>0.16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2.52</v>
      </c>
      <c r="DE196" s="0" t="n">
        <v>9.18</v>
      </c>
      <c r="DF196" s="0" t="n">
        <v>0</v>
      </c>
      <c r="DG196" s="0" t="n">
        <v>0</v>
      </c>
      <c r="DH196" s="0" t="n">
        <v>0</v>
      </c>
      <c r="DU196" s="0" t="n">
        <v>0.3</v>
      </c>
      <c r="DV196" s="0" t="n">
        <v>1</v>
      </c>
      <c r="DW196" s="0" t="n">
        <v>34</v>
      </c>
      <c r="DX196" s="0" t="n">
        <v>8</v>
      </c>
      <c r="DY196" s="0" t="n">
        <v>0.43</v>
      </c>
      <c r="DZ196" s="0" t="n">
        <v>1</v>
      </c>
      <c r="EA196" s="0" t="n">
        <v>47</v>
      </c>
      <c r="EB196" s="0" t="n">
        <v>1</v>
      </c>
      <c r="EC196" s="0" t="n">
        <v>0.04</v>
      </c>
      <c r="ED196" s="0" t="n">
        <v>3</v>
      </c>
      <c r="EG196" s="18"/>
      <c r="EY196" s="0" t="n">
        <v>0</v>
      </c>
      <c r="GJ196" s="16" t="n">
        <v>2.89</v>
      </c>
      <c r="GK196" s="16" t="n">
        <v>1</v>
      </c>
      <c r="GL196" s="16" t="n">
        <v>1</v>
      </c>
      <c r="GM196" s="16"/>
      <c r="GN196" s="16" t="n">
        <v>7.35</v>
      </c>
      <c r="GO196" s="16"/>
      <c r="GP196" s="16"/>
      <c r="GQ196" s="16"/>
      <c r="GR196" s="16"/>
      <c r="GS196" s="16"/>
      <c r="GT196" s="16"/>
      <c r="GU196" s="16" t="n">
        <v>0</v>
      </c>
      <c r="GV196" s="16" t="n">
        <v>0</v>
      </c>
      <c r="GW196" s="16"/>
      <c r="GX196" s="16"/>
      <c r="GY196" s="16" t="n">
        <v>0</v>
      </c>
      <c r="GZ196" s="16" t="n">
        <v>0</v>
      </c>
      <c r="HA196" s="16" t="n">
        <v>0</v>
      </c>
      <c r="HB196" s="0" t="n">
        <v>0</v>
      </c>
      <c r="HC196" s="0" t="s">
        <v>231</v>
      </c>
      <c r="HD196" s="0" t="n">
        <v>64.5</v>
      </c>
      <c r="HE196" s="16" t="n">
        <v>77.8</v>
      </c>
      <c r="HF196" s="16" t="n">
        <v>81</v>
      </c>
      <c r="HG196" s="16" t="n">
        <v>52.5</v>
      </c>
      <c r="HH196" s="0" t="n">
        <v>50.19</v>
      </c>
      <c r="HI196" s="0" t="n">
        <v>0</v>
      </c>
      <c r="HJ196" s="0" t="n">
        <v>26.36</v>
      </c>
      <c r="HK196" s="0" t="n">
        <v>23.45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  <c r="HT196" s="0" t="n">
        <v>1.91</v>
      </c>
      <c r="HU196" s="0" t="n">
        <v>2.12</v>
      </c>
      <c r="HV196" s="0" t="n">
        <v>0</v>
      </c>
      <c r="HW196" s="0" t="n">
        <v>0</v>
      </c>
      <c r="HX196" s="0" t="n">
        <v>0</v>
      </c>
      <c r="HY196" s="0" t="n">
        <v>0</v>
      </c>
      <c r="IL196" s="0" t="n">
        <v>5.4</v>
      </c>
      <c r="IM196" s="0" t="n">
        <v>1</v>
      </c>
      <c r="IN196" s="0" t="n">
        <v>68</v>
      </c>
      <c r="IO196" s="0" t="n">
        <v>8</v>
      </c>
      <c r="IP196" s="0" t="n">
        <f aca="false">1.4*2+0.13</f>
        <v>2.93</v>
      </c>
      <c r="IQ196" s="0" t="n">
        <v>1</v>
      </c>
      <c r="IR196" s="0" t="n">
        <v>34</v>
      </c>
      <c r="IS196" s="0" t="n">
        <v>1</v>
      </c>
      <c r="IT196" s="0" t="n">
        <v>0.13</v>
      </c>
      <c r="IU196" s="0" t="n">
        <v>1</v>
      </c>
      <c r="IX196" s="18"/>
      <c r="JP196" s="0" t="n">
        <v>1</v>
      </c>
      <c r="JQ196" s="0" t="n">
        <v>60</v>
      </c>
      <c r="JR196" s="0" t="n">
        <v>1</v>
      </c>
      <c r="JS196" s="0" t="n">
        <v>0.22</v>
      </c>
      <c r="JT196" s="0" t="n">
        <v>3</v>
      </c>
      <c r="LA196" s="16" t="n">
        <v>3.48</v>
      </c>
      <c r="LB196" s="16" t="n">
        <v>1</v>
      </c>
      <c r="LC196" s="16" t="n">
        <v>1</v>
      </c>
      <c r="LD196" s="16"/>
      <c r="LE196" s="16" t="n">
        <f aca="false">7.35+1.4*2+0.62+0.74+0.03+0.7+0.18+0.03+0.05+0.01</f>
        <v>12.51</v>
      </c>
      <c r="LF196" s="16"/>
      <c r="LG196" s="16"/>
      <c r="LH196" s="16"/>
      <c r="LI196" s="16"/>
      <c r="LJ196" s="16"/>
      <c r="LK196" s="16"/>
      <c r="LL196" s="16" t="n">
        <v>0.13</v>
      </c>
      <c r="LM196" s="16" t="n">
        <v>0.13</v>
      </c>
      <c r="LN196" s="16"/>
      <c r="LO196" s="16"/>
      <c r="LP196" s="16" t="n">
        <v>0</v>
      </c>
      <c r="LQ196" s="16" t="n">
        <v>0</v>
      </c>
      <c r="LR196" s="16" t="n">
        <v>0</v>
      </c>
      <c r="LS196" s="0" t="n">
        <v>0</v>
      </c>
      <c r="LT196" s="0" t="s">
        <v>232</v>
      </c>
      <c r="LU196" s="0" t="n">
        <v>40</v>
      </c>
      <c r="LV196" s="16" t="n">
        <v>84.9</v>
      </c>
      <c r="LW196" s="16" t="n">
        <v>81</v>
      </c>
      <c r="LX196" s="16" t="n">
        <v>13.2</v>
      </c>
      <c r="LY196" s="0" t="n">
        <v>93.04</v>
      </c>
      <c r="LZ196" s="0" t="n">
        <v>0</v>
      </c>
      <c r="MA196" s="0" t="n">
        <v>0</v>
      </c>
      <c r="MB196" s="0" t="n">
        <v>3.59</v>
      </c>
      <c r="MC196" s="0" t="n">
        <v>3.38</v>
      </c>
      <c r="MD196" s="0" t="n">
        <v>0</v>
      </c>
      <c r="ME196" s="0" t="n">
        <v>0</v>
      </c>
      <c r="MF196" s="0" t="n">
        <v>0</v>
      </c>
      <c r="MG196" s="0" t="n">
        <v>0</v>
      </c>
      <c r="MH196" s="0" t="n">
        <v>0</v>
      </c>
      <c r="MI196" s="0" t="n">
        <v>0</v>
      </c>
      <c r="MJ196" s="0" t="n">
        <v>1.7</v>
      </c>
      <c r="MK196" s="0" t="n">
        <v>3.97</v>
      </c>
      <c r="ML196" s="0" t="n">
        <v>39.76</v>
      </c>
      <c r="MM196" s="0" t="n">
        <v>0.13</v>
      </c>
      <c r="MN196" s="0" t="n">
        <v>0</v>
      </c>
      <c r="MO196" s="0" t="n">
        <v>0</v>
      </c>
      <c r="MP196" s="0" t="n">
        <v>0</v>
      </c>
      <c r="NC196" s="0" t="n">
        <v>15.9</v>
      </c>
      <c r="ND196" s="0" t="n">
        <v>1</v>
      </c>
      <c r="NE196" s="0" t="n">
        <v>47</v>
      </c>
      <c r="NF196" s="0" t="n">
        <v>2</v>
      </c>
      <c r="NG196" s="0" t="n">
        <v>1.51</v>
      </c>
      <c r="NH196" s="0" t="n">
        <v>3</v>
      </c>
      <c r="NO196" s="18"/>
      <c r="OG196" s="0" t="n">
        <v>1</v>
      </c>
      <c r="OH196" s="0" t="n">
        <v>40</v>
      </c>
      <c r="OI196" s="0" t="n">
        <v>7</v>
      </c>
      <c r="OJ196" s="0" t="n">
        <f aca="false">2.27+3.02</f>
        <v>5.29</v>
      </c>
      <c r="OK196" s="0" t="n">
        <v>3</v>
      </c>
      <c r="PR196" s="16" t="n">
        <v>1.48</v>
      </c>
      <c r="PS196" s="16" t="n">
        <v>1</v>
      </c>
      <c r="PT196" s="16" t="n">
        <v>1</v>
      </c>
      <c r="PU196" s="16"/>
      <c r="PV196" s="16" t="n">
        <f aca="false">2.1+1.7+0.37+0.74</f>
        <v>4.91</v>
      </c>
      <c r="PW196" s="16"/>
      <c r="PX196" s="16"/>
      <c r="PY196" s="16"/>
      <c r="PZ196" s="16"/>
      <c r="QA196" s="16"/>
      <c r="QB196" s="16"/>
      <c r="QC196" s="16" t="n">
        <v>7.34</v>
      </c>
      <c r="QD196" s="16" t="n">
        <v>5.01</v>
      </c>
      <c r="QE196" s="16"/>
      <c r="QF196" s="16"/>
      <c r="QG196" s="16" t="n">
        <v>0</v>
      </c>
      <c r="QH196" s="16" t="n">
        <v>0</v>
      </c>
      <c r="QI196" s="16" t="n">
        <v>0</v>
      </c>
      <c r="QJ196" s="0" t="n">
        <v>0</v>
      </c>
      <c r="QK196" s="0" t="s">
        <v>234</v>
      </c>
      <c r="QL196" s="0" t="n">
        <v>22.5</v>
      </c>
      <c r="QM196" s="16" t="n">
        <v>60.3</v>
      </c>
      <c r="QN196" s="16" t="n">
        <v>81</v>
      </c>
      <c r="QO196" s="16" t="n">
        <v>13.3</v>
      </c>
      <c r="QP196" s="0" t="n">
        <v>92.98</v>
      </c>
      <c r="QQ196" s="0" t="n">
        <v>0</v>
      </c>
      <c r="QR196" s="0" t="n">
        <v>0</v>
      </c>
      <c r="QS196" s="0" t="n">
        <v>0</v>
      </c>
      <c r="QT196" s="0" t="n">
        <v>7.02</v>
      </c>
      <c r="QU196" s="0" t="n">
        <v>0</v>
      </c>
      <c r="QV196" s="0" t="n">
        <v>0</v>
      </c>
      <c r="QW196" s="0" t="n">
        <v>0</v>
      </c>
      <c r="QX196" s="0" t="n">
        <v>0</v>
      </c>
      <c r="QY196" s="0" t="n">
        <v>0</v>
      </c>
      <c r="QZ196" s="0" t="n">
        <v>0</v>
      </c>
      <c r="RA196" s="0" t="n">
        <v>0</v>
      </c>
      <c r="RB196" s="0" t="n">
        <v>0.72</v>
      </c>
      <c r="RC196" s="0" t="n">
        <v>23.12</v>
      </c>
      <c r="RD196" s="0" t="n">
        <v>24.81</v>
      </c>
      <c r="RE196" s="0" t="n">
        <v>0</v>
      </c>
      <c r="RF196" s="0" t="n">
        <v>0</v>
      </c>
      <c r="RG196" s="0" t="n">
        <v>0</v>
      </c>
      <c r="RT196" s="0" t="n">
        <v>0</v>
      </c>
      <c r="RU196" s="0" t="n">
        <v>1</v>
      </c>
      <c r="RV196" s="0" t="n">
        <v>23</v>
      </c>
      <c r="RW196" s="0" t="n">
        <v>1</v>
      </c>
      <c r="RX196" s="0" t="n">
        <v>0.3</v>
      </c>
      <c r="RY196" s="0" t="n">
        <v>3</v>
      </c>
      <c r="SF196" s="18"/>
      <c r="SX196" s="0" t="n">
        <v>0</v>
      </c>
      <c r="UI196" s="16" t="n">
        <v>1.26</v>
      </c>
      <c r="UJ196" s="16" t="n">
        <v>1</v>
      </c>
      <c r="UK196" s="16" t="n">
        <v>1</v>
      </c>
      <c r="UL196" s="16"/>
      <c r="UM196" s="16" t="n">
        <f aca="false">2.1+1.7+0.4+0.37+0.74</f>
        <v>5.31</v>
      </c>
      <c r="UN196" s="16"/>
      <c r="UO196" s="16"/>
      <c r="UP196" s="16"/>
      <c r="UQ196" s="16"/>
      <c r="UR196" s="16"/>
      <c r="US196" s="16"/>
      <c r="UT196" s="16" t="n">
        <v>6.24</v>
      </c>
      <c r="UU196" s="16" t="n">
        <v>6.99</v>
      </c>
      <c r="UV196" s="16"/>
      <c r="UW196" s="16"/>
      <c r="UX196" s="16" t="n">
        <v>0</v>
      </c>
      <c r="UY196" s="16" t="n">
        <v>0</v>
      </c>
      <c r="UZ196" s="16" t="n">
        <v>0</v>
      </c>
      <c r="VA196" s="0" t="n">
        <v>0</v>
      </c>
      <c r="VB196" s="0" t="s">
        <v>235</v>
      </c>
      <c r="VC196" s="0" t="n">
        <v>37</v>
      </c>
      <c r="VD196" s="16" t="n">
        <v>81.9</v>
      </c>
      <c r="VE196" s="16" t="n">
        <v>81</v>
      </c>
      <c r="VF196" s="16" t="n">
        <v>26.3</v>
      </c>
      <c r="VG196" s="0" t="n">
        <v>68.54</v>
      </c>
      <c r="VH196" s="0" t="n">
        <v>0</v>
      </c>
      <c r="VI196" s="0" t="n">
        <v>0</v>
      </c>
      <c r="VJ196" s="0" t="n">
        <v>0</v>
      </c>
      <c r="VK196" s="0" t="n">
        <v>31.46</v>
      </c>
      <c r="VL196" s="0" t="n">
        <v>0</v>
      </c>
      <c r="VM196" s="0" t="n">
        <v>0</v>
      </c>
      <c r="VN196" s="0" t="n">
        <v>0</v>
      </c>
      <c r="VO196" s="0" t="n">
        <v>0</v>
      </c>
      <c r="VP196" s="0" t="n">
        <v>0</v>
      </c>
      <c r="VQ196" s="0" t="n">
        <v>0</v>
      </c>
      <c r="VR196" s="0" t="n">
        <v>0</v>
      </c>
      <c r="VS196" s="0" t="n">
        <v>5.42</v>
      </c>
      <c r="VT196" s="0" t="n">
        <v>17.37</v>
      </c>
      <c r="VU196" s="0" t="n">
        <v>41.85</v>
      </c>
      <c r="VV196" s="0" t="n">
        <v>0</v>
      </c>
      <c r="VW196" s="0" t="n">
        <v>0</v>
      </c>
      <c r="VX196" s="0" t="n">
        <v>0</v>
      </c>
      <c r="WK196" s="0" t="n">
        <v>0</v>
      </c>
      <c r="WL196" s="0" t="n">
        <v>1</v>
      </c>
      <c r="WM196" s="0" t="n">
        <v>23</v>
      </c>
      <c r="WN196" s="0" t="n">
        <v>2</v>
      </c>
      <c r="WO196" s="0" t="n">
        <v>2.11</v>
      </c>
      <c r="WP196" s="0" t="n">
        <v>3</v>
      </c>
      <c r="WW196" s="18"/>
      <c r="XO196" s="0" t="n">
        <v>0</v>
      </c>
      <c r="YZ196" s="16" t="n">
        <v>2.64</v>
      </c>
      <c r="ZA196" s="16" t="n">
        <v>1</v>
      </c>
      <c r="ZB196" s="16" t="n">
        <v>1</v>
      </c>
      <c r="ZC196" s="16"/>
      <c r="ZD196" s="16" t="n">
        <f aca="false">4.2*2+1.7+5.1+0.37+0.74</f>
        <v>16.31</v>
      </c>
      <c r="ZE196" s="16"/>
      <c r="ZF196" s="16"/>
      <c r="ZG196" s="16"/>
      <c r="ZH196" s="16"/>
      <c r="ZI196" s="16"/>
      <c r="ZJ196" s="16"/>
      <c r="ZK196" s="16" t="n">
        <v>5.32</v>
      </c>
      <c r="ZL196" s="16" t="n">
        <v>8.04</v>
      </c>
      <c r="ZM196" s="16"/>
      <c r="ZN196" s="16"/>
      <c r="ZO196" s="16" t="n">
        <v>0</v>
      </c>
      <c r="ZP196" s="16" t="n">
        <v>0</v>
      </c>
      <c r="ZQ196" s="16" t="n">
        <v>0</v>
      </c>
      <c r="ZR196" s="0" t="n">
        <v>0</v>
      </c>
      <c r="ZS196" s="0" t="s">
        <v>236</v>
      </c>
      <c r="ZT196" s="0" t="n">
        <v>51</v>
      </c>
      <c r="ZU196" s="16" t="n">
        <v>93.4</v>
      </c>
      <c r="ZV196" s="16" t="n">
        <v>81</v>
      </c>
      <c r="ZW196" s="16" t="n">
        <v>29.5</v>
      </c>
      <c r="ZX196" s="0" t="n">
        <v>55.24</v>
      </c>
      <c r="ZY196" s="0" t="n">
        <v>0</v>
      </c>
      <c r="ZZ196" s="0" t="n">
        <v>0</v>
      </c>
      <c r="AAA196" s="0" t="n">
        <v>0</v>
      </c>
      <c r="AAB196" s="0" t="n">
        <v>44.76</v>
      </c>
      <c r="AAC196" s="0" t="n">
        <v>0</v>
      </c>
      <c r="AAD196" s="0" t="n">
        <v>0</v>
      </c>
      <c r="AAE196" s="0" t="n">
        <v>0</v>
      </c>
      <c r="AAF196" s="0" t="n">
        <v>0</v>
      </c>
      <c r="AAG196" s="0" t="n">
        <v>0</v>
      </c>
      <c r="AAH196" s="0" t="n">
        <v>0</v>
      </c>
      <c r="AAI196" s="0" t="n">
        <v>0.67</v>
      </c>
      <c r="AAJ196" s="0" t="n">
        <v>5.1</v>
      </c>
      <c r="AAK196" s="0" t="n">
        <v>47.22</v>
      </c>
      <c r="AAL196" s="0" t="n">
        <v>18.3</v>
      </c>
      <c r="AAM196" s="0" t="n">
        <v>0</v>
      </c>
      <c r="AAN196" s="0" t="n">
        <v>7.5</v>
      </c>
      <c r="AAO196" s="0" t="n">
        <v>1</v>
      </c>
      <c r="AAP196" s="0" t="n">
        <v>3.6</v>
      </c>
      <c r="AAR196" s="0" t="n">
        <v>1</v>
      </c>
      <c r="AAV196" s="0" t="n">
        <v>3.6</v>
      </c>
      <c r="AAX196" s="0" t="n">
        <v>1</v>
      </c>
      <c r="ABB196" s="0" t="n">
        <v>0</v>
      </c>
      <c r="ABC196" s="0" t="n">
        <v>0</v>
      </c>
      <c r="ABN196" s="18"/>
      <c r="ACF196" s="0" t="n">
        <v>0</v>
      </c>
      <c r="ADQ196" s="16" t="n">
        <v>1.95</v>
      </c>
      <c r="ADR196" s="16" t="n">
        <v>1</v>
      </c>
      <c r="ADS196" s="16" t="n">
        <v>1</v>
      </c>
      <c r="ADT196" s="16"/>
      <c r="ADU196" s="16" t="n">
        <f aca="false">2.42+1.67+5+0.22+0.66+0.22</f>
        <v>10.19</v>
      </c>
      <c r="ADV196" s="16"/>
      <c r="ADW196" s="16"/>
      <c r="ADX196" s="16"/>
      <c r="ADY196" s="16"/>
      <c r="ADZ196" s="16"/>
      <c r="AEA196" s="16"/>
      <c r="AEB196" s="16" t="n">
        <v>5.63</v>
      </c>
      <c r="AEC196" s="16" t="n">
        <v>11.04</v>
      </c>
      <c r="AED196" s="16"/>
      <c r="AEE196" s="16"/>
      <c r="AEF196" s="16" t="n">
        <v>0</v>
      </c>
      <c r="AEG196" s="16" t="n">
        <v>0</v>
      </c>
      <c r="AEH196" s="16" t="n">
        <v>0</v>
      </c>
      <c r="AEI196" s="0" t="n">
        <v>0</v>
      </c>
      <c r="AEJ196" s="0" t="s">
        <v>237</v>
      </c>
      <c r="AEK196" s="0" t="n">
        <v>46</v>
      </c>
      <c r="AEL196" s="16" t="n">
        <v>92.7</v>
      </c>
      <c r="AEM196" s="16" t="n">
        <v>81</v>
      </c>
      <c r="AEN196" s="16" t="n">
        <v>20.8</v>
      </c>
      <c r="AEO196" s="0" t="n">
        <v>76.44</v>
      </c>
      <c r="AEP196" s="0" t="n">
        <v>0</v>
      </c>
      <c r="AEQ196" s="0" t="n">
        <v>0</v>
      </c>
      <c r="AER196" s="0" t="n">
        <v>0</v>
      </c>
      <c r="AES196" s="0" t="n">
        <v>23.56</v>
      </c>
      <c r="AET196" s="0" t="n">
        <v>0</v>
      </c>
      <c r="AEU196" s="0" t="n">
        <v>0</v>
      </c>
      <c r="AEV196" s="0" t="n">
        <v>0</v>
      </c>
      <c r="AEW196" s="0" t="n">
        <v>0</v>
      </c>
      <c r="AEX196" s="0" t="n">
        <v>0</v>
      </c>
      <c r="AEY196" s="0" t="n">
        <v>0</v>
      </c>
      <c r="AEZ196" s="0" t="n">
        <v>0.23</v>
      </c>
      <c r="AFA196" s="0" t="n">
        <v>0.51</v>
      </c>
      <c r="AFB196" s="0" t="n">
        <v>26.55</v>
      </c>
      <c r="AFC196" s="0" t="n">
        <v>36.69</v>
      </c>
      <c r="AFD196" s="0" t="n">
        <v>0</v>
      </c>
      <c r="AFE196" s="0" t="n">
        <v>10.6</v>
      </c>
      <c r="AFF196" s="0" t="n">
        <v>1</v>
      </c>
      <c r="AFG196" s="0" t="n">
        <v>6</v>
      </c>
      <c r="AFI196" s="0" t="n">
        <v>1</v>
      </c>
      <c r="AFM196" s="0" t="n">
        <v>6</v>
      </c>
      <c r="AFO196" s="0" t="n">
        <v>1</v>
      </c>
      <c r="AFS196" s="0" t="n">
        <v>7.1</v>
      </c>
      <c r="AFT196" s="0" t="n">
        <v>1</v>
      </c>
      <c r="AFU196" s="0" t="n">
        <v>35</v>
      </c>
      <c r="AFV196" s="0" t="n">
        <v>2</v>
      </c>
      <c r="AFW196" s="0" t="n">
        <f aca="false">0.76*2</f>
        <v>1.52</v>
      </c>
      <c r="AFX196" s="0" t="n">
        <v>3</v>
      </c>
      <c r="AGE196" s="18"/>
      <c r="AGW196" s="0" t="n">
        <v>0</v>
      </c>
      <c r="AIH196" s="16" t="n">
        <v>2.41</v>
      </c>
      <c r="AII196" s="16" t="n">
        <v>1</v>
      </c>
      <c r="AIJ196" s="16" t="n">
        <v>1</v>
      </c>
      <c r="AIK196" s="16"/>
      <c r="AIL196" s="16" t="n">
        <f aca="false">0.41+1.67+5+0.33+0.45+0.15</f>
        <v>8.01</v>
      </c>
      <c r="AIM196" s="16"/>
      <c r="AIN196" s="16"/>
      <c r="AIO196" s="16"/>
      <c r="AIP196" s="16"/>
      <c r="AIQ196" s="16"/>
      <c r="AIR196" s="16"/>
      <c r="AIS196" s="16" t="n">
        <v>0.33</v>
      </c>
      <c r="AIT196" s="16" t="n">
        <v>0.33</v>
      </c>
      <c r="AIU196" s="16"/>
      <c r="AIV196" s="16"/>
      <c r="AIW196" s="16" t="n">
        <v>0</v>
      </c>
      <c r="AIX196" s="16" t="n">
        <v>0</v>
      </c>
      <c r="AIY196" s="16" t="n">
        <v>0</v>
      </c>
      <c r="AIZ196" s="0" t="n">
        <v>0</v>
      </c>
      <c r="AJA196" s="0" t="s">
        <v>461</v>
      </c>
      <c r="AJB196" s="0" t="n">
        <v>38</v>
      </c>
      <c r="AJC196" s="16" t="n">
        <v>84.5</v>
      </c>
      <c r="AJD196" s="16" t="n">
        <v>81</v>
      </c>
      <c r="AJE196" s="16" t="n">
        <v>11.8</v>
      </c>
      <c r="AJF196" s="0" t="n">
        <v>99.78</v>
      </c>
      <c r="AJG196" s="0" t="n">
        <v>0</v>
      </c>
      <c r="AJH196" s="0" t="n">
        <v>0</v>
      </c>
      <c r="AJI196" s="0" t="n">
        <v>0</v>
      </c>
      <c r="AJJ196" s="0" t="n">
        <v>0.22</v>
      </c>
      <c r="AJK196" s="0" t="n">
        <v>0</v>
      </c>
      <c r="AJL196" s="0" t="n">
        <v>0</v>
      </c>
      <c r="AJM196" s="0" t="n">
        <v>0</v>
      </c>
      <c r="AJN196" s="0" t="n">
        <v>0</v>
      </c>
      <c r="AJO196" s="0" t="n">
        <v>0</v>
      </c>
      <c r="AJP196" s="0" t="n">
        <v>0</v>
      </c>
      <c r="AJQ196" s="0" t="n">
        <v>7.31</v>
      </c>
      <c r="AJR196" s="0" t="n">
        <v>0</v>
      </c>
      <c r="AJS196" s="0" t="n">
        <v>30.29</v>
      </c>
      <c r="AJT196" s="0" t="n">
        <v>31.72</v>
      </c>
      <c r="AJU196" s="0" t="n">
        <v>0</v>
      </c>
      <c r="AJV196" s="0" t="n">
        <v>0</v>
      </c>
      <c r="AJW196" s="0" t="n">
        <v>0</v>
      </c>
      <c r="AKJ196" s="0" t="n">
        <v>14</v>
      </c>
      <c r="AKK196" s="0" t="n">
        <v>1</v>
      </c>
      <c r="AKL196" s="0" t="n">
        <v>52</v>
      </c>
      <c r="AKM196" s="0" t="n">
        <v>6</v>
      </c>
      <c r="AKN196" s="0" t="n">
        <v>4.53</v>
      </c>
      <c r="AKO196" s="0" t="n">
        <v>2</v>
      </c>
      <c r="AKV196" s="18"/>
      <c r="ALN196" s="0" t="n">
        <v>1</v>
      </c>
      <c r="ALO196" s="0" t="n">
        <v>50</v>
      </c>
      <c r="ALP196" s="0" t="n">
        <v>3</v>
      </c>
      <c r="ALQ196" s="0" t="n">
        <v>0.4</v>
      </c>
      <c r="ALR196" s="0" t="n">
        <v>6</v>
      </c>
    </row>
    <row r="197" customFormat="false" ht="13.8" hidden="false" customHeight="false" outlineLevel="0" collapsed="false">
      <c r="A197" s="1" t="s">
        <v>706</v>
      </c>
      <c r="B197" s="12" t="n">
        <v>42900</v>
      </c>
      <c r="C197" s="0" t="n">
        <v>2</v>
      </c>
      <c r="D197" s="13" t="n">
        <v>42821</v>
      </c>
      <c r="E197" s="12" t="n">
        <v>34813</v>
      </c>
      <c r="F197" s="14" t="n">
        <f aca="false">(B197-E197)/365.25</f>
        <v>22.1409993155373</v>
      </c>
      <c r="G197" s="14" t="n">
        <f aca="false">(B197-D197)/365.25</f>
        <v>0.216290212183436</v>
      </c>
      <c r="H197" s="15" t="s">
        <v>228</v>
      </c>
      <c r="I197" s="15" t="s">
        <v>229</v>
      </c>
      <c r="J197" s="15" t="s">
        <v>183</v>
      </c>
      <c r="K197" s="21" t="n">
        <v>8</v>
      </c>
      <c r="L197" s="19" t="n">
        <v>99</v>
      </c>
      <c r="M197" s="0" t="n">
        <v>1.67</v>
      </c>
      <c r="N197" s="16" t="n">
        <f aca="false">L197/(M197*M197)</f>
        <v>35.4978665423644</v>
      </c>
      <c r="O197" s="19" t="n">
        <v>0</v>
      </c>
      <c r="P197" s="19" t="n">
        <v>0</v>
      </c>
      <c r="Q197" s="19" t="n">
        <v>0</v>
      </c>
      <c r="R197" s="26" t="n">
        <v>0</v>
      </c>
      <c r="S197" s="26" t="n">
        <v>0</v>
      </c>
      <c r="T197" s="26" t="n">
        <v>0</v>
      </c>
      <c r="U197" s="19" t="n">
        <v>1</v>
      </c>
      <c r="V197" s="19" t="n">
        <v>7</v>
      </c>
      <c r="W197" s="19" t="n">
        <v>0</v>
      </c>
      <c r="X197" s="19" t="n">
        <v>0</v>
      </c>
      <c r="Y197" s="19" t="n">
        <v>1</v>
      </c>
      <c r="Z197" s="19" t="n">
        <v>1</v>
      </c>
      <c r="AA197" s="19" t="n">
        <v>90</v>
      </c>
      <c r="AB197" s="19" t="s">
        <v>707</v>
      </c>
      <c r="AC197" s="19" t="n">
        <v>0</v>
      </c>
      <c r="AD197" s="19" t="n">
        <v>0</v>
      </c>
      <c r="AE197" s="19" t="n">
        <v>0</v>
      </c>
      <c r="AF197" s="19" t="n">
        <v>0</v>
      </c>
      <c r="AG197" s="19" t="n">
        <v>0</v>
      </c>
      <c r="AH197" s="19" t="n">
        <v>0</v>
      </c>
      <c r="AI197" s="19" t="n">
        <v>0</v>
      </c>
      <c r="AJ197" s="19" t="n">
        <v>0</v>
      </c>
      <c r="AK197" s="19" t="n">
        <v>0</v>
      </c>
      <c r="AL197" s="19" t="n">
        <v>0</v>
      </c>
      <c r="AM197" s="19" t="n">
        <v>0</v>
      </c>
      <c r="AN197" s="19" t="n">
        <v>0</v>
      </c>
      <c r="AO197" s="19" t="n">
        <v>0</v>
      </c>
      <c r="AP197" s="19" t="n">
        <v>0</v>
      </c>
      <c r="AQ197" s="19" t="n">
        <v>0</v>
      </c>
      <c r="AR197" s="19" t="n">
        <v>0</v>
      </c>
      <c r="AS197" s="19" t="n">
        <v>0</v>
      </c>
      <c r="AT197" s="19" t="n">
        <v>0</v>
      </c>
      <c r="AU197" s="19" t="n">
        <v>0</v>
      </c>
      <c r="AV197" s="19" t="n">
        <v>0</v>
      </c>
      <c r="AW197" s="19" t="n">
        <v>0</v>
      </c>
      <c r="AX197" s="19" t="n">
        <v>0</v>
      </c>
      <c r="AY197" s="19" t="n">
        <v>0</v>
      </c>
      <c r="AZ197" s="19" t="n">
        <v>0</v>
      </c>
      <c r="BA197" s="19" t="n">
        <v>0</v>
      </c>
      <c r="BB197" s="19" t="n">
        <v>0</v>
      </c>
      <c r="BC197" s="19" t="n">
        <v>0</v>
      </c>
      <c r="BD197" s="19" t="n">
        <v>0</v>
      </c>
      <c r="BE197" s="19" t="n">
        <v>0</v>
      </c>
      <c r="BF197" s="19" t="n">
        <v>0</v>
      </c>
      <c r="BG197" s="19" t="n">
        <v>0</v>
      </c>
      <c r="BH197" s="19" t="n">
        <v>0</v>
      </c>
      <c r="BI197" s="19" t="n">
        <v>0</v>
      </c>
      <c r="BJ197" s="26" t="n">
        <v>0</v>
      </c>
      <c r="BK197" s="26" t="n">
        <v>0</v>
      </c>
      <c r="BL197" s="26" t="n">
        <v>0</v>
      </c>
      <c r="BM197" s="26" t="n">
        <v>0</v>
      </c>
      <c r="BN197" s="19" t="n">
        <v>0</v>
      </c>
      <c r="BO197" s="19" t="n">
        <v>0</v>
      </c>
      <c r="BP197" s="19" t="n">
        <v>0</v>
      </c>
      <c r="BQ197" s="19" t="n">
        <v>0</v>
      </c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 t="n">
        <v>5</v>
      </c>
      <c r="CI197" s="19" t="n">
        <v>5</v>
      </c>
      <c r="CJ197" s="19" t="n">
        <v>4</v>
      </c>
      <c r="CK197" s="19" t="n">
        <v>8</v>
      </c>
      <c r="CL197" s="0" t="s">
        <v>231</v>
      </c>
      <c r="CM197" s="0" t="n">
        <v>64.5</v>
      </c>
      <c r="CN197" s="16" t="n">
        <v>77.8</v>
      </c>
      <c r="CO197" s="16" t="n">
        <v>81</v>
      </c>
      <c r="CP197" s="16" t="n">
        <v>52.5</v>
      </c>
      <c r="CQ197" s="0" t="n">
        <v>50.19</v>
      </c>
      <c r="CR197" s="0" t="n">
        <v>0</v>
      </c>
      <c r="CS197" s="0" t="n">
        <v>26.36</v>
      </c>
      <c r="CT197" s="0" t="n">
        <v>23.45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1.91</v>
      </c>
      <c r="DD197" s="0" t="n">
        <v>2.12</v>
      </c>
      <c r="DE197" s="0" t="n">
        <v>0</v>
      </c>
      <c r="DF197" s="0" t="n">
        <v>0</v>
      </c>
      <c r="DG197" s="0" t="n">
        <v>0</v>
      </c>
      <c r="DH197" s="0" t="n">
        <v>0</v>
      </c>
      <c r="DU197" s="0" t="n">
        <v>5.4</v>
      </c>
      <c r="DV197" s="0" t="n">
        <v>1</v>
      </c>
      <c r="DW197" s="0" t="n">
        <v>68</v>
      </c>
      <c r="DX197" s="0" t="n">
        <v>8</v>
      </c>
      <c r="DY197" s="0" t="n">
        <f aca="false">1.4*2+0.13</f>
        <v>2.93</v>
      </c>
      <c r="DZ197" s="0" t="n">
        <v>1</v>
      </c>
      <c r="EA197" s="0" t="n">
        <v>34</v>
      </c>
      <c r="EB197" s="0" t="n">
        <v>1</v>
      </c>
      <c r="EC197" s="0" t="n">
        <v>0.13</v>
      </c>
      <c r="ED197" s="0" t="n">
        <v>1</v>
      </c>
      <c r="EG197" s="18"/>
      <c r="EY197" s="0" t="n">
        <v>1</v>
      </c>
      <c r="EZ197" s="0" t="n">
        <v>60</v>
      </c>
      <c r="FA197" s="0" t="n">
        <v>1</v>
      </c>
      <c r="FB197" s="0" t="n">
        <v>0.22</v>
      </c>
      <c r="FC197" s="0" t="n">
        <v>3</v>
      </c>
      <c r="GJ197" s="16" t="n">
        <v>3.48</v>
      </c>
      <c r="GK197" s="16" t="n">
        <v>1</v>
      </c>
      <c r="GL197" s="16" t="n">
        <v>1</v>
      </c>
      <c r="GM197" s="16"/>
      <c r="GN197" s="16" t="n">
        <f aca="false">7.35+1.4*2+0.62+0.74+0.03+0.7+0.18+0.03+0.05+0.01</f>
        <v>12.51</v>
      </c>
      <c r="GO197" s="16"/>
      <c r="GP197" s="16"/>
      <c r="GQ197" s="16"/>
      <c r="GR197" s="16"/>
      <c r="GS197" s="16"/>
      <c r="GT197" s="16"/>
      <c r="GU197" s="16" t="n">
        <v>0.13</v>
      </c>
      <c r="GV197" s="16" t="n">
        <v>0.13</v>
      </c>
      <c r="GW197" s="16"/>
      <c r="GX197" s="16"/>
      <c r="GY197" s="16" t="n">
        <v>0</v>
      </c>
      <c r="GZ197" s="16" t="n">
        <v>0</v>
      </c>
      <c r="HA197" s="16" t="n">
        <v>0</v>
      </c>
      <c r="HB197" s="0" t="n">
        <v>0</v>
      </c>
      <c r="HC197" s="0" t="s">
        <v>237</v>
      </c>
      <c r="HD197" s="0" t="n">
        <v>46</v>
      </c>
      <c r="HE197" s="16" t="n">
        <v>92.7</v>
      </c>
      <c r="HF197" s="16" t="n">
        <v>81</v>
      </c>
      <c r="HG197" s="16" t="n">
        <v>20.8</v>
      </c>
      <c r="HH197" s="0" t="n">
        <v>76.44</v>
      </c>
      <c r="HI197" s="0" t="n">
        <v>0</v>
      </c>
      <c r="HJ197" s="0" t="n">
        <v>0</v>
      </c>
      <c r="HK197" s="0" t="n">
        <v>0</v>
      </c>
      <c r="HL197" s="0" t="n">
        <v>23.56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0.23</v>
      </c>
      <c r="HT197" s="0" t="n">
        <v>0.51</v>
      </c>
      <c r="HU197" s="0" t="n">
        <v>26.55</v>
      </c>
      <c r="HV197" s="0" t="n">
        <v>36.69</v>
      </c>
      <c r="HW197" s="0" t="n">
        <v>0</v>
      </c>
      <c r="HX197" s="0" t="n">
        <v>10.6</v>
      </c>
      <c r="HY197" s="0" t="n">
        <v>1</v>
      </c>
      <c r="HZ197" s="0" t="n">
        <v>6</v>
      </c>
      <c r="IB197" s="0" t="n">
        <v>1</v>
      </c>
      <c r="IF197" s="0" t="n">
        <v>6</v>
      </c>
      <c r="IH197" s="0" t="n">
        <v>1</v>
      </c>
      <c r="IL197" s="0" t="n">
        <v>7.1</v>
      </c>
      <c r="IM197" s="0" t="n">
        <v>1</v>
      </c>
      <c r="IN197" s="0" t="n">
        <v>35</v>
      </c>
      <c r="IO197" s="0" t="n">
        <v>2</v>
      </c>
      <c r="IP197" s="0" t="n">
        <f aca="false">0.76*2</f>
        <v>1.52</v>
      </c>
      <c r="IQ197" s="0" t="n">
        <v>3</v>
      </c>
      <c r="IX197" s="18"/>
      <c r="JP197" s="0" t="n">
        <v>0</v>
      </c>
      <c r="LA197" s="16" t="n">
        <v>2.41</v>
      </c>
      <c r="LB197" s="16" t="n">
        <v>1</v>
      </c>
      <c r="LC197" s="16" t="n">
        <v>1</v>
      </c>
      <c r="LD197" s="16"/>
      <c r="LE197" s="16" t="n">
        <f aca="false">0.41+1.67+5+0.33+0.45+0.15</f>
        <v>8.01</v>
      </c>
      <c r="LF197" s="16"/>
      <c r="LG197" s="16"/>
      <c r="LH197" s="16"/>
      <c r="LI197" s="16"/>
      <c r="LJ197" s="16"/>
      <c r="LK197" s="16"/>
      <c r="LL197" s="16" t="n">
        <v>0.33</v>
      </c>
      <c r="LM197" s="16" t="n">
        <v>0.33</v>
      </c>
      <c r="LN197" s="16"/>
      <c r="LO197" s="16"/>
      <c r="LP197" s="16" t="n">
        <v>0</v>
      </c>
      <c r="LQ197" s="16" t="n">
        <v>0</v>
      </c>
      <c r="LR197" s="16" t="n">
        <v>0</v>
      </c>
      <c r="LS197" s="0" t="n">
        <v>0</v>
      </c>
      <c r="LT197" s="0" t="s">
        <v>461</v>
      </c>
      <c r="LU197" s="0" t="n">
        <v>38</v>
      </c>
      <c r="LV197" s="16" t="n">
        <v>84.5</v>
      </c>
      <c r="LW197" s="16" t="n">
        <v>81</v>
      </c>
      <c r="LX197" s="16" t="n">
        <v>11.8</v>
      </c>
      <c r="LY197" s="0" t="n">
        <v>99.78</v>
      </c>
      <c r="LZ197" s="0" t="n">
        <v>0</v>
      </c>
      <c r="MA197" s="0" t="n">
        <v>0</v>
      </c>
      <c r="MB197" s="0" t="n">
        <v>0</v>
      </c>
      <c r="MC197" s="0" t="n">
        <v>0.22</v>
      </c>
      <c r="MD197" s="0" t="n">
        <v>0</v>
      </c>
      <c r="ME197" s="0" t="n">
        <v>0</v>
      </c>
      <c r="MF197" s="0" t="n">
        <v>0</v>
      </c>
      <c r="MG197" s="0" t="n">
        <v>0</v>
      </c>
      <c r="MH197" s="0" t="n">
        <v>0</v>
      </c>
      <c r="MI197" s="0" t="n">
        <v>0</v>
      </c>
      <c r="MJ197" s="0" t="n">
        <v>7.31</v>
      </c>
      <c r="MK197" s="0" t="n">
        <v>0</v>
      </c>
      <c r="ML197" s="0" t="n">
        <v>30.29</v>
      </c>
      <c r="MM197" s="0" t="n">
        <v>31.72</v>
      </c>
      <c r="MN197" s="0" t="n">
        <v>0</v>
      </c>
      <c r="MO197" s="0" t="n">
        <v>0</v>
      </c>
      <c r="MP197" s="0" t="n">
        <v>0</v>
      </c>
      <c r="NC197" s="0" t="n">
        <v>14</v>
      </c>
      <c r="ND197" s="0" t="n">
        <v>1</v>
      </c>
      <c r="NE197" s="0" t="n">
        <v>52</v>
      </c>
      <c r="NF197" s="0" t="n">
        <v>6</v>
      </c>
      <c r="NG197" s="0" t="n">
        <v>4.53</v>
      </c>
      <c r="NH197" s="0" t="n">
        <v>2</v>
      </c>
      <c r="NO197" s="18"/>
      <c r="OG197" s="0" t="n">
        <v>1</v>
      </c>
      <c r="OH197" s="0" t="n">
        <v>50</v>
      </c>
      <c r="OI197" s="0" t="n">
        <v>3</v>
      </c>
      <c r="OJ197" s="0" t="n">
        <v>0.4</v>
      </c>
      <c r="OK197" s="0" t="n">
        <v>6</v>
      </c>
      <c r="PR197" s="16" t="n">
        <v>3.9</v>
      </c>
      <c r="PS197" s="16" t="n">
        <v>1</v>
      </c>
      <c r="PT197" s="16" t="n">
        <v>1</v>
      </c>
      <c r="PU197" s="16"/>
      <c r="PV197" s="16" t="n">
        <f aca="false">1.7*3+4.53+2.64*2+0.6</f>
        <v>15.51</v>
      </c>
      <c r="PW197" s="16"/>
      <c r="PX197" s="16"/>
      <c r="PY197" s="16"/>
      <c r="PZ197" s="16"/>
      <c r="QA197" s="16"/>
      <c r="QB197" s="16"/>
      <c r="QC197" s="16" t="n">
        <v>8.14</v>
      </c>
      <c r="QD197" s="16" t="n">
        <v>15.87</v>
      </c>
      <c r="QE197" s="16"/>
      <c r="QF197" s="16"/>
      <c r="QG197" s="16" t="n">
        <v>0</v>
      </c>
      <c r="QH197" s="16" t="n">
        <v>0</v>
      </c>
      <c r="QI197" s="16" t="n">
        <v>0</v>
      </c>
      <c r="QJ197" s="0" t="n">
        <v>0</v>
      </c>
      <c r="QK197" s="0" t="s">
        <v>595</v>
      </c>
      <c r="QL197" s="0" t="n">
        <v>21.5</v>
      </c>
      <c r="QM197" s="16" t="n">
        <v>79.7</v>
      </c>
      <c r="QN197" s="16" t="n">
        <v>81</v>
      </c>
      <c r="QO197" s="16" t="n">
        <v>7.9</v>
      </c>
      <c r="QP197" s="0" t="n">
        <v>99.71</v>
      </c>
      <c r="QQ197" s="0" t="n">
        <v>0</v>
      </c>
      <c r="QR197" s="0" t="n">
        <v>0</v>
      </c>
      <c r="QS197" s="0" t="n">
        <v>0</v>
      </c>
      <c r="QT197" s="0" t="n">
        <v>0.29</v>
      </c>
      <c r="QU197" s="0" t="n">
        <v>0</v>
      </c>
      <c r="QV197" s="0" t="n">
        <v>0</v>
      </c>
      <c r="QW197" s="0" t="n">
        <v>0</v>
      </c>
      <c r="QX197" s="0" t="n">
        <v>0</v>
      </c>
      <c r="QY197" s="0" t="n">
        <v>0</v>
      </c>
      <c r="QZ197" s="0" t="n">
        <v>0</v>
      </c>
      <c r="RA197" s="0" t="n">
        <v>0</v>
      </c>
      <c r="RB197" s="0" t="n">
        <v>11.15</v>
      </c>
      <c r="RC197" s="0" t="n">
        <v>33.12</v>
      </c>
      <c r="RD197" s="0" t="n">
        <v>8.72</v>
      </c>
      <c r="RE197" s="0" t="n">
        <v>0</v>
      </c>
      <c r="RF197" s="0" t="n">
        <v>0</v>
      </c>
      <c r="RG197" s="0" t="n">
        <v>0</v>
      </c>
      <c r="RT197" s="0" t="n">
        <v>0</v>
      </c>
      <c r="RU197" s="0" t="n">
        <v>1</v>
      </c>
      <c r="RV197" s="0" t="n">
        <v>23</v>
      </c>
      <c r="RW197" s="0" t="n">
        <v>1</v>
      </c>
      <c r="RX197" s="0" t="n">
        <v>2.27</v>
      </c>
      <c r="RY197" s="0" t="n">
        <v>3</v>
      </c>
      <c r="SF197" s="18"/>
      <c r="SX197" s="0" t="n">
        <v>1</v>
      </c>
      <c r="SY197" s="0" t="n">
        <v>50</v>
      </c>
      <c r="SZ197" s="0" t="n">
        <v>9</v>
      </c>
      <c r="TA197" s="0" t="n">
        <v>4.93</v>
      </c>
      <c r="TB197" s="0" t="n">
        <v>3</v>
      </c>
      <c r="UI197" s="16" t="n">
        <v>2</v>
      </c>
      <c r="UJ197" s="16" t="n">
        <v>1</v>
      </c>
      <c r="UK197" s="16" t="n">
        <v>1</v>
      </c>
      <c r="UL197" s="16"/>
      <c r="UM197" s="16" t="n">
        <f aca="false">1.7+2.1*2+0.6</f>
        <v>6.5</v>
      </c>
      <c r="UN197" s="16"/>
      <c r="UO197" s="16"/>
      <c r="UP197" s="16"/>
      <c r="UQ197" s="16"/>
      <c r="UR197" s="16"/>
      <c r="US197" s="16"/>
      <c r="UT197" s="16" t="n">
        <v>11.21</v>
      </c>
      <c r="UU197" s="16" t="n">
        <v>16.21</v>
      </c>
      <c r="UV197" s="16"/>
      <c r="UW197" s="16"/>
      <c r="UX197" s="16" t="n">
        <v>0</v>
      </c>
      <c r="UY197" s="16" t="n">
        <v>0</v>
      </c>
      <c r="UZ197" s="16" t="n">
        <v>0</v>
      </c>
      <c r="VA197" s="0" t="n">
        <v>0</v>
      </c>
      <c r="VB197" s="0" t="s">
        <v>462</v>
      </c>
      <c r="VC197" s="0" t="n">
        <v>47.5</v>
      </c>
      <c r="VD197" s="16" t="n">
        <v>85.1</v>
      </c>
      <c r="VE197" s="16" t="n">
        <v>81</v>
      </c>
      <c r="VF197" s="16" t="n">
        <v>33.2</v>
      </c>
      <c r="VG197" s="0" t="n">
        <v>52.89</v>
      </c>
      <c r="VH197" s="0" t="n">
        <v>0</v>
      </c>
      <c r="VI197" s="0" t="n">
        <v>0</v>
      </c>
      <c r="VJ197" s="0" t="n">
        <v>0</v>
      </c>
      <c r="VK197" s="0" t="n">
        <v>47.11</v>
      </c>
      <c r="VL197" s="0" t="n">
        <v>0</v>
      </c>
      <c r="VM197" s="0" t="n">
        <v>0</v>
      </c>
      <c r="VN197" s="0" t="n">
        <v>0</v>
      </c>
      <c r="VO197" s="0" t="n">
        <v>0</v>
      </c>
      <c r="VP197" s="0" t="n">
        <v>0</v>
      </c>
      <c r="VQ197" s="0" t="n">
        <v>0</v>
      </c>
      <c r="VR197" s="0" t="n">
        <v>3.65</v>
      </c>
      <c r="VS197" s="0" t="n">
        <v>0</v>
      </c>
      <c r="VT197" s="0" t="n">
        <v>19.66</v>
      </c>
      <c r="VU197" s="0" t="n">
        <v>48.22</v>
      </c>
      <c r="VV197" s="0" t="n">
        <v>0</v>
      </c>
      <c r="VW197" s="0" t="n">
        <v>5.3</v>
      </c>
      <c r="VX197" s="0" t="n">
        <v>1</v>
      </c>
      <c r="VY197" s="0" t="n">
        <v>5</v>
      </c>
      <c r="WA197" s="0" t="n">
        <v>1</v>
      </c>
      <c r="WE197" s="0" t="n">
        <v>5</v>
      </c>
      <c r="WG197" s="0" t="n">
        <v>1</v>
      </c>
      <c r="WK197" s="0" t="n">
        <v>1.5</v>
      </c>
      <c r="WL197" s="0" t="n">
        <v>0</v>
      </c>
      <c r="WW197" s="18"/>
      <c r="XO197" s="0" t="n">
        <v>1</v>
      </c>
      <c r="XP197" s="0" t="n">
        <v>60</v>
      </c>
      <c r="XQ197" s="0" t="n">
        <v>1</v>
      </c>
      <c r="XR197" s="0" t="n">
        <v>3.97</v>
      </c>
      <c r="XS197" s="0" t="n">
        <v>4</v>
      </c>
      <c r="XT197" s="0" t="n">
        <v>60</v>
      </c>
      <c r="XU197" s="0" t="n">
        <v>1</v>
      </c>
      <c r="XV197" s="0" t="n">
        <v>0.2</v>
      </c>
      <c r="XW197" s="0" t="n">
        <v>3</v>
      </c>
      <c r="YZ197" s="16" t="n">
        <v>1.3</v>
      </c>
      <c r="ZA197" s="16" t="n">
        <v>1</v>
      </c>
      <c r="ZB197" s="16" t="n">
        <v>1</v>
      </c>
      <c r="ZC197" s="16"/>
      <c r="ZD197" s="16" t="n">
        <f aca="false">1.05*2+0.15</f>
        <v>2.25</v>
      </c>
      <c r="ZE197" s="16"/>
      <c r="ZF197" s="16"/>
      <c r="ZG197" s="16"/>
      <c r="ZH197" s="16"/>
      <c r="ZI197" s="16"/>
      <c r="ZJ197" s="16"/>
      <c r="ZK197" s="16" t="n">
        <v>0.69</v>
      </c>
      <c r="ZL197" s="16" t="n">
        <v>0.33</v>
      </c>
      <c r="ZM197" s="16"/>
      <c r="ZN197" s="16"/>
      <c r="ZO197" s="16" t="n">
        <v>0</v>
      </c>
      <c r="ZP197" s="16" t="n">
        <v>0</v>
      </c>
      <c r="ZQ197" s="16" t="n">
        <v>0</v>
      </c>
      <c r="ZR197" s="0" t="n">
        <v>0</v>
      </c>
      <c r="ZS197" s="0" t="s">
        <v>463</v>
      </c>
      <c r="ZT197" s="0" t="n">
        <v>50</v>
      </c>
      <c r="ZU197" s="16" t="n">
        <v>86.6</v>
      </c>
      <c r="ZV197" s="16" t="n">
        <v>81</v>
      </c>
      <c r="ZW197" s="16" t="n">
        <v>31.6</v>
      </c>
      <c r="ZX197" s="0" t="n">
        <v>51.98</v>
      </c>
      <c r="ZY197" s="0" t="n">
        <v>0</v>
      </c>
      <c r="ZZ197" s="0" t="n">
        <v>0</v>
      </c>
      <c r="AAA197" s="0" t="n">
        <v>0</v>
      </c>
      <c r="AAB197" s="0" t="n">
        <v>48.02</v>
      </c>
      <c r="AAC197" s="0" t="n">
        <v>0</v>
      </c>
      <c r="AAD197" s="0" t="n">
        <v>0</v>
      </c>
      <c r="AAE197" s="0" t="n">
        <v>0</v>
      </c>
      <c r="AAF197" s="0" t="n">
        <v>0</v>
      </c>
      <c r="AAG197" s="0" t="n">
        <v>0</v>
      </c>
      <c r="AAH197" s="0" t="n">
        <v>0</v>
      </c>
      <c r="AAI197" s="0" t="n">
        <v>0</v>
      </c>
      <c r="AAJ197" s="0" t="n">
        <v>0</v>
      </c>
      <c r="AAK197" s="0" t="n">
        <v>34.88</v>
      </c>
      <c r="AAL197" s="0" t="n">
        <v>40.97</v>
      </c>
      <c r="AAM197" s="0" t="n">
        <v>0</v>
      </c>
      <c r="AAN197" s="0" t="n">
        <v>12</v>
      </c>
      <c r="AAO197" s="0" t="n">
        <v>1</v>
      </c>
      <c r="AAP197" s="0" t="n">
        <v>7</v>
      </c>
      <c r="AAR197" s="0" t="n">
        <v>1</v>
      </c>
      <c r="AAV197" s="0" t="n">
        <v>7</v>
      </c>
      <c r="AAX197" s="0" t="n">
        <v>1</v>
      </c>
      <c r="ABB197" s="0" t="n">
        <v>0.4</v>
      </c>
      <c r="ABC197" s="0" t="n">
        <v>0</v>
      </c>
      <c r="ABN197" s="18"/>
      <c r="ACF197" s="0" t="n">
        <v>1</v>
      </c>
      <c r="ACG197" s="0" t="n">
        <v>60</v>
      </c>
      <c r="ACH197" s="0" t="n">
        <v>1</v>
      </c>
      <c r="ACI197" s="0" t="n">
        <v>0.53</v>
      </c>
      <c r="ACJ197" s="0" t="n">
        <v>4</v>
      </c>
      <c r="ACK197" s="0" t="n">
        <v>60</v>
      </c>
      <c r="ACL197" s="0" t="n">
        <v>1</v>
      </c>
      <c r="ACM197" s="0" t="n">
        <v>0.6</v>
      </c>
      <c r="ACN197" s="0" t="n">
        <v>3</v>
      </c>
      <c r="ADQ197" s="16" t="n">
        <v>0.22</v>
      </c>
      <c r="ADR197" s="16" t="n">
        <v>1</v>
      </c>
      <c r="ADS197" s="16" t="n">
        <v>1</v>
      </c>
      <c r="ADT197" s="16"/>
      <c r="ADU197" s="16" t="n">
        <f aca="false">0.37*2</f>
        <v>0.74</v>
      </c>
      <c r="ADV197" s="16"/>
      <c r="ADW197" s="16"/>
      <c r="ADX197" s="16"/>
      <c r="ADY197" s="16"/>
      <c r="ADZ197" s="16"/>
      <c r="AEA197" s="16"/>
      <c r="AEB197" s="16" t="n">
        <v>0</v>
      </c>
      <c r="AEC197" s="16" t="n">
        <v>0</v>
      </c>
      <c r="AED197" s="16"/>
      <c r="AEE197" s="16"/>
      <c r="AEF197" s="16" t="n">
        <v>0</v>
      </c>
      <c r="AEG197" s="16" t="n">
        <v>0</v>
      </c>
      <c r="AEH197" s="16" t="n">
        <v>0</v>
      </c>
      <c r="AEI197" s="0" t="n">
        <v>0</v>
      </c>
      <c r="AEK197" s="15"/>
      <c r="AEL197" s="15"/>
      <c r="AES197" s="15"/>
      <c r="AET197" s="15"/>
      <c r="AFA197" s="15"/>
      <c r="AFB197" s="15"/>
      <c r="AFI197" s="15"/>
      <c r="AFJ197" s="15"/>
      <c r="AFQ197" s="15"/>
      <c r="AFR197" s="15"/>
      <c r="AFY197" s="15"/>
      <c r="AFZ197" s="15"/>
      <c r="AGG197" s="15"/>
      <c r="AGH197" s="15"/>
      <c r="AGO197" s="15"/>
      <c r="AGP197" s="15"/>
      <c r="AGW197" s="15"/>
      <c r="AGX197" s="15"/>
      <c r="AHE197" s="15"/>
      <c r="AHF197" s="15"/>
      <c r="AHM197" s="15"/>
      <c r="AHN197" s="15"/>
      <c r="AHU197" s="15"/>
      <c r="AHV197" s="15"/>
      <c r="AIC197" s="15"/>
      <c r="AID197" s="15"/>
      <c r="AIK197" s="15"/>
      <c r="AIL197" s="15"/>
      <c r="AIS197" s="15"/>
      <c r="AIT197" s="15"/>
      <c r="AJA197" s="15"/>
      <c r="AJB197" s="15"/>
      <c r="AJI197" s="15"/>
      <c r="AJJ197" s="15"/>
      <c r="AJQ197" s="15"/>
      <c r="AJR197" s="15"/>
      <c r="AJY197" s="15"/>
      <c r="AJZ197" s="15"/>
      <c r="AKG197" s="15"/>
      <c r="AKH197" s="15"/>
      <c r="AKO197" s="15"/>
      <c r="AKP197" s="15"/>
      <c r="AKW197" s="15"/>
      <c r="AKX197" s="15"/>
      <c r="ALE197" s="15"/>
      <c r="ALF197" s="15"/>
      <c r="ALM197" s="15"/>
      <c r="ALN197" s="15"/>
      <c r="ALU197" s="15"/>
      <c r="ALV197" s="15"/>
      <c r="AMC197" s="15"/>
      <c r="AMD197" s="15"/>
    </row>
    <row r="198" customFormat="false" ht="13.8" hidden="false" customHeight="false" outlineLevel="0" collapsed="false">
      <c r="A198" s="1" t="s">
        <v>708</v>
      </c>
      <c r="B198" s="12" t="n">
        <v>42903</v>
      </c>
      <c r="C198" s="0" t="n">
        <v>2</v>
      </c>
      <c r="D198" s="13" t="n">
        <v>39118</v>
      </c>
      <c r="E198" s="12" t="n">
        <v>29183</v>
      </c>
      <c r="F198" s="14" t="n">
        <f aca="false">(B198-E198)/365.25</f>
        <v>37.5633127994524</v>
      </c>
      <c r="G198" s="14" t="n">
        <f aca="false">(B198-D198)/365.25</f>
        <v>10.362765229295</v>
      </c>
      <c r="H198" s="15" t="s">
        <v>228</v>
      </c>
      <c r="I198" s="15" t="s">
        <v>229</v>
      </c>
      <c r="J198" s="15" t="s">
        <v>183</v>
      </c>
      <c r="K198" s="21" t="n">
        <v>4</v>
      </c>
      <c r="L198" s="19" t="n">
        <v>68</v>
      </c>
      <c r="M198" s="0" t="n">
        <v>1.72</v>
      </c>
      <c r="N198" s="16" t="n">
        <f aca="false">L198/(M198*M198)</f>
        <v>22.9853975121687</v>
      </c>
      <c r="O198" s="19" t="n">
        <v>0</v>
      </c>
      <c r="P198" s="19" t="n">
        <v>0</v>
      </c>
      <c r="Q198" s="19" t="n">
        <v>0</v>
      </c>
      <c r="R198" s="26" t="n">
        <v>0</v>
      </c>
      <c r="S198" s="26" t="n">
        <v>0</v>
      </c>
      <c r="T198" s="26" t="n">
        <v>0</v>
      </c>
      <c r="U198" s="19" t="n">
        <v>1</v>
      </c>
      <c r="V198" s="19" t="n">
        <v>5</v>
      </c>
      <c r="W198" s="19" t="n">
        <v>1</v>
      </c>
      <c r="X198" s="19" t="n">
        <v>0</v>
      </c>
      <c r="Y198" s="19" t="n">
        <v>0</v>
      </c>
      <c r="Z198" s="19" t="n">
        <v>0</v>
      </c>
      <c r="AA198" s="19" t="n">
        <v>0</v>
      </c>
      <c r="AB198" s="19" t="n">
        <v>0</v>
      </c>
      <c r="AC198" s="19" t="n">
        <v>0</v>
      </c>
      <c r="AD198" s="19" t="n">
        <v>0</v>
      </c>
      <c r="AE198" s="19" t="n">
        <v>1</v>
      </c>
      <c r="AF198" s="19" t="n">
        <v>0</v>
      </c>
      <c r="AG198" s="19" t="n">
        <v>0</v>
      </c>
      <c r="AH198" s="19" t="n">
        <v>0</v>
      </c>
      <c r="AI198" s="19" t="n">
        <v>0</v>
      </c>
      <c r="AJ198" s="19" t="n">
        <v>0</v>
      </c>
      <c r="AK198" s="19" t="n">
        <v>0</v>
      </c>
      <c r="AL198" s="19" t="n">
        <v>0</v>
      </c>
      <c r="AM198" s="19" t="n">
        <v>0</v>
      </c>
      <c r="AN198" s="19" t="n">
        <v>1</v>
      </c>
      <c r="AO198" s="19" t="n">
        <v>1</v>
      </c>
      <c r="AP198" s="19" t="n">
        <v>1</v>
      </c>
      <c r="AQ198" s="19" t="n">
        <v>5</v>
      </c>
      <c r="AR198" s="19" t="n">
        <v>0</v>
      </c>
      <c r="AS198" s="19" t="n">
        <v>3</v>
      </c>
      <c r="AT198" s="19" t="n">
        <v>3</v>
      </c>
      <c r="AU198" s="19" t="n">
        <v>3</v>
      </c>
      <c r="AV198" s="19" t="n">
        <v>9</v>
      </c>
      <c r="AW198" s="19" t="n">
        <v>9</v>
      </c>
      <c r="AX198" s="19" t="n">
        <v>0</v>
      </c>
      <c r="AY198" s="19" t="n">
        <v>0</v>
      </c>
      <c r="AZ198" s="19" t="n">
        <v>0</v>
      </c>
      <c r="BA198" s="19" t="n">
        <v>0</v>
      </c>
      <c r="BB198" s="19" t="n">
        <v>1</v>
      </c>
      <c r="BC198" s="19"/>
      <c r="BD198" s="19"/>
      <c r="BE198" s="19"/>
      <c r="BF198" s="19" t="n">
        <v>1</v>
      </c>
      <c r="BG198" s="19" t="n">
        <v>1</v>
      </c>
      <c r="BH198" s="19" t="n">
        <v>1</v>
      </c>
      <c r="BI198" s="19" t="n">
        <v>3</v>
      </c>
      <c r="BJ198" s="19" t="n">
        <v>1</v>
      </c>
      <c r="BK198" s="19" t="n">
        <v>1</v>
      </c>
      <c r="BL198" s="19" t="n">
        <v>1</v>
      </c>
      <c r="BM198" s="19" t="n">
        <v>4</v>
      </c>
      <c r="BN198" s="19" t="n">
        <v>1</v>
      </c>
      <c r="BO198" s="19" t="n">
        <v>1</v>
      </c>
      <c r="BP198" s="19" t="n">
        <v>1</v>
      </c>
      <c r="BQ198" s="19" t="n">
        <v>6</v>
      </c>
      <c r="BR198" s="19" t="n">
        <v>3</v>
      </c>
      <c r="BS198" s="19" t="n">
        <v>2</v>
      </c>
      <c r="BT198" s="19" t="n">
        <v>3</v>
      </c>
      <c r="BU198" s="19" t="n">
        <v>5</v>
      </c>
      <c r="BV198" s="19" t="n">
        <v>2</v>
      </c>
      <c r="BW198" s="19" t="n">
        <v>3</v>
      </c>
      <c r="BX198" s="19" t="n">
        <v>4</v>
      </c>
      <c r="BY198" s="19" t="n">
        <v>4</v>
      </c>
      <c r="BZ198" s="19" t="n">
        <v>4</v>
      </c>
      <c r="CA198" s="19" t="n">
        <v>3</v>
      </c>
      <c r="CB198" s="19" t="n">
        <v>3</v>
      </c>
      <c r="CC198" s="19" t="n">
        <v>4</v>
      </c>
      <c r="CD198" s="19" t="n">
        <v>4</v>
      </c>
      <c r="CE198" s="19" t="n">
        <v>4</v>
      </c>
      <c r="CF198" s="19" t="n">
        <v>4</v>
      </c>
      <c r="CG198" s="19" t="n">
        <v>4</v>
      </c>
      <c r="CH198" s="19" t="n">
        <v>4</v>
      </c>
      <c r="CI198" s="19" t="n">
        <v>4</v>
      </c>
      <c r="CJ198" s="19" t="n">
        <v>4</v>
      </c>
      <c r="CK198" s="19" t="n">
        <v>8</v>
      </c>
      <c r="CL198" s="0" t="s">
        <v>232</v>
      </c>
      <c r="CM198" s="0" t="n">
        <v>40</v>
      </c>
      <c r="CN198" s="16" t="n">
        <v>84.9</v>
      </c>
      <c r="CO198" s="16" t="n">
        <v>81</v>
      </c>
      <c r="CP198" s="16" t="n">
        <v>13.2</v>
      </c>
      <c r="CQ198" s="0" t="n">
        <v>93.04</v>
      </c>
      <c r="CR198" s="0" t="n">
        <v>0</v>
      </c>
      <c r="CS198" s="0" t="n">
        <v>0</v>
      </c>
      <c r="CT198" s="0" t="n">
        <v>3.59</v>
      </c>
      <c r="CU198" s="0" t="n">
        <v>3.38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1.7</v>
      </c>
      <c r="DC198" s="0" t="n">
        <v>3.97</v>
      </c>
      <c r="DD198" s="0" t="n">
        <v>39.76</v>
      </c>
      <c r="DE198" s="0" t="n">
        <v>0.13</v>
      </c>
      <c r="DF198" s="0" t="n">
        <v>0</v>
      </c>
      <c r="DG198" s="0" t="n">
        <v>0</v>
      </c>
      <c r="DH198" s="0" t="n">
        <v>0</v>
      </c>
      <c r="DU198" s="0" t="n">
        <v>15.9</v>
      </c>
      <c r="DV198" s="0" t="n">
        <v>1</v>
      </c>
      <c r="DW198" s="0" t="n">
        <v>47</v>
      </c>
      <c r="DX198" s="0" t="n">
        <v>2</v>
      </c>
      <c r="DY198" s="0" t="n">
        <v>1.51</v>
      </c>
      <c r="DZ198" s="0" t="n">
        <v>3</v>
      </c>
      <c r="EG198" s="18"/>
      <c r="EY198" s="0" t="n">
        <v>1</v>
      </c>
      <c r="EZ198" s="0" t="n">
        <v>40</v>
      </c>
      <c r="FA198" s="0" t="n">
        <v>7</v>
      </c>
      <c r="FB198" s="0" t="n">
        <f aca="false">2.27+3.02</f>
        <v>5.29</v>
      </c>
      <c r="FC198" s="0" t="n">
        <v>3</v>
      </c>
      <c r="GJ198" s="16" t="n">
        <v>1.48</v>
      </c>
      <c r="GK198" s="16" t="n">
        <v>1</v>
      </c>
      <c r="GL198" s="16" t="n">
        <v>1</v>
      </c>
      <c r="GM198" s="16"/>
      <c r="GN198" s="16" t="n">
        <f aca="false">2.1+1.7+0.37+0.74</f>
        <v>4.91</v>
      </c>
      <c r="GO198" s="16"/>
      <c r="GP198" s="16"/>
      <c r="GQ198" s="16"/>
      <c r="GR198" s="16"/>
      <c r="GS198" s="16"/>
      <c r="GT198" s="16"/>
      <c r="GU198" s="16" t="n">
        <v>7.34</v>
      </c>
      <c r="GV198" s="16" t="n">
        <v>5.01</v>
      </c>
      <c r="GW198" s="16"/>
      <c r="GX198" s="16"/>
      <c r="GY198" s="16" t="n">
        <v>0</v>
      </c>
      <c r="GZ198" s="16" t="n">
        <v>0</v>
      </c>
      <c r="HA198" s="16" t="n">
        <v>0</v>
      </c>
      <c r="HB198" s="0" t="n">
        <v>0</v>
      </c>
      <c r="HC198" s="0" t="s">
        <v>233</v>
      </c>
      <c r="HD198" s="0" t="n">
        <v>39.5</v>
      </c>
      <c r="HE198" s="16" t="n">
        <v>85</v>
      </c>
      <c r="HF198" s="16" t="n">
        <v>81</v>
      </c>
      <c r="HG198" s="16" t="n">
        <v>12.7</v>
      </c>
      <c r="HH198" s="0" t="n">
        <v>93.14</v>
      </c>
      <c r="HI198" s="0" t="n">
        <v>0</v>
      </c>
      <c r="HJ198" s="0" t="n">
        <v>1.57</v>
      </c>
      <c r="HK198" s="0" t="n">
        <v>2.08</v>
      </c>
      <c r="HL198" s="0" t="n">
        <v>3.21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1.7</v>
      </c>
      <c r="HT198" s="0" t="n">
        <v>6.54</v>
      </c>
      <c r="HU198" s="0" t="n">
        <v>37.88</v>
      </c>
      <c r="HV198" s="0" t="n">
        <v>3</v>
      </c>
      <c r="HW198" s="0" t="n">
        <v>0</v>
      </c>
      <c r="HX198" s="0" t="n">
        <v>0</v>
      </c>
      <c r="HY198" s="0" t="n">
        <v>0</v>
      </c>
      <c r="IL198" s="0" t="n">
        <v>15.7</v>
      </c>
      <c r="IM198" s="0" t="n">
        <v>1</v>
      </c>
      <c r="IN198" s="0" t="n">
        <v>47</v>
      </c>
      <c r="IO198" s="0" t="n">
        <v>2</v>
      </c>
      <c r="IP198" s="0" t="n">
        <v>1.51</v>
      </c>
      <c r="IQ198" s="0" t="n">
        <v>3</v>
      </c>
      <c r="IX198" s="18"/>
      <c r="JP198" s="0" t="n">
        <v>1</v>
      </c>
      <c r="JQ198" s="0" t="n">
        <v>50</v>
      </c>
      <c r="JR198" s="0" t="n">
        <v>3</v>
      </c>
      <c r="JS198" s="0" t="n">
        <v>0.4</v>
      </c>
      <c r="JT198" s="0" t="n">
        <v>3</v>
      </c>
      <c r="JU198" s="0" t="n">
        <v>40</v>
      </c>
      <c r="JV198" s="0" t="n">
        <v>7</v>
      </c>
      <c r="JW198" s="0" t="n">
        <f aca="false">2.27+3.02</f>
        <v>5.29</v>
      </c>
      <c r="JX198" s="0" t="n">
        <v>3</v>
      </c>
      <c r="LA198" s="16" t="n">
        <v>1.76</v>
      </c>
      <c r="LB198" s="16" t="n">
        <v>1</v>
      </c>
      <c r="LC198" s="16" t="n">
        <v>1</v>
      </c>
      <c r="LD198" s="16"/>
      <c r="LE198" s="16" t="n">
        <f aca="false">2.1+1.7+0.4+0.37+0.74</f>
        <v>5.31</v>
      </c>
      <c r="LF198" s="16"/>
      <c r="LG198" s="16"/>
      <c r="LH198" s="16"/>
      <c r="LI198" s="16"/>
      <c r="LJ198" s="16"/>
      <c r="LK198" s="16"/>
      <c r="LL198" s="16" t="n">
        <v>7.31</v>
      </c>
      <c r="LM198" s="16" t="n">
        <v>6.99</v>
      </c>
      <c r="LN198" s="16"/>
      <c r="LO198" s="16"/>
      <c r="LP198" s="16" t="n">
        <v>0</v>
      </c>
      <c r="LQ198" s="16" t="n">
        <v>0</v>
      </c>
      <c r="LR198" s="16" t="n">
        <v>0</v>
      </c>
      <c r="LS198" s="0" t="n">
        <v>0</v>
      </c>
      <c r="LT198" s="0" t="s">
        <v>234</v>
      </c>
      <c r="LU198" s="0" t="n">
        <v>22.5</v>
      </c>
      <c r="LV198" s="16" t="n">
        <v>60.3</v>
      </c>
      <c r="LW198" s="16" t="n">
        <v>81</v>
      </c>
      <c r="LX198" s="16" t="n">
        <v>13.3</v>
      </c>
      <c r="LY198" s="0" t="n">
        <v>92.98</v>
      </c>
      <c r="LZ198" s="0" t="n">
        <v>0</v>
      </c>
      <c r="MA198" s="0" t="n">
        <v>0</v>
      </c>
      <c r="MB198" s="0" t="n">
        <v>0</v>
      </c>
      <c r="MC198" s="0" t="n">
        <v>7.02</v>
      </c>
      <c r="MD198" s="0" t="n">
        <v>0</v>
      </c>
      <c r="ME198" s="0" t="n">
        <v>0</v>
      </c>
      <c r="MF198" s="0" t="n">
        <v>0</v>
      </c>
      <c r="MG198" s="0" t="n">
        <v>0</v>
      </c>
      <c r="MH198" s="0" t="n">
        <v>0</v>
      </c>
      <c r="MI198" s="0" t="n">
        <v>0</v>
      </c>
      <c r="MJ198" s="0" t="n">
        <v>0</v>
      </c>
      <c r="MK198" s="0" t="n">
        <v>0.72</v>
      </c>
      <c r="ML198" s="0" t="n">
        <v>23.12</v>
      </c>
      <c r="MM198" s="0" t="n">
        <v>24.81</v>
      </c>
      <c r="MN198" s="0" t="n">
        <v>0</v>
      </c>
      <c r="MO198" s="0" t="n">
        <v>0</v>
      </c>
      <c r="MP198" s="0" t="n">
        <v>0</v>
      </c>
      <c r="NC198" s="0" t="n">
        <v>0</v>
      </c>
      <c r="ND198" s="0" t="n">
        <v>1</v>
      </c>
      <c r="NE198" s="0" t="n">
        <v>23</v>
      </c>
      <c r="NF198" s="0" t="n">
        <v>1</v>
      </c>
      <c r="NG198" s="0" t="n">
        <v>0.3</v>
      </c>
      <c r="NH198" s="0" t="n">
        <v>3</v>
      </c>
      <c r="NO198" s="18"/>
      <c r="OG198" s="0" t="n">
        <v>0</v>
      </c>
      <c r="PR198" s="16" t="n">
        <v>1.26</v>
      </c>
      <c r="PS198" s="16" t="n">
        <v>1</v>
      </c>
      <c r="PT198" s="16" t="n">
        <v>1</v>
      </c>
      <c r="PU198" s="16"/>
      <c r="PV198" s="16" t="n">
        <f aca="false">2.1+1.7+0.4+0.37+0.74</f>
        <v>5.31</v>
      </c>
      <c r="PW198" s="16"/>
      <c r="PX198" s="16"/>
      <c r="PY198" s="16"/>
      <c r="PZ198" s="16"/>
      <c r="QA198" s="16"/>
      <c r="QB198" s="16"/>
      <c r="QC198" s="16" t="n">
        <v>6.24</v>
      </c>
      <c r="QD198" s="16" t="n">
        <v>6.99</v>
      </c>
      <c r="QE198" s="16"/>
      <c r="QF198" s="16"/>
      <c r="QG198" s="16" t="n">
        <v>0</v>
      </c>
      <c r="QH198" s="16" t="n">
        <v>0</v>
      </c>
      <c r="QI198" s="16" t="n">
        <v>0</v>
      </c>
      <c r="QJ198" s="0" t="n">
        <v>0</v>
      </c>
      <c r="QK198" s="0" t="s">
        <v>235</v>
      </c>
      <c r="QL198" s="0" t="n">
        <v>37</v>
      </c>
      <c r="QM198" s="16" t="n">
        <v>81.9</v>
      </c>
      <c r="QN198" s="16" t="n">
        <v>81</v>
      </c>
      <c r="QO198" s="16" t="n">
        <v>26.3</v>
      </c>
      <c r="QP198" s="0" t="n">
        <v>68.54</v>
      </c>
      <c r="QQ198" s="0" t="n">
        <v>0</v>
      </c>
      <c r="QR198" s="0" t="n">
        <v>0</v>
      </c>
      <c r="QS198" s="0" t="n">
        <v>0</v>
      </c>
      <c r="QT198" s="0" t="n">
        <v>31.46</v>
      </c>
      <c r="QU198" s="0" t="n">
        <v>0</v>
      </c>
      <c r="QV198" s="0" t="n">
        <v>0</v>
      </c>
      <c r="QW198" s="0" t="n">
        <v>0</v>
      </c>
      <c r="QX198" s="0" t="n">
        <v>0</v>
      </c>
      <c r="QY198" s="0" t="n">
        <v>0</v>
      </c>
      <c r="QZ198" s="0" t="n">
        <v>0</v>
      </c>
      <c r="RA198" s="0" t="n">
        <v>0</v>
      </c>
      <c r="RB198" s="0" t="n">
        <v>5.42</v>
      </c>
      <c r="RC198" s="0" t="n">
        <v>17.37</v>
      </c>
      <c r="RD198" s="0" t="n">
        <v>41.85</v>
      </c>
      <c r="RE198" s="0" t="n">
        <v>0</v>
      </c>
      <c r="RF198" s="0" t="n">
        <v>0</v>
      </c>
      <c r="RG198" s="0" t="n">
        <v>0</v>
      </c>
      <c r="RT198" s="0" t="n">
        <v>0</v>
      </c>
      <c r="RU198" s="0" t="n">
        <v>1</v>
      </c>
      <c r="RV198" s="0" t="n">
        <v>23</v>
      </c>
      <c r="RW198" s="0" t="n">
        <v>2</v>
      </c>
      <c r="RX198" s="0" t="n">
        <v>2.11</v>
      </c>
      <c r="RY198" s="0" t="n">
        <v>3</v>
      </c>
      <c r="SF198" s="18"/>
      <c r="SX198" s="0" t="n">
        <v>0</v>
      </c>
      <c r="UI198" s="16" t="n">
        <v>2.64</v>
      </c>
      <c r="UJ198" s="16" t="n">
        <v>1</v>
      </c>
      <c r="UK198" s="16" t="n">
        <v>1</v>
      </c>
      <c r="UL198" s="16"/>
      <c r="UM198" s="16" t="n">
        <f aca="false">4.2*2+1.7+5.1+0.37+0.74</f>
        <v>16.31</v>
      </c>
      <c r="UN198" s="16"/>
      <c r="UO198" s="16"/>
      <c r="UP198" s="16"/>
      <c r="UQ198" s="16"/>
      <c r="UR198" s="16"/>
      <c r="US198" s="16"/>
      <c r="UT198" s="16" t="n">
        <v>5.32</v>
      </c>
      <c r="UU198" s="16" t="n">
        <v>8.04</v>
      </c>
      <c r="UV198" s="16"/>
      <c r="UW198" s="16"/>
      <c r="UX198" s="16" t="n">
        <v>0</v>
      </c>
      <c r="UY198" s="16" t="n">
        <v>0</v>
      </c>
      <c r="UZ198" s="16" t="n">
        <v>0</v>
      </c>
      <c r="VA198" s="0" t="n">
        <v>0</v>
      </c>
      <c r="VB198" s="0" t="s">
        <v>236</v>
      </c>
      <c r="VC198" s="0" t="n">
        <v>51</v>
      </c>
      <c r="VD198" s="16" t="n">
        <v>93.4</v>
      </c>
      <c r="VE198" s="16" t="n">
        <v>81</v>
      </c>
      <c r="VF198" s="16" t="n">
        <v>29.5</v>
      </c>
      <c r="VG198" s="0" t="n">
        <v>55.24</v>
      </c>
      <c r="VH198" s="0" t="n">
        <v>0</v>
      </c>
      <c r="VI198" s="0" t="n">
        <v>0</v>
      </c>
      <c r="VJ198" s="0" t="n">
        <v>0</v>
      </c>
      <c r="VK198" s="0" t="n">
        <v>44.76</v>
      </c>
      <c r="VL198" s="0" t="n">
        <v>0</v>
      </c>
      <c r="VM198" s="0" t="n">
        <v>0</v>
      </c>
      <c r="VN198" s="0" t="n">
        <v>0</v>
      </c>
      <c r="VO198" s="0" t="n">
        <v>0</v>
      </c>
      <c r="VP198" s="0" t="n">
        <v>0</v>
      </c>
      <c r="VQ198" s="0" t="n">
        <v>0</v>
      </c>
      <c r="VR198" s="0" t="n">
        <v>0.67</v>
      </c>
      <c r="VS198" s="0" t="n">
        <v>5.1</v>
      </c>
      <c r="VT198" s="0" t="n">
        <v>47.22</v>
      </c>
      <c r="VU198" s="0" t="n">
        <v>18.3</v>
      </c>
      <c r="VV198" s="0" t="n">
        <v>0</v>
      </c>
      <c r="VW198" s="0" t="n">
        <v>7.5</v>
      </c>
      <c r="VX198" s="0" t="n">
        <v>1</v>
      </c>
      <c r="VY198" s="0" t="n">
        <v>3.6</v>
      </c>
      <c r="WA198" s="0" t="n">
        <v>1</v>
      </c>
      <c r="WE198" s="0" t="n">
        <v>3.6</v>
      </c>
      <c r="WG198" s="0" t="n">
        <v>1</v>
      </c>
      <c r="WK198" s="0" t="n">
        <v>0</v>
      </c>
      <c r="WL198" s="0" t="n">
        <v>0</v>
      </c>
      <c r="WW198" s="18"/>
      <c r="XO198" s="0" t="n">
        <v>0</v>
      </c>
      <c r="YZ198" s="16" t="n">
        <v>1.95</v>
      </c>
      <c r="ZA198" s="16" t="n">
        <v>1</v>
      </c>
      <c r="ZB198" s="16" t="n">
        <v>1</v>
      </c>
      <c r="ZC198" s="16"/>
      <c r="ZD198" s="16" t="n">
        <f aca="false">2.42+1.67+5+0.22+0.66+0.22</f>
        <v>10.19</v>
      </c>
      <c r="ZE198" s="16"/>
      <c r="ZF198" s="16"/>
      <c r="ZG198" s="16"/>
      <c r="ZH198" s="16"/>
      <c r="ZI198" s="16"/>
      <c r="ZJ198" s="16"/>
      <c r="ZK198" s="16" t="n">
        <v>5.63</v>
      </c>
      <c r="ZL198" s="16" t="n">
        <v>11.04</v>
      </c>
      <c r="ZM198" s="16"/>
      <c r="ZN198" s="16"/>
      <c r="ZO198" s="16" t="n">
        <v>0</v>
      </c>
      <c r="ZP198" s="16" t="n">
        <v>0</v>
      </c>
      <c r="ZQ198" s="16" t="n">
        <v>0</v>
      </c>
      <c r="ZR198" s="0" t="n">
        <v>0</v>
      </c>
      <c r="ZS198" s="0" t="s">
        <v>237</v>
      </c>
      <c r="ZT198" s="0" t="n">
        <v>46</v>
      </c>
      <c r="ZU198" s="16" t="n">
        <v>92.7</v>
      </c>
      <c r="ZV198" s="16" t="n">
        <v>81</v>
      </c>
      <c r="ZW198" s="16" t="n">
        <v>20.8</v>
      </c>
      <c r="ZX198" s="0" t="n">
        <v>76.44</v>
      </c>
      <c r="ZY198" s="0" t="n">
        <v>0</v>
      </c>
      <c r="ZZ198" s="0" t="n">
        <v>0</v>
      </c>
      <c r="AAA198" s="0" t="n">
        <v>0</v>
      </c>
      <c r="AAB198" s="0" t="n">
        <v>23.56</v>
      </c>
      <c r="AAC198" s="0" t="n">
        <v>0</v>
      </c>
      <c r="AAD198" s="0" t="n">
        <v>0</v>
      </c>
      <c r="AAE198" s="0" t="n">
        <v>0</v>
      </c>
      <c r="AAF198" s="0" t="n">
        <v>0</v>
      </c>
      <c r="AAG198" s="0" t="n">
        <v>0</v>
      </c>
      <c r="AAH198" s="0" t="n">
        <v>0</v>
      </c>
      <c r="AAI198" s="0" t="n">
        <v>0.23</v>
      </c>
      <c r="AAJ198" s="0" t="n">
        <v>0.51</v>
      </c>
      <c r="AAK198" s="0" t="n">
        <v>26.55</v>
      </c>
      <c r="AAL198" s="0" t="n">
        <v>36.69</v>
      </c>
      <c r="AAM198" s="0" t="n">
        <v>0</v>
      </c>
      <c r="AAN198" s="0" t="n">
        <v>10.6</v>
      </c>
      <c r="AAO198" s="0" t="n">
        <v>1</v>
      </c>
      <c r="AAP198" s="0" t="n">
        <v>6</v>
      </c>
      <c r="AAR198" s="0" t="n">
        <v>1</v>
      </c>
      <c r="AAV198" s="0" t="n">
        <v>6</v>
      </c>
      <c r="AAX198" s="0" t="n">
        <v>1</v>
      </c>
      <c r="ABB198" s="0" t="n">
        <v>7.1</v>
      </c>
      <c r="ABC198" s="0" t="n">
        <v>1</v>
      </c>
      <c r="ABD198" s="0" t="n">
        <v>35</v>
      </c>
      <c r="ABE198" s="0" t="n">
        <v>2</v>
      </c>
      <c r="ABF198" s="0" t="n">
        <f aca="false">0.76*2</f>
        <v>1.52</v>
      </c>
      <c r="ABG198" s="0" t="n">
        <v>3</v>
      </c>
      <c r="ABN198" s="18"/>
      <c r="ACF198" s="0" t="n">
        <v>0</v>
      </c>
      <c r="ADQ198" s="16" t="n">
        <v>2.41</v>
      </c>
      <c r="ADR198" s="16" t="n">
        <v>1</v>
      </c>
      <c r="ADS198" s="16" t="n">
        <v>1</v>
      </c>
      <c r="ADT198" s="16"/>
      <c r="ADU198" s="16" t="n">
        <f aca="false">0.41+1.67+5+0.33+0.45+0.15</f>
        <v>8.01</v>
      </c>
      <c r="ADV198" s="16"/>
      <c r="ADW198" s="16"/>
      <c r="ADX198" s="16"/>
      <c r="ADY198" s="16"/>
      <c r="ADZ198" s="16"/>
      <c r="AEA198" s="16"/>
      <c r="AEB198" s="16" t="n">
        <v>0.33</v>
      </c>
      <c r="AEC198" s="16" t="n">
        <v>0.33</v>
      </c>
      <c r="AED198" s="16"/>
      <c r="AEE198" s="16"/>
      <c r="AEF198" s="16" t="n">
        <v>0</v>
      </c>
      <c r="AEG198" s="16" t="n">
        <v>0</v>
      </c>
      <c r="AEH198" s="16" t="n">
        <v>0</v>
      </c>
      <c r="AEI198" s="0" t="n">
        <v>0</v>
      </c>
      <c r="AEJ198" s="0" t="s">
        <v>461</v>
      </c>
      <c r="AEK198" s="0" t="n">
        <v>38</v>
      </c>
      <c r="AEL198" s="16" t="n">
        <v>84.5</v>
      </c>
      <c r="AEM198" s="16" t="n">
        <v>81</v>
      </c>
      <c r="AEN198" s="16" t="n">
        <v>11.8</v>
      </c>
      <c r="AEO198" s="0" t="n">
        <v>99.78</v>
      </c>
      <c r="AEP198" s="0" t="n">
        <v>0</v>
      </c>
      <c r="AEQ198" s="0" t="n">
        <v>0</v>
      </c>
      <c r="AER198" s="0" t="n">
        <v>0</v>
      </c>
      <c r="AES198" s="0" t="n">
        <v>0.22</v>
      </c>
      <c r="AET198" s="0" t="n">
        <v>0</v>
      </c>
      <c r="AEU198" s="0" t="n">
        <v>0</v>
      </c>
      <c r="AEV198" s="0" t="n">
        <v>0</v>
      </c>
      <c r="AEW198" s="0" t="n">
        <v>0</v>
      </c>
      <c r="AEX198" s="0" t="n">
        <v>0</v>
      </c>
      <c r="AEY198" s="0" t="n">
        <v>0</v>
      </c>
      <c r="AEZ198" s="0" t="n">
        <v>7.31</v>
      </c>
      <c r="AFA198" s="0" t="n">
        <v>0</v>
      </c>
      <c r="AFB198" s="0" t="n">
        <v>30.29</v>
      </c>
      <c r="AFC198" s="0" t="n">
        <v>31.72</v>
      </c>
      <c r="AFD198" s="0" t="n">
        <v>0</v>
      </c>
      <c r="AFE198" s="0" t="n">
        <v>0</v>
      </c>
      <c r="AFF198" s="0" t="n">
        <v>0</v>
      </c>
      <c r="AFS198" s="0" t="n">
        <v>14</v>
      </c>
      <c r="AFT198" s="0" t="n">
        <v>1</v>
      </c>
      <c r="AFU198" s="0" t="n">
        <v>52</v>
      </c>
      <c r="AFV198" s="0" t="n">
        <v>6</v>
      </c>
      <c r="AFW198" s="0" t="n">
        <v>4.53</v>
      </c>
      <c r="AFX198" s="0" t="n">
        <v>2</v>
      </c>
      <c r="AGE198" s="18"/>
      <c r="AGW198" s="0" t="n">
        <v>1</v>
      </c>
      <c r="AGX198" s="0" t="n">
        <v>50</v>
      </c>
      <c r="AGY198" s="0" t="n">
        <v>3</v>
      </c>
      <c r="AGZ198" s="0" t="n">
        <v>0.4</v>
      </c>
      <c r="AHA198" s="0" t="n">
        <v>6</v>
      </c>
      <c r="AIH198" s="16" t="n">
        <v>3.9</v>
      </c>
      <c r="AII198" s="16" t="n">
        <v>1</v>
      </c>
      <c r="AIJ198" s="16" t="n">
        <v>1</v>
      </c>
      <c r="AIK198" s="16"/>
      <c r="AIL198" s="16" t="n">
        <f aca="false">1.7*3+4.53+2.64*2+0.6</f>
        <v>15.51</v>
      </c>
      <c r="AIM198" s="16"/>
      <c r="AIN198" s="16"/>
      <c r="AIO198" s="16"/>
      <c r="AIP198" s="16"/>
      <c r="AIQ198" s="16"/>
      <c r="AIR198" s="16"/>
      <c r="AIS198" s="16" t="n">
        <v>8.14</v>
      </c>
      <c r="AIT198" s="16" t="n">
        <v>15.87</v>
      </c>
      <c r="AIU198" s="16"/>
      <c r="AIV198" s="16"/>
      <c r="AIW198" s="16" t="n">
        <v>0</v>
      </c>
      <c r="AIX198" s="16" t="n">
        <v>0</v>
      </c>
      <c r="AIY198" s="16" t="n">
        <v>0</v>
      </c>
      <c r="AIZ198" s="0" t="n">
        <v>0</v>
      </c>
      <c r="AJA198" s="0" t="s">
        <v>595</v>
      </c>
      <c r="AJB198" s="0" t="n">
        <v>21.5</v>
      </c>
      <c r="AJC198" s="16" t="n">
        <v>79.7</v>
      </c>
      <c r="AJD198" s="16" t="n">
        <v>81</v>
      </c>
      <c r="AJE198" s="16" t="n">
        <v>7.9</v>
      </c>
      <c r="AJF198" s="0" t="n">
        <v>99.71</v>
      </c>
      <c r="AJG198" s="0" t="n">
        <v>0</v>
      </c>
      <c r="AJH198" s="0" t="n">
        <v>0</v>
      </c>
      <c r="AJI198" s="0" t="n">
        <v>0</v>
      </c>
      <c r="AJJ198" s="0" t="n">
        <v>0.29</v>
      </c>
      <c r="AJK198" s="0" t="n">
        <v>0</v>
      </c>
      <c r="AJL198" s="0" t="n">
        <v>0</v>
      </c>
      <c r="AJM198" s="0" t="n">
        <v>0</v>
      </c>
      <c r="AJN198" s="0" t="n">
        <v>0</v>
      </c>
      <c r="AJO198" s="0" t="n">
        <v>0</v>
      </c>
      <c r="AJP198" s="0" t="n">
        <v>0</v>
      </c>
      <c r="AJQ198" s="0" t="n">
        <v>0</v>
      </c>
      <c r="AJR198" s="0" t="n">
        <v>11.15</v>
      </c>
      <c r="AJS198" s="0" t="n">
        <v>33.12</v>
      </c>
      <c r="AJT198" s="0" t="n">
        <v>8.72</v>
      </c>
      <c r="AJU198" s="0" t="n">
        <v>0</v>
      </c>
      <c r="AJV198" s="0" t="n">
        <v>0</v>
      </c>
      <c r="AJW198" s="0" t="n">
        <v>0</v>
      </c>
      <c r="AKJ198" s="0" t="n">
        <v>0</v>
      </c>
      <c r="AKK198" s="0" t="n">
        <v>1</v>
      </c>
      <c r="AKL198" s="0" t="n">
        <v>23</v>
      </c>
      <c r="AKM198" s="0" t="n">
        <v>1</v>
      </c>
      <c r="AKN198" s="0" t="n">
        <v>2.27</v>
      </c>
      <c r="AKO198" s="0" t="n">
        <v>3</v>
      </c>
      <c r="AKV198" s="18"/>
      <c r="ALN198" s="0" t="n">
        <v>1</v>
      </c>
      <c r="ALO198" s="0" t="n">
        <v>50</v>
      </c>
      <c r="ALP198" s="0" t="n">
        <v>9</v>
      </c>
      <c r="ALQ198" s="0" t="n">
        <v>4.93</v>
      </c>
      <c r="ALR198" s="0" t="n">
        <v>3</v>
      </c>
    </row>
    <row r="199" customFormat="false" ht="13.8" hidden="false" customHeight="false" outlineLevel="0" collapsed="false">
      <c r="A199" s="1" t="s">
        <v>709</v>
      </c>
      <c r="B199" s="12" t="n">
        <v>42905</v>
      </c>
      <c r="C199" s="0" t="n">
        <v>2</v>
      </c>
      <c r="D199" s="13" t="n">
        <v>42814</v>
      </c>
      <c r="E199" s="12" t="n">
        <v>29375</v>
      </c>
      <c r="F199" s="14" t="n">
        <f aca="false">(B199-E199)/365.25</f>
        <v>37.0431211498973</v>
      </c>
      <c r="G199" s="14" t="n">
        <f aca="false">(B199-D199)/365.25</f>
        <v>0.249144421629021</v>
      </c>
      <c r="H199" s="15" t="s">
        <v>181</v>
      </c>
      <c r="I199" s="15" t="s">
        <v>496</v>
      </c>
      <c r="J199" s="15" t="s">
        <v>181</v>
      </c>
      <c r="K199" s="21" t="n">
        <v>8</v>
      </c>
      <c r="L199" s="19" t="n">
        <v>66</v>
      </c>
      <c r="M199" s="0" t="n">
        <v>1.69</v>
      </c>
      <c r="N199" s="16" t="n">
        <f aca="false">L199/(M199*M199)</f>
        <v>23.1084345786212</v>
      </c>
      <c r="O199" s="19" t="n">
        <v>0</v>
      </c>
      <c r="P199" s="19" t="n">
        <v>0</v>
      </c>
      <c r="Q199" s="19" t="n">
        <v>0</v>
      </c>
      <c r="R199" s="26" t="n">
        <v>0</v>
      </c>
      <c r="S199" s="26" t="n">
        <v>0</v>
      </c>
      <c r="T199" s="26" t="n">
        <v>0</v>
      </c>
      <c r="U199" s="19" t="n">
        <v>1</v>
      </c>
      <c r="V199" s="19" t="n">
        <v>3</v>
      </c>
      <c r="W199" s="19" t="n">
        <v>1</v>
      </c>
      <c r="X199" s="19" t="n">
        <v>0</v>
      </c>
      <c r="Y199" s="19" t="n">
        <v>1</v>
      </c>
      <c r="Z199" s="19" t="n">
        <v>1</v>
      </c>
      <c r="AA199" s="19"/>
      <c r="AB199" s="19" t="s">
        <v>537</v>
      </c>
      <c r="AC199" s="19" t="n">
        <v>0</v>
      </c>
      <c r="AD199" s="19" t="n">
        <v>0</v>
      </c>
      <c r="AE199" s="19" t="n">
        <v>1</v>
      </c>
      <c r="AF199" s="19" t="n">
        <v>0</v>
      </c>
      <c r="AG199" s="19" t="n">
        <v>1</v>
      </c>
      <c r="AH199" s="19" t="n">
        <v>6</v>
      </c>
      <c r="AI199" s="19"/>
      <c r="AJ199" s="19"/>
      <c r="AK199" s="19"/>
      <c r="AL199" s="19"/>
      <c r="AM199" s="19"/>
      <c r="AN199" s="19" t="n">
        <v>0</v>
      </c>
      <c r="AO199" s="19" t="n">
        <v>0</v>
      </c>
      <c r="AP199" s="19" t="n">
        <v>0</v>
      </c>
      <c r="AQ199" s="19" t="n">
        <v>0</v>
      </c>
      <c r="AR199" s="19" t="n">
        <v>0</v>
      </c>
      <c r="AS199" s="19" t="n">
        <v>1</v>
      </c>
      <c r="AT199" s="19" t="n">
        <v>1</v>
      </c>
      <c r="AU199" s="19" t="n">
        <v>1</v>
      </c>
      <c r="AV199" s="19" t="n">
        <v>7</v>
      </c>
      <c r="AW199" s="19" t="n">
        <v>0</v>
      </c>
      <c r="AX199" s="19" t="n">
        <v>0</v>
      </c>
      <c r="AY199" s="19" t="n">
        <v>0</v>
      </c>
      <c r="AZ199" s="19" t="n">
        <v>0</v>
      </c>
      <c r="BA199" s="19" t="n">
        <v>0</v>
      </c>
      <c r="BB199" s="19" t="n">
        <v>0</v>
      </c>
      <c r="BC199" s="19" t="n">
        <v>0</v>
      </c>
      <c r="BD199" s="19" t="n">
        <v>0</v>
      </c>
      <c r="BE199" s="19" t="n">
        <v>0</v>
      </c>
      <c r="BF199" s="19" t="n">
        <v>0</v>
      </c>
      <c r="BG199" s="19" t="n">
        <v>0</v>
      </c>
      <c r="BH199" s="19" t="n">
        <v>0</v>
      </c>
      <c r="BI199" s="19" t="n">
        <v>0</v>
      </c>
      <c r="BJ199" s="19" t="n">
        <v>0</v>
      </c>
      <c r="BK199" s="19" t="n">
        <v>0</v>
      </c>
      <c r="BL199" s="19" t="n">
        <v>0</v>
      </c>
      <c r="BM199" s="19" t="n">
        <v>0</v>
      </c>
      <c r="BN199" s="19" t="n">
        <v>0</v>
      </c>
      <c r="BO199" s="19" t="n">
        <v>0</v>
      </c>
      <c r="BP199" s="19" t="n">
        <v>0</v>
      </c>
      <c r="BQ199" s="19" t="n">
        <v>0</v>
      </c>
      <c r="BR199" s="19" t="n">
        <v>4</v>
      </c>
      <c r="BS199" s="19" t="n">
        <v>3</v>
      </c>
      <c r="BT199" s="19" t="n">
        <v>5</v>
      </c>
      <c r="BU199" s="19" t="n">
        <v>4</v>
      </c>
      <c r="BV199" s="19" t="n">
        <v>2</v>
      </c>
      <c r="BW199" s="19" t="n">
        <v>3</v>
      </c>
      <c r="BX199" s="19" t="n">
        <v>2</v>
      </c>
      <c r="BY199" s="19" t="n">
        <v>2</v>
      </c>
      <c r="BZ199" s="19" t="n">
        <v>2</v>
      </c>
      <c r="CA199" s="19" t="n">
        <v>3</v>
      </c>
      <c r="CB199" s="19" t="n">
        <v>2</v>
      </c>
      <c r="CC199" s="19" t="n">
        <v>4</v>
      </c>
      <c r="CD199" s="19" t="n">
        <v>4</v>
      </c>
      <c r="CE199" s="19" t="n">
        <v>4</v>
      </c>
      <c r="CF199" s="19" t="n">
        <v>5</v>
      </c>
      <c r="CG199" s="19" t="n">
        <v>4</v>
      </c>
      <c r="CH199" s="19" t="n">
        <v>4</v>
      </c>
      <c r="CI199" s="19" t="n">
        <v>4</v>
      </c>
      <c r="CJ199" s="19" t="n">
        <v>3</v>
      </c>
      <c r="CK199" s="19" t="n">
        <v>6</v>
      </c>
      <c r="CL199" s="0" t="s">
        <v>498</v>
      </c>
      <c r="CM199" s="0" t="n">
        <v>33</v>
      </c>
      <c r="CN199" s="16" t="n">
        <v>71.2</v>
      </c>
      <c r="CO199" s="16" t="n">
        <v>80.4</v>
      </c>
      <c r="CP199" s="16" t="n">
        <v>16.3</v>
      </c>
      <c r="CQ199" s="0" t="n">
        <v>83.24</v>
      </c>
      <c r="CR199" s="17" t="n">
        <v>0</v>
      </c>
      <c r="CS199" s="0" t="n">
        <v>0</v>
      </c>
      <c r="CT199" s="0" t="n">
        <v>0</v>
      </c>
      <c r="CU199" s="0" t="n">
        <v>14.14</v>
      </c>
      <c r="CV199" s="0" t="n">
        <v>0</v>
      </c>
      <c r="CW199" s="0" t="n">
        <v>2.63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2.63</v>
      </c>
      <c r="DC199" s="0" t="n">
        <v>10.16</v>
      </c>
      <c r="DD199" s="0" t="n">
        <v>20.83</v>
      </c>
      <c r="DE199" s="0" t="n">
        <v>24.81</v>
      </c>
      <c r="DF199" s="0" t="n">
        <v>0</v>
      </c>
      <c r="DG199" s="0" t="n">
        <v>11.2</v>
      </c>
      <c r="DH199" s="0" t="n">
        <v>1</v>
      </c>
      <c r="DI199" s="0" t="n">
        <v>5</v>
      </c>
      <c r="DK199" s="0" t="n">
        <v>1</v>
      </c>
      <c r="DO199" s="0" t="n">
        <v>5</v>
      </c>
      <c r="DQ199" s="0" t="n">
        <v>1</v>
      </c>
      <c r="DU199" s="0" t="n">
        <v>0</v>
      </c>
      <c r="DV199" s="0" t="n">
        <v>0</v>
      </c>
      <c r="EG199" s="18"/>
      <c r="EY199" s="0" t="n">
        <v>0</v>
      </c>
      <c r="GJ199" s="16" t="n">
        <v>2.71</v>
      </c>
      <c r="GK199" s="16" t="n">
        <v>1</v>
      </c>
      <c r="GL199" s="16" t="n">
        <v>1</v>
      </c>
      <c r="GM199" s="16"/>
      <c r="GN199" s="16" t="n">
        <f aca="false">2.11*4+0.52*2</f>
        <v>9.48</v>
      </c>
      <c r="GO199" s="16"/>
      <c r="GP199" s="16"/>
      <c r="GQ199" s="16"/>
      <c r="GR199" s="16"/>
      <c r="GS199" s="16"/>
      <c r="GT199" s="16"/>
      <c r="GU199" s="16" t="n">
        <v>2.63</v>
      </c>
      <c r="GV199" s="16" t="n">
        <v>2.6</v>
      </c>
      <c r="GW199" s="16" t="n">
        <v>0</v>
      </c>
      <c r="GX199" s="16" t="n">
        <v>0</v>
      </c>
      <c r="GY199" s="16" t="n">
        <v>0</v>
      </c>
      <c r="GZ199" s="16" t="n">
        <v>0</v>
      </c>
      <c r="HA199" s="16" t="n">
        <v>0</v>
      </c>
      <c r="HB199" s="0" t="n">
        <v>0</v>
      </c>
      <c r="HC199" s="0" t="s">
        <v>503</v>
      </c>
      <c r="HD199" s="0" t="n">
        <v>47</v>
      </c>
      <c r="HE199" s="16" t="n">
        <v>54.1</v>
      </c>
      <c r="HF199" s="16" t="n">
        <v>80.4</v>
      </c>
      <c r="HG199" s="16" t="n">
        <v>34.5</v>
      </c>
      <c r="HH199" s="0" t="n">
        <v>71.45</v>
      </c>
      <c r="HI199" s="17" t="n">
        <v>0</v>
      </c>
      <c r="HJ199" s="0" t="n">
        <v>21.93</v>
      </c>
      <c r="HK199" s="0" t="n">
        <v>6.49</v>
      </c>
      <c r="HL199" s="0" t="n">
        <v>0.12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1.01</v>
      </c>
      <c r="HT199" s="0" t="n">
        <v>0.45</v>
      </c>
      <c r="HU199" s="0" t="n">
        <v>18.4</v>
      </c>
      <c r="HV199" s="0" t="n">
        <v>11.28</v>
      </c>
      <c r="HW199" s="0" t="n">
        <v>0</v>
      </c>
      <c r="HX199" s="0" t="n">
        <v>0</v>
      </c>
      <c r="HY199" s="0" t="n">
        <v>0</v>
      </c>
      <c r="IL199" s="0" t="n">
        <v>6</v>
      </c>
      <c r="IM199" s="0" t="n">
        <v>1</v>
      </c>
      <c r="IN199" s="0" t="n">
        <v>35</v>
      </c>
      <c r="IO199" s="0" t="n">
        <v>8</v>
      </c>
      <c r="IP199" s="0" t="n">
        <f aca="false">0.25+0.25+0.25+0.13+0.13+0.13+0.13</f>
        <v>1.27</v>
      </c>
      <c r="IQ199" s="0" t="n">
        <v>3</v>
      </c>
      <c r="IX199" s="18"/>
      <c r="JP199" s="0" t="n">
        <v>1</v>
      </c>
      <c r="JQ199" s="0" t="n">
        <v>50</v>
      </c>
      <c r="JR199" s="0" t="n">
        <v>2</v>
      </c>
      <c r="JS199" s="0" t="n">
        <f aca="false">0.76*2</f>
        <v>1.52</v>
      </c>
      <c r="JT199" s="0" t="n">
        <v>1</v>
      </c>
      <c r="LA199" s="16" t="n">
        <v>0.42</v>
      </c>
      <c r="LB199" s="16" t="n">
        <v>1</v>
      </c>
      <c r="LC199" s="16" t="n">
        <v>1</v>
      </c>
      <c r="LD199" s="16"/>
      <c r="LE199" s="16" t="n">
        <f aca="false">0.68+0.68+0.03</f>
        <v>1.39</v>
      </c>
      <c r="LF199" s="16"/>
      <c r="LG199" s="16"/>
      <c r="LH199" s="16"/>
      <c r="LI199" s="16"/>
      <c r="LJ199" s="16"/>
      <c r="LK199" s="16"/>
      <c r="LL199" s="16" t="n">
        <v>5.21</v>
      </c>
      <c r="LM199" s="16" t="n">
        <v>7.05</v>
      </c>
      <c r="LN199" s="16"/>
      <c r="LO199" s="16"/>
      <c r="LP199" s="16" t="n">
        <v>0</v>
      </c>
      <c r="LQ199" s="16" t="n">
        <v>0</v>
      </c>
      <c r="LR199" s="16" t="n">
        <v>0</v>
      </c>
      <c r="LS199" s="0" t="n">
        <v>0</v>
      </c>
      <c r="LT199" s="0" t="s">
        <v>505</v>
      </c>
      <c r="LU199" s="0" t="n">
        <v>59</v>
      </c>
      <c r="LV199" s="16" t="n">
        <v>90.4</v>
      </c>
      <c r="LW199" s="16" t="n">
        <v>80.4</v>
      </c>
      <c r="LX199" s="16" t="n">
        <v>54.7</v>
      </c>
      <c r="LY199" s="0" t="n">
        <v>26.42</v>
      </c>
      <c r="LZ199" s="17" t="n">
        <v>0</v>
      </c>
      <c r="MA199" s="0" t="n">
        <v>0</v>
      </c>
      <c r="MB199" s="0" t="n">
        <v>0</v>
      </c>
      <c r="MC199" s="0" t="n">
        <v>0</v>
      </c>
      <c r="MD199" s="0" t="n">
        <v>0</v>
      </c>
      <c r="ME199" s="0" t="n">
        <v>66.96</v>
      </c>
      <c r="MF199" s="0" t="n">
        <v>6.55</v>
      </c>
      <c r="MG199" s="0" t="n">
        <v>30.83</v>
      </c>
      <c r="MH199" s="0" t="n">
        <v>0</v>
      </c>
      <c r="MI199" s="0" t="n">
        <v>0</v>
      </c>
      <c r="MJ199" s="0" t="n">
        <v>14.46</v>
      </c>
      <c r="MK199" s="0" t="n">
        <v>11.57</v>
      </c>
      <c r="ML199" s="0" t="n">
        <v>6.5</v>
      </c>
      <c r="MM199" s="0" t="n">
        <v>6.03</v>
      </c>
      <c r="MN199" s="0" t="n">
        <v>6.62</v>
      </c>
      <c r="MO199" s="0" t="n">
        <v>0</v>
      </c>
      <c r="MP199" s="0" t="n">
        <v>0</v>
      </c>
      <c r="NC199" s="0" t="n">
        <v>3.2</v>
      </c>
      <c r="ND199" s="0" t="n">
        <v>0</v>
      </c>
      <c r="NO199" s="18"/>
      <c r="OG199" s="0" t="n">
        <v>1</v>
      </c>
      <c r="OH199" s="0" t="n">
        <v>60</v>
      </c>
      <c r="OI199" s="0" t="n">
        <v>2</v>
      </c>
      <c r="OJ199" s="0" t="n">
        <v>1.52</v>
      </c>
      <c r="OK199" s="0" t="n">
        <v>3</v>
      </c>
      <c r="PR199" s="16" t="n">
        <v>0.63</v>
      </c>
      <c r="PS199" s="16" t="n">
        <v>1</v>
      </c>
      <c r="PT199" s="16" t="n">
        <v>1</v>
      </c>
      <c r="PU199" s="16"/>
      <c r="PV199" s="16" t="n">
        <v>3.17</v>
      </c>
      <c r="PW199" s="16"/>
      <c r="PX199" s="16"/>
      <c r="PY199" s="16"/>
      <c r="PZ199" s="16"/>
      <c r="QA199" s="16"/>
      <c r="QB199" s="16"/>
      <c r="QC199" s="16" t="n">
        <v>0</v>
      </c>
      <c r="QD199" s="16" t="n">
        <v>0</v>
      </c>
      <c r="QE199" s="16"/>
      <c r="QF199" s="16"/>
      <c r="QG199" s="16" t="n">
        <v>0</v>
      </c>
      <c r="QH199" s="16" t="n">
        <v>0</v>
      </c>
      <c r="QI199" s="16" t="n">
        <v>0</v>
      </c>
      <c r="QJ199" s="0" t="n">
        <v>0</v>
      </c>
      <c r="QK199" s="0" t="s">
        <v>710</v>
      </c>
      <c r="QL199" s="0" t="n">
        <v>69.5</v>
      </c>
      <c r="QM199" s="16" t="n">
        <v>70.9</v>
      </c>
      <c r="QN199" s="16" t="n">
        <v>80.4</v>
      </c>
      <c r="QO199" s="16" t="n">
        <v>23.6</v>
      </c>
      <c r="QP199" s="0" t="n">
        <v>19.15</v>
      </c>
      <c r="QQ199" s="17" t="n">
        <v>0</v>
      </c>
      <c r="QR199" s="0" t="n">
        <v>0</v>
      </c>
      <c r="QS199" s="0" t="n">
        <v>0</v>
      </c>
      <c r="QT199" s="0" t="n">
        <v>0</v>
      </c>
      <c r="QU199" s="0" t="n">
        <v>0</v>
      </c>
      <c r="QV199" s="0" t="n">
        <v>71.09</v>
      </c>
      <c r="QW199" s="0" t="n">
        <v>0</v>
      </c>
      <c r="QX199" s="0" t="n">
        <v>0</v>
      </c>
      <c r="QY199" s="0" t="n">
        <v>2.25</v>
      </c>
      <c r="QZ199" s="0" t="n">
        <v>0</v>
      </c>
      <c r="RA199" s="0" t="n">
        <v>14.15</v>
      </c>
      <c r="RB199" s="0" t="n">
        <v>0.83</v>
      </c>
      <c r="RC199" s="0" t="n">
        <v>20.78</v>
      </c>
      <c r="RD199" s="0" t="n">
        <v>13.14</v>
      </c>
      <c r="RE199" s="0" t="n">
        <v>9.76</v>
      </c>
      <c r="RF199" s="0" t="n">
        <v>0</v>
      </c>
      <c r="RG199" s="0" t="n">
        <v>0</v>
      </c>
      <c r="RT199" s="0" t="n">
        <v>24.4</v>
      </c>
      <c r="RU199" s="0" t="n">
        <v>1</v>
      </c>
      <c r="RV199" s="0" t="n">
        <v>70</v>
      </c>
      <c r="RW199" s="0" t="n">
        <v>1</v>
      </c>
      <c r="RX199" s="0" t="n">
        <v>1.5</v>
      </c>
      <c r="RY199" s="0" t="n">
        <v>3</v>
      </c>
      <c r="RZ199" s="0" t="n">
        <v>68</v>
      </c>
      <c r="SA199" s="0" t="n">
        <v>2.25</v>
      </c>
      <c r="SB199" s="0" t="n">
        <v>1</v>
      </c>
      <c r="SC199" s="0" t="n">
        <v>1</v>
      </c>
      <c r="SD199" s="0" t="n">
        <v>47</v>
      </c>
      <c r="SE199" s="0" t="n">
        <v>1</v>
      </c>
      <c r="SF199" s="18" t="n">
        <v>1.5</v>
      </c>
      <c r="SG199" s="0" t="n">
        <v>3</v>
      </c>
      <c r="SX199" s="0" t="n">
        <v>0</v>
      </c>
      <c r="UI199" s="16" t="n">
        <v>1.42</v>
      </c>
      <c r="UJ199" s="16" t="n">
        <v>1</v>
      </c>
      <c r="UK199" s="16" t="n">
        <v>1</v>
      </c>
      <c r="UL199" s="16"/>
      <c r="UM199" s="16" t="n">
        <f aca="false">1.56*2+0.1+0.06+0.08</f>
        <v>3.36</v>
      </c>
      <c r="UN199" s="16"/>
      <c r="UO199" s="16"/>
      <c r="UP199" s="16"/>
      <c r="UQ199" s="16"/>
      <c r="UR199" s="16"/>
      <c r="US199" s="16"/>
      <c r="UT199" s="16" t="n">
        <v>7.54</v>
      </c>
      <c r="UU199" s="16" t="n">
        <v>22.5</v>
      </c>
      <c r="UV199" s="16"/>
      <c r="UW199" s="16"/>
      <c r="UX199" s="16" t="n">
        <v>6.72</v>
      </c>
      <c r="UY199" s="16" t="n">
        <v>0</v>
      </c>
      <c r="UZ199" s="16" t="n">
        <v>5.54</v>
      </c>
      <c r="VA199" s="0" t="n">
        <v>2</v>
      </c>
      <c r="VE199" s="15"/>
      <c r="VF199" s="15"/>
      <c r="VM199" s="15"/>
      <c r="VN199" s="15"/>
      <c r="VU199" s="15"/>
      <c r="VV199" s="15"/>
      <c r="WC199" s="15"/>
      <c r="WD199" s="15"/>
      <c r="WK199" s="15"/>
      <c r="WL199" s="15"/>
      <c r="WS199" s="15"/>
      <c r="WT199" s="15"/>
      <c r="XA199" s="15"/>
      <c r="XB199" s="15"/>
      <c r="XI199" s="15"/>
      <c r="XJ199" s="15"/>
      <c r="XQ199" s="15"/>
      <c r="XR199" s="15"/>
      <c r="XY199" s="15"/>
      <c r="XZ199" s="15"/>
      <c r="YG199" s="15"/>
      <c r="YH199" s="15"/>
      <c r="YO199" s="15"/>
      <c r="YP199" s="15"/>
      <c r="YW199" s="15"/>
      <c r="YX199" s="15"/>
      <c r="ZE199" s="15"/>
      <c r="ZF199" s="15"/>
      <c r="ZM199" s="15"/>
      <c r="ZN199" s="15"/>
      <c r="ZU199" s="15"/>
      <c r="ZV199" s="15"/>
      <c r="AAC199" s="15"/>
      <c r="AAD199" s="15"/>
      <c r="AAK199" s="15"/>
      <c r="AAL199" s="15"/>
      <c r="AAS199" s="15"/>
      <c r="AAT199" s="15"/>
      <c r="ABA199" s="15"/>
      <c r="ABB199" s="15"/>
      <c r="ABI199" s="15"/>
      <c r="ABJ199" s="15"/>
      <c r="ABQ199" s="15"/>
      <c r="ABR199" s="15"/>
      <c r="ABY199" s="15"/>
      <c r="ABZ199" s="15"/>
      <c r="ACG199" s="15"/>
      <c r="ACH199" s="15"/>
      <c r="ACO199" s="15"/>
      <c r="ACP199" s="15"/>
      <c r="ACW199" s="15"/>
      <c r="ACX199" s="15"/>
      <c r="ADE199" s="15"/>
      <c r="ADF199" s="15"/>
      <c r="ADM199" s="15"/>
      <c r="ADN199" s="15"/>
      <c r="ADU199" s="15"/>
      <c r="ADV199" s="15"/>
      <c r="AEC199" s="15"/>
      <c r="AED199" s="15"/>
      <c r="AEK199" s="15"/>
      <c r="AEL199" s="15"/>
      <c r="AES199" s="15"/>
      <c r="AET199" s="15"/>
      <c r="AFA199" s="15"/>
      <c r="AFB199" s="15"/>
      <c r="AFI199" s="15"/>
      <c r="AFJ199" s="15"/>
      <c r="AFQ199" s="15"/>
      <c r="AFR199" s="15"/>
      <c r="AFY199" s="15"/>
      <c r="AFZ199" s="15"/>
      <c r="AGG199" s="15"/>
      <c r="AGH199" s="15"/>
      <c r="AGO199" s="15"/>
      <c r="AGP199" s="15"/>
      <c r="AGW199" s="15"/>
      <c r="AGX199" s="15"/>
      <c r="AHE199" s="15"/>
      <c r="AHF199" s="15"/>
      <c r="AHM199" s="15"/>
      <c r="AHN199" s="15"/>
      <c r="AHU199" s="15"/>
      <c r="AHV199" s="15"/>
      <c r="AIC199" s="15"/>
      <c r="AID199" s="15"/>
      <c r="AIK199" s="15"/>
      <c r="AIL199" s="15"/>
      <c r="AIS199" s="15"/>
      <c r="AIT199" s="15"/>
      <c r="AJA199" s="15"/>
      <c r="AJB199" s="15"/>
      <c r="AJI199" s="15"/>
      <c r="AJJ199" s="15"/>
      <c r="AJQ199" s="15"/>
      <c r="AJR199" s="15"/>
      <c r="AJY199" s="15"/>
      <c r="AJZ199" s="15"/>
      <c r="AKG199" s="15"/>
      <c r="AKH199" s="15"/>
      <c r="AKO199" s="15"/>
      <c r="AKP199" s="15"/>
      <c r="AKW199" s="15"/>
      <c r="AKX199" s="15"/>
      <c r="ALE199" s="15"/>
      <c r="ALF199" s="15"/>
      <c r="ALM199" s="15"/>
      <c r="ALN199" s="15"/>
      <c r="ALU199" s="15"/>
      <c r="ALV199" s="15"/>
      <c r="AMC199" s="15"/>
      <c r="AMD199" s="15"/>
    </row>
    <row r="200" customFormat="false" ht="13.8" hidden="false" customHeight="false" outlineLevel="0" collapsed="false">
      <c r="A200" s="1" t="s">
        <v>711</v>
      </c>
      <c r="B200" s="12" t="n">
        <v>42899</v>
      </c>
      <c r="C200" s="0" t="n">
        <v>1</v>
      </c>
      <c r="D200" s="13" t="n">
        <v>42814</v>
      </c>
      <c r="E200" s="12" t="n">
        <v>29630</v>
      </c>
      <c r="F200" s="14" t="n">
        <f aca="false">(B200-E200)/365.25</f>
        <v>36.3285420944559</v>
      </c>
      <c r="G200" s="14" t="n">
        <f aca="false">(B200-D200)/365.25</f>
        <v>0.232717316906229</v>
      </c>
      <c r="H200" s="15" t="s">
        <v>228</v>
      </c>
      <c r="I200" s="15" t="s">
        <v>229</v>
      </c>
      <c r="J200" s="15" t="s">
        <v>183</v>
      </c>
      <c r="K200" s="21" t="n">
        <v>8</v>
      </c>
      <c r="L200" s="19" t="n">
        <v>85</v>
      </c>
      <c r="M200" s="0" t="n">
        <v>1.6</v>
      </c>
      <c r="N200" s="16" t="n">
        <f aca="false">L200/(M200*M200)</f>
        <v>33.203125</v>
      </c>
      <c r="O200" s="19" t="n">
        <v>0</v>
      </c>
      <c r="P200" s="19" t="n">
        <v>0</v>
      </c>
      <c r="Q200" s="19" t="n">
        <v>0</v>
      </c>
      <c r="R200" s="26" t="n">
        <v>0</v>
      </c>
      <c r="S200" s="26" t="n">
        <v>0</v>
      </c>
      <c r="T200" s="26" t="n">
        <v>0</v>
      </c>
      <c r="U200" s="19" t="n">
        <v>0</v>
      </c>
      <c r="V200" s="19" t="n">
        <v>0</v>
      </c>
      <c r="W200" s="19" t="n">
        <v>0</v>
      </c>
      <c r="X200" s="19" t="n">
        <v>0</v>
      </c>
      <c r="Y200" s="19" t="n">
        <v>1</v>
      </c>
      <c r="Z200" s="19" t="n">
        <v>1</v>
      </c>
      <c r="AA200" s="19" t="n">
        <v>90</v>
      </c>
      <c r="AB200" s="19" t="s">
        <v>441</v>
      </c>
      <c r="AC200" s="19" t="n">
        <v>0</v>
      </c>
      <c r="AD200" s="19" t="n">
        <v>0</v>
      </c>
      <c r="AE200" s="19" t="n">
        <v>0</v>
      </c>
      <c r="AF200" s="19" t="n">
        <v>0</v>
      </c>
      <c r="AG200" s="19" t="n">
        <v>0</v>
      </c>
      <c r="AH200" s="19" t="n">
        <v>0</v>
      </c>
      <c r="AI200" s="19" t="n">
        <v>0</v>
      </c>
      <c r="AJ200" s="19" t="n">
        <v>0</v>
      </c>
      <c r="AK200" s="19" t="n">
        <v>0</v>
      </c>
      <c r="AL200" s="19" t="n">
        <v>0</v>
      </c>
      <c r="AM200" s="19" t="n">
        <v>0</v>
      </c>
      <c r="AN200" s="19" t="n">
        <v>1</v>
      </c>
      <c r="AO200" s="19" t="n">
        <v>0</v>
      </c>
      <c r="AP200" s="19" t="n">
        <v>3</v>
      </c>
      <c r="AQ200" s="19" t="n">
        <v>3</v>
      </c>
      <c r="AR200" s="19" t="n">
        <v>3</v>
      </c>
      <c r="AS200" s="19" t="n">
        <v>0</v>
      </c>
      <c r="AT200" s="19" t="n">
        <v>0</v>
      </c>
      <c r="AU200" s="19" t="n">
        <v>0</v>
      </c>
      <c r="AV200" s="19" t="n">
        <v>0</v>
      </c>
      <c r="AW200" s="19" t="n">
        <v>0</v>
      </c>
      <c r="AX200" s="19" t="n">
        <v>0</v>
      </c>
      <c r="AY200" s="19" t="n">
        <v>0</v>
      </c>
      <c r="AZ200" s="19" t="n">
        <v>0</v>
      </c>
      <c r="BA200" s="19" t="n">
        <v>0</v>
      </c>
      <c r="BB200" s="19" t="n">
        <v>0</v>
      </c>
      <c r="BC200" s="19" t="n">
        <v>0</v>
      </c>
      <c r="BD200" s="19" t="n">
        <v>0</v>
      </c>
      <c r="BE200" s="19" t="n">
        <v>0</v>
      </c>
      <c r="BF200" s="19" t="n">
        <v>0</v>
      </c>
      <c r="BG200" s="19" t="n">
        <v>0</v>
      </c>
      <c r="BH200" s="19" t="n">
        <v>0</v>
      </c>
      <c r="BI200" s="19" t="n">
        <v>0</v>
      </c>
      <c r="BJ200" s="19" t="n">
        <v>0</v>
      </c>
      <c r="BK200" s="19" t="n">
        <v>0</v>
      </c>
      <c r="BL200" s="19" t="n">
        <v>0</v>
      </c>
      <c r="BM200" s="19" t="n">
        <v>0</v>
      </c>
      <c r="BN200" s="19" t="n">
        <v>0</v>
      </c>
      <c r="BO200" s="19" t="n">
        <v>0</v>
      </c>
      <c r="BP200" s="19" t="n">
        <v>0</v>
      </c>
      <c r="BQ200" s="19" t="n">
        <v>0</v>
      </c>
      <c r="BR200" s="19" t="n">
        <v>1</v>
      </c>
      <c r="BS200" s="19" t="n">
        <v>1</v>
      </c>
      <c r="BT200" s="19" t="n">
        <v>5</v>
      </c>
      <c r="BU200" s="19" t="n">
        <v>5</v>
      </c>
      <c r="BV200" s="19" t="n">
        <v>1</v>
      </c>
      <c r="BW200" s="19" t="n">
        <v>1</v>
      </c>
      <c r="BX200" s="19" t="n">
        <v>5</v>
      </c>
      <c r="BY200" s="19" t="n">
        <v>5</v>
      </c>
      <c r="BZ200" s="19" t="n">
        <v>5</v>
      </c>
      <c r="CA200" s="19" t="n">
        <v>5</v>
      </c>
      <c r="CB200" s="19" t="n">
        <v>5</v>
      </c>
      <c r="CC200" s="19" t="n">
        <v>5</v>
      </c>
      <c r="CD200" s="19" t="n">
        <v>4</v>
      </c>
      <c r="CE200" s="19" t="n">
        <v>5</v>
      </c>
      <c r="CF200" s="19" t="n">
        <v>2</v>
      </c>
      <c r="CG200" s="19" t="n">
        <v>4</v>
      </c>
      <c r="CH200" s="19" t="n">
        <v>5</v>
      </c>
      <c r="CI200" s="19" t="n">
        <v>5</v>
      </c>
      <c r="CJ200" s="19" t="n">
        <v>4</v>
      </c>
      <c r="CK200" s="19" t="n">
        <v>9</v>
      </c>
      <c r="CL200" s="0" t="s">
        <v>232</v>
      </c>
      <c r="CM200" s="0" t="n">
        <v>40</v>
      </c>
      <c r="CN200" s="16" t="n">
        <v>84.9</v>
      </c>
      <c r="CO200" s="16" t="n">
        <v>81</v>
      </c>
      <c r="CP200" s="16" t="n">
        <v>13.2</v>
      </c>
      <c r="CQ200" s="0" t="n">
        <v>93.04</v>
      </c>
      <c r="CR200" s="0" t="n">
        <v>0</v>
      </c>
      <c r="CS200" s="0" t="n">
        <v>0</v>
      </c>
      <c r="CT200" s="0" t="n">
        <v>3.59</v>
      </c>
      <c r="CU200" s="0" t="n">
        <v>3.38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1.7</v>
      </c>
      <c r="DC200" s="0" t="n">
        <v>3.97</v>
      </c>
      <c r="DD200" s="0" t="n">
        <v>39.76</v>
      </c>
      <c r="DE200" s="0" t="n">
        <v>0.13</v>
      </c>
      <c r="DF200" s="0" t="n">
        <v>0</v>
      </c>
      <c r="DG200" s="0" t="n">
        <v>0</v>
      </c>
      <c r="DH200" s="0" t="n">
        <v>0</v>
      </c>
      <c r="DU200" s="0" t="n">
        <v>15.9</v>
      </c>
      <c r="DV200" s="0" t="n">
        <v>1</v>
      </c>
      <c r="DW200" s="0" t="n">
        <v>47</v>
      </c>
      <c r="DX200" s="0" t="n">
        <v>2</v>
      </c>
      <c r="DY200" s="0" t="n">
        <v>1.51</v>
      </c>
      <c r="DZ200" s="0" t="n">
        <v>3</v>
      </c>
      <c r="EG200" s="18"/>
      <c r="EY200" s="0" t="n">
        <v>1</v>
      </c>
      <c r="EZ200" s="0" t="n">
        <v>40</v>
      </c>
      <c r="FA200" s="0" t="n">
        <v>7</v>
      </c>
      <c r="FB200" s="0" t="n">
        <f aca="false">2.27+3.02</f>
        <v>5.29</v>
      </c>
      <c r="FC200" s="0" t="n">
        <v>3</v>
      </c>
      <c r="GJ200" s="16" t="n">
        <v>1.48</v>
      </c>
      <c r="GK200" s="16" t="n">
        <v>1</v>
      </c>
      <c r="GL200" s="16" t="n">
        <v>1</v>
      </c>
      <c r="GM200" s="16"/>
      <c r="GN200" s="16" t="n">
        <f aca="false">2.1+1.7+0.37+0.74</f>
        <v>4.91</v>
      </c>
      <c r="GO200" s="16"/>
      <c r="GP200" s="16"/>
      <c r="GQ200" s="16"/>
      <c r="GR200" s="16"/>
      <c r="GS200" s="16"/>
      <c r="GT200" s="16"/>
      <c r="GU200" s="16" t="n">
        <v>7.34</v>
      </c>
      <c r="GV200" s="16" t="n">
        <v>5.01</v>
      </c>
      <c r="GW200" s="16"/>
      <c r="GX200" s="16"/>
      <c r="GY200" s="16" t="n">
        <v>0</v>
      </c>
      <c r="GZ200" s="16" t="n">
        <v>0</v>
      </c>
      <c r="HA200" s="16" t="n">
        <v>0</v>
      </c>
      <c r="HB200" s="0" t="n">
        <v>0</v>
      </c>
      <c r="HC200" s="0" t="s">
        <v>233</v>
      </c>
      <c r="HD200" s="0" t="n">
        <v>39.5</v>
      </c>
      <c r="HE200" s="16" t="n">
        <v>85</v>
      </c>
      <c r="HF200" s="16" t="n">
        <v>81</v>
      </c>
      <c r="HG200" s="16" t="n">
        <v>12.7</v>
      </c>
      <c r="HH200" s="0" t="n">
        <v>93.14</v>
      </c>
      <c r="HI200" s="0" t="n">
        <v>0</v>
      </c>
      <c r="HJ200" s="0" t="n">
        <v>1.57</v>
      </c>
      <c r="HK200" s="0" t="n">
        <v>2.08</v>
      </c>
      <c r="HL200" s="0" t="n">
        <v>3.21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0</v>
      </c>
      <c r="HR200" s="0" t="n">
        <v>0</v>
      </c>
      <c r="HS200" s="0" t="n">
        <v>1.7</v>
      </c>
      <c r="HT200" s="0" t="n">
        <v>6.54</v>
      </c>
      <c r="HU200" s="0" t="n">
        <v>37.88</v>
      </c>
      <c r="HV200" s="0" t="n">
        <v>3</v>
      </c>
      <c r="HW200" s="0" t="n">
        <v>0</v>
      </c>
      <c r="HX200" s="0" t="n">
        <v>0</v>
      </c>
      <c r="HY200" s="0" t="n">
        <v>0</v>
      </c>
      <c r="IL200" s="0" t="n">
        <v>15.7</v>
      </c>
      <c r="IM200" s="0" t="n">
        <v>1</v>
      </c>
      <c r="IN200" s="0" t="n">
        <v>47</v>
      </c>
      <c r="IO200" s="0" t="n">
        <v>2</v>
      </c>
      <c r="IP200" s="0" t="n">
        <v>1.51</v>
      </c>
      <c r="IQ200" s="0" t="n">
        <v>3</v>
      </c>
      <c r="IX200" s="18"/>
      <c r="JP200" s="0" t="n">
        <v>1</v>
      </c>
      <c r="JQ200" s="0" t="n">
        <v>50</v>
      </c>
      <c r="JR200" s="0" t="n">
        <v>3</v>
      </c>
      <c r="JS200" s="0" t="n">
        <v>0.4</v>
      </c>
      <c r="JT200" s="0" t="n">
        <v>3</v>
      </c>
      <c r="JU200" s="0" t="n">
        <v>40</v>
      </c>
      <c r="JV200" s="0" t="n">
        <v>7</v>
      </c>
      <c r="JW200" s="0" t="n">
        <f aca="false">2.27+3.02</f>
        <v>5.29</v>
      </c>
      <c r="JX200" s="0" t="n">
        <v>3</v>
      </c>
      <c r="LA200" s="16" t="n">
        <v>1.76</v>
      </c>
      <c r="LB200" s="16" t="n">
        <v>1</v>
      </c>
      <c r="LC200" s="16" t="n">
        <v>1</v>
      </c>
      <c r="LD200" s="16"/>
      <c r="LE200" s="16" t="n">
        <f aca="false">2.1+1.7+0.4+0.37+0.74</f>
        <v>5.31</v>
      </c>
      <c r="LF200" s="16"/>
      <c r="LG200" s="16"/>
      <c r="LH200" s="16"/>
      <c r="LI200" s="16"/>
      <c r="LJ200" s="16"/>
      <c r="LK200" s="16"/>
      <c r="LL200" s="16" t="n">
        <v>7.31</v>
      </c>
      <c r="LM200" s="16" t="n">
        <v>6.99</v>
      </c>
      <c r="LN200" s="16"/>
      <c r="LO200" s="16"/>
      <c r="LP200" s="16" t="n">
        <v>0</v>
      </c>
      <c r="LQ200" s="16" t="n">
        <v>0</v>
      </c>
      <c r="LR200" s="16" t="n">
        <v>0</v>
      </c>
      <c r="LS200" s="0" t="n">
        <v>0</v>
      </c>
      <c r="LT200" s="0" t="s">
        <v>234</v>
      </c>
      <c r="LU200" s="0" t="n">
        <v>22.5</v>
      </c>
      <c r="LV200" s="16" t="n">
        <v>60.3</v>
      </c>
      <c r="LW200" s="16" t="n">
        <v>81</v>
      </c>
      <c r="LX200" s="16" t="n">
        <v>13.3</v>
      </c>
      <c r="LY200" s="0" t="n">
        <v>92.98</v>
      </c>
      <c r="LZ200" s="0" t="n">
        <v>0</v>
      </c>
      <c r="MA200" s="0" t="n">
        <v>0</v>
      </c>
      <c r="MB200" s="0" t="n">
        <v>0</v>
      </c>
      <c r="MC200" s="0" t="n">
        <v>7.02</v>
      </c>
      <c r="MD200" s="0" t="n">
        <v>0</v>
      </c>
      <c r="ME200" s="0" t="n">
        <v>0</v>
      </c>
      <c r="MF200" s="0" t="n">
        <v>0</v>
      </c>
      <c r="MG200" s="0" t="n">
        <v>0</v>
      </c>
      <c r="MH200" s="0" t="n">
        <v>0</v>
      </c>
      <c r="MI200" s="0" t="n">
        <v>0</v>
      </c>
      <c r="MJ200" s="0" t="n">
        <v>0</v>
      </c>
      <c r="MK200" s="0" t="n">
        <v>0.72</v>
      </c>
      <c r="ML200" s="0" t="n">
        <v>23.12</v>
      </c>
      <c r="MM200" s="0" t="n">
        <v>24.81</v>
      </c>
      <c r="MN200" s="0" t="n">
        <v>0</v>
      </c>
      <c r="MO200" s="0" t="n">
        <v>0</v>
      </c>
      <c r="MP200" s="0" t="n">
        <v>0</v>
      </c>
      <c r="NC200" s="0" t="n">
        <v>0</v>
      </c>
      <c r="ND200" s="0" t="n">
        <v>1</v>
      </c>
      <c r="NE200" s="0" t="n">
        <v>23</v>
      </c>
      <c r="NF200" s="0" t="n">
        <v>1</v>
      </c>
      <c r="NG200" s="0" t="n">
        <v>0.3</v>
      </c>
      <c r="NH200" s="0" t="n">
        <v>3</v>
      </c>
      <c r="NO200" s="18"/>
      <c r="OG200" s="0" t="n">
        <v>0</v>
      </c>
      <c r="PR200" s="16" t="n">
        <v>1.26</v>
      </c>
      <c r="PS200" s="16" t="n">
        <v>1</v>
      </c>
      <c r="PT200" s="16" t="n">
        <v>1</v>
      </c>
      <c r="PU200" s="16"/>
      <c r="PV200" s="16" t="n">
        <f aca="false">2.1+1.7+0.4+0.37+0.74</f>
        <v>5.31</v>
      </c>
      <c r="PW200" s="16"/>
      <c r="PX200" s="16"/>
      <c r="PY200" s="16"/>
      <c r="PZ200" s="16"/>
      <c r="QA200" s="16"/>
      <c r="QB200" s="16"/>
      <c r="QC200" s="16" t="n">
        <v>6.24</v>
      </c>
      <c r="QD200" s="16" t="n">
        <v>6.99</v>
      </c>
      <c r="QE200" s="16"/>
      <c r="QF200" s="16"/>
      <c r="QG200" s="16" t="n">
        <v>0</v>
      </c>
      <c r="QH200" s="16" t="n">
        <v>0</v>
      </c>
      <c r="QI200" s="16" t="n">
        <v>0</v>
      </c>
      <c r="QJ200" s="0" t="n">
        <v>0</v>
      </c>
      <c r="QK200" s="0" t="s">
        <v>235</v>
      </c>
      <c r="QL200" s="0" t="n">
        <v>37</v>
      </c>
      <c r="QM200" s="16" t="n">
        <v>81.9</v>
      </c>
      <c r="QN200" s="16" t="n">
        <v>81</v>
      </c>
      <c r="QO200" s="16" t="n">
        <v>26.3</v>
      </c>
      <c r="QP200" s="0" t="n">
        <v>68.54</v>
      </c>
      <c r="QQ200" s="0" t="n">
        <v>0</v>
      </c>
      <c r="QR200" s="0" t="n">
        <v>0</v>
      </c>
      <c r="QS200" s="0" t="n">
        <v>0</v>
      </c>
      <c r="QT200" s="0" t="n">
        <v>31.46</v>
      </c>
      <c r="QU200" s="0" t="n">
        <v>0</v>
      </c>
      <c r="QV200" s="0" t="n">
        <v>0</v>
      </c>
      <c r="QW200" s="0" t="n">
        <v>0</v>
      </c>
      <c r="QX200" s="0" t="n">
        <v>0</v>
      </c>
      <c r="QY200" s="0" t="n">
        <v>0</v>
      </c>
      <c r="QZ200" s="0" t="n">
        <v>0</v>
      </c>
      <c r="RA200" s="0" t="n">
        <v>0</v>
      </c>
      <c r="RB200" s="0" t="n">
        <v>5.42</v>
      </c>
      <c r="RC200" s="0" t="n">
        <v>17.37</v>
      </c>
      <c r="RD200" s="0" t="n">
        <v>41.85</v>
      </c>
      <c r="RE200" s="0" t="n">
        <v>0</v>
      </c>
      <c r="RF200" s="0" t="n">
        <v>0</v>
      </c>
      <c r="RG200" s="0" t="n">
        <v>0</v>
      </c>
      <c r="RT200" s="0" t="n">
        <v>0</v>
      </c>
      <c r="RU200" s="0" t="n">
        <v>1</v>
      </c>
      <c r="RV200" s="0" t="n">
        <v>23</v>
      </c>
      <c r="RW200" s="0" t="n">
        <v>2</v>
      </c>
      <c r="RX200" s="0" t="n">
        <v>2.11</v>
      </c>
      <c r="RY200" s="0" t="n">
        <v>3</v>
      </c>
      <c r="SF200" s="18"/>
      <c r="SX200" s="0" t="n">
        <v>0</v>
      </c>
      <c r="UI200" s="16" t="n">
        <v>2.64</v>
      </c>
      <c r="UJ200" s="16" t="n">
        <v>1</v>
      </c>
      <c r="UK200" s="16" t="n">
        <v>1</v>
      </c>
      <c r="UL200" s="16"/>
      <c r="UM200" s="16" t="n">
        <f aca="false">4.2*2+1.7+5.1+0.37+0.74</f>
        <v>16.31</v>
      </c>
      <c r="UN200" s="16"/>
      <c r="UO200" s="16"/>
      <c r="UP200" s="16"/>
      <c r="UQ200" s="16"/>
      <c r="UR200" s="16"/>
      <c r="US200" s="16"/>
      <c r="UT200" s="16" t="n">
        <v>5.32</v>
      </c>
      <c r="UU200" s="16" t="n">
        <v>8.04</v>
      </c>
      <c r="UV200" s="16"/>
      <c r="UW200" s="16"/>
      <c r="UX200" s="16" t="n">
        <v>0</v>
      </c>
      <c r="UY200" s="16" t="n">
        <v>0</v>
      </c>
      <c r="UZ200" s="16" t="n">
        <v>0</v>
      </c>
      <c r="VA200" s="0" t="n">
        <v>0</v>
      </c>
      <c r="VB200" s="0" t="s">
        <v>236</v>
      </c>
      <c r="VC200" s="0" t="n">
        <v>51</v>
      </c>
      <c r="VD200" s="16" t="n">
        <v>93.4</v>
      </c>
      <c r="VE200" s="16" t="n">
        <v>81</v>
      </c>
      <c r="VF200" s="16" t="n">
        <v>29.5</v>
      </c>
      <c r="VG200" s="0" t="n">
        <v>55.24</v>
      </c>
      <c r="VH200" s="0" t="n">
        <v>0</v>
      </c>
      <c r="VI200" s="0" t="n">
        <v>0</v>
      </c>
      <c r="VJ200" s="0" t="n">
        <v>0</v>
      </c>
      <c r="VK200" s="0" t="n">
        <v>44.76</v>
      </c>
      <c r="VL200" s="0" t="n">
        <v>0</v>
      </c>
      <c r="VM200" s="0" t="n">
        <v>0</v>
      </c>
      <c r="VN200" s="0" t="n">
        <v>0</v>
      </c>
      <c r="VO200" s="0" t="n">
        <v>0</v>
      </c>
      <c r="VP200" s="0" t="n">
        <v>0</v>
      </c>
      <c r="VQ200" s="0" t="n">
        <v>0</v>
      </c>
      <c r="VR200" s="0" t="n">
        <v>0.67</v>
      </c>
      <c r="VS200" s="0" t="n">
        <v>5.1</v>
      </c>
      <c r="VT200" s="0" t="n">
        <v>47.22</v>
      </c>
      <c r="VU200" s="0" t="n">
        <v>18.3</v>
      </c>
      <c r="VV200" s="0" t="n">
        <v>0</v>
      </c>
      <c r="VW200" s="0" t="n">
        <v>7.5</v>
      </c>
      <c r="VX200" s="0" t="n">
        <v>1</v>
      </c>
      <c r="VY200" s="0" t="n">
        <v>3.6</v>
      </c>
      <c r="WA200" s="0" t="n">
        <v>1</v>
      </c>
      <c r="WE200" s="0" t="n">
        <v>3.6</v>
      </c>
      <c r="WG200" s="0" t="n">
        <v>1</v>
      </c>
      <c r="WK200" s="0" t="n">
        <v>0</v>
      </c>
      <c r="WL200" s="0" t="n">
        <v>0</v>
      </c>
      <c r="WW200" s="18"/>
      <c r="XO200" s="0" t="n">
        <v>0</v>
      </c>
      <c r="YZ200" s="16" t="n">
        <v>1.95</v>
      </c>
      <c r="ZA200" s="16" t="n">
        <v>1</v>
      </c>
      <c r="ZB200" s="16" t="n">
        <v>1</v>
      </c>
      <c r="ZC200" s="16"/>
      <c r="ZD200" s="16" t="n">
        <f aca="false">2.42+1.67+5+0.22+0.66+0.22</f>
        <v>10.19</v>
      </c>
      <c r="ZE200" s="16"/>
      <c r="ZF200" s="16"/>
      <c r="ZG200" s="16"/>
      <c r="ZH200" s="16"/>
      <c r="ZI200" s="16"/>
      <c r="ZJ200" s="16"/>
      <c r="ZK200" s="16" t="n">
        <v>5.63</v>
      </c>
      <c r="ZL200" s="16" t="n">
        <v>11.04</v>
      </c>
      <c r="ZM200" s="16"/>
      <c r="ZN200" s="16"/>
      <c r="ZO200" s="16" t="n">
        <v>0</v>
      </c>
      <c r="ZP200" s="16" t="n">
        <v>0</v>
      </c>
      <c r="ZQ200" s="16" t="n">
        <v>0</v>
      </c>
      <c r="ZR200" s="0" t="n">
        <v>0</v>
      </c>
      <c r="ZS200" s="0" t="s">
        <v>237</v>
      </c>
      <c r="ZT200" s="0" t="n">
        <v>46</v>
      </c>
      <c r="ZU200" s="16" t="n">
        <v>92.7</v>
      </c>
      <c r="ZV200" s="16" t="n">
        <v>81</v>
      </c>
      <c r="ZW200" s="16" t="n">
        <v>20.8</v>
      </c>
      <c r="ZX200" s="0" t="n">
        <v>76.44</v>
      </c>
      <c r="ZY200" s="0" t="n">
        <v>0</v>
      </c>
      <c r="ZZ200" s="0" t="n">
        <v>0</v>
      </c>
      <c r="AAA200" s="0" t="n">
        <v>0</v>
      </c>
      <c r="AAB200" s="0" t="n">
        <v>23.56</v>
      </c>
      <c r="AAC200" s="0" t="n">
        <v>0</v>
      </c>
      <c r="AAD200" s="0" t="n">
        <v>0</v>
      </c>
      <c r="AAE200" s="0" t="n">
        <v>0</v>
      </c>
      <c r="AAF200" s="0" t="n">
        <v>0</v>
      </c>
      <c r="AAG200" s="0" t="n">
        <v>0</v>
      </c>
      <c r="AAH200" s="0" t="n">
        <v>0</v>
      </c>
      <c r="AAI200" s="0" t="n">
        <v>0.23</v>
      </c>
      <c r="AAJ200" s="0" t="n">
        <v>0.51</v>
      </c>
      <c r="AAK200" s="0" t="n">
        <v>26.55</v>
      </c>
      <c r="AAL200" s="0" t="n">
        <v>36.69</v>
      </c>
      <c r="AAM200" s="0" t="n">
        <v>0</v>
      </c>
      <c r="AAN200" s="0" t="n">
        <v>10.6</v>
      </c>
      <c r="AAO200" s="0" t="n">
        <v>1</v>
      </c>
      <c r="AAP200" s="0" t="n">
        <v>6</v>
      </c>
      <c r="AAR200" s="0" t="n">
        <v>1</v>
      </c>
      <c r="AAV200" s="0" t="n">
        <v>6</v>
      </c>
      <c r="AAX200" s="0" t="n">
        <v>1</v>
      </c>
      <c r="ABB200" s="0" t="n">
        <v>7.1</v>
      </c>
      <c r="ABC200" s="0" t="n">
        <v>1</v>
      </c>
      <c r="ABD200" s="0" t="n">
        <v>35</v>
      </c>
      <c r="ABE200" s="0" t="n">
        <v>2</v>
      </c>
      <c r="ABF200" s="0" t="n">
        <f aca="false">0.76*2</f>
        <v>1.52</v>
      </c>
      <c r="ABG200" s="0" t="n">
        <v>3</v>
      </c>
      <c r="ABN200" s="18"/>
      <c r="ACF200" s="0" t="n">
        <v>0</v>
      </c>
      <c r="ADQ200" s="16" t="n">
        <v>2.41</v>
      </c>
      <c r="ADR200" s="16" t="n">
        <v>1</v>
      </c>
      <c r="ADS200" s="16" t="n">
        <v>1</v>
      </c>
      <c r="ADT200" s="16"/>
      <c r="ADU200" s="16" t="n">
        <f aca="false">0.41+1.67+5+0.33+0.45+0.15</f>
        <v>8.01</v>
      </c>
      <c r="ADV200" s="16"/>
      <c r="ADW200" s="16"/>
      <c r="ADX200" s="16"/>
      <c r="ADY200" s="16"/>
      <c r="ADZ200" s="16"/>
      <c r="AEA200" s="16"/>
      <c r="AEB200" s="16" t="n">
        <v>0.33</v>
      </c>
      <c r="AEC200" s="16" t="n">
        <v>0.33</v>
      </c>
      <c r="AED200" s="16"/>
      <c r="AEE200" s="16"/>
      <c r="AEF200" s="16" t="n">
        <v>0</v>
      </c>
      <c r="AEG200" s="16" t="n">
        <v>0</v>
      </c>
      <c r="AEH200" s="16" t="n">
        <v>0</v>
      </c>
      <c r="AEI200" s="0" t="n">
        <v>0</v>
      </c>
      <c r="AEJ200" s="0" t="s">
        <v>461</v>
      </c>
      <c r="AEK200" s="0" t="n">
        <v>38</v>
      </c>
      <c r="AEL200" s="16" t="n">
        <v>84.5</v>
      </c>
      <c r="AEM200" s="16" t="n">
        <v>81</v>
      </c>
      <c r="AEN200" s="16" t="n">
        <v>11.8</v>
      </c>
      <c r="AEO200" s="0" t="n">
        <v>99.78</v>
      </c>
      <c r="AEP200" s="0" t="n">
        <v>0</v>
      </c>
      <c r="AEQ200" s="0" t="n">
        <v>0</v>
      </c>
      <c r="AER200" s="0" t="n">
        <v>0</v>
      </c>
      <c r="AES200" s="0" t="n">
        <v>0.22</v>
      </c>
      <c r="AET200" s="0" t="n">
        <v>0</v>
      </c>
      <c r="AEU200" s="0" t="n">
        <v>0</v>
      </c>
      <c r="AEV200" s="0" t="n">
        <v>0</v>
      </c>
      <c r="AEW200" s="0" t="n">
        <v>0</v>
      </c>
      <c r="AEX200" s="0" t="n">
        <v>0</v>
      </c>
      <c r="AEY200" s="0" t="n">
        <v>0</v>
      </c>
      <c r="AEZ200" s="0" t="n">
        <v>7.31</v>
      </c>
      <c r="AFA200" s="0" t="n">
        <v>0</v>
      </c>
      <c r="AFB200" s="0" t="n">
        <v>30.29</v>
      </c>
      <c r="AFC200" s="0" t="n">
        <v>31.72</v>
      </c>
      <c r="AFD200" s="0" t="n">
        <v>0</v>
      </c>
      <c r="AFE200" s="0" t="n">
        <v>0</v>
      </c>
      <c r="AFF200" s="0" t="n">
        <v>0</v>
      </c>
      <c r="AFS200" s="0" t="n">
        <v>14</v>
      </c>
      <c r="AFT200" s="0" t="n">
        <v>1</v>
      </c>
      <c r="AFU200" s="0" t="n">
        <v>52</v>
      </c>
      <c r="AFV200" s="0" t="n">
        <v>6</v>
      </c>
      <c r="AFW200" s="0" t="n">
        <v>4.53</v>
      </c>
      <c r="AFX200" s="0" t="n">
        <v>2</v>
      </c>
      <c r="AGE200" s="18"/>
      <c r="AGW200" s="0" t="n">
        <v>1</v>
      </c>
      <c r="AGX200" s="0" t="n">
        <v>50</v>
      </c>
      <c r="AGY200" s="0" t="n">
        <v>3</v>
      </c>
      <c r="AGZ200" s="0" t="n">
        <v>0.4</v>
      </c>
      <c r="AHA200" s="0" t="n">
        <v>6</v>
      </c>
      <c r="AIH200" s="16" t="n">
        <v>3.9</v>
      </c>
      <c r="AII200" s="16" t="n">
        <v>1</v>
      </c>
      <c r="AIJ200" s="16" t="n">
        <v>1</v>
      </c>
      <c r="AIK200" s="16"/>
      <c r="AIL200" s="16" t="n">
        <f aca="false">1.7*3+4.53+2.64*2+0.6</f>
        <v>15.51</v>
      </c>
      <c r="AIM200" s="16"/>
      <c r="AIN200" s="16"/>
      <c r="AIO200" s="16"/>
      <c r="AIP200" s="16"/>
      <c r="AIQ200" s="16"/>
      <c r="AIR200" s="16"/>
      <c r="AIS200" s="16" t="n">
        <v>8.14</v>
      </c>
      <c r="AIT200" s="16" t="n">
        <v>15.87</v>
      </c>
      <c r="AIU200" s="16"/>
      <c r="AIV200" s="16"/>
      <c r="AIW200" s="16" t="n">
        <v>0</v>
      </c>
      <c r="AIX200" s="16" t="n">
        <v>0</v>
      </c>
      <c r="AIY200" s="16" t="n">
        <v>0</v>
      </c>
      <c r="AIZ200" s="0" t="n">
        <v>0</v>
      </c>
      <c r="AJA200" s="0" t="s">
        <v>595</v>
      </c>
      <c r="AJB200" s="0" t="n">
        <v>21.5</v>
      </c>
      <c r="AJC200" s="16" t="n">
        <v>79.7</v>
      </c>
      <c r="AJD200" s="16" t="n">
        <v>81</v>
      </c>
      <c r="AJE200" s="16" t="n">
        <v>7.9</v>
      </c>
      <c r="AJF200" s="0" t="n">
        <v>99.71</v>
      </c>
      <c r="AJG200" s="0" t="n">
        <v>0</v>
      </c>
      <c r="AJH200" s="0" t="n">
        <v>0</v>
      </c>
      <c r="AJI200" s="0" t="n">
        <v>0</v>
      </c>
      <c r="AJJ200" s="0" t="n">
        <v>0.29</v>
      </c>
      <c r="AJK200" s="0" t="n">
        <v>0</v>
      </c>
      <c r="AJL200" s="0" t="n">
        <v>0</v>
      </c>
      <c r="AJM200" s="0" t="n">
        <v>0</v>
      </c>
      <c r="AJN200" s="0" t="n">
        <v>0</v>
      </c>
      <c r="AJO200" s="0" t="n">
        <v>0</v>
      </c>
      <c r="AJP200" s="0" t="n">
        <v>0</v>
      </c>
      <c r="AJQ200" s="0" t="n">
        <v>0</v>
      </c>
      <c r="AJR200" s="0" t="n">
        <v>11.15</v>
      </c>
      <c r="AJS200" s="0" t="n">
        <v>33.12</v>
      </c>
      <c r="AJT200" s="0" t="n">
        <v>8.72</v>
      </c>
      <c r="AJU200" s="0" t="n">
        <v>0</v>
      </c>
      <c r="AJV200" s="0" t="n">
        <v>0</v>
      </c>
      <c r="AJW200" s="0" t="n">
        <v>0</v>
      </c>
      <c r="AKJ200" s="0" t="n">
        <v>0</v>
      </c>
      <c r="AKK200" s="0" t="n">
        <v>1</v>
      </c>
      <c r="AKL200" s="0" t="n">
        <v>23</v>
      </c>
      <c r="AKM200" s="0" t="n">
        <v>1</v>
      </c>
      <c r="AKN200" s="0" t="n">
        <v>2.27</v>
      </c>
      <c r="AKO200" s="0" t="n">
        <v>3</v>
      </c>
      <c r="AKV200" s="18"/>
      <c r="ALN200" s="0" t="n">
        <v>1</v>
      </c>
      <c r="ALO200" s="0" t="n">
        <v>50</v>
      </c>
      <c r="ALP200" s="0" t="n">
        <v>9</v>
      </c>
      <c r="ALQ200" s="0" t="n">
        <v>4.93</v>
      </c>
      <c r="ALR200" s="0" t="n">
        <v>3</v>
      </c>
    </row>
    <row r="201" customFormat="false" ht="13.8" hidden="false" customHeight="false" outlineLevel="0" collapsed="false">
      <c r="A201" s="1" t="s">
        <v>712</v>
      </c>
      <c r="B201" s="12" t="n">
        <v>42902</v>
      </c>
      <c r="C201" s="0" t="n">
        <v>1</v>
      </c>
      <c r="D201" s="13" t="n">
        <v>42828</v>
      </c>
      <c r="E201" s="12" t="n">
        <v>34796</v>
      </c>
      <c r="F201" s="14" t="n">
        <f aca="false">(B201-E201)/365.25</f>
        <v>22.1930184804928</v>
      </c>
      <c r="G201" s="14" t="n">
        <f aca="false">(B201-D201)/365.25</f>
        <v>0.202600958247775</v>
      </c>
      <c r="H201" s="15" t="s">
        <v>228</v>
      </c>
      <c r="I201" s="15" t="s">
        <v>229</v>
      </c>
      <c r="J201" s="15" t="s">
        <v>183</v>
      </c>
      <c r="K201" s="21" t="n">
        <v>4</v>
      </c>
      <c r="L201" s="19" t="n">
        <v>74.1</v>
      </c>
      <c r="M201" s="0" t="n">
        <v>1.73</v>
      </c>
      <c r="N201" s="16" t="n">
        <f aca="false">L201/(M201*M201)</f>
        <v>24.7585953423101</v>
      </c>
      <c r="O201" s="19" t="n">
        <v>0</v>
      </c>
      <c r="P201" s="19" t="n">
        <v>0</v>
      </c>
      <c r="Q201" s="19" t="n">
        <v>0</v>
      </c>
      <c r="R201" s="26" t="n">
        <v>0</v>
      </c>
      <c r="S201" s="26" t="n">
        <v>0</v>
      </c>
      <c r="T201" s="26" t="n">
        <v>0</v>
      </c>
      <c r="U201" s="19" t="n">
        <v>0</v>
      </c>
      <c r="V201" s="19" t="n">
        <v>0</v>
      </c>
      <c r="W201" s="19" t="n">
        <v>0</v>
      </c>
      <c r="X201" s="19" t="n">
        <v>0</v>
      </c>
      <c r="Y201" s="19" t="n">
        <v>0</v>
      </c>
      <c r="Z201" s="19" t="n">
        <v>0</v>
      </c>
      <c r="AA201" s="19" t="n">
        <v>0</v>
      </c>
      <c r="AB201" s="19" t="n">
        <v>0</v>
      </c>
      <c r="AC201" s="19" t="n">
        <v>0</v>
      </c>
      <c r="AD201" s="19" t="n">
        <v>0</v>
      </c>
      <c r="AE201" s="19" t="n">
        <v>0</v>
      </c>
      <c r="AF201" s="19" t="n">
        <v>0</v>
      </c>
      <c r="AG201" s="19" t="n">
        <v>0</v>
      </c>
      <c r="AH201" s="19" t="n">
        <v>0</v>
      </c>
      <c r="AI201" s="19" t="n">
        <v>0</v>
      </c>
      <c r="AJ201" s="19" t="n">
        <v>0</v>
      </c>
      <c r="AK201" s="19" t="n">
        <v>0</v>
      </c>
      <c r="AL201" s="19" t="n">
        <v>0</v>
      </c>
      <c r="AM201" s="19" t="n">
        <v>0</v>
      </c>
      <c r="AN201" s="19" t="n">
        <v>0</v>
      </c>
      <c r="AO201" s="19" t="n">
        <v>0</v>
      </c>
      <c r="AP201" s="19" t="n">
        <v>0</v>
      </c>
      <c r="AQ201" s="19" t="n">
        <v>0</v>
      </c>
      <c r="AR201" s="19" t="n">
        <v>0</v>
      </c>
      <c r="AS201" s="19" t="n">
        <v>0</v>
      </c>
      <c r="AT201" s="19" t="n">
        <v>0</v>
      </c>
      <c r="AU201" s="19" t="n">
        <v>0</v>
      </c>
      <c r="AV201" s="19" t="n">
        <v>0</v>
      </c>
      <c r="AW201" s="19" t="n">
        <v>0</v>
      </c>
      <c r="AX201" s="19" t="n">
        <v>0</v>
      </c>
      <c r="AY201" s="19" t="n">
        <v>0</v>
      </c>
      <c r="AZ201" s="19" t="n">
        <v>0</v>
      </c>
      <c r="BA201" s="19" t="n">
        <v>0</v>
      </c>
      <c r="BB201" s="19" t="n">
        <v>0</v>
      </c>
      <c r="BC201" s="19" t="n">
        <v>0</v>
      </c>
      <c r="BD201" s="19" t="n">
        <v>0</v>
      </c>
      <c r="BE201" s="19" t="n">
        <v>0</v>
      </c>
      <c r="BF201" s="19" t="n">
        <v>0</v>
      </c>
      <c r="BG201" s="19" t="n">
        <v>0</v>
      </c>
      <c r="BH201" s="19" t="n">
        <v>0</v>
      </c>
      <c r="BI201" s="19" t="n">
        <v>0</v>
      </c>
      <c r="BJ201" s="19" t="n">
        <v>0</v>
      </c>
      <c r="BK201" s="19" t="n">
        <v>0</v>
      </c>
      <c r="BL201" s="19" t="n">
        <v>0</v>
      </c>
      <c r="BM201" s="19" t="n">
        <v>0</v>
      </c>
      <c r="BN201" s="19" t="n">
        <v>0</v>
      </c>
      <c r="BO201" s="19" t="n">
        <v>0</v>
      </c>
      <c r="BP201" s="19" t="n">
        <v>0</v>
      </c>
      <c r="BQ201" s="19" t="n">
        <v>0</v>
      </c>
      <c r="BR201" s="19" t="n">
        <v>1</v>
      </c>
      <c r="BS201" s="19" t="n">
        <v>1</v>
      </c>
      <c r="BT201" s="19" t="n">
        <v>2</v>
      </c>
      <c r="BU201" s="19" t="n">
        <v>3</v>
      </c>
      <c r="BV201" s="19" t="n">
        <v>1</v>
      </c>
      <c r="BW201" s="19" t="n">
        <v>1</v>
      </c>
      <c r="BX201" s="19" t="n">
        <v>4</v>
      </c>
      <c r="BY201" s="19" t="n">
        <v>3</v>
      </c>
      <c r="BZ201" s="19" t="n">
        <v>3</v>
      </c>
      <c r="CA201" s="19" t="n">
        <v>4</v>
      </c>
      <c r="CB201" s="19" t="n">
        <v>5</v>
      </c>
      <c r="CC201" s="19" t="n">
        <v>5</v>
      </c>
      <c r="CD201" s="19" t="n">
        <v>4</v>
      </c>
      <c r="CE201" s="19" t="n">
        <v>5</v>
      </c>
      <c r="CF201" s="19" t="n">
        <v>5</v>
      </c>
      <c r="CG201" s="19" t="n">
        <v>5</v>
      </c>
      <c r="CH201" s="19" t="n">
        <v>4</v>
      </c>
      <c r="CI201" s="19" t="n">
        <v>4</v>
      </c>
      <c r="CJ201" s="19" t="n">
        <v>4</v>
      </c>
      <c r="CK201" s="19" t="n">
        <v>8</v>
      </c>
      <c r="CL201" s="0" t="s">
        <v>230</v>
      </c>
      <c r="CM201" s="0" t="n">
        <v>64</v>
      </c>
      <c r="CN201" s="16" t="n">
        <v>74.3</v>
      </c>
      <c r="CO201" s="16" t="n">
        <v>81</v>
      </c>
      <c r="CP201" s="16" t="n">
        <v>58.5</v>
      </c>
      <c r="CQ201" s="0" t="n">
        <v>49.17</v>
      </c>
      <c r="CR201" s="0" t="n">
        <v>0</v>
      </c>
      <c r="CS201" s="0" t="n">
        <v>34.45</v>
      </c>
      <c r="CT201" s="0" t="n">
        <v>16.22</v>
      </c>
      <c r="CU201" s="0" t="n">
        <v>0.16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2.52</v>
      </c>
      <c r="DE201" s="0" t="n">
        <v>9.18</v>
      </c>
      <c r="DF201" s="0" t="n">
        <v>0</v>
      </c>
      <c r="DG201" s="0" t="n">
        <v>0</v>
      </c>
      <c r="DH201" s="0" t="n">
        <v>0</v>
      </c>
      <c r="DU201" s="0" t="n">
        <v>0.3</v>
      </c>
      <c r="DV201" s="0" t="n">
        <v>1</v>
      </c>
      <c r="DW201" s="0" t="n">
        <v>34</v>
      </c>
      <c r="DX201" s="0" t="n">
        <v>8</v>
      </c>
      <c r="DY201" s="0" t="n">
        <v>0.43</v>
      </c>
      <c r="DZ201" s="0" t="n">
        <v>1</v>
      </c>
      <c r="EA201" s="0" t="n">
        <v>47</v>
      </c>
      <c r="EB201" s="0" t="n">
        <v>1</v>
      </c>
      <c r="EC201" s="0" t="n">
        <v>0.04</v>
      </c>
      <c r="ED201" s="0" t="n">
        <v>3</v>
      </c>
      <c r="EG201" s="18"/>
      <c r="EY201" s="0" t="n">
        <v>0</v>
      </c>
      <c r="GJ201" s="16" t="n">
        <v>2.89</v>
      </c>
      <c r="GK201" s="16" t="n">
        <v>1</v>
      </c>
      <c r="GL201" s="16" t="n">
        <v>1</v>
      </c>
      <c r="GM201" s="16"/>
      <c r="GN201" s="16" t="n">
        <v>7.35</v>
      </c>
      <c r="GO201" s="16"/>
      <c r="GP201" s="16"/>
      <c r="GQ201" s="16"/>
      <c r="GR201" s="16"/>
      <c r="GS201" s="16"/>
      <c r="GT201" s="16"/>
      <c r="GU201" s="16" t="n">
        <v>0</v>
      </c>
      <c r="GV201" s="16" t="n">
        <v>0</v>
      </c>
      <c r="GW201" s="16"/>
      <c r="GX201" s="16"/>
      <c r="GY201" s="16" t="n">
        <v>0</v>
      </c>
      <c r="GZ201" s="16" t="n">
        <v>0</v>
      </c>
      <c r="HA201" s="16" t="n">
        <v>0</v>
      </c>
      <c r="HB201" s="0" t="n">
        <v>0</v>
      </c>
      <c r="HC201" s="0" t="s">
        <v>231</v>
      </c>
      <c r="HD201" s="0" t="n">
        <v>64.5</v>
      </c>
      <c r="HE201" s="16" t="n">
        <v>77.8</v>
      </c>
      <c r="HF201" s="16" t="n">
        <v>81</v>
      </c>
      <c r="HG201" s="16" t="n">
        <v>52.5</v>
      </c>
      <c r="HH201" s="0" t="n">
        <v>50.19</v>
      </c>
      <c r="HI201" s="0" t="n">
        <v>0</v>
      </c>
      <c r="HJ201" s="0" t="n">
        <v>26.36</v>
      </c>
      <c r="HK201" s="0" t="n">
        <v>23.45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Q201" s="0" t="n">
        <v>0</v>
      </c>
      <c r="HR201" s="0" t="n">
        <v>0</v>
      </c>
      <c r="HS201" s="0" t="n">
        <v>0</v>
      </c>
      <c r="HT201" s="0" t="n">
        <v>1.91</v>
      </c>
      <c r="HU201" s="0" t="n">
        <v>2.12</v>
      </c>
      <c r="HV201" s="0" t="n">
        <v>0</v>
      </c>
      <c r="HW201" s="0" t="n">
        <v>0</v>
      </c>
      <c r="HX201" s="0" t="n">
        <v>0</v>
      </c>
      <c r="HY201" s="0" t="n">
        <v>0</v>
      </c>
      <c r="IL201" s="0" t="n">
        <v>5.4</v>
      </c>
      <c r="IM201" s="0" t="n">
        <v>1</v>
      </c>
      <c r="IN201" s="0" t="n">
        <v>68</v>
      </c>
      <c r="IO201" s="0" t="n">
        <v>8</v>
      </c>
      <c r="IP201" s="0" t="n">
        <f aca="false">1.4*2+0.13</f>
        <v>2.93</v>
      </c>
      <c r="IQ201" s="0" t="n">
        <v>1</v>
      </c>
      <c r="IR201" s="0" t="n">
        <v>34</v>
      </c>
      <c r="IS201" s="0" t="n">
        <v>1</v>
      </c>
      <c r="IT201" s="0" t="n">
        <v>0.13</v>
      </c>
      <c r="IU201" s="0" t="n">
        <v>1</v>
      </c>
      <c r="IX201" s="18"/>
      <c r="JP201" s="0" t="n">
        <v>1</v>
      </c>
      <c r="JQ201" s="0" t="n">
        <v>60</v>
      </c>
      <c r="JR201" s="0" t="n">
        <v>1</v>
      </c>
      <c r="JS201" s="0" t="n">
        <v>0.22</v>
      </c>
      <c r="JT201" s="0" t="n">
        <v>3</v>
      </c>
      <c r="LA201" s="16" t="n">
        <v>3.48</v>
      </c>
      <c r="LB201" s="16" t="n">
        <v>1</v>
      </c>
      <c r="LC201" s="16" t="n">
        <v>1</v>
      </c>
      <c r="LD201" s="16"/>
      <c r="LE201" s="16" t="n">
        <f aca="false">7.35+1.4*2+0.62+0.74+0.03+0.7+0.18+0.03+0.05+0.01</f>
        <v>12.51</v>
      </c>
      <c r="LF201" s="16"/>
      <c r="LG201" s="16"/>
      <c r="LH201" s="16"/>
      <c r="LI201" s="16"/>
      <c r="LJ201" s="16"/>
      <c r="LK201" s="16"/>
      <c r="LL201" s="16" t="n">
        <v>0.13</v>
      </c>
      <c r="LM201" s="16" t="n">
        <v>0.13</v>
      </c>
      <c r="LN201" s="16"/>
      <c r="LO201" s="16"/>
      <c r="LP201" s="16" t="n">
        <v>0</v>
      </c>
      <c r="LQ201" s="16" t="n">
        <v>0</v>
      </c>
      <c r="LR201" s="16" t="n">
        <v>0</v>
      </c>
      <c r="LS201" s="0" t="n">
        <v>0</v>
      </c>
      <c r="LT201" s="0" t="s">
        <v>232</v>
      </c>
      <c r="LU201" s="0" t="n">
        <v>40</v>
      </c>
      <c r="LV201" s="16" t="n">
        <v>84.9</v>
      </c>
      <c r="LW201" s="16" t="n">
        <v>81</v>
      </c>
      <c r="LX201" s="16" t="n">
        <v>13.2</v>
      </c>
      <c r="LY201" s="0" t="n">
        <v>93.04</v>
      </c>
      <c r="LZ201" s="0" t="n">
        <v>0</v>
      </c>
      <c r="MA201" s="0" t="n">
        <v>0</v>
      </c>
      <c r="MB201" s="0" t="n">
        <v>3.59</v>
      </c>
      <c r="MC201" s="0" t="n">
        <v>3.38</v>
      </c>
      <c r="MD201" s="0" t="n">
        <v>0</v>
      </c>
      <c r="ME201" s="0" t="n">
        <v>0</v>
      </c>
      <c r="MF201" s="0" t="n">
        <v>0</v>
      </c>
      <c r="MG201" s="0" t="n">
        <v>0</v>
      </c>
      <c r="MH201" s="0" t="n">
        <v>0</v>
      </c>
      <c r="MI201" s="0" t="n">
        <v>0</v>
      </c>
      <c r="MJ201" s="0" t="n">
        <v>1.7</v>
      </c>
      <c r="MK201" s="0" t="n">
        <v>3.97</v>
      </c>
      <c r="ML201" s="0" t="n">
        <v>39.76</v>
      </c>
      <c r="MM201" s="0" t="n">
        <v>0.13</v>
      </c>
      <c r="MN201" s="0" t="n">
        <v>0</v>
      </c>
      <c r="MO201" s="0" t="n">
        <v>0</v>
      </c>
      <c r="MP201" s="0" t="n">
        <v>0</v>
      </c>
      <c r="NC201" s="0" t="n">
        <v>15.9</v>
      </c>
      <c r="ND201" s="0" t="n">
        <v>1</v>
      </c>
      <c r="NE201" s="0" t="n">
        <v>47</v>
      </c>
      <c r="NF201" s="0" t="n">
        <v>2</v>
      </c>
      <c r="NG201" s="0" t="n">
        <v>1.51</v>
      </c>
      <c r="NH201" s="0" t="n">
        <v>3</v>
      </c>
      <c r="NO201" s="18"/>
      <c r="OG201" s="0" t="n">
        <v>1</v>
      </c>
      <c r="OH201" s="0" t="n">
        <v>40</v>
      </c>
      <c r="OI201" s="0" t="n">
        <v>7</v>
      </c>
      <c r="OJ201" s="0" t="n">
        <f aca="false">2.27+3.02</f>
        <v>5.29</v>
      </c>
      <c r="OK201" s="0" t="n">
        <v>3</v>
      </c>
      <c r="PR201" s="16" t="n">
        <v>1.48</v>
      </c>
      <c r="PS201" s="16" t="n">
        <v>1</v>
      </c>
      <c r="PT201" s="16" t="n">
        <v>1</v>
      </c>
      <c r="PU201" s="16"/>
      <c r="PV201" s="16" t="n">
        <f aca="false">2.1+1.7+0.37+0.74</f>
        <v>4.91</v>
      </c>
      <c r="PW201" s="16"/>
      <c r="PX201" s="16"/>
      <c r="PY201" s="16"/>
      <c r="PZ201" s="16"/>
      <c r="QA201" s="16"/>
      <c r="QB201" s="16"/>
      <c r="QC201" s="16" t="n">
        <v>7.34</v>
      </c>
      <c r="QD201" s="16" t="n">
        <v>5.01</v>
      </c>
      <c r="QE201" s="16"/>
      <c r="QF201" s="16"/>
      <c r="QG201" s="16" t="n">
        <v>0</v>
      </c>
      <c r="QH201" s="16" t="n">
        <v>0</v>
      </c>
      <c r="QI201" s="16" t="n">
        <v>0</v>
      </c>
      <c r="QJ201" s="0" t="n">
        <v>0</v>
      </c>
      <c r="QK201" s="0" t="s">
        <v>233</v>
      </c>
      <c r="QL201" s="0" t="n">
        <v>39.5</v>
      </c>
      <c r="QM201" s="16" t="n">
        <v>85</v>
      </c>
      <c r="QN201" s="16" t="n">
        <v>81</v>
      </c>
      <c r="QO201" s="16" t="n">
        <v>12.7</v>
      </c>
      <c r="QP201" s="0" t="n">
        <v>93.14</v>
      </c>
      <c r="QQ201" s="0" t="n">
        <v>0</v>
      </c>
      <c r="QR201" s="0" t="n">
        <v>1.57</v>
      </c>
      <c r="QS201" s="0" t="n">
        <v>2.08</v>
      </c>
      <c r="QT201" s="0" t="n">
        <v>3.21</v>
      </c>
      <c r="QU201" s="0" t="n">
        <v>0</v>
      </c>
      <c r="QV201" s="0" t="n">
        <v>0</v>
      </c>
      <c r="QW201" s="0" t="n">
        <v>0</v>
      </c>
      <c r="QX201" s="0" t="n">
        <v>0</v>
      </c>
      <c r="QY201" s="0" t="n">
        <v>0</v>
      </c>
      <c r="QZ201" s="0" t="n">
        <v>0</v>
      </c>
      <c r="RA201" s="0" t="n">
        <v>1.7</v>
      </c>
      <c r="RB201" s="0" t="n">
        <v>6.54</v>
      </c>
      <c r="RC201" s="0" t="n">
        <v>37.88</v>
      </c>
      <c r="RD201" s="0" t="n">
        <v>3</v>
      </c>
      <c r="RE201" s="0" t="n">
        <v>0</v>
      </c>
      <c r="RF201" s="0" t="n">
        <v>0</v>
      </c>
      <c r="RG201" s="0" t="n">
        <v>0</v>
      </c>
      <c r="RT201" s="0" t="n">
        <v>15.7</v>
      </c>
      <c r="RU201" s="0" t="n">
        <v>1</v>
      </c>
      <c r="RV201" s="0" t="n">
        <v>47</v>
      </c>
      <c r="RW201" s="0" t="n">
        <v>2</v>
      </c>
      <c r="RX201" s="0" t="n">
        <v>1.51</v>
      </c>
      <c r="RY201" s="0" t="n">
        <v>3</v>
      </c>
      <c r="SF201" s="18"/>
      <c r="SX201" s="0" t="n">
        <v>1</v>
      </c>
      <c r="SY201" s="0" t="n">
        <v>50</v>
      </c>
      <c r="SZ201" s="0" t="n">
        <v>3</v>
      </c>
      <c r="TA201" s="0" t="n">
        <v>0.4</v>
      </c>
      <c r="TB201" s="0" t="n">
        <v>3</v>
      </c>
      <c r="TC201" s="0" t="n">
        <v>40</v>
      </c>
      <c r="TD201" s="0" t="n">
        <v>7</v>
      </c>
      <c r="TE201" s="0" t="n">
        <f aca="false">2.27+3.02</f>
        <v>5.29</v>
      </c>
      <c r="TF201" s="0" t="n">
        <v>3</v>
      </c>
      <c r="UI201" s="16" t="n">
        <v>1.76</v>
      </c>
      <c r="UJ201" s="16" t="n">
        <v>1</v>
      </c>
      <c r="UK201" s="16" t="n">
        <v>1</v>
      </c>
      <c r="UL201" s="16"/>
      <c r="UM201" s="16" t="n">
        <f aca="false">2.1+1.7+0.4+0.37+0.74</f>
        <v>5.31</v>
      </c>
      <c r="UN201" s="16"/>
      <c r="UO201" s="16"/>
      <c r="UP201" s="16"/>
      <c r="UQ201" s="16"/>
      <c r="UR201" s="16"/>
      <c r="US201" s="16"/>
      <c r="UT201" s="16" t="n">
        <v>7.31</v>
      </c>
      <c r="UU201" s="16" t="n">
        <v>6.99</v>
      </c>
      <c r="UV201" s="16"/>
      <c r="UW201" s="16"/>
      <c r="UX201" s="16" t="n">
        <v>0</v>
      </c>
      <c r="UY201" s="16" t="n">
        <v>0</v>
      </c>
      <c r="UZ201" s="16" t="n">
        <v>0</v>
      </c>
      <c r="VA201" s="0" t="n">
        <v>0</v>
      </c>
      <c r="VB201" s="0" t="s">
        <v>234</v>
      </c>
      <c r="VC201" s="0" t="n">
        <v>22.5</v>
      </c>
      <c r="VD201" s="16" t="n">
        <v>60.3</v>
      </c>
      <c r="VE201" s="16" t="n">
        <v>81</v>
      </c>
      <c r="VF201" s="16" t="n">
        <v>13.3</v>
      </c>
      <c r="VG201" s="0" t="n">
        <v>92.98</v>
      </c>
      <c r="VH201" s="0" t="n">
        <v>0</v>
      </c>
      <c r="VI201" s="0" t="n">
        <v>0</v>
      </c>
      <c r="VJ201" s="0" t="n">
        <v>0</v>
      </c>
      <c r="VK201" s="0" t="n">
        <v>7.02</v>
      </c>
      <c r="VL201" s="0" t="n">
        <v>0</v>
      </c>
      <c r="VM201" s="0" t="n">
        <v>0</v>
      </c>
      <c r="VN201" s="0" t="n">
        <v>0</v>
      </c>
      <c r="VO201" s="0" t="n">
        <v>0</v>
      </c>
      <c r="VP201" s="0" t="n">
        <v>0</v>
      </c>
      <c r="VQ201" s="0" t="n">
        <v>0</v>
      </c>
      <c r="VR201" s="0" t="n">
        <v>0</v>
      </c>
      <c r="VS201" s="0" t="n">
        <v>0.72</v>
      </c>
      <c r="VT201" s="0" t="n">
        <v>23.12</v>
      </c>
      <c r="VU201" s="0" t="n">
        <v>24.81</v>
      </c>
      <c r="VV201" s="0" t="n">
        <v>0</v>
      </c>
      <c r="VW201" s="0" t="n">
        <v>0</v>
      </c>
      <c r="VX201" s="0" t="n">
        <v>0</v>
      </c>
      <c r="WK201" s="0" t="n">
        <v>0</v>
      </c>
      <c r="WL201" s="0" t="n">
        <v>1</v>
      </c>
      <c r="WM201" s="0" t="n">
        <v>23</v>
      </c>
      <c r="WN201" s="0" t="n">
        <v>1</v>
      </c>
      <c r="WO201" s="0" t="n">
        <v>0.3</v>
      </c>
      <c r="WP201" s="0" t="n">
        <v>3</v>
      </c>
      <c r="WW201" s="18"/>
      <c r="XO201" s="0" t="n">
        <v>0</v>
      </c>
      <c r="YZ201" s="16" t="n">
        <v>1.26</v>
      </c>
      <c r="ZA201" s="16" t="n">
        <v>1</v>
      </c>
      <c r="ZB201" s="16" t="n">
        <v>1</v>
      </c>
      <c r="ZC201" s="16"/>
      <c r="ZD201" s="16" t="n">
        <f aca="false">2.1+1.7+0.4+0.37+0.74</f>
        <v>5.31</v>
      </c>
      <c r="ZE201" s="16"/>
      <c r="ZF201" s="16"/>
      <c r="ZG201" s="16"/>
      <c r="ZH201" s="16"/>
      <c r="ZI201" s="16"/>
      <c r="ZJ201" s="16"/>
      <c r="ZK201" s="16" t="n">
        <v>6.24</v>
      </c>
      <c r="ZL201" s="16" t="n">
        <v>6.99</v>
      </c>
      <c r="ZM201" s="16"/>
      <c r="ZN201" s="16"/>
      <c r="ZO201" s="16" t="n">
        <v>0</v>
      </c>
      <c r="ZP201" s="16" t="n">
        <v>0</v>
      </c>
      <c r="ZQ201" s="16" t="n">
        <v>0</v>
      </c>
      <c r="ZR201" s="0" t="n">
        <v>0</v>
      </c>
      <c r="ZS201" s="0" t="s">
        <v>235</v>
      </c>
      <c r="ZT201" s="0" t="n">
        <v>37</v>
      </c>
      <c r="ZU201" s="16" t="n">
        <v>81.9</v>
      </c>
      <c r="ZV201" s="16" t="n">
        <v>81</v>
      </c>
      <c r="ZW201" s="16" t="n">
        <v>26.3</v>
      </c>
      <c r="ZX201" s="0" t="n">
        <v>68.54</v>
      </c>
      <c r="ZY201" s="0" t="n">
        <v>0</v>
      </c>
      <c r="ZZ201" s="0" t="n">
        <v>0</v>
      </c>
      <c r="AAA201" s="0" t="n">
        <v>0</v>
      </c>
      <c r="AAB201" s="0" t="n">
        <v>31.46</v>
      </c>
      <c r="AAC201" s="0" t="n">
        <v>0</v>
      </c>
      <c r="AAD201" s="0" t="n">
        <v>0</v>
      </c>
      <c r="AAE201" s="0" t="n">
        <v>0</v>
      </c>
      <c r="AAF201" s="0" t="n">
        <v>0</v>
      </c>
      <c r="AAG201" s="0" t="n">
        <v>0</v>
      </c>
      <c r="AAH201" s="0" t="n">
        <v>0</v>
      </c>
      <c r="AAI201" s="0" t="n">
        <v>0</v>
      </c>
      <c r="AAJ201" s="0" t="n">
        <v>5.42</v>
      </c>
      <c r="AAK201" s="0" t="n">
        <v>17.37</v>
      </c>
      <c r="AAL201" s="0" t="n">
        <v>41.85</v>
      </c>
      <c r="AAM201" s="0" t="n">
        <v>0</v>
      </c>
      <c r="AAN201" s="0" t="n">
        <v>0</v>
      </c>
      <c r="AAO201" s="0" t="n">
        <v>0</v>
      </c>
      <c r="ABB201" s="0" t="n">
        <v>0</v>
      </c>
      <c r="ABC201" s="0" t="n">
        <v>1</v>
      </c>
      <c r="ABD201" s="0" t="n">
        <v>23</v>
      </c>
      <c r="ABE201" s="0" t="n">
        <v>2</v>
      </c>
      <c r="ABF201" s="0" t="n">
        <v>2.11</v>
      </c>
      <c r="ABG201" s="0" t="n">
        <v>3</v>
      </c>
      <c r="ABN201" s="18"/>
      <c r="ACF201" s="0" t="n">
        <v>0</v>
      </c>
      <c r="ADQ201" s="16" t="n">
        <v>2.64</v>
      </c>
      <c r="ADR201" s="16" t="n">
        <v>1</v>
      </c>
      <c r="ADS201" s="16" t="n">
        <v>1</v>
      </c>
      <c r="ADT201" s="16"/>
      <c r="ADU201" s="16" t="n">
        <f aca="false">4.2*2+1.7+5.1+0.37+0.74</f>
        <v>16.31</v>
      </c>
      <c r="ADV201" s="16"/>
      <c r="ADW201" s="16"/>
      <c r="ADX201" s="16"/>
      <c r="ADY201" s="16"/>
      <c r="ADZ201" s="16"/>
      <c r="AEA201" s="16"/>
      <c r="AEB201" s="16" t="n">
        <v>5.32</v>
      </c>
      <c r="AEC201" s="16" t="n">
        <v>8.04</v>
      </c>
      <c r="AED201" s="16"/>
      <c r="AEE201" s="16"/>
      <c r="AEF201" s="16" t="n">
        <v>0</v>
      </c>
      <c r="AEG201" s="16" t="n">
        <v>0</v>
      </c>
      <c r="AEH201" s="16" t="n">
        <v>0</v>
      </c>
      <c r="AEI201" s="0" t="n">
        <v>0</v>
      </c>
      <c r="AEJ201" s="0" t="s">
        <v>461</v>
      </c>
      <c r="AEK201" s="0" t="n">
        <v>38</v>
      </c>
      <c r="AEL201" s="16" t="n">
        <v>84.5</v>
      </c>
      <c r="AEM201" s="16" t="n">
        <v>81</v>
      </c>
      <c r="AEN201" s="16" t="n">
        <v>11.8</v>
      </c>
      <c r="AEO201" s="0" t="n">
        <v>99.78</v>
      </c>
      <c r="AEP201" s="0" t="n">
        <v>0</v>
      </c>
      <c r="AEQ201" s="0" t="n">
        <v>0</v>
      </c>
      <c r="AER201" s="0" t="n">
        <v>0</v>
      </c>
      <c r="AES201" s="0" t="n">
        <v>0.22</v>
      </c>
      <c r="AET201" s="0" t="n">
        <v>0</v>
      </c>
      <c r="AEU201" s="0" t="n">
        <v>0</v>
      </c>
      <c r="AEV201" s="0" t="n">
        <v>0</v>
      </c>
      <c r="AEW201" s="0" t="n">
        <v>0</v>
      </c>
      <c r="AEX201" s="0" t="n">
        <v>0</v>
      </c>
      <c r="AEY201" s="0" t="n">
        <v>0</v>
      </c>
      <c r="AEZ201" s="0" t="n">
        <v>7.31</v>
      </c>
      <c r="AFA201" s="0" t="n">
        <v>0</v>
      </c>
      <c r="AFB201" s="0" t="n">
        <v>30.29</v>
      </c>
      <c r="AFC201" s="0" t="n">
        <v>31.72</v>
      </c>
      <c r="AFD201" s="0" t="n">
        <v>0</v>
      </c>
      <c r="AFE201" s="0" t="n">
        <v>0</v>
      </c>
      <c r="AFF201" s="0" t="n">
        <v>0</v>
      </c>
      <c r="AFS201" s="0" t="n">
        <v>14</v>
      </c>
      <c r="AFT201" s="0" t="n">
        <v>1</v>
      </c>
      <c r="AFU201" s="0" t="n">
        <v>52</v>
      </c>
      <c r="AFV201" s="0" t="n">
        <v>6</v>
      </c>
      <c r="AFW201" s="0" t="n">
        <v>4.53</v>
      </c>
      <c r="AFX201" s="0" t="n">
        <v>2</v>
      </c>
      <c r="AGE201" s="18"/>
      <c r="AGW201" s="0" t="n">
        <v>1</v>
      </c>
      <c r="AGX201" s="0" t="n">
        <v>50</v>
      </c>
      <c r="AGY201" s="0" t="n">
        <v>3</v>
      </c>
      <c r="AGZ201" s="0" t="n">
        <v>0.4</v>
      </c>
      <c r="AHA201" s="0" t="n">
        <v>6</v>
      </c>
      <c r="AIH201" s="16" t="n">
        <v>3.9</v>
      </c>
      <c r="AII201" s="16" t="n">
        <v>1</v>
      </c>
      <c r="AIJ201" s="16" t="n">
        <v>1</v>
      </c>
      <c r="AIK201" s="16"/>
      <c r="AIL201" s="16" t="n">
        <f aca="false">1.7*3+4.53+2.64*2+0.6</f>
        <v>15.51</v>
      </c>
      <c r="AIM201" s="16"/>
      <c r="AIN201" s="16"/>
      <c r="AIO201" s="16"/>
      <c r="AIP201" s="16"/>
      <c r="AIQ201" s="16"/>
      <c r="AIR201" s="16"/>
      <c r="AIS201" s="16" t="n">
        <v>8.14</v>
      </c>
      <c r="AIT201" s="16" t="n">
        <v>15.87</v>
      </c>
      <c r="AIU201" s="16"/>
      <c r="AIV201" s="16"/>
      <c r="AIW201" s="16" t="n">
        <v>0</v>
      </c>
      <c r="AIX201" s="16" t="n">
        <v>0</v>
      </c>
      <c r="AIY201" s="16" t="n">
        <v>0</v>
      </c>
      <c r="AIZ201" s="0" t="n">
        <v>0</v>
      </c>
      <c r="AJA201" s="0" t="s">
        <v>595</v>
      </c>
      <c r="AJB201" s="0" t="n">
        <v>21.5</v>
      </c>
      <c r="AJC201" s="16" t="n">
        <v>79.7</v>
      </c>
      <c r="AJD201" s="16" t="n">
        <v>81</v>
      </c>
      <c r="AJE201" s="16" t="n">
        <v>7.9</v>
      </c>
      <c r="AJF201" s="0" t="n">
        <v>99.71</v>
      </c>
      <c r="AJG201" s="0" t="n">
        <v>0</v>
      </c>
      <c r="AJH201" s="0" t="n">
        <v>0</v>
      </c>
      <c r="AJI201" s="0" t="n">
        <v>0</v>
      </c>
      <c r="AJJ201" s="0" t="n">
        <v>0.29</v>
      </c>
      <c r="AJK201" s="0" t="n">
        <v>0</v>
      </c>
      <c r="AJL201" s="0" t="n">
        <v>0</v>
      </c>
      <c r="AJM201" s="0" t="n">
        <v>0</v>
      </c>
      <c r="AJN201" s="0" t="n">
        <v>0</v>
      </c>
      <c r="AJO201" s="0" t="n">
        <v>0</v>
      </c>
      <c r="AJP201" s="0" t="n">
        <v>0</v>
      </c>
      <c r="AJQ201" s="0" t="n">
        <v>0</v>
      </c>
      <c r="AJR201" s="0" t="n">
        <v>11.15</v>
      </c>
      <c r="AJS201" s="0" t="n">
        <v>33.12</v>
      </c>
      <c r="AJT201" s="0" t="n">
        <v>8.72</v>
      </c>
      <c r="AJU201" s="0" t="n">
        <v>0</v>
      </c>
      <c r="AJV201" s="0" t="n">
        <v>0</v>
      </c>
      <c r="AJW201" s="0" t="n">
        <v>0</v>
      </c>
      <c r="AKJ201" s="0" t="n">
        <v>0</v>
      </c>
      <c r="AKK201" s="0" t="n">
        <v>1</v>
      </c>
      <c r="AKL201" s="0" t="n">
        <v>23</v>
      </c>
      <c r="AKM201" s="0" t="n">
        <v>1</v>
      </c>
      <c r="AKN201" s="0" t="n">
        <v>2.27</v>
      </c>
      <c r="AKO201" s="0" t="n">
        <v>3</v>
      </c>
      <c r="AKV201" s="18"/>
      <c r="ALN201" s="0" t="n">
        <v>1</v>
      </c>
      <c r="ALO201" s="0" t="n">
        <v>50</v>
      </c>
      <c r="ALP201" s="0" t="n">
        <v>9</v>
      </c>
      <c r="ALQ201" s="0" t="n">
        <v>4.93</v>
      </c>
      <c r="ALR201" s="0" t="n">
        <v>3</v>
      </c>
    </row>
    <row r="202" customFormat="false" ht="13.8" hidden="false" customHeight="false" outlineLevel="0" collapsed="false">
      <c r="A202" s="1" t="s">
        <v>713</v>
      </c>
      <c r="B202" s="12" t="n">
        <v>42906</v>
      </c>
      <c r="C202" s="0" t="n">
        <v>2</v>
      </c>
      <c r="D202" s="13" t="n">
        <v>35116</v>
      </c>
      <c r="E202" s="12" t="n">
        <v>23835</v>
      </c>
      <c r="F202" s="14" t="n">
        <f aca="false">(B202-E202)/365.25</f>
        <v>52.2135523613963</v>
      </c>
      <c r="G202" s="14" t="n">
        <f aca="false">(B202-D202)/365.25</f>
        <v>21.3278576317591</v>
      </c>
      <c r="H202" s="15" t="s">
        <v>183</v>
      </c>
      <c r="I202" s="15" t="s">
        <v>571</v>
      </c>
      <c r="J202" s="15" t="s">
        <v>181</v>
      </c>
      <c r="K202" s="21" t="n">
        <v>8</v>
      </c>
      <c r="L202" s="19" t="n">
        <v>68</v>
      </c>
      <c r="M202" s="0" t="n">
        <v>1.69</v>
      </c>
      <c r="N202" s="16" t="n">
        <f aca="false">L202/(M202*M202)</f>
        <v>23.8086901719128</v>
      </c>
      <c r="O202" s="19" t="n">
        <v>1</v>
      </c>
      <c r="P202" s="19" t="n">
        <v>0</v>
      </c>
      <c r="Q202" s="19" t="n">
        <v>0</v>
      </c>
      <c r="R202" s="26" t="n">
        <v>0</v>
      </c>
      <c r="S202" s="26" t="n">
        <v>0</v>
      </c>
      <c r="T202" s="26" t="n">
        <v>0</v>
      </c>
      <c r="U202" s="19" t="n">
        <v>0</v>
      </c>
      <c r="V202" s="19" t="n">
        <v>0</v>
      </c>
      <c r="W202" s="19" t="n">
        <v>0</v>
      </c>
      <c r="X202" s="19" t="n">
        <v>0</v>
      </c>
      <c r="Y202" s="19" t="n">
        <v>0</v>
      </c>
      <c r="Z202" s="19" t="n">
        <v>0</v>
      </c>
      <c r="AA202" s="19" t="n">
        <v>0</v>
      </c>
      <c r="AB202" s="19" t="n">
        <v>0</v>
      </c>
      <c r="AC202" s="19" t="n">
        <v>1</v>
      </c>
      <c r="AD202" s="19" t="n">
        <v>8</v>
      </c>
      <c r="AE202" s="19" t="n">
        <v>0</v>
      </c>
      <c r="AF202" s="19" t="n">
        <v>0</v>
      </c>
      <c r="AG202" s="19" t="n">
        <v>0</v>
      </c>
      <c r="AH202" s="19" t="n">
        <v>0</v>
      </c>
      <c r="AI202" s="19" t="n">
        <v>0</v>
      </c>
      <c r="AJ202" s="19" t="n">
        <v>0</v>
      </c>
      <c r="AK202" s="19" t="n">
        <v>0</v>
      </c>
      <c r="AL202" s="19" t="n">
        <v>0</v>
      </c>
      <c r="AM202" s="19" t="n">
        <v>0</v>
      </c>
      <c r="AN202" s="19" t="n">
        <v>1</v>
      </c>
      <c r="AO202" s="19" t="n">
        <v>0</v>
      </c>
      <c r="AP202" s="19" t="n">
        <v>3</v>
      </c>
      <c r="AQ202" s="19" t="n">
        <v>6</v>
      </c>
      <c r="AR202" s="19" t="n">
        <v>3</v>
      </c>
      <c r="AS202" s="19" t="n">
        <v>0</v>
      </c>
      <c r="AT202" s="19" t="n">
        <v>0</v>
      </c>
      <c r="AU202" s="19" t="n">
        <v>0</v>
      </c>
      <c r="AV202" s="19" t="n">
        <v>0</v>
      </c>
      <c r="AW202" s="19" t="n">
        <v>0</v>
      </c>
      <c r="AX202" s="19" t="n">
        <v>0</v>
      </c>
      <c r="AY202" s="19" t="n">
        <v>0</v>
      </c>
      <c r="AZ202" s="19" t="n">
        <v>0</v>
      </c>
      <c r="BA202" s="19" t="n">
        <v>0</v>
      </c>
      <c r="BB202" s="19" t="n">
        <v>0</v>
      </c>
      <c r="BC202" s="19" t="n">
        <v>0</v>
      </c>
      <c r="BD202" s="19" t="n">
        <v>0</v>
      </c>
      <c r="BE202" s="19" t="n">
        <v>0</v>
      </c>
      <c r="BF202" s="19" t="n">
        <v>0</v>
      </c>
      <c r="BG202" s="19" t="n">
        <v>0</v>
      </c>
      <c r="BH202" s="19" t="n">
        <v>0</v>
      </c>
      <c r="BI202" s="19" t="n">
        <v>0</v>
      </c>
      <c r="BJ202" s="19" t="n">
        <v>0</v>
      </c>
      <c r="BK202" s="19" t="n">
        <v>0</v>
      </c>
      <c r="BL202" s="19" t="n">
        <v>0</v>
      </c>
      <c r="BM202" s="19" t="n">
        <v>0</v>
      </c>
      <c r="BN202" s="19" t="n">
        <v>0</v>
      </c>
      <c r="BO202" s="19" t="n">
        <v>0</v>
      </c>
      <c r="BP202" s="19" t="n">
        <v>0</v>
      </c>
      <c r="BQ202" s="19" t="n">
        <v>0</v>
      </c>
      <c r="BR202" s="19" t="n">
        <v>2</v>
      </c>
      <c r="BS202" s="19" t="n">
        <v>2</v>
      </c>
      <c r="BT202" s="19" t="n">
        <v>3</v>
      </c>
      <c r="BU202" s="19" t="n">
        <v>5</v>
      </c>
      <c r="BV202" s="19" t="n">
        <v>2</v>
      </c>
      <c r="BW202" s="19" t="n">
        <v>3</v>
      </c>
      <c r="BX202" s="19" t="n">
        <v>4</v>
      </c>
      <c r="BY202" s="19" t="n">
        <v>3</v>
      </c>
      <c r="BZ202" s="19" t="n">
        <v>1</v>
      </c>
      <c r="CA202" s="19" t="n">
        <v>3</v>
      </c>
      <c r="CB202" s="19" t="n">
        <v>4</v>
      </c>
      <c r="CC202" s="19" t="n">
        <v>4</v>
      </c>
      <c r="CD202" s="19" t="n">
        <v>4</v>
      </c>
      <c r="CE202" s="19" t="n">
        <v>4</v>
      </c>
      <c r="CF202" s="19" t="n">
        <v>5</v>
      </c>
      <c r="CG202" s="19" t="n">
        <v>4</v>
      </c>
      <c r="CH202" s="19" t="n">
        <v>5</v>
      </c>
      <c r="CI202" s="19" t="n">
        <v>5</v>
      </c>
      <c r="CJ202" s="19" t="n">
        <v>4</v>
      </c>
      <c r="CK202" s="19" t="n">
        <v>9</v>
      </c>
      <c r="CL202" s="0" t="s">
        <v>540</v>
      </c>
      <c r="CM202" s="0" t="n">
        <v>70.5</v>
      </c>
      <c r="CN202" s="16" t="n">
        <v>88.2</v>
      </c>
      <c r="CO202" s="16" t="n">
        <v>80.4</v>
      </c>
      <c r="CP202" s="16" t="n">
        <v>36.3</v>
      </c>
      <c r="CQ202" s="0" t="n">
        <v>72.69</v>
      </c>
      <c r="CR202" s="17" t="n">
        <v>0</v>
      </c>
      <c r="CS202" s="0" t="n">
        <v>10.32</v>
      </c>
      <c r="CT202" s="0" t="n">
        <v>16.99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36.66</v>
      </c>
      <c r="DD202" s="0" t="n">
        <v>7.54</v>
      </c>
      <c r="DE202" s="0" t="n">
        <v>10.32</v>
      </c>
      <c r="DF202" s="0" t="n">
        <v>0</v>
      </c>
      <c r="DG202" s="0" t="n">
        <v>0</v>
      </c>
      <c r="DH202" s="0" t="n">
        <v>0</v>
      </c>
      <c r="DU202" s="0" t="n">
        <v>21.2</v>
      </c>
      <c r="DV202" s="0" t="n">
        <v>1</v>
      </c>
      <c r="DW202" s="0" t="n">
        <v>35</v>
      </c>
      <c r="DX202" s="0" t="n">
        <v>7</v>
      </c>
      <c r="DY202" s="0" t="n">
        <f aca="false">5.71+0.54</f>
        <v>6.25</v>
      </c>
      <c r="DZ202" s="0" t="n">
        <v>3</v>
      </c>
      <c r="EA202" s="0" t="n">
        <v>47</v>
      </c>
      <c r="EB202" s="0" t="n">
        <v>2</v>
      </c>
      <c r="EC202" s="0" t="n">
        <v>0.4</v>
      </c>
      <c r="ED202" s="0" t="n">
        <v>3</v>
      </c>
      <c r="EG202" s="20"/>
      <c r="EY202" s="0" t="n">
        <v>0</v>
      </c>
      <c r="GJ202" s="16" t="n">
        <v>11.58</v>
      </c>
      <c r="GK202" s="16" t="n">
        <v>1</v>
      </c>
      <c r="GL202" s="16" t="n">
        <v>2</v>
      </c>
      <c r="GM202" s="16"/>
      <c r="GN202" s="16" t="n">
        <f aca="false">0.22+1.95+3.81+0.27+0.32+0.04+0.05</f>
        <v>6.66</v>
      </c>
      <c r="GO202" s="16"/>
      <c r="GP202" s="16"/>
      <c r="GQ202" s="16"/>
      <c r="GR202" s="16"/>
      <c r="GS202" s="16"/>
      <c r="GT202" s="16"/>
      <c r="GU202" s="16" t="n">
        <v>0.27</v>
      </c>
      <c r="GV202" s="16" t="n">
        <v>0.27</v>
      </c>
      <c r="GW202" s="16" t="n">
        <v>0</v>
      </c>
      <c r="GX202" s="16" t="n">
        <v>0</v>
      </c>
      <c r="GY202" s="16" t="n">
        <v>0</v>
      </c>
      <c r="GZ202" s="16" t="n">
        <v>0</v>
      </c>
      <c r="HA202" s="16" t="n">
        <v>0</v>
      </c>
      <c r="HB202" s="0" t="n">
        <v>0</v>
      </c>
      <c r="HC202" s="0" t="s">
        <v>541</v>
      </c>
      <c r="HD202" s="0" t="n">
        <v>94.5</v>
      </c>
      <c r="HE202" s="16" t="n">
        <v>88.2</v>
      </c>
      <c r="HF202" s="16" t="n">
        <v>80.4</v>
      </c>
      <c r="HG202" s="16" t="n">
        <v>73.1</v>
      </c>
      <c r="HH202" s="0" t="n">
        <v>41.34</v>
      </c>
      <c r="HI202" s="17" t="n">
        <v>0</v>
      </c>
      <c r="HJ202" s="0" t="n">
        <v>8.63</v>
      </c>
      <c r="HK202" s="0" t="n">
        <v>0.04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Q202" s="0" t="n">
        <v>0</v>
      </c>
      <c r="HR202" s="0" t="n">
        <v>0</v>
      </c>
      <c r="HS202" s="0" t="n">
        <v>0</v>
      </c>
      <c r="HT202" s="0" t="n">
        <v>8.06</v>
      </c>
      <c r="HU202" s="0" t="n">
        <v>3.65</v>
      </c>
      <c r="HV202" s="0" t="n">
        <v>7.2</v>
      </c>
      <c r="HW202" s="0" t="n">
        <v>0</v>
      </c>
      <c r="HX202" s="0" t="n">
        <v>0</v>
      </c>
      <c r="HY202" s="0" t="n">
        <v>0</v>
      </c>
      <c r="IL202" s="0" t="n">
        <v>9.4</v>
      </c>
      <c r="IM202" s="0" t="n">
        <v>1</v>
      </c>
      <c r="IN202" s="0" t="n">
        <v>35</v>
      </c>
      <c r="IO202" s="0" t="n">
        <v>2</v>
      </c>
      <c r="IP202" s="0" t="n">
        <f aca="false">0.76+0.45</f>
        <v>1.21</v>
      </c>
      <c r="IQ202" s="0" t="n">
        <v>3</v>
      </c>
      <c r="IX202" s="20"/>
      <c r="JP202" s="0" t="n">
        <v>1</v>
      </c>
      <c r="JQ202" s="0" t="n">
        <v>70</v>
      </c>
      <c r="JR202" s="0" t="n">
        <v>2</v>
      </c>
      <c r="JS202" s="0" t="n">
        <f aca="false">0.75+1.69</f>
        <v>2.44</v>
      </c>
      <c r="JT202" s="0" t="n">
        <v>2</v>
      </c>
      <c r="LA202" s="16" t="n">
        <v>0.84</v>
      </c>
      <c r="LB202" s="16" t="n">
        <v>1</v>
      </c>
      <c r="LC202" s="16" t="n">
        <v>1</v>
      </c>
      <c r="LD202" s="16"/>
      <c r="LE202" s="16" t="n">
        <v>0.6</v>
      </c>
      <c r="LF202" s="16"/>
      <c r="LG202" s="16"/>
      <c r="LH202" s="16"/>
      <c r="LI202" s="16"/>
      <c r="LJ202" s="16"/>
      <c r="LK202" s="16"/>
      <c r="LL202" s="16" t="n">
        <v>10.19</v>
      </c>
      <c r="LM202" s="16" t="n">
        <v>8.46</v>
      </c>
      <c r="LN202" s="16" t="n">
        <v>0</v>
      </c>
      <c r="LO202" s="16" t="n">
        <v>0</v>
      </c>
      <c r="LP202" s="16" t="n">
        <v>0</v>
      </c>
      <c r="LQ202" s="16" t="n">
        <v>0</v>
      </c>
      <c r="LR202" s="16" t="n">
        <v>0</v>
      </c>
      <c r="LS202" s="0" t="n">
        <v>0</v>
      </c>
      <c r="LT202" s="0" t="s">
        <v>542</v>
      </c>
      <c r="LU202" s="0" t="n">
        <v>75</v>
      </c>
      <c r="LV202" s="16" t="n">
        <v>91.2</v>
      </c>
      <c r="LW202" s="16" t="n">
        <v>80.4</v>
      </c>
      <c r="LX202" s="16" t="n">
        <v>61</v>
      </c>
      <c r="LY202" s="0" t="n">
        <v>53.67</v>
      </c>
      <c r="LZ202" s="17" t="n">
        <v>0</v>
      </c>
      <c r="MA202" s="0" t="n">
        <v>16.76</v>
      </c>
      <c r="MB202" s="0" t="n">
        <v>29.58</v>
      </c>
      <c r="MC202" s="0" t="n">
        <v>0</v>
      </c>
      <c r="MD202" s="0" t="n">
        <v>0</v>
      </c>
      <c r="ME202" s="0" t="n">
        <v>0</v>
      </c>
      <c r="MF202" s="0" t="n">
        <v>0</v>
      </c>
      <c r="MG202" s="0" t="n">
        <v>0</v>
      </c>
      <c r="MH202" s="0" t="n">
        <v>0</v>
      </c>
      <c r="MI202" s="0" t="n">
        <v>0</v>
      </c>
      <c r="MJ202" s="0" t="n">
        <v>0</v>
      </c>
      <c r="MK202" s="0" t="n">
        <v>6.79</v>
      </c>
      <c r="ML202" s="0" t="n">
        <v>14.97</v>
      </c>
      <c r="MM202" s="0" t="n">
        <v>18.24</v>
      </c>
      <c r="MN202" s="0" t="n">
        <v>0</v>
      </c>
      <c r="MO202" s="0" t="n">
        <v>0</v>
      </c>
      <c r="MP202" s="0" t="n">
        <v>0</v>
      </c>
      <c r="NC202" s="0" t="n">
        <v>9</v>
      </c>
      <c r="ND202" s="0" t="n">
        <v>1</v>
      </c>
      <c r="NE202" s="0" t="n">
        <v>68</v>
      </c>
      <c r="NF202" s="0" t="n">
        <v>1</v>
      </c>
      <c r="NG202" s="0" t="n">
        <v>0.38</v>
      </c>
      <c r="NH202" s="0" t="n">
        <v>1</v>
      </c>
      <c r="NI202" s="0" t="n">
        <v>47</v>
      </c>
      <c r="NJ202" s="0" t="n">
        <v>1</v>
      </c>
      <c r="NK202" s="0" t="n">
        <v>1.13</v>
      </c>
      <c r="NL202" s="0" t="n">
        <v>3</v>
      </c>
      <c r="NO202" s="20"/>
      <c r="OG202" s="0" t="n">
        <v>1</v>
      </c>
      <c r="OH202" s="0" t="n">
        <v>70</v>
      </c>
      <c r="OI202" s="0" t="n">
        <v>2</v>
      </c>
      <c r="OJ202" s="0" t="n">
        <f aca="false">1.69+0.75</f>
        <v>2.44</v>
      </c>
      <c r="OK202" s="0" t="n">
        <v>2</v>
      </c>
      <c r="PR202" s="16" t="n">
        <v>1.88</v>
      </c>
      <c r="PS202" s="16" t="n">
        <v>1</v>
      </c>
      <c r="PT202" s="16" t="n">
        <v>1</v>
      </c>
      <c r="PU202" s="16"/>
      <c r="PV202" s="16" t="n">
        <f aca="false">1.04+1.04+1.04</f>
        <v>3.12</v>
      </c>
      <c r="PW202" s="16"/>
      <c r="PX202" s="16"/>
      <c r="PY202" s="16"/>
      <c r="PZ202" s="16"/>
      <c r="QA202" s="16"/>
      <c r="QB202" s="16"/>
      <c r="QC202" s="16" t="n">
        <v>1.5</v>
      </c>
      <c r="QD202" s="16" t="n">
        <v>1.5</v>
      </c>
      <c r="QE202" s="16" t="n">
        <v>0</v>
      </c>
      <c r="QF202" s="16" t="n">
        <v>0</v>
      </c>
      <c r="QG202" s="16" t="n">
        <v>0</v>
      </c>
      <c r="QH202" s="16" t="n">
        <v>0</v>
      </c>
      <c r="QI202" s="16" t="n">
        <v>0</v>
      </c>
      <c r="QJ202" s="0" t="n">
        <v>0</v>
      </c>
      <c r="QK202" s="0" t="s">
        <v>543</v>
      </c>
      <c r="QL202" s="0" t="n">
        <v>21</v>
      </c>
      <c r="QM202" s="16" t="n">
        <v>77.9</v>
      </c>
      <c r="QN202" s="16" t="n">
        <v>160.8</v>
      </c>
      <c r="QO202" s="16" t="n">
        <v>14.1</v>
      </c>
      <c r="QP202" s="0" t="n">
        <v>87.99</v>
      </c>
      <c r="QQ202" s="17" t="n">
        <v>0</v>
      </c>
      <c r="QR202" s="0" t="n">
        <v>3.38</v>
      </c>
      <c r="QS202" s="0" t="n">
        <v>0</v>
      </c>
      <c r="QT202" s="0" t="n">
        <v>8.63</v>
      </c>
      <c r="QU202" s="0" t="n">
        <v>0</v>
      </c>
      <c r="QV202" s="0" t="n">
        <v>0</v>
      </c>
      <c r="QW202" s="0" t="n">
        <v>0</v>
      </c>
      <c r="QX202" s="0" t="n">
        <v>0</v>
      </c>
      <c r="QY202" s="0" t="n">
        <v>0</v>
      </c>
      <c r="QZ202" s="0" t="n">
        <v>0</v>
      </c>
      <c r="RA202" s="0" t="n">
        <v>0</v>
      </c>
      <c r="RB202" s="0" t="n">
        <v>0</v>
      </c>
      <c r="RC202" s="0" t="n">
        <v>65.6</v>
      </c>
      <c r="RD202" s="0" t="n">
        <v>0</v>
      </c>
      <c r="RE202" s="0" t="n">
        <v>0</v>
      </c>
      <c r="RF202" s="0" t="n">
        <v>0</v>
      </c>
      <c r="RG202" s="0" t="n">
        <v>0</v>
      </c>
      <c r="RT202" s="0" t="n">
        <v>1.4</v>
      </c>
      <c r="RU202" s="0" t="n">
        <v>1</v>
      </c>
      <c r="RV202" s="0" t="n">
        <v>35</v>
      </c>
      <c r="RW202" s="0" t="n">
        <v>3</v>
      </c>
      <c r="RX202" s="0" t="n">
        <f aca="false">0.38</f>
        <v>0.38</v>
      </c>
      <c r="RY202" s="0" t="n">
        <v>3</v>
      </c>
      <c r="RZ202" s="0" t="n">
        <v>34</v>
      </c>
      <c r="SA202" s="0" t="n">
        <v>27</v>
      </c>
      <c r="SB202" s="0" t="n">
        <f aca="false">0.19+0.19+1.13+3.38+0.56+1.5+1.13+0.38</f>
        <v>8.46</v>
      </c>
      <c r="SC202" s="0" t="n">
        <v>1</v>
      </c>
      <c r="SF202" s="20"/>
      <c r="SX202" s="0" t="n">
        <v>1</v>
      </c>
      <c r="SY202" s="0" t="n">
        <v>40</v>
      </c>
      <c r="SZ202" s="0" t="n">
        <v>9</v>
      </c>
      <c r="TA202" s="0" t="n">
        <f aca="false">0.38+1.13+3+1.88+0.75</f>
        <v>7.14</v>
      </c>
      <c r="TB202" s="0" t="n">
        <v>3</v>
      </c>
      <c r="UI202" s="16" t="n">
        <v>0</v>
      </c>
      <c r="UJ202" s="16" t="n">
        <v>0</v>
      </c>
      <c r="UK202" s="16"/>
      <c r="UL202" s="16"/>
      <c r="UM202" s="16"/>
      <c r="UN202" s="16"/>
      <c r="UO202" s="16"/>
      <c r="UP202" s="16"/>
      <c r="UQ202" s="16"/>
      <c r="UR202" s="16"/>
      <c r="US202" s="16"/>
      <c r="UT202" s="16" t="n">
        <v>5.27</v>
      </c>
      <c r="UU202" s="16" t="n">
        <v>1.5</v>
      </c>
      <c r="UV202" s="16" t="n">
        <v>0</v>
      </c>
      <c r="UW202" s="16" t="n">
        <v>0</v>
      </c>
      <c r="UX202" s="16" t="n">
        <v>0</v>
      </c>
      <c r="UY202" s="16" t="n">
        <v>0</v>
      </c>
      <c r="UZ202" s="16" t="n">
        <v>0</v>
      </c>
      <c r="VA202" s="0" t="n">
        <v>0</v>
      </c>
      <c r="VE202" s="15"/>
      <c r="VF202" s="15"/>
      <c r="VM202" s="15"/>
      <c r="VN202" s="15"/>
      <c r="VU202" s="15"/>
      <c r="VV202" s="15"/>
      <c r="WC202" s="15"/>
      <c r="WD202" s="15"/>
      <c r="WK202" s="15"/>
      <c r="WL202" s="15"/>
      <c r="WS202" s="15"/>
      <c r="WT202" s="15"/>
      <c r="XA202" s="15"/>
      <c r="XB202" s="15"/>
      <c r="XI202" s="15"/>
      <c r="XJ202" s="15"/>
      <c r="XQ202" s="15"/>
      <c r="XR202" s="15"/>
      <c r="XY202" s="15"/>
      <c r="XZ202" s="15"/>
      <c r="YG202" s="15"/>
      <c r="YH202" s="15"/>
      <c r="YO202" s="15"/>
      <c r="YP202" s="15"/>
      <c r="YW202" s="15"/>
      <c r="YX202" s="15"/>
      <c r="ZE202" s="15"/>
      <c r="ZF202" s="15"/>
      <c r="ZM202" s="15"/>
      <c r="ZN202" s="15"/>
      <c r="ZU202" s="15"/>
      <c r="ZV202" s="15"/>
      <c r="AAC202" s="15"/>
      <c r="AAD202" s="15"/>
      <c r="AAK202" s="15"/>
      <c r="AAL202" s="15"/>
      <c r="AAS202" s="15"/>
      <c r="AAT202" s="15"/>
      <c r="ABA202" s="15"/>
      <c r="ABB202" s="15"/>
      <c r="ABI202" s="15"/>
      <c r="ABJ202" s="15"/>
      <c r="ABQ202" s="15"/>
      <c r="ABR202" s="15"/>
      <c r="ABY202" s="15"/>
      <c r="ABZ202" s="15"/>
      <c r="ACG202" s="15"/>
      <c r="ACH202" s="15"/>
      <c r="ACO202" s="15"/>
      <c r="ACP202" s="15"/>
      <c r="ACW202" s="15"/>
      <c r="ACX202" s="15"/>
      <c r="ADE202" s="15"/>
      <c r="ADF202" s="15"/>
      <c r="ADM202" s="15"/>
      <c r="ADN202" s="15"/>
      <c r="ADU202" s="15"/>
      <c r="ADV202" s="15"/>
      <c r="AEC202" s="15"/>
      <c r="AED202" s="15"/>
      <c r="AEK202" s="15"/>
      <c r="AEL202" s="15"/>
      <c r="AES202" s="15"/>
      <c r="AET202" s="15"/>
      <c r="AFA202" s="15"/>
      <c r="AFB202" s="15"/>
      <c r="AFI202" s="15"/>
      <c r="AFJ202" s="15"/>
      <c r="AFQ202" s="15"/>
      <c r="AFR202" s="15"/>
      <c r="AFY202" s="15"/>
      <c r="AFZ202" s="15"/>
      <c r="AGG202" s="15"/>
      <c r="AGH202" s="15"/>
      <c r="AGO202" s="15"/>
      <c r="AGP202" s="15"/>
      <c r="AGW202" s="15"/>
      <c r="AGX202" s="15"/>
      <c r="AHE202" s="15"/>
      <c r="AHF202" s="15"/>
      <c r="AHM202" s="15"/>
      <c r="AHN202" s="15"/>
      <c r="AHU202" s="15"/>
      <c r="AHV202" s="15"/>
      <c r="AIC202" s="15"/>
      <c r="AID202" s="15"/>
      <c r="AIK202" s="15"/>
      <c r="AIL202" s="15"/>
      <c r="AIS202" s="15"/>
      <c r="AIT202" s="15"/>
      <c r="AJA202" s="15"/>
      <c r="AJB202" s="15"/>
      <c r="AJI202" s="15"/>
      <c r="AJJ202" s="15"/>
      <c r="AJQ202" s="15"/>
      <c r="AJR202" s="15"/>
      <c r="AJY202" s="15"/>
      <c r="AJZ202" s="15"/>
      <c r="AKG202" s="15"/>
      <c r="AKH202" s="15"/>
      <c r="AKO202" s="15"/>
      <c r="AKP202" s="15"/>
      <c r="AKW202" s="15"/>
      <c r="AKX202" s="15"/>
      <c r="ALE202" s="15"/>
      <c r="ALF202" s="15"/>
      <c r="ALM202" s="15"/>
      <c r="ALN202" s="15"/>
      <c r="ALU202" s="15"/>
      <c r="ALV202" s="15"/>
      <c r="AMC202" s="15"/>
      <c r="AMD202" s="15"/>
    </row>
    <row r="203" customFormat="false" ht="13.8" hidden="false" customHeight="false" outlineLevel="0" collapsed="false">
      <c r="A203" s="1" t="s">
        <v>714</v>
      </c>
      <c r="B203" s="12" t="n">
        <v>42907</v>
      </c>
      <c r="C203" s="0" t="n">
        <v>2</v>
      </c>
      <c r="D203" s="13" t="n">
        <v>35696</v>
      </c>
      <c r="E203" s="12" t="n">
        <v>27284</v>
      </c>
      <c r="F203" s="14" t="n">
        <f aca="false">(B203-E203)/365.25</f>
        <v>42.7734428473648</v>
      </c>
      <c r="G203" s="14" t="n">
        <f aca="false">(B203-D203)/365.25</f>
        <v>19.7426420260096</v>
      </c>
      <c r="H203" s="15" t="s">
        <v>183</v>
      </c>
      <c r="I203" s="15" t="s">
        <v>571</v>
      </c>
      <c r="J203" s="15" t="s">
        <v>181</v>
      </c>
      <c r="K203" s="21" t="n">
        <v>8</v>
      </c>
      <c r="L203" s="19" t="n">
        <v>82</v>
      </c>
      <c r="M203" s="0" t="n">
        <v>1.77</v>
      </c>
      <c r="N203" s="16" t="n">
        <f aca="false">L203/(M203*M203)</f>
        <v>26.1738325513103</v>
      </c>
      <c r="O203" s="19" t="n">
        <v>0</v>
      </c>
      <c r="P203" s="19" t="n">
        <v>0</v>
      </c>
      <c r="Q203" s="19" t="n">
        <v>0</v>
      </c>
      <c r="R203" s="26" t="n">
        <v>0</v>
      </c>
      <c r="S203" s="26" t="n">
        <v>0</v>
      </c>
      <c r="T203" s="26" t="n">
        <v>0</v>
      </c>
      <c r="U203" s="19" t="n">
        <v>0</v>
      </c>
      <c r="V203" s="19" t="n">
        <v>0</v>
      </c>
      <c r="W203" s="19" t="n">
        <v>1</v>
      </c>
      <c r="X203" s="19" t="n">
        <v>0</v>
      </c>
      <c r="Y203" s="19" t="n">
        <v>1</v>
      </c>
      <c r="Z203" s="19" t="n">
        <v>1</v>
      </c>
      <c r="AA203" s="19" t="n">
        <v>30</v>
      </c>
      <c r="AB203" s="19" t="s">
        <v>215</v>
      </c>
      <c r="AC203" s="19" t="n">
        <v>0</v>
      </c>
      <c r="AD203" s="19" t="n">
        <v>0</v>
      </c>
      <c r="AE203" s="19" t="n">
        <v>0</v>
      </c>
      <c r="AF203" s="19" t="n">
        <v>0</v>
      </c>
      <c r="AG203" s="19" t="n">
        <v>0</v>
      </c>
      <c r="AH203" s="19" t="n">
        <v>0</v>
      </c>
      <c r="AI203" s="19" t="n">
        <v>0</v>
      </c>
      <c r="AJ203" s="19" t="n">
        <v>0</v>
      </c>
      <c r="AK203" s="19" t="n">
        <v>0</v>
      </c>
      <c r="AL203" s="19" t="n">
        <v>0</v>
      </c>
      <c r="AM203" s="19" t="n">
        <v>0</v>
      </c>
      <c r="AN203" s="19" t="n">
        <v>0</v>
      </c>
      <c r="AO203" s="19" t="n">
        <v>0</v>
      </c>
      <c r="AP203" s="19" t="n">
        <v>0</v>
      </c>
      <c r="AQ203" s="19" t="n">
        <v>0</v>
      </c>
      <c r="AR203" s="19" t="n">
        <v>0</v>
      </c>
      <c r="AS203" s="19" t="n">
        <v>1</v>
      </c>
      <c r="AT203" s="19" t="n">
        <v>1</v>
      </c>
      <c r="AU203" s="19" t="n">
        <v>0</v>
      </c>
      <c r="AV203" s="19" t="n">
        <v>0</v>
      </c>
      <c r="AW203" s="19" t="n">
        <v>0</v>
      </c>
      <c r="AX203" s="19" t="n">
        <v>0</v>
      </c>
      <c r="AY203" s="19" t="n">
        <v>0</v>
      </c>
      <c r="AZ203" s="19" t="n">
        <v>0</v>
      </c>
      <c r="BA203" s="19" t="n">
        <v>0</v>
      </c>
      <c r="BB203" s="19" t="n">
        <v>0</v>
      </c>
      <c r="BC203" s="19" t="n">
        <v>0</v>
      </c>
      <c r="BD203" s="19" t="n">
        <v>0</v>
      </c>
      <c r="BE203" s="19" t="n">
        <v>0</v>
      </c>
      <c r="BF203" s="19" t="n">
        <v>0</v>
      </c>
      <c r="BG203" s="19" t="n">
        <v>0</v>
      </c>
      <c r="BH203" s="19" t="n">
        <v>0</v>
      </c>
      <c r="BI203" s="19" t="n">
        <v>0</v>
      </c>
      <c r="BJ203" s="19" t="n">
        <v>0</v>
      </c>
      <c r="BK203" s="19" t="n">
        <v>0</v>
      </c>
      <c r="BL203" s="19" t="n">
        <v>0</v>
      </c>
      <c r="BM203" s="19" t="n">
        <v>0</v>
      </c>
      <c r="BN203" s="19" t="n">
        <v>0</v>
      </c>
      <c r="BO203" s="19" t="n">
        <v>0</v>
      </c>
      <c r="BP203" s="19" t="n">
        <v>0</v>
      </c>
      <c r="BQ203" s="19" t="n">
        <v>0</v>
      </c>
      <c r="BR203" s="19" t="n">
        <v>3</v>
      </c>
      <c r="BS203" s="19" t="n">
        <v>1</v>
      </c>
      <c r="BT203" s="19" t="n">
        <v>4</v>
      </c>
      <c r="BU203" s="19" t="n">
        <v>3</v>
      </c>
      <c r="BV203" s="19" t="n">
        <v>4</v>
      </c>
      <c r="BW203" s="19" t="n">
        <v>4</v>
      </c>
      <c r="BX203" s="19" t="n">
        <v>4</v>
      </c>
      <c r="BY203" s="19" t="n">
        <v>4</v>
      </c>
      <c r="BZ203" s="19" t="n">
        <v>2</v>
      </c>
      <c r="CA203" s="19" t="n">
        <v>2</v>
      </c>
      <c r="CB203" s="19" t="n">
        <v>4</v>
      </c>
      <c r="CC203" s="19" t="n">
        <v>4</v>
      </c>
      <c r="CD203" s="19" t="n">
        <v>2</v>
      </c>
      <c r="CE203" s="19" t="n">
        <v>3</v>
      </c>
      <c r="CF203" s="19" t="n">
        <v>4</v>
      </c>
      <c r="CG203" s="19" t="n">
        <v>4</v>
      </c>
      <c r="CH203" s="19" t="n">
        <v>4</v>
      </c>
      <c r="CI203" s="19" t="n">
        <v>5</v>
      </c>
      <c r="CJ203" s="19" t="n">
        <v>3</v>
      </c>
      <c r="CK203" s="19" t="n">
        <v>7</v>
      </c>
      <c r="CL203" s="0" t="s">
        <v>540</v>
      </c>
      <c r="CM203" s="0" t="n">
        <v>70.5</v>
      </c>
      <c r="CN203" s="16" t="n">
        <v>88.2</v>
      </c>
      <c r="CO203" s="16" t="n">
        <v>80.4</v>
      </c>
      <c r="CP203" s="16" t="n">
        <v>36.3</v>
      </c>
      <c r="CQ203" s="0" t="n">
        <v>72.69</v>
      </c>
      <c r="CR203" s="17" t="n">
        <v>0</v>
      </c>
      <c r="CS203" s="0" t="n">
        <v>10.32</v>
      </c>
      <c r="CT203" s="0" t="n">
        <v>16.99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36.66</v>
      </c>
      <c r="DD203" s="0" t="n">
        <v>7.54</v>
      </c>
      <c r="DE203" s="0" t="n">
        <v>10.32</v>
      </c>
      <c r="DF203" s="0" t="n">
        <v>0</v>
      </c>
      <c r="DG203" s="0" t="n">
        <v>0</v>
      </c>
      <c r="DH203" s="0" t="n">
        <v>0</v>
      </c>
      <c r="DU203" s="0" t="n">
        <v>21.2</v>
      </c>
      <c r="DV203" s="0" t="n">
        <v>1</v>
      </c>
      <c r="DW203" s="0" t="n">
        <v>35</v>
      </c>
      <c r="DX203" s="0" t="n">
        <v>7</v>
      </c>
      <c r="DY203" s="0" t="n">
        <f aca="false">5.71+0.54</f>
        <v>6.25</v>
      </c>
      <c r="DZ203" s="0" t="n">
        <v>3</v>
      </c>
      <c r="EA203" s="0" t="n">
        <v>47</v>
      </c>
      <c r="EB203" s="0" t="n">
        <v>2</v>
      </c>
      <c r="EC203" s="0" t="n">
        <v>0.4</v>
      </c>
      <c r="ED203" s="0" t="n">
        <v>3</v>
      </c>
      <c r="EG203" s="20"/>
      <c r="EY203" s="0" t="n">
        <v>0</v>
      </c>
      <c r="GJ203" s="16" t="n">
        <v>11.58</v>
      </c>
      <c r="GK203" s="16" t="n">
        <v>1</v>
      </c>
      <c r="GL203" s="16" t="n">
        <v>2</v>
      </c>
      <c r="GM203" s="16"/>
      <c r="GN203" s="16" t="n">
        <f aca="false">0.22+1.95+3.81+0.27+0.32+0.04+0.05</f>
        <v>6.66</v>
      </c>
      <c r="GO203" s="16"/>
      <c r="GP203" s="16"/>
      <c r="GQ203" s="16"/>
      <c r="GR203" s="16"/>
      <c r="GS203" s="16"/>
      <c r="GT203" s="16"/>
      <c r="GU203" s="16" t="n">
        <v>0.27</v>
      </c>
      <c r="GV203" s="16" t="n">
        <v>0.27</v>
      </c>
      <c r="GW203" s="16" t="n">
        <v>0</v>
      </c>
      <c r="GX203" s="16" t="n">
        <v>0</v>
      </c>
      <c r="GY203" s="16" t="n">
        <v>0</v>
      </c>
      <c r="GZ203" s="16" t="n">
        <v>0</v>
      </c>
      <c r="HA203" s="16" t="n">
        <v>0</v>
      </c>
      <c r="HB203" s="0" t="n">
        <v>0</v>
      </c>
      <c r="HC203" s="0" t="s">
        <v>541</v>
      </c>
      <c r="HD203" s="0" t="n">
        <v>94.5</v>
      </c>
      <c r="HE203" s="16" t="n">
        <v>88.2</v>
      </c>
      <c r="HF203" s="16" t="n">
        <v>80.4</v>
      </c>
      <c r="HG203" s="16" t="n">
        <v>73.1</v>
      </c>
      <c r="HH203" s="0" t="n">
        <v>41.34</v>
      </c>
      <c r="HI203" s="17" t="n">
        <v>0</v>
      </c>
      <c r="HJ203" s="0" t="n">
        <v>8.63</v>
      </c>
      <c r="HK203" s="0" t="n">
        <v>0.04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0</v>
      </c>
      <c r="HR203" s="0" t="n">
        <v>0</v>
      </c>
      <c r="HS203" s="0" t="n">
        <v>0</v>
      </c>
      <c r="HT203" s="0" t="n">
        <v>8.06</v>
      </c>
      <c r="HU203" s="0" t="n">
        <v>3.65</v>
      </c>
      <c r="HV203" s="0" t="n">
        <v>7.2</v>
      </c>
      <c r="HW203" s="0" t="n">
        <v>0</v>
      </c>
      <c r="HX203" s="0" t="n">
        <v>0</v>
      </c>
      <c r="HY203" s="0" t="n">
        <v>0</v>
      </c>
      <c r="IL203" s="0" t="n">
        <v>9.4</v>
      </c>
      <c r="IM203" s="0" t="n">
        <v>1</v>
      </c>
      <c r="IN203" s="0" t="n">
        <v>35</v>
      </c>
      <c r="IO203" s="0" t="n">
        <v>2</v>
      </c>
      <c r="IP203" s="0" t="n">
        <f aca="false">0.76+0.45</f>
        <v>1.21</v>
      </c>
      <c r="IQ203" s="0" t="n">
        <v>3</v>
      </c>
      <c r="IX203" s="20"/>
      <c r="JP203" s="0" t="n">
        <v>1</v>
      </c>
      <c r="JQ203" s="0" t="n">
        <v>70</v>
      </c>
      <c r="JR203" s="0" t="n">
        <v>2</v>
      </c>
      <c r="JS203" s="0" t="n">
        <f aca="false">0.75+1.69</f>
        <v>2.44</v>
      </c>
      <c r="JT203" s="0" t="n">
        <v>2</v>
      </c>
      <c r="LA203" s="16" t="n">
        <v>0.84</v>
      </c>
      <c r="LB203" s="16" t="n">
        <v>1</v>
      </c>
      <c r="LC203" s="16" t="n">
        <v>1</v>
      </c>
      <c r="LD203" s="16"/>
      <c r="LE203" s="16" t="n">
        <v>0.6</v>
      </c>
      <c r="LF203" s="16"/>
      <c r="LG203" s="16"/>
      <c r="LH203" s="16"/>
      <c r="LI203" s="16"/>
      <c r="LJ203" s="16"/>
      <c r="LK203" s="16"/>
      <c r="LL203" s="16" t="n">
        <v>10.19</v>
      </c>
      <c r="LM203" s="16" t="n">
        <v>8.46</v>
      </c>
      <c r="LN203" s="16" t="n">
        <v>0</v>
      </c>
      <c r="LO203" s="16" t="n">
        <v>0</v>
      </c>
      <c r="LP203" s="16" t="n">
        <v>0</v>
      </c>
      <c r="LQ203" s="16" t="n">
        <v>0</v>
      </c>
      <c r="LR203" s="16" t="n">
        <v>0</v>
      </c>
      <c r="LS203" s="0" t="n">
        <v>0</v>
      </c>
      <c r="LT203" s="0" t="s">
        <v>542</v>
      </c>
      <c r="LU203" s="0" t="n">
        <v>75</v>
      </c>
      <c r="LV203" s="16" t="n">
        <v>91.2</v>
      </c>
      <c r="LW203" s="16" t="n">
        <v>80.4</v>
      </c>
      <c r="LX203" s="16" t="n">
        <v>61</v>
      </c>
      <c r="LY203" s="0" t="n">
        <v>53.67</v>
      </c>
      <c r="LZ203" s="17" t="n">
        <v>0</v>
      </c>
      <c r="MA203" s="0" t="n">
        <v>16.76</v>
      </c>
      <c r="MB203" s="0" t="n">
        <v>29.58</v>
      </c>
      <c r="MC203" s="0" t="n">
        <v>0</v>
      </c>
      <c r="MD203" s="0" t="n">
        <v>0</v>
      </c>
      <c r="ME203" s="0" t="n">
        <v>0</v>
      </c>
      <c r="MF203" s="0" t="n">
        <v>0</v>
      </c>
      <c r="MG203" s="0" t="n">
        <v>0</v>
      </c>
      <c r="MH203" s="0" t="n">
        <v>0</v>
      </c>
      <c r="MI203" s="0" t="n">
        <v>0</v>
      </c>
      <c r="MJ203" s="0" t="n">
        <v>0</v>
      </c>
      <c r="MK203" s="0" t="n">
        <v>6.79</v>
      </c>
      <c r="ML203" s="0" t="n">
        <v>14.97</v>
      </c>
      <c r="MM203" s="0" t="n">
        <v>18.24</v>
      </c>
      <c r="MN203" s="0" t="n">
        <v>0</v>
      </c>
      <c r="MO203" s="0" t="n">
        <v>0</v>
      </c>
      <c r="MP203" s="0" t="n">
        <v>0</v>
      </c>
      <c r="NC203" s="0" t="n">
        <v>9</v>
      </c>
      <c r="ND203" s="0" t="n">
        <v>1</v>
      </c>
      <c r="NE203" s="0" t="n">
        <v>68</v>
      </c>
      <c r="NF203" s="0" t="n">
        <v>1</v>
      </c>
      <c r="NG203" s="0" t="n">
        <v>0.38</v>
      </c>
      <c r="NH203" s="0" t="n">
        <v>1</v>
      </c>
      <c r="NI203" s="0" t="n">
        <v>47</v>
      </c>
      <c r="NJ203" s="0" t="n">
        <v>1</v>
      </c>
      <c r="NK203" s="0" t="n">
        <v>1.13</v>
      </c>
      <c r="NL203" s="0" t="n">
        <v>3</v>
      </c>
      <c r="NO203" s="20"/>
      <c r="OG203" s="0" t="n">
        <v>1</v>
      </c>
      <c r="OH203" s="0" t="n">
        <v>70</v>
      </c>
      <c r="OI203" s="0" t="n">
        <v>2</v>
      </c>
      <c r="OJ203" s="0" t="n">
        <f aca="false">1.69+0.75</f>
        <v>2.44</v>
      </c>
      <c r="OK203" s="0" t="n">
        <v>2</v>
      </c>
      <c r="PR203" s="16" t="n">
        <v>1.88</v>
      </c>
      <c r="PS203" s="16" t="n">
        <v>1</v>
      </c>
      <c r="PT203" s="16" t="n">
        <v>1</v>
      </c>
      <c r="PU203" s="16"/>
      <c r="PV203" s="16" t="n">
        <f aca="false">1.04+1.04+1.04</f>
        <v>3.12</v>
      </c>
      <c r="PW203" s="16"/>
      <c r="PX203" s="16"/>
      <c r="PY203" s="16"/>
      <c r="PZ203" s="16"/>
      <c r="QA203" s="16"/>
      <c r="QB203" s="16"/>
      <c r="QC203" s="16" t="n">
        <v>1.5</v>
      </c>
      <c r="QD203" s="16" t="n">
        <v>1.5</v>
      </c>
      <c r="QE203" s="16" t="n">
        <v>0</v>
      </c>
      <c r="QF203" s="16" t="n">
        <v>0</v>
      </c>
      <c r="QG203" s="16" t="n">
        <v>0</v>
      </c>
      <c r="QH203" s="16" t="n">
        <v>0</v>
      </c>
      <c r="QI203" s="16" t="n">
        <v>0</v>
      </c>
      <c r="QJ203" s="0" t="n">
        <v>0</v>
      </c>
      <c r="QK203" s="0" t="s">
        <v>543</v>
      </c>
      <c r="QL203" s="0" t="n">
        <v>21</v>
      </c>
      <c r="QM203" s="16" t="n">
        <v>77.9</v>
      </c>
      <c r="QN203" s="16" t="n">
        <v>160.8</v>
      </c>
      <c r="QO203" s="16" t="n">
        <v>14.1</v>
      </c>
      <c r="QP203" s="0" t="n">
        <v>87.99</v>
      </c>
      <c r="QQ203" s="17" t="n">
        <v>0</v>
      </c>
      <c r="QR203" s="0" t="n">
        <v>3.38</v>
      </c>
      <c r="QS203" s="0" t="n">
        <v>0</v>
      </c>
      <c r="QT203" s="0" t="n">
        <v>8.63</v>
      </c>
      <c r="QU203" s="0" t="n">
        <v>0</v>
      </c>
      <c r="QV203" s="0" t="n">
        <v>0</v>
      </c>
      <c r="QW203" s="0" t="n">
        <v>0</v>
      </c>
      <c r="QX203" s="0" t="n">
        <v>0</v>
      </c>
      <c r="QY203" s="0" t="n">
        <v>0</v>
      </c>
      <c r="QZ203" s="0" t="n">
        <v>0</v>
      </c>
      <c r="RA203" s="0" t="n">
        <v>0</v>
      </c>
      <c r="RB203" s="0" t="n">
        <v>0</v>
      </c>
      <c r="RC203" s="0" t="n">
        <v>65.6</v>
      </c>
      <c r="RD203" s="0" t="n">
        <v>0</v>
      </c>
      <c r="RE203" s="0" t="n">
        <v>0</v>
      </c>
      <c r="RF203" s="0" t="n">
        <v>0</v>
      </c>
      <c r="RG203" s="0" t="n">
        <v>0</v>
      </c>
      <c r="RT203" s="0" t="n">
        <v>1.4</v>
      </c>
      <c r="RU203" s="0" t="n">
        <v>1</v>
      </c>
      <c r="RV203" s="0" t="n">
        <v>35</v>
      </c>
      <c r="RW203" s="0" t="n">
        <v>3</v>
      </c>
      <c r="RX203" s="0" t="n">
        <f aca="false">0.38</f>
        <v>0.38</v>
      </c>
      <c r="RY203" s="0" t="n">
        <v>3</v>
      </c>
      <c r="RZ203" s="0" t="n">
        <v>34</v>
      </c>
      <c r="SA203" s="0" t="n">
        <v>27</v>
      </c>
      <c r="SB203" s="0" t="n">
        <f aca="false">0.19+0.19+1.13+3.38+0.56+1.5+1.13+0.38</f>
        <v>8.46</v>
      </c>
      <c r="SC203" s="0" t="n">
        <v>1</v>
      </c>
      <c r="SF203" s="20"/>
      <c r="SX203" s="0" t="n">
        <v>1</v>
      </c>
      <c r="SY203" s="0" t="n">
        <v>40</v>
      </c>
      <c r="SZ203" s="0" t="n">
        <v>9</v>
      </c>
      <c r="TA203" s="0" t="n">
        <f aca="false">0.38+1.13+3+1.88+0.75</f>
        <v>7.14</v>
      </c>
      <c r="TB203" s="0" t="n">
        <v>3</v>
      </c>
      <c r="UI203" s="16" t="n">
        <v>0</v>
      </c>
      <c r="UJ203" s="16" t="n">
        <v>0</v>
      </c>
      <c r="UK203" s="16"/>
      <c r="UL203" s="16"/>
      <c r="UM203" s="16"/>
      <c r="UN203" s="16"/>
      <c r="UO203" s="16"/>
      <c r="UP203" s="16"/>
      <c r="UQ203" s="16"/>
      <c r="UR203" s="16"/>
      <c r="US203" s="16"/>
      <c r="UT203" s="16" t="n">
        <v>5.27</v>
      </c>
      <c r="UU203" s="16" t="n">
        <v>1.5</v>
      </c>
      <c r="UV203" s="16" t="n">
        <v>0</v>
      </c>
      <c r="UW203" s="16" t="n">
        <v>0</v>
      </c>
      <c r="UX203" s="16" t="n">
        <v>0</v>
      </c>
      <c r="UY203" s="16" t="n">
        <v>0</v>
      </c>
      <c r="UZ203" s="16" t="n">
        <v>0</v>
      </c>
      <c r="VA203" s="0" t="n">
        <v>0</v>
      </c>
      <c r="VE203" s="15"/>
      <c r="VF203" s="15"/>
      <c r="VM203" s="15"/>
      <c r="VN203" s="15"/>
      <c r="VU203" s="15"/>
      <c r="VV203" s="15"/>
      <c r="WC203" s="15"/>
      <c r="WD203" s="15"/>
      <c r="WK203" s="15"/>
      <c r="WL203" s="15"/>
      <c r="WS203" s="15"/>
      <c r="WT203" s="15"/>
      <c r="XA203" s="15"/>
      <c r="XB203" s="15"/>
      <c r="XI203" s="15"/>
      <c r="XJ203" s="15"/>
      <c r="XQ203" s="15"/>
      <c r="XR203" s="15"/>
      <c r="XY203" s="15"/>
      <c r="XZ203" s="15"/>
      <c r="YG203" s="15"/>
      <c r="YH203" s="15"/>
      <c r="YO203" s="15"/>
      <c r="YP203" s="15"/>
      <c r="YW203" s="15"/>
      <c r="YX203" s="15"/>
      <c r="ZE203" s="15"/>
      <c r="ZF203" s="15"/>
      <c r="ZM203" s="15"/>
      <c r="ZN203" s="15"/>
      <c r="ZU203" s="15"/>
      <c r="ZV203" s="15"/>
      <c r="AAC203" s="15"/>
      <c r="AAD203" s="15"/>
      <c r="AAK203" s="15"/>
      <c r="AAL203" s="15"/>
      <c r="AAS203" s="15"/>
      <c r="AAT203" s="15"/>
      <c r="ABA203" s="15"/>
      <c r="ABB203" s="15"/>
      <c r="ABI203" s="15"/>
      <c r="ABJ203" s="15"/>
      <c r="ABQ203" s="15"/>
      <c r="ABR203" s="15"/>
      <c r="ABY203" s="15"/>
      <c r="ABZ203" s="15"/>
      <c r="ACG203" s="15"/>
      <c r="ACH203" s="15"/>
      <c r="ACO203" s="15"/>
      <c r="ACP203" s="15"/>
      <c r="ACW203" s="15"/>
      <c r="ACX203" s="15"/>
      <c r="ADE203" s="15"/>
      <c r="ADF203" s="15"/>
      <c r="ADM203" s="15"/>
      <c r="ADN203" s="15"/>
      <c r="ADU203" s="15"/>
      <c r="ADV203" s="15"/>
      <c r="AEC203" s="15"/>
      <c r="AED203" s="15"/>
      <c r="AEK203" s="15"/>
      <c r="AEL203" s="15"/>
      <c r="AES203" s="15"/>
      <c r="AET203" s="15"/>
      <c r="AFA203" s="15"/>
      <c r="AFB203" s="15"/>
      <c r="AFI203" s="15"/>
      <c r="AFJ203" s="15"/>
      <c r="AFQ203" s="15"/>
      <c r="AFR203" s="15"/>
      <c r="AFY203" s="15"/>
      <c r="AFZ203" s="15"/>
      <c r="AGG203" s="15"/>
      <c r="AGH203" s="15"/>
      <c r="AGO203" s="15"/>
      <c r="AGP203" s="15"/>
      <c r="AGW203" s="15"/>
      <c r="AGX203" s="15"/>
      <c r="AHE203" s="15"/>
      <c r="AHF203" s="15"/>
      <c r="AHM203" s="15"/>
      <c r="AHN203" s="15"/>
      <c r="AHU203" s="15"/>
      <c r="AHV203" s="15"/>
      <c r="AIC203" s="15"/>
      <c r="AID203" s="15"/>
      <c r="AIK203" s="15"/>
      <c r="AIL203" s="15"/>
      <c r="AIS203" s="15"/>
      <c r="AIT203" s="15"/>
      <c r="AJA203" s="15"/>
      <c r="AJB203" s="15"/>
      <c r="AJI203" s="15"/>
      <c r="AJJ203" s="15"/>
      <c r="AJQ203" s="15"/>
      <c r="AJR203" s="15"/>
      <c r="AJY203" s="15"/>
      <c r="AJZ203" s="15"/>
      <c r="AKG203" s="15"/>
      <c r="AKH203" s="15"/>
      <c r="AKO203" s="15"/>
      <c r="AKP203" s="15"/>
      <c r="AKW203" s="15"/>
      <c r="AKX203" s="15"/>
      <c r="ALE203" s="15"/>
      <c r="ALF203" s="15"/>
      <c r="ALM203" s="15"/>
      <c r="ALN203" s="15"/>
      <c r="ALU203" s="15"/>
      <c r="ALV203" s="15"/>
      <c r="AMC203" s="15"/>
      <c r="AMD203" s="15"/>
    </row>
    <row r="204" customFormat="false" ht="13.8" hidden="false" customHeight="false" outlineLevel="0" collapsed="false">
      <c r="A204" s="1" t="s">
        <v>715</v>
      </c>
      <c r="B204" s="12" t="n">
        <v>42900</v>
      </c>
      <c r="C204" s="0" t="n">
        <v>1</v>
      </c>
      <c r="D204" s="13" t="n">
        <v>42811</v>
      </c>
      <c r="E204" s="12" t="n">
        <v>27235</v>
      </c>
      <c r="F204" s="14" t="n">
        <f aca="false">(B204-E204)/365.25</f>
        <v>42.8884325804244</v>
      </c>
      <c r="G204" s="14" t="n">
        <f aca="false">(B204-D204)/365.25</f>
        <v>0.243668720054757</v>
      </c>
      <c r="H204" s="15" t="s">
        <v>228</v>
      </c>
      <c r="I204" s="15" t="s">
        <v>229</v>
      </c>
      <c r="J204" s="15" t="s">
        <v>183</v>
      </c>
      <c r="K204" s="21" t="n">
        <v>8</v>
      </c>
      <c r="L204" s="19" t="n">
        <v>75</v>
      </c>
      <c r="M204" s="0" t="n">
        <v>1.74</v>
      </c>
      <c r="N204" s="16" t="n">
        <f aca="false">L204/(M204*M204)</f>
        <v>24.7720967102656</v>
      </c>
      <c r="O204" s="19" t="n">
        <v>0</v>
      </c>
      <c r="P204" s="19" t="n">
        <v>0</v>
      </c>
      <c r="Q204" s="19" t="n">
        <v>0</v>
      </c>
      <c r="R204" s="26" t="n">
        <v>0</v>
      </c>
      <c r="S204" s="26" t="n">
        <v>0</v>
      </c>
      <c r="T204" s="26" t="n">
        <v>0</v>
      </c>
      <c r="U204" s="19" t="n">
        <v>0</v>
      </c>
      <c r="V204" s="19" t="n">
        <v>0</v>
      </c>
      <c r="W204" s="19" t="n">
        <v>0</v>
      </c>
      <c r="X204" s="19" t="n">
        <v>0</v>
      </c>
      <c r="Y204" s="19" t="n">
        <v>0</v>
      </c>
      <c r="Z204" s="19" t="n">
        <v>0</v>
      </c>
      <c r="AA204" s="19" t="n">
        <v>0</v>
      </c>
      <c r="AB204" s="19" t="n">
        <v>0</v>
      </c>
      <c r="AC204" s="19" t="n">
        <v>1</v>
      </c>
      <c r="AD204" s="19" t="n">
        <v>3</v>
      </c>
      <c r="AE204" s="19" t="n">
        <v>0</v>
      </c>
      <c r="AF204" s="19" t="n">
        <v>0</v>
      </c>
      <c r="AG204" s="19" t="n">
        <v>0</v>
      </c>
      <c r="AH204" s="19" t="n">
        <v>0</v>
      </c>
      <c r="AI204" s="19" t="n">
        <v>0</v>
      </c>
      <c r="AJ204" s="19" t="n">
        <v>0</v>
      </c>
      <c r="AK204" s="19" t="n">
        <v>0</v>
      </c>
      <c r="AL204" s="19" t="n">
        <v>0</v>
      </c>
      <c r="AM204" s="19" t="n">
        <v>0</v>
      </c>
      <c r="AN204" s="19" t="n">
        <v>0</v>
      </c>
      <c r="AO204" s="19" t="n">
        <v>0</v>
      </c>
      <c r="AP204" s="19" t="n">
        <v>0</v>
      </c>
      <c r="AQ204" s="19" t="n">
        <v>0</v>
      </c>
      <c r="AR204" s="19" t="n">
        <v>0</v>
      </c>
      <c r="AS204" s="19" t="n">
        <v>0</v>
      </c>
      <c r="AT204" s="19" t="n">
        <v>0</v>
      </c>
      <c r="AU204" s="19" t="n">
        <v>0</v>
      </c>
      <c r="AV204" s="19" t="n">
        <v>0</v>
      </c>
      <c r="AW204" s="19" t="n">
        <v>0</v>
      </c>
      <c r="AX204" s="19" t="n">
        <v>0</v>
      </c>
      <c r="AY204" s="19" t="n">
        <v>0</v>
      </c>
      <c r="AZ204" s="19" t="n">
        <v>0</v>
      </c>
      <c r="BA204" s="19" t="n">
        <v>0</v>
      </c>
      <c r="BB204" s="19" t="n">
        <v>0</v>
      </c>
      <c r="BC204" s="19" t="n">
        <v>0</v>
      </c>
      <c r="BD204" s="19" t="n">
        <v>0</v>
      </c>
      <c r="BE204" s="19" t="n">
        <v>0</v>
      </c>
      <c r="BF204" s="19" t="n">
        <v>0</v>
      </c>
      <c r="BG204" s="19" t="n">
        <v>0</v>
      </c>
      <c r="BH204" s="19" t="n">
        <v>0</v>
      </c>
      <c r="BI204" s="19" t="n">
        <v>0</v>
      </c>
      <c r="BJ204" s="19" t="n">
        <v>0</v>
      </c>
      <c r="BK204" s="19" t="n">
        <v>0</v>
      </c>
      <c r="BL204" s="19" t="n">
        <v>0</v>
      </c>
      <c r="BM204" s="19" t="n">
        <v>0</v>
      </c>
      <c r="BN204" s="19" t="n">
        <v>0</v>
      </c>
      <c r="BO204" s="19" t="n">
        <v>0</v>
      </c>
      <c r="BP204" s="19" t="n">
        <v>0</v>
      </c>
      <c r="BQ204" s="19" t="n">
        <v>0</v>
      </c>
      <c r="BR204" s="19" t="n">
        <v>2</v>
      </c>
      <c r="BS204" s="19" t="n">
        <v>2</v>
      </c>
      <c r="BT204" s="19" t="n">
        <v>2</v>
      </c>
      <c r="BU204" s="19" t="n">
        <v>4</v>
      </c>
      <c r="BV204" s="19" t="n">
        <v>1</v>
      </c>
      <c r="BW204" s="19" t="n">
        <v>3</v>
      </c>
      <c r="BX204" s="19" t="n">
        <v>4</v>
      </c>
      <c r="BY204" s="19" t="n">
        <v>5</v>
      </c>
      <c r="BZ204" s="19" t="n">
        <v>3</v>
      </c>
      <c r="CA204" s="19" t="n">
        <v>5</v>
      </c>
      <c r="CB204" s="19" t="n">
        <v>4</v>
      </c>
      <c r="CC204" s="19"/>
      <c r="CD204" s="19" t="n">
        <v>4</v>
      </c>
      <c r="CE204" s="19" t="n">
        <v>4</v>
      </c>
      <c r="CF204" s="19" t="n">
        <v>3</v>
      </c>
      <c r="CG204" s="19" t="n">
        <v>4</v>
      </c>
      <c r="CH204" s="19" t="n">
        <v>4</v>
      </c>
      <c r="CI204" s="19" t="n">
        <v>4</v>
      </c>
      <c r="CJ204" s="19" t="n">
        <v>4</v>
      </c>
      <c r="CK204" s="19" t="n">
        <v>9</v>
      </c>
      <c r="CL204" s="0" t="s">
        <v>230</v>
      </c>
      <c r="CM204" s="0" t="n">
        <v>64</v>
      </c>
      <c r="CN204" s="16" t="n">
        <v>74.3</v>
      </c>
      <c r="CO204" s="16" t="n">
        <v>81</v>
      </c>
      <c r="CP204" s="16" t="n">
        <v>58.5</v>
      </c>
      <c r="CQ204" s="0" t="n">
        <v>49.17</v>
      </c>
      <c r="CR204" s="0" t="n">
        <v>0</v>
      </c>
      <c r="CS204" s="0" t="n">
        <v>34.45</v>
      </c>
      <c r="CT204" s="0" t="n">
        <v>16.22</v>
      </c>
      <c r="CU204" s="0" t="n">
        <v>0.16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2.52</v>
      </c>
      <c r="DE204" s="0" t="n">
        <v>9.18</v>
      </c>
      <c r="DF204" s="0" t="n">
        <v>0</v>
      </c>
      <c r="DG204" s="0" t="n">
        <v>0</v>
      </c>
      <c r="DH204" s="0" t="n">
        <v>0</v>
      </c>
      <c r="DU204" s="0" t="n">
        <v>0.3</v>
      </c>
      <c r="DV204" s="0" t="n">
        <v>1</v>
      </c>
      <c r="DW204" s="0" t="n">
        <v>34</v>
      </c>
      <c r="DX204" s="0" t="n">
        <v>8</v>
      </c>
      <c r="DY204" s="0" t="n">
        <v>0.43</v>
      </c>
      <c r="DZ204" s="0" t="n">
        <v>1</v>
      </c>
      <c r="EA204" s="0" t="n">
        <v>47</v>
      </c>
      <c r="EB204" s="0" t="n">
        <v>1</v>
      </c>
      <c r="EC204" s="0" t="n">
        <v>0.04</v>
      </c>
      <c r="ED204" s="0" t="n">
        <v>3</v>
      </c>
      <c r="EG204" s="18"/>
      <c r="EY204" s="0" t="n">
        <v>0</v>
      </c>
      <c r="GJ204" s="16" t="n">
        <v>2.89</v>
      </c>
      <c r="GK204" s="16" t="n">
        <v>1</v>
      </c>
      <c r="GL204" s="16" t="n">
        <v>1</v>
      </c>
      <c r="GM204" s="16"/>
      <c r="GN204" s="16" t="n">
        <v>7.35</v>
      </c>
      <c r="GO204" s="16"/>
      <c r="GP204" s="16"/>
      <c r="GQ204" s="16"/>
      <c r="GR204" s="16"/>
      <c r="GS204" s="16"/>
      <c r="GT204" s="16"/>
      <c r="GU204" s="16" t="n">
        <v>0</v>
      </c>
      <c r="GV204" s="16" t="n">
        <v>0</v>
      </c>
      <c r="GW204" s="16"/>
      <c r="GX204" s="16"/>
      <c r="GY204" s="16" t="n">
        <v>0</v>
      </c>
      <c r="GZ204" s="16" t="n">
        <v>0</v>
      </c>
      <c r="HA204" s="16" t="n">
        <v>0</v>
      </c>
      <c r="HB204" s="0" t="n">
        <v>0</v>
      </c>
      <c r="HC204" s="0" t="s">
        <v>231</v>
      </c>
      <c r="HD204" s="0" t="n">
        <v>64.5</v>
      </c>
      <c r="HE204" s="16" t="n">
        <v>77.8</v>
      </c>
      <c r="HF204" s="16" t="n">
        <v>81</v>
      </c>
      <c r="HG204" s="16" t="n">
        <v>52.5</v>
      </c>
      <c r="HH204" s="0" t="n">
        <v>50.19</v>
      </c>
      <c r="HI204" s="0" t="n">
        <v>0</v>
      </c>
      <c r="HJ204" s="0" t="n">
        <v>26.36</v>
      </c>
      <c r="HK204" s="0" t="n">
        <v>23.45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Q204" s="0" t="n">
        <v>0</v>
      </c>
      <c r="HR204" s="0" t="n">
        <v>0</v>
      </c>
      <c r="HS204" s="0" t="n">
        <v>0</v>
      </c>
      <c r="HT204" s="0" t="n">
        <v>1.91</v>
      </c>
      <c r="HU204" s="0" t="n">
        <v>2.12</v>
      </c>
      <c r="HV204" s="0" t="n">
        <v>0</v>
      </c>
      <c r="HW204" s="0" t="n">
        <v>0</v>
      </c>
      <c r="HX204" s="0" t="n">
        <v>0</v>
      </c>
      <c r="HY204" s="0" t="n">
        <v>0</v>
      </c>
      <c r="IL204" s="0" t="n">
        <v>5.4</v>
      </c>
      <c r="IM204" s="0" t="n">
        <v>1</v>
      </c>
      <c r="IN204" s="0" t="n">
        <v>68</v>
      </c>
      <c r="IO204" s="0" t="n">
        <v>8</v>
      </c>
      <c r="IP204" s="0" t="n">
        <f aca="false">1.4*2+0.13</f>
        <v>2.93</v>
      </c>
      <c r="IQ204" s="0" t="n">
        <v>1</v>
      </c>
      <c r="IR204" s="0" t="n">
        <v>34</v>
      </c>
      <c r="IS204" s="0" t="n">
        <v>1</v>
      </c>
      <c r="IT204" s="0" t="n">
        <v>0.13</v>
      </c>
      <c r="IU204" s="0" t="n">
        <v>1</v>
      </c>
      <c r="IX204" s="18"/>
      <c r="JP204" s="0" t="n">
        <v>1</v>
      </c>
      <c r="JQ204" s="0" t="n">
        <v>60</v>
      </c>
      <c r="JR204" s="0" t="n">
        <v>1</v>
      </c>
      <c r="JS204" s="0" t="n">
        <v>0.22</v>
      </c>
      <c r="JT204" s="0" t="n">
        <v>3</v>
      </c>
      <c r="LA204" s="16" t="n">
        <v>3.48</v>
      </c>
      <c r="LB204" s="16" t="n">
        <v>1</v>
      </c>
      <c r="LC204" s="16" t="n">
        <v>1</v>
      </c>
      <c r="LD204" s="16"/>
      <c r="LE204" s="16" t="n">
        <f aca="false">7.35+1.4*2+0.62+0.74+0.03+0.7+0.18+0.03+0.05+0.01</f>
        <v>12.51</v>
      </c>
      <c r="LF204" s="16"/>
      <c r="LG204" s="16"/>
      <c r="LH204" s="16"/>
      <c r="LI204" s="16"/>
      <c r="LJ204" s="16"/>
      <c r="LK204" s="16"/>
      <c r="LL204" s="16" t="n">
        <v>0.13</v>
      </c>
      <c r="LM204" s="16" t="n">
        <v>0.13</v>
      </c>
      <c r="LN204" s="16"/>
      <c r="LO204" s="16"/>
      <c r="LP204" s="16" t="n">
        <v>0</v>
      </c>
      <c r="LQ204" s="16" t="n">
        <v>0</v>
      </c>
      <c r="LR204" s="16" t="n">
        <v>0</v>
      </c>
      <c r="LS204" s="0" t="n">
        <v>0</v>
      </c>
      <c r="LT204" s="0" t="s">
        <v>233</v>
      </c>
      <c r="LU204" s="0" t="n">
        <v>39.5</v>
      </c>
      <c r="LV204" s="16" t="n">
        <v>85</v>
      </c>
      <c r="LW204" s="16" t="n">
        <v>81</v>
      </c>
      <c r="LX204" s="16" t="n">
        <v>12.7</v>
      </c>
      <c r="LY204" s="0" t="n">
        <v>93.14</v>
      </c>
      <c r="LZ204" s="0" t="n">
        <v>0</v>
      </c>
      <c r="MA204" s="0" t="n">
        <v>1.57</v>
      </c>
      <c r="MB204" s="0" t="n">
        <v>2.08</v>
      </c>
      <c r="MC204" s="0" t="n">
        <v>3.21</v>
      </c>
      <c r="MD204" s="0" t="n">
        <v>0</v>
      </c>
      <c r="ME204" s="0" t="n">
        <v>0</v>
      </c>
      <c r="MF204" s="0" t="n">
        <v>0</v>
      </c>
      <c r="MG204" s="0" t="n">
        <v>0</v>
      </c>
      <c r="MH204" s="0" t="n">
        <v>0</v>
      </c>
      <c r="MI204" s="0" t="n">
        <v>0</v>
      </c>
      <c r="MJ204" s="0" t="n">
        <v>1.7</v>
      </c>
      <c r="MK204" s="0" t="n">
        <v>6.54</v>
      </c>
      <c r="ML204" s="0" t="n">
        <v>37.88</v>
      </c>
      <c r="MM204" s="0" t="n">
        <v>3</v>
      </c>
      <c r="MN204" s="0" t="n">
        <v>0</v>
      </c>
      <c r="MO204" s="0" t="n">
        <v>0</v>
      </c>
      <c r="MP204" s="0" t="n">
        <v>0</v>
      </c>
      <c r="NC204" s="0" t="n">
        <v>15.7</v>
      </c>
      <c r="ND204" s="0" t="n">
        <v>1</v>
      </c>
      <c r="NE204" s="0" t="n">
        <v>47</v>
      </c>
      <c r="NF204" s="0" t="n">
        <v>2</v>
      </c>
      <c r="NG204" s="0" t="n">
        <v>1.51</v>
      </c>
      <c r="NH204" s="0" t="n">
        <v>3</v>
      </c>
      <c r="NO204" s="18"/>
      <c r="OG204" s="0" t="n">
        <v>1</v>
      </c>
      <c r="OH204" s="0" t="n">
        <v>50</v>
      </c>
      <c r="OI204" s="0" t="n">
        <v>3</v>
      </c>
      <c r="OJ204" s="0" t="n">
        <v>0.4</v>
      </c>
      <c r="OK204" s="0" t="n">
        <v>3</v>
      </c>
      <c r="OL204" s="0" t="n">
        <v>40</v>
      </c>
      <c r="OM204" s="0" t="n">
        <v>7</v>
      </c>
      <c r="ON204" s="0" t="n">
        <f aca="false">2.27+3.02</f>
        <v>5.29</v>
      </c>
      <c r="OO204" s="0" t="n">
        <v>3</v>
      </c>
      <c r="PR204" s="16" t="n">
        <v>1.76</v>
      </c>
      <c r="PS204" s="16" t="n">
        <v>1</v>
      </c>
      <c r="PT204" s="16" t="n">
        <v>1</v>
      </c>
      <c r="PU204" s="16"/>
      <c r="PV204" s="16" t="n">
        <f aca="false">2.1+1.7+0.4+0.37+0.74</f>
        <v>5.31</v>
      </c>
      <c r="PW204" s="16"/>
      <c r="PX204" s="16"/>
      <c r="PY204" s="16"/>
      <c r="PZ204" s="16"/>
      <c r="QA204" s="16"/>
      <c r="QB204" s="16"/>
      <c r="QC204" s="16" t="n">
        <v>7.31</v>
      </c>
      <c r="QD204" s="16" t="n">
        <v>6.99</v>
      </c>
      <c r="QE204" s="16"/>
      <c r="QF204" s="16"/>
      <c r="QG204" s="16" t="n">
        <v>0</v>
      </c>
      <c r="QH204" s="16" t="n">
        <v>0</v>
      </c>
      <c r="QI204" s="16" t="n">
        <v>0</v>
      </c>
      <c r="QJ204" s="0" t="n">
        <v>0</v>
      </c>
      <c r="QK204" s="0" t="s">
        <v>235</v>
      </c>
      <c r="QL204" s="0" t="n">
        <v>37</v>
      </c>
      <c r="QM204" s="16" t="n">
        <v>81.9</v>
      </c>
      <c r="QN204" s="16" t="n">
        <v>81</v>
      </c>
      <c r="QO204" s="16" t="n">
        <v>26.3</v>
      </c>
      <c r="QP204" s="0" t="n">
        <v>68.54</v>
      </c>
      <c r="QQ204" s="0" t="n">
        <v>0</v>
      </c>
      <c r="QR204" s="0" t="n">
        <v>0</v>
      </c>
      <c r="QS204" s="0" t="n">
        <v>0</v>
      </c>
      <c r="QT204" s="0" t="n">
        <v>31.46</v>
      </c>
      <c r="QU204" s="0" t="n">
        <v>0</v>
      </c>
      <c r="QV204" s="0" t="n">
        <v>0</v>
      </c>
      <c r="QW204" s="0" t="n">
        <v>0</v>
      </c>
      <c r="QX204" s="0" t="n">
        <v>0</v>
      </c>
      <c r="QY204" s="0" t="n">
        <v>0</v>
      </c>
      <c r="QZ204" s="0" t="n">
        <v>0</v>
      </c>
      <c r="RA204" s="0" t="n">
        <v>0</v>
      </c>
      <c r="RB204" s="0" t="n">
        <v>5.42</v>
      </c>
      <c r="RC204" s="0" t="n">
        <v>17.37</v>
      </c>
      <c r="RD204" s="0" t="n">
        <v>41.85</v>
      </c>
      <c r="RE204" s="0" t="n">
        <v>0</v>
      </c>
      <c r="RF204" s="0" t="n">
        <v>0</v>
      </c>
      <c r="RG204" s="0" t="n">
        <v>0</v>
      </c>
      <c r="RT204" s="0" t="n">
        <v>0</v>
      </c>
      <c r="RU204" s="0" t="n">
        <v>1</v>
      </c>
      <c r="RV204" s="0" t="n">
        <v>23</v>
      </c>
      <c r="RW204" s="0" t="n">
        <v>2</v>
      </c>
      <c r="RX204" s="0" t="n">
        <v>2.11</v>
      </c>
      <c r="RY204" s="0" t="n">
        <v>3</v>
      </c>
      <c r="SF204" s="18"/>
      <c r="SX204" s="0" t="n">
        <v>0</v>
      </c>
      <c r="UI204" s="16" t="n">
        <v>2.64</v>
      </c>
      <c r="UJ204" s="16" t="n">
        <v>1</v>
      </c>
      <c r="UK204" s="16" t="n">
        <v>1</v>
      </c>
      <c r="UL204" s="16"/>
      <c r="UM204" s="16" t="n">
        <f aca="false">4.2*2+1.7+5.1+0.37+0.74</f>
        <v>16.31</v>
      </c>
      <c r="UN204" s="16"/>
      <c r="UO204" s="16"/>
      <c r="UP204" s="16"/>
      <c r="UQ204" s="16"/>
      <c r="UR204" s="16"/>
      <c r="US204" s="16"/>
      <c r="UT204" s="16" t="n">
        <v>5.32</v>
      </c>
      <c r="UU204" s="16" t="n">
        <v>8.04</v>
      </c>
      <c r="UV204" s="16"/>
      <c r="UW204" s="16"/>
      <c r="UX204" s="16" t="n">
        <v>0</v>
      </c>
      <c r="UY204" s="16" t="n">
        <v>0</v>
      </c>
      <c r="UZ204" s="16" t="n">
        <v>0</v>
      </c>
      <c r="VA204" s="0" t="n">
        <v>0</v>
      </c>
      <c r="VB204" s="0" t="s">
        <v>237</v>
      </c>
      <c r="VC204" s="0" t="n">
        <v>46</v>
      </c>
      <c r="VD204" s="16" t="n">
        <v>92.7</v>
      </c>
      <c r="VE204" s="16" t="n">
        <v>81</v>
      </c>
      <c r="VF204" s="16" t="n">
        <v>20.8</v>
      </c>
      <c r="VG204" s="0" t="n">
        <v>76.44</v>
      </c>
      <c r="VH204" s="0" t="n">
        <v>0</v>
      </c>
      <c r="VI204" s="0" t="n">
        <v>0</v>
      </c>
      <c r="VJ204" s="0" t="n">
        <v>0</v>
      </c>
      <c r="VK204" s="0" t="n">
        <v>23.56</v>
      </c>
      <c r="VL204" s="0" t="n">
        <v>0</v>
      </c>
      <c r="VM204" s="0" t="n">
        <v>0</v>
      </c>
      <c r="VN204" s="0" t="n">
        <v>0</v>
      </c>
      <c r="VO204" s="0" t="n">
        <v>0</v>
      </c>
      <c r="VP204" s="0" t="n">
        <v>0</v>
      </c>
      <c r="VQ204" s="0" t="n">
        <v>0</v>
      </c>
      <c r="VR204" s="0" t="n">
        <v>0.23</v>
      </c>
      <c r="VS204" s="0" t="n">
        <v>0.51</v>
      </c>
      <c r="VT204" s="0" t="n">
        <v>26.55</v>
      </c>
      <c r="VU204" s="0" t="n">
        <v>36.69</v>
      </c>
      <c r="VV204" s="0" t="n">
        <v>0</v>
      </c>
      <c r="VW204" s="0" t="n">
        <v>10.6</v>
      </c>
      <c r="VX204" s="0" t="n">
        <v>1</v>
      </c>
      <c r="VY204" s="0" t="n">
        <v>6</v>
      </c>
      <c r="WA204" s="0" t="n">
        <v>1</v>
      </c>
      <c r="WE204" s="0" t="n">
        <v>6</v>
      </c>
      <c r="WG204" s="0" t="n">
        <v>1</v>
      </c>
      <c r="WK204" s="0" t="n">
        <v>7.1</v>
      </c>
      <c r="WL204" s="0" t="n">
        <v>1</v>
      </c>
      <c r="WM204" s="0" t="n">
        <v>35</v>
      </c>
      <c r="WN204" s="0" t="n">
        <v>2</v>
      </c>
      <c r="WO204" s="0" t="n">
        <f aca="false">0.76*2</f>
        <v>1.52</v>
      </c>
      <c r="WP204" s="0" t="n">
        <v>3</v>
      </c>
      <c r="WW204" s="18"/>
      <c r="XO204" s="0" t="n">
        <v>0</v>
      </c>
      <c r="YZ204" s="16" t="n">
        <v>2.41</v>
      </c>
      <c r="ZA204" s="16" t="n">
        <v>1</v>
      </c>
      <c r="ZB204" s="16" t="n">
        <v>1</v>
      </c>
      <c r="ZC204" s="16"/>
      <c r="ZD204" s="16" t="n">
        <f aca="false">0.41+1.67+5+0.33+0.45+0.15</f>
        <v>8.01</v>
      </c>
      <c r="ZE204" s="16"/>
      <c r="ZF204" s="16"/>
      <c r="ZG204" s="16"/>
      <c r="ZH204" s="16"/>
      <c r="ZI204" s="16"/>
      <c r="ZJ204" s="16"/>
      <c r="ZK204" s="16" t="n">
        <v>0.33</v>
      </c>
      <c r="ZL204" s="16" t="n">
        <v>0.33</v>
      </c>
      <c r="ZM204" s="16"/>
      <c r="ZN204" s="16"/>
      <c r="ZO204" s="16" t="n">
        <v>0</v>
      </c>
      <c r="ZP204" s="16" t="n">
        <v>0</v>
      </c>
      <c r="ZQ204" s="16" t="n">
        <v>0</v>
      </c>
      <c r="ZR204" s="0" t="n">
        <v>0</v>
      </c>
      <c r="ZS204" s="0" t="s">
        <v>461</v>
      </c>
      <c r="ZT204" s="0" t="n">
        <v>38</v>
      </c>
      <c r="ZU204" s="16" t="n">
        <v>84.5</v>
      </c>
      <c r="ZV204" s="16" t="n">
        <v>81</v>
      </c>
      <c r="ZW204" s="16" t="n">
        <v>11.8</v>
      </c>
      <c r="ZX204" s="0" t="n">
        <v>99.78</v>
      </c>
      <c r="ZY204" s="0" t="n">
        <v>0</v>
      </c>
      <c r="ZZ204" s="0" t="n">
        <v>0</v>
      </c>
      <c r="AAA204" s="0" t="n">
        <v>0</v>
      </c>
      <c r="AAB204" s="0" t="n">
        <v>0.22</v>
      </c>
      <c r="AAC204" s="0" t="n">
        <v>0</v>
      </c>
      <c r="AAD204" s="0" t="n">
        <v>0</v>
      </c>
      <c r="AAE204" s="0" t="n">
        <v>0</v>
      </c>
      <c r="AAF204" s="0" t="n">
        <v>0</v>
      </c>
      <c r="AAG204" s="0" t="n">
        <v>0</v>
      </c>
      <c r="AAH204" s="0" t="n">
        <v>0</v>
      </c>
      <c r="AAI204" s="0" t="n">
        <v>7.31</v>
      </c>
      <c r="AAJ204" s="0" t="n">
        <v>0</v>
      </c>
      <c r="AAK204" s="0" t="n">
        <v>30.29</v>
      </c>
      <c r="AAL204" s="0" t="n">
        <v>31.72</v>
      </c>
      <c r="AAM204" s="0" t="n">
        <v>0</v>
      </c>
      <c r="AAN204" s="0" t="n">
        <v>0</v>
      </c>
      <c r="AAO204" s="0" t="n">
        <v>0</v>
      </c>
      <c r="ABB204" s="0" t="n">
        <v>14</v>
      </c>
      <c r="ABC204" s="0" t="n">
        <v>1</v>
      </c>
      <c r="ABD204" s="0" t="n">
        <v>52</v>
      </c>
      <c r="ABE204" s="0" t="n">
        <v>6</v>
      </c>
      <c r="ABF204" s="0" t="n">
        <v>4.53</v>
      </c>
      <c r="ABG204" s="0" t="n">
        <v>2</v>
      </c>
      <c r="ABN204" s="18"/>
      <c r="ACF204" s="0" t="n">
        <v>1</v>
      </c>
      <c r="ACG204" s="0" t="n">
        <v>50</v>
      </c>
      <c r="ACH204" s="0" t="n">
        <v>3</v>
      </c>
      <c r="ACI204" s="0" t="n">
        <v>0.4</v>
      </c>
      <c r="ACJ204" s="0" t="n">
        <v>6</v>
      </c>
      <c r="ADQ204" s="16" t="n">
        <v>3.9</v>
      </c>
      <c r="ADR204" s="16" t="n">
        <v>1</v>
      </c>
      <c r="ADS204" s="16" t="n">
        <v>1</v>
      </c>
      <c r="ADT204" s="16"/>
      <c r="ADU204" s="16" t="n">
        <f aca="false">1.7*3+4.53+2.64*2+0.6</f>
        <v>15.51</v>
      </c>
      <c r="ADV204" s="16"/>
      <c r="ADW204" s="16"/>
      <c r="ADX204" s="16"/>
      <c r="ADY204" s="16"/>
      <c r="ADZ204" s="16"/>
      <c r="AEA204" s="16"/>
      <c r="AEB204" s="16" t="n">
        <v>8.14</v>
      </c>
      <c r="AEC204" s="16" t="n">
        <v>15.87</v>
      </c>
      <c r="AED204" s="16"/>
      <c r="AEE204" s="16"/>
      <c r="AEF204" s="16" t="n">
        <v>0</v>
      </c>
      <c r="AEG204" s="16" t="n">
        <v>0</v>
      </c>
      <c r="AEH204" s="16" t="n">
        <v>0</v>
      </c>
      <c r="AEI204" s="0" t="n">
        <v>0</v>
      </c>
      <c r="AEJ204" s="0" t="s">
        <v>595</v>
      </c>
      <c r="AEK204" s="0" t="n">
        <v>21.5</v>
      </c>
      <c r="AEL204" s="16" t="n">
        <v>79.7</v>
      </c>
      <c r="AEM204" s="16" t="n">
        <v>81</v>
      </c>
      <c r="AEN204" s="16" t="n">
        <v>7.9</v>
      </c>
      <c r="AEO204" s="0" t="n">
        <v>99.71</v>
      </c>
      <c r="AEP204" s="0" t="n">
        <v>0</v>
      </c>
      <c r="AEQ204" s="0" t="n">
        <v>0</v>
      </c>
      <c r="AER204" s="0" t="n">
        <v>0</v>
      </c>
      <c r="AES204" s="0" t="n">
        <v>0.29</v>
      </c>
      <c r="AET204" s="0" t="n">
        <v>0</v>
      </c>
      <c r="AEU204" s="0" t="n">
        <v>0</v>
      </c>
      <c r="AEV204" s="0" t="n">
        <v>0</v>
      </c>
      <c r="AEW204" s="0" t="n">
        <v>0</v>
      </c>
      <c r="AEX204" s="0" t="n">
        <v>0</v>
      </c>
      <c r="AEY204" s="0" t="n">
        <v>0</v>
      </c>
      <c r="AEZ204" s="0" t="n">
        <v>0</v>
      </c>
      <c r="AFA204" s="0" t="n">
        <v>11.15</v>
      </c>
      <c r="AFB204" s="0" t="n">
        <v>33.12</v>
      </c>
      <c r="AFC204" s="0" t="n">
        <v>8.72</v>
      </c>
      <c r="AFD204" s="0" t="n">
        <v>0</v>
      </c>
      <c r="AFE204" s="0" t="n">
        <v>0</v>
      </c>
      <c r="AFF204" s="0" t="n">
        <v>0</v>
      </c>
      <c r="AFS204" s="0" t="n">
        <v>0</v>
      </c>
      <c r="AFT204" s="0" t="n">
        <v>1</v>
      </c>
      <c r="AFU204" s="0" t="n">
        <v>23</v>
      </c>
      <c r="AFV204" s="0" t="n">
        <v>1</v>
      </c>
      <c r="AFW204" s="0" t="n">
        <v>2.27</v>
      </c>
      <c r="AFX204" s="0" t="n">
        <v>3</v>
      </c>
      <c r="AGE204" s="18"/>
      <c r="AGW204" s="0" t="n">
        <v>1</v>
      </c>
      <c r="AGX204" s="0" t="n">
        <v>50</v>
      </c>
      <c r="AGY204" s="0" t="n">
        <v>9</v>
      </c>
      <c r="AGZ204" s="0" t="n">
        <v>4.93</v>
      </c>
      <c r="AHA204" s="0" t="n">
        <v>3</v>
      </c>
      <c r="AIH204" s="16" t="n">
        <v>2</v>
      </c>
      <c r="AII204" s="16" t="n">
        <v>1</v>
      </c>
      <c r="AIJ204" s="16" t="n">
        <v>1</v>
      </c>
      <c r="AIK204" s="16"/>
      <c r="AIL204" s="16" t="n">
        <f aca="false">1.7+2.1*2+0.6</f>
        <v>6.5</v>
      </c>
      <c r="AIM204" s="16"/>
      <c r="AIN204" s="16"/>
      <c r="AIO204" s="16"/>
      <c r="AIP204" s="16"/>
      <c r="AIQ204" s="16"/>
      <c r="AIR204" s="16"/>
      <c r="AIS204" s="16" t="n">
        <v>11.21</v>
      </c>
      <c r="AIT204" s="16" t="n">
        <v>16.21</v>
      </c>
      <c r="AIU204" s="16"/>
      <c r="AIV204" s="16"/>
      <c r="AIW204" s="16" t="n">
        <v>0</v>
      </c>
      <c r="AIX204" s="16" t="n">
        <v>0</v>
      </c>
      <c r="AIY204" s="16" t="n">
        <v>0</v>
      </c>
      <c r="AIZ204" s="0" t="n">
        <v>0</v>
      </c>
      <c r="AJA204" s="0" t="s">
        <v>462</v>
      </c>
      <c r="AJB204" s="0" t="n">
        <v>47.5</v>
      </c>
      <c r="AJC204" s="16" t="n">
        <v>85.1</v>
      </c>
      <c r="AJD204" s="16" t="n">
        <v>81</v>
      </c>
      <c r="AJE204" s="16" t="n">
        <v>33.2</v>
      </c>
      <c r="AJF204" s="0" t="n">
        <v>52.89</v>
      </c>
      <c r="AJG204" s="0" t="n">
        <v>0</v>
      </c>
      <c r="AJH204" s="0" t="n">
        <v>0</v>
      </c>
      <c r="AJI204" s="0" t="n">
        <v>0</v>
      </c>
      <c r="AJJ204" s="0" t="n">
        <v>47.11</v>
      </c>
      <c r="AJK204" s="0" t="n">
        <v>0</v>
      </c>
      <c r="AJL204" s="0" t="n">
        <v>0</v>
      </c>
      <c r="AJM204" s="0" t="n">
        <v>0</v>
      </c>
      <c r="AJN204" s="0" t="n">
        <v>0</v>
      </c>
      <c r="AJO204" s="0" t="n">
        <v>0</v>
      </c>
      <c r="AJP204" s="0" t="n">
        <v>0</v>
      </c>
      <c r="AJQ204" s="0" t="n">
        <v>3.65</v>
      </c>
      <c r="AJR204" s="0" t="n">
        <v>0</v>
      </c>
      <c r="AJS204" s="0" t="n">
        <v>19.66</v>
      </c>
      <c r="AJT204" s="0" t="n">
        <v>48.22</v>
      </c>
      <c r="AJU204" s="0" t="n">
        <v>0</v>
      </c>
      <c r="AJV204" s="0" t="n">
        <v>5.3</v>
      </c>
      <c r="AJW204" s="0" t="n">
        <v>1</v>
      </c>
      <c r="AJX204" s="0" t="n">
        <v>5</v>
      </c>
      <c r="AJZ204" s="0" t="n">
        <v>1</v>
      </c>
      <c r="AKD204" s="0" t="n">
        <v>5</v>
      </c>
      <c r="AKF204" s="0" t="n">
        <v>1</v>
      </c>
      <c r="AKJ204" s="0" t="n">
        <v>1.5</v>
      </c>
      <c r="AKK204" s="0" t="n">
        <v>0</v>
      </c>
      <c r="AKV204" s="18"/>
      <c r="ALN204" s="0" t="n">
        <v>1</v>
      </c>
      <c r="ALO204" s="0" t="n">
        <v>60</v>
      </c>
      <c r="ALP204" s="0" t="n">
        <v>1</v>
      </c>
      <c r="ALQ204" s="0" t="n">
        <v>3.97</v>
      </c>
      <c r="ALR204" s="0" t="n">
        <v>4</v>
      </c>
      <c r="ALS204" s="0" t="n">
        <v>60</v>
      </c>
      <c r="ALT204" s="0" t="n">
        <v>1</v>
      </c>
      <c r="ALU204" s="0" t="n">
        <v>0.2</v>
      </c>
      <c r="ALV204" s="0" t="n">
        <v>3</v>
      </c>
    </row>
    <row r="205" customFormat="false" ht="13.8" hidden="false" customHeight="false" outlineLevel="0" collapsed="false">
      <c r="A205" s="1" t="s">
        <v>716</v>
      </c>
      <c r="B205" s="12" t="n">
        <v>42906</v>
      </c>
      <c r="C205" s="0" t="n">
        <v>2</v>
      </c>
      <c r="D205" s="13" t="n">
        <v>35625</v>
      </c>
      <c r="E205" s="12" t="n">
        <v>27959</v>
      </c>
      <c r="F205" s="14" t="n">
        <f aca="false">(B205-E205)/365.25</f>
        <v>40.9226557152635</v>
      </c>
      <c r="G205" s="14" t="n">
        <f aca="false">(B205-D205)/365.25</f>
        <v>19.9342915811088</v>
      </c>
      <c r="H205" s="15" t="s">
        <v>183</v>
      </c>
      <c r="I205" s="15" t="s">
        <v>571</v>
      </c>
      <c r="J205" s="15" t="s">
        <v>181</v>
      </c>
      <c r="K205" s="21" t="n">
        <v>8</v>
      </c>
      <c r="L205" s="19" t="n">
        <v>107</v>
      </c>
      <c r="M205" s="0" t="n">
        <v>1.93</v>
      </c>
      <c r="N205" s="16" t="n">
        <f aca="false">L205/(M205*M205)</f>
        <v>28.7256033719026</v>
      </c>
      <c r="O205" s="19" t="n">
        <v>0</v>
      </c>
      <c r="P205" s="19" t="n">
        <v>0</v>
      </c>
      <c r="Q205" s="19" t="n">
        <v>0</v>
      </c>
      <c r="R205" s="26" t="n">
        <v>0</v>
      </c>
      <c r="S205" s="26" t="n">
        <v>0</v>
      </c>
      <c r="T205" s="26" t="n">
        <v>0</v>
      </c>
      <c r="U205" s="19" t="n">
        <v>0</v>
      </c>
      <c r="V205" s="19" t="n">
        <v>0</v>
      </c>
      <c r="W205" s="19" t="n">
        <v>1</v>
      </c>
      <c r="X205" s="19" t="n">
        <v>1</v>
      </c>
      <c r="Y205" s="19" t="n">
        <v>0</v>
      </c>
      <c r="Z205" s="19" t="n">
        <v>0</v>
      </c>
      <c r="AA205" s="19" t="n">
        <v>0</v>
      </c>
      <c r="AB205" s="19" t="n">
        <v>0</v>
      </c>
      <c r="AC205" s="19" t="n">
        <v>1</v>
      </c>
      <c r="AD205" s="19" t="n">
        <v>40</v>
      </c>
      <c r="AE205" s="19" t="n">
        <v>1</v>
      </c>
      <c r="AF205" s="19" t="n">
        <v>0</v>
      </c>
      <c r="AG205" s="19" t="n">
        <v>0</v>
      </c>
      <c r="AH205" s="19" t="n">
        <v>0</v>
      </c>
      <c r="AI205" s="19" t="n">
        <v>0</v>
      </c>
      <c r="AJ205" s="19" t="n">
        <v>0</v>
      </c>
      <c r="AK205" s="19" t="n">
        <v>0</v>
      </c>
      <c r="AL205" s="19" t="n">
        <v>0</v>
      </c>
      <c r="AM205" s="19" t="n">
        <v>0</v>
      </c>
      <c r="AN205" s="19" t="n">
        <v>1</v>
      </c>
      <c r="AO205" s="19" t="n">
        <v>0</v>
      </c>
      <c r="AP205" s="19" t="n">
        <v>0</v>
      </c>
      <c r="AQ205" s="19" t="n">
        <v>0</v>
      </c>
      <c r="AR205" s="19" t="n">
        <v>0</v>
      </c>
      <c r="AS205" s="19" t="n">
        <v>0</v>
      </c>
      <c r="AT205" s="19" t="n">
        <v>0</v>
      </c>
      <c r="AU205" s="19" t="n">
        <v>0</v>
      </c>
      <c r="AV205" s="19" t="n">
        <v>0</v>
      </c>
      <c r="AW205" s="19" t="n">
        <v>0</v>
      </c>
      <c r="AX205" s="19" t="n">
        <v>0</v>
      </c>
      <c r="AY205" s="19" t="n">
        <v>0</v>
      </c>
      <c r="AZ205" s="19" t="n">
        <v>0</v>
      </c>
      <c r="BA205" s="19" t="n">
        <v>0</v>
      </c>
      <c r="BB205" s="19" t="n">
        <v>1</v>
      </c>
      <c r="BC205" s="19" t="n">
        <v>0</v>
      </c>
      <c r="BD205" s="19" t="n">
        <v>0</v>
      </c>
      <c r="BE205" s="19" t="n">
        <v>0</v>
      </c>
      <c r="BF205" s="19" t="n">
        <v>0</v>
      </c>
      <c r="BG205" s="19" t="n">
        <v>0</v>
      </c>
      <c r="BH205" s="19" t="n">
        <v>0</v>
      </c>
      <c r="BI205" s="19" t="n">
        <v>0</v>
      </c>
      <c r="BJ205" s="19" t="n">
        <v>0</v>
      </c>
      <c r="BK205" s="19" t="n">
        <v>0</v>
      </c>
      <c r="BL205" s="19" t="n">
        <v>0</v>
      </c>
      <c r="BM205" s="19" t="n">
        <v>0</v>
      </c>
      <c r="BN205" s="19" t="n">
        <v>0</v>
      </c>
      <c r="BO205" s="19" t="n">
        <v>0</v>
      </c>
      <c r="BP205" s="19" t="n">
        <v>0</v>
      </c>
      <c r="BQ205" s="19" t="n">
        <v>0</v>
      </c>
      <c r="BR205" s="19" t="n">
        <v>3</v>
      </c>
      <c r="BS205" s="19" t="n">
        <v>3</v>
      </c>
      <c r="BT205" s="19" t="n">
        <v>5</v>
      </c>
      <c r="BU205" s="19" t="n">
        <v>5</v>
      </c>
      <c r="BV205" s="19" t="n">
        <v>2</v>
      </c>
      <c r="BW205" s="19" t="n">
        <v>1</v>
      </c>
      <c r="BX205" s="19" t="n">
        <v>3</v>
      </c>
      <c r="BY205" s="19" t="n">
        <v>3</v>
      </c>
      <c r="BZ205" s="19" t="n">
        <v>1</v>
      </c>
      <c r="CA205" s="19" t="n">
        <v>1</v>
      </c>
      <c r="CB205" s="19" t="n">
        <v>3</v>
      </c>
      <c r="CC205" s="19" t="n">
        <v>5</v>
      </c>
      <c r="CD205" s="19" t="n">
        <v>1</v>
      </c>
      <c r="CE205" s="19" t="n">
        <v>3</v>
      </c>
      <c r="CF205" s="19" t="n">
        <v>5</v>
      </c>
      <c r="CG205" s="19" t="n">
        <v>4</v>
      </c>
      <c r="CH205" s="19" t="n">
        <v>2</v>
      </c>
      <c r="CI205" s="19" t="n">
        <v>3</v>
      </c>
      <c r="CJ205" s="19" t="n">
        <v>2</v>
      </c>
      <c r="CK205" s="19" t="n">
        <v>5</v>
      </c>
      <c r="CL205" s="0" t="s">
        <v>540</v>
      </c>
      <c r="CM205" s="0" t="n">
        <v>70.5</v>
      </c>
      <c r="CN205" s="16" t="n">
        <v>88.2</v>
      </c>
      <c r="CO205" s="16" t="n">
        <v>80.4</v>
      </c>
      <c r="CP205" s="16" t="n">
        <v>36.3</v>
      </c>
      <c r="CQ205" s="0" t="n">
        <v>72.69</v>
      </c>
      <c r="CR205" s="17" t="n">
        <v>0</v>
      </c>
      <c r="CS205" s="0" t="n">
        <v>10.32</v>
      </c>
      <c r="CT205" s="0" t="n">
        <v>16.99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36.66</v>
      </c>
      <c r="DD205" s="0" t="n">
        <v>7.54</v>
      </c>
      <c r="DE205" s="0" t="n">
        <v>10.32</v>
      </c>
      <c r="DF205" s="0" t="n">
        <v>0</v>
      </c>
      <c r="DG205" s="0" t="n">
        <v>0</v>
      </c>
      <c r="DH205" s="0" t="n">
        <v>0</v>
      </c>
      <c r="DU205" s="0" t="n">
        <v>21.2</v>
      </c>
      <c r="DV205" s="0" t="n">
        <v>1</v>
      </c>
      <c r="DW205" s="0" t="n">
        <v>35</v>
      </c>
      <c r="DX205" s="0" t="n">
        <v>7</v>
      </c>
      <c r="DY205" s="0" t="n">
        <f aca="false">5.71+0.54</f>
        <v>6.25</v>
      </c>
      <c r="DZ205" s="0" t="n">
        <v>3</v>
      </c>
      <c r="EA205" s="0" t="n">
        <v>47</v>
      </c>
      <c r="EB205" s="0" t="n">
        <v>2</v>
      </c>
      <c r="EC205" s="0" t="n">
        <v>0.4</v>
      </c>
      <c r="ED205" s="0" t="n">
        <v>3</v>
      </c>
      <c r="EG205" s="20"/>
      <c r="EY205" s="0" t="n">
        <v>0</v>
      </c>
      <c r="GJ205" s="16" t="n">
        <v>11.58</v>
      </c>
      <c r="GK205" s="16" t="n">
        <v>1</v>
      </c>
      <c r="GL205" s="16" t="n">
        <v>2</v>
      </c>
      <c r="GM205" s="16"/>
      <c r="GN205" s="16" t="n">
        <f aca="false">0.22+1.95+3.81+0.27+0.32+0.04+0.05</f>
        <v>6.66</v>
      </c>
      <c r="GO205" s="16"/>
      <c r="GP205" s="16"/>
      <c r="GQ205" s="16"/>
      <c r="GR205" s="16"/>
      <c r="GS205" s="16"/>
      <c r="GT205" s="16"/>
      <c r="GU205" s="16" t="n">
        <v>0.27</v>
      </c>
      <c r="GV205" s="16" t="n">
        <v>0.27</v>
      </c>
      <c r="GW205" s="16" t="n">
        <v>0</v>
      </c>
      <c r="GX205" s="16" t="n">
        <v>0</v>
      </c>
      <c r="GY205" s="16" t="n">
        <v>0</v>
      </c>
      <c r="GZ205" s="16" t="n">
        <v>0</v>
      </c>
      <c r="HA205" s="16" t="n">
        <v>0</v>
      </c>
      <c r="HB205" s="0" t="n">
        <v>0</v>
      </c>
      <c r="HC205" s="0" t="s">
        <v>541</v>
      </c>
      <c r="HD205" s="0" t="n">
        <v>94.5</v>
      </c>
      <c r="HE205" s="16" t="n">
        <v>88.2</v>
      </c>
      <c r="HF205" s="16" t="n">
        <v>80.4</v>
      </c>
      <c r="HG205" s="16" t="n">
        <v>73.1</v>
      </c>
      <c r="HH205" s="0" t="n">
        <v>41.34</v>
      </c>
      <c r="HI205" s="17" t="n">
        <v>0</v>
      </c>
      <c r="HJ205" s="0" t="n">
        <v>8.63</v>
      </c>
      <c r="HK205" s="0" t="n">
        <v>0.04</v>
      </c>
      <c r="HL205" s="0" t="n">
        <v>0</v>
      </c>
      <c r="HM205" s="0" t="n">
        <v>0</v>
      </c>
      <c r="HN205" s="0" t="n">
        <v>0</v>
      </c>
      <c r="HO205" s="0" t="n">
        <v>0</v>
      </c>
      <c r="HP205" s="0" t="n">
        <v>0</v>
      </c>
      <c r="HQ205" s="0" t="n">
        <v>0</v>
      </c>
      <c r="HR205" s="0" t="n">
        <v>0</v>
      </c>
      <c r="HS205" s="0" t="n">
        <v>0</v>
      </c>
      <c r="HT205" s="0" t="n">
        <v>8.06</v>
      </c>
      <c r="HU205" s="0" t="n">
        <v>3.65</v>
      </c>
      <c r="HV205" s="0" t="n">
        <v>7.2</v>
      </c>
      <c r="HW205" s="0" t="n">
        <v>0</v>
      </c>
      <c r="HX205" s="0" t="n">
        <v>0</v>
      </c>
      <c r="HY205" s="0" t="n">
        <v>0</v>
      </c>
      <c r="IL205" s="0" t="n">
        <v>9.4</v>
      </c>
      <c r="IM205" s="0" t="n">
        <v>1</v>
      </c>
      <c r="IN205" s="0" t="n">
        <v>35</v>
      </c>
      <c r="IO205" s="0" t="n">
        <v>2</v>
      </c>
      <c r="IP205" s="0" t="n">
        <f aca="false">0.76+0.45</f>
        <v>1.21</v>
      </c>
      <c r="IQ205" s="0" t="n">
        <v>3</v>
      </c>
      <c r="IX205" s="20"/>
      <c r="JP205" s="0" t="n">
        <v>1</v>
      </c>
      <c r="JQ205" s="0" t="n">
        <v>70</v>
      </c>
      <c r="JR205" s="0" t="n">
        <v>2</v>
      </c>
      <c r="JS205" s="0" t="n">
        <f aca="false">0.75+1.69</f>
        <v>2.44</v>
      </c>
      <c r="JT205" s="0" t="n">
        <v>2</v>
      </c>
      <c r="LA205" s="16" t="n">
        <v>0.84</v>
      </c>
      <c r="LB205" s="16" t="n">
        <v>1</v>
      </c>
      <c r="LC205" s="16" t="n">
        <v>1</v>
      </c>
      <c r="LD205" s="16"/>
      <c r="LE205" s="16" t="n">
        <v>0.6</v>
      </c>
      <c r="LF205" s="16"/>
      <c r="LG205" s="16"/>
      <c r="LH205" s="16"/>
      <c r="LI205" s="16"/>
      <c r="LJ205" s="16"/>
      <c r="LK205" s="16"/>
      <c r="LL205" s="16" t="n">
        <v>10.19</v>
      </c>
      <c r="LM205" s="16" t="n">
        <v>8.46</v>
      </c>
      <c r="LN205" s="16" t="n">
        <v>0</v>
      </c>
      <c r="LO205" s="16" t="n">
        <v>0</v>
      </c>
      <c r="LP205" s="16" t="n">
        <v>0</v>
      </c>
      <c r="LQ205" s="16" t="n">
        <v>0</v>
      </c>
      <c r="LR205" s="16" t="n">
        <v>0</v>
      </c>
      <c r="LS205" s="0" t="n">
        <v>0</v>
      </c>
      <c r="LT205" s="0" t="s">
        <v>542</v>
      </c>
      <c r="LU205" s="0" t="n">
        <v>75</v>
      </c>
      <c r="LV205" s="16" t="n">
        <v>91.2</v>
      </c>
      <c r="LW205" s="16" t="n">
        <v>80.4</v>
      </c>
      <c r="LX205" s="16" t="n">
        <v>61</v>
      </c>
      <c r="LY205" s="0" t="n">
        <v>53.67</v>
      </c>
      <c r="LZ205" s="17" t="n">
        <v>0</v>
      </c>
      <c r="MA205" s="0" t="n">
        <v>16.76</v>
      </c>
      <c r="MB205" s="0" t="n">
        <v>29.58</v>
      </c>
      <c r="MC205" s="0" t="n">
        <v>0</v>
      </c>
      <c r="MD205" s="0" t="n">
        <v>0</v>
      </c>
      <c r="ME205" s="0" t="n">
        <v>0</v>
      </c>
      <c r="MF205" s="0" t="n">
        <v>0</v>
      </c>
      <c r="MG205" s="0" t="n">
        <v>0</v>
      </c>
      <c r="MH205" s="0" t="n">
        <v>0</v>
      </c>
      <c r="MI205" s="0" t="n">
        <v>0</v>
      </c>
      <c r="MJ205" s="0" t="n">
        <v>0</v>
      </c>
      <c r="MK205" s="0" t="n">
        <v>6.79</v>
      </c>
      <c r="ML205" s="0" t="n">
        <v>14.97</v>
      </c>
      <c r="MM205" s="0" t="n">
        <v>18.24</v>
      </c>
      <c r="MN205" s="0" t="n">
        <v>0</v>
      </c>
      <c r="MO205" s="0" t="n">
        <v>0</v>
      </c>
      <c r="MP205" s="0" t="n">
        <v>0</v>
      </c>
      <c r="NC205" s="0" t="n">
        <v>9</v>
      </c>
      <c r="ND205" s="0" t="n">
        <v>1</v>
      </c>
      <c r="NE205" s="0" t="n">
        <v>68</v>
      </c>
      <c r="NF205" s="0" t="n">
        <v>1</v>
      </c>
      <c r="NG205" s="0" t="n">
        <v>0.38</v>
      </c>
      <c r="NH205" s="0" t="n">
        <v>1</v>
      </c>
      <c r="NI205" s="0" t="n">
        <v>47</v>
      </c>
      <c r="NJ205" s="0" t="n">
        <v>1</v>
      </c>
      <c r="NK205" s="0" t="n">
        <v>1.13</v>
      </c>
      <c r="NL205" s="0" t="n">
        <v>3</v>
      </c>
      <c r="NO205" s="20"/>
      <c r="OG205" s="0" t="n">
        <v>1</v>
      </c>
      <c r="OH205" s="0" t="n">
        <v>70</v>
      </c>
      <c r="OI205" s="0" t="n">
        <v>2</v>
      </c>
      <c r="OJ205" s="0" t="n">
        <f aca="false">1.69+0.75</f>
        <v>2.44</v>
      </c>
      <c r="OK205" s="0" t="n">
        <v>2</v>
      </c>
      <c r="PR205" s="16" t="n">
        <v>1.88</v>
      </c>
      <c r="PS205" s="16" t="n">
        <v>1</v>
      </c>
      <c r="PT205" s="16" t="n">
        <v>1</v>
      </c>
      <c r="PU205" s="16"/>
      <c r="PV205" s="16" t="n">
        <f aca="false">1.04+1.04+1.04</f>
        <v>3.12</v>
      </c>
      <c r="PW205" s="16"/>
      <c r="PX205" s="16"/>
      <c r="PY205" s="16"/>
      <c r="PZ205" s="16"/>
      <c r="QA205" s="16"/>
      <c r="QB205" s="16"/>
      <c r="QC205" s="16" t="n">
        <v>1.5</v>
      </c>
      <c r="QD205" s="16" t="n">
        <v>1.5</v>
      </c>
      <c r="QE205" s="16" t="n">
        <v>0</v>
      </c>
      <c r="QF205" s="16" t="n">
        <v>0</v>
      </c>
      <c r="QG205" s="16" t="n">
        <v>0</v>
      </c>
      <c r="QH205" s="16" t="n">
        <v>0</v>
      </c>
      <c r="QI205" s="16" t="n">
        <v>0</v>
      </c>
      <c r="QJ205" s="0" t="n">
        <v>0</v>
      </c>
      <c r="QK205" s="0" t="s">
        <v>543</v>
      </c>
      <c r="QL205" s="0" t="n">
        <v>21</v>
      </c>
      <c r="QM205" s="16" t="n">
        <v>77.9</v>
      </c>
      <c r="QN205" s="16" t="n">
        <v>160.8</v>
      </c>
      <c r="QO205" s="16" t="n">
        <v>14.1</v>
      </c>
      <c r="QP205" s="0" t="n">
        <v>87.99</v>
      </c>
      <c r="QQ205" s="17" t="n">
        <v>0</v>
      </c>
      <c r="QR205" s="0" t="n">
        <v>3.38</v>
      </c>
      <c r="QS205" s="0" t="n">
        <v>0</v>
      </c>
      <c r="QT205" s="0" t="n">
        <v>8.63</v>
      </c>
      <c r="QU205" s="0" t="n">
        <v>0</v>
      </c>
      <c r="QV205" s="0" t="n">
        <v>0</v>
      </c>
      <c r="QW205" s="0" t="n">
        <v>0</v>
      </c>
      <c r="QX205" s="0" t="n">
        <v>0</v>
      </c>
      <c r="QY205" s="0" t="n">
        <v>0</v>
      </c>
      <c r="QZ205" s="0" t="n">
        <v>0</v>
      </c>
      <c r="RA205" s="0" t="n">
        <v>0</v>
      </c>
      <c r="RB205" s="0" t="n">
        <v>0</v>
      </c>
      <c r="RC205" s="0" t="n">
        <v>65.6</v>
      </c>
      <c r="RD205" s="0" t="n">
        <v>0</v>
      </c>
      <c r="RE205" s="0" t="n">
        <v>0</v>
      </c>
      <c r="RF205" s="0" t="n">
        <v>0</v>
      </c>
      <c r="RG205" s="0" t="n">
        <v>0</v>
      </c>
      <c r="RT205" s="0" t="n">
        <v>1.4</v>
      </c>
      <c r="RU205" s="0" t="n">
        <v>1</v>
      </c>
      <c r="RV205" s="0" t="n">
        <v>35</v>
      </c>
      <c r="RW205" s="0" t="n">
        <v>3</v>
      </c>
      <c r="RX205" s="0" t="n">
        <f aca="false">0.38</f>
        <v>0.38</v>
      </c>
      <c r="RY205" s="0" t="n">
        <v>3</v>
      </c>
      <c r="RZ205" s="0" t="n">
        <v>34</v>
      </c>
      <c r="SA205" s="0" t="n">
        <v>27</v>
      </c>
      <c r="SB205" s="0" t="n">
        <f aca="false">0.19+0.19+1.13+3.38+0.56+1.5+1.13+0.38</f>
        <v>8.46</v>
      </c>
      <c r="SC205" s="0" t="n">
        <v>1</v>
      </c>
      <c r="SF205" s="20"/>
      <c r="SX205" s="0" t="n">
        <v>1</v>
      </c>
      <c r="SY205" s="0" t="n">
        <v>40</v>
      </c>
      <c r="SZ205" s="0" t="n">
        <v>9</v>
      </c>
      <c r="TA205" s="0" t="n">
        <f aca="false">0.38+1.13+3+1.88+0.75</f>
        <v>7.14</v>
      </c>
      <c r="TB205" s="0" t="n">
        <v>3</v>
      </c>
      <c r="UI205" s="16" t="n">
        <v>0</v>
      </c>
      <c r="UJ205" s="16" t="n">
        <v>0</v>
      </c>
      <c r="UK205" s="16"/>
      <c r="UL205" s="16"/>
      <c r="UM205" s="16"/>
      <c r="UN205" s="16"/>
      <c r="UO205" s="16"/>
      <c r="UP205" s="16"/>
      <c r="UQ205" s="16"/>
      <c r="UR205" s="16"/>
      <c r="US205" s="16"/>
      <c r="UT205" s="16" t="n">
        <v>5.27</v>
      </c>
      <c r="UU205" s="16" t="n">
        <v>1.5</v>
      </c>
      <c r="UV205" s="16" t="n">
        <v>0</v>
      </c>
      <c r="UW205" s="16" t="n">
        <v>0</v>
      </c>
      <c r="UX205" s="16" t="n">
        <v>0</v>
      </c>
      <c r="UY205" s="16" t="n">
        <v>0</v>
      </c>
      <c r="UZ205" s="16" t="n">
        <v>0</v>
      </c>
      <c r="VA205" s="0" t="n">
        <v>0</v>
      </c>
      <c r="VE205" s="15"/>
      <c r="VF205" s="15"/>
      <c r="VM205" s="15"/>
      <c r="VN205" s="15"/>
      <c r="VU205" s="15"/>
      <c r="VV205" s="15"/>
      <c r="WC205" s="15"/>
      <c r="WD205" s="15"/>
      <c r="WK205" s="15"/>
      <c r="WL205" s="15"/>
      <c r="WS205" s="15"/>
      <c r="WT205" s="15"/>
      <c r="XA205" s="15"/>
      <c r="XB205" s="15"/>
      <c r="XI205" s="15"/>
      <c r="XJ205" s="15"/>
      <c r="XQ205" s="15"/>
      <c r="XR205" s="15"/>
      <c r="XY205" s="15"/>
      <c r="XZ205" s="15"/>
      <c r="YG205" s="15"/>
      <c r="YH205" s="15"/>
      <c r="YO205" s="15"/>
      <c r="YP205" s="15"/>
      <c r="YW205" s="15"/>
      <c r="YX205" s="15"/>
      <c r="ZE205" s="15"/>
      <c r="ZF205" s="15"/>
      <c r="ZM205" s="15"/>
      <c r="ZN205" s="15"/>
      <c r="ZU205" s="15"/>
      <c r="ZV205" s="15"/>
      <c r="AAC205" s="15"/>
      <c r="AAD205" s="15"/>
      <c r="AAK205" s="15"/>
      <c r="AAL205" s="15"/>
      <c r="AAS205" s="15"/>
      <c r="AAT205" s="15"/>
      <c r="ABA205" s="15"/>
      <c r="ABB205" s="15"/>
      <c r="ABI205" s="15"/>
      <c r="ABJ205" s="15"/>
      <c r="ABQ205" s="15"/>
      <c r="ABR205" s="15"/>
      <c r="ABY205" s="15"/>
      <c r="ABZ205" s="15"/>
      <c r="ACG205" s="15"/>
      <c r="ACH205" s="15"/>
      <c r="ACO205" s="15"/>
      <c r="ACP205" s="15"/>
      <c r="ACW205" s="15"/>
      <c r="ACX205" s="15"/>
      <c r="ADE205" s="15"/>
      <c r="ADF205" s="15"/>
      <c r="ADM205" s="15"/>
      <c r="ADN205" s="15"/>
      <c r="ADU205" s="15"/>
      <c r="ADV205" s="15"/>
      <c r="AEC205" s="15"/>
      <c r="AED205" s="15"/>
      <c r="AEK205" s="15"/>
      <c r="AEL205" s="15"/>
      <c r="AES205" s="15"/>
      <c r="AET205" s="15"/>
      <c r="AFA205" s="15"/>
      <c r="AFB205" s="15"/>
      <c r="AFI205" s="15"/>
      <c r="AFJ205" s="15"/>
      <c r="AFQ205" s="15"/>
      <c r="AFR205" s="15"/>
      <c r="AFY205" s="15"/>
      <c r="AFZ205" s="15"/>
      <c r="AGG205" s="15"/>
      <c r="AGH205" s="15"/>
      <c r="AGO205" s="15"/>
      <c r="AGP205" s="15"/>
      <c r="AGW205" s="15"/>
      <c r="AGX205" s="15"/>
      <c r="AHE205" s="15"/>
      <c r="AHF205" s="15"/>
      <c r="AHM205" s="15"/>
      <c r="AHN205" s="15"/>
      <c r="AHU205" s="15"/>
      <c r="AHV205" s="15"/>
      <c r="AIC205" s="15"/>
      <c r="AID205" s="15"/>
      <c r="AIK205" s="15"/>
      <c r="AIL205" s="15"/>
      <c r="AIS205" s="15"/>
      <c r="AIT205" s="15"/>
      <c r="AJA205" s="15"/>
      <c r="AJB205" s="15"/>
      <c r="AJI205" s="15"/>
      <c r="AJJ205" s="15"/>
      <c r="AJQ205" s="15"/>
      <c r="AJR205" s="15"/>
      <c r="AJY205" s="15"/>
      <c r="AJZ205" s="15"/>
      <c r="AKG205" s="15"/>
      <c r="AKH205" s="15"/>
      <c r="AKO205" s="15"/>
      <c r="AKP205" s="15"/>
      <c r="AKW205" s="15"/>
      <c r="AKX205" s="15"/>
      <c r="ALE205" s="15"/>
      <c r="ALF205" s="15"/>
      <c r="ALM205" s="15"/>
      <c r="ALN205" s="15"/>
      <c r="ALU205" s="15"/>
      <c r="ALV205" s="15"/>
      <c r="AMC205" s="15"/>
      <c r="AMD205" s="15"/>
    </row>
    <row r="206" customFormat="false" ht="13.8" hidden="false" customHeight="false" outlineLevel="0" collapsed="false">
      <c r="A206" s="1" t="s">
        <v>717</v>
      </c>
      <c r="B206" s="12" t="n">
        <v>42906</v>
      </c>
      <c r="C206" s="0" t="n">
        <v>2</v>
      </c>
      <c r="D206" s="13" t="n">
        <v>35184</v>
      </c>
      <c r="E206" s="13" t="n">
        <v>22670</v>
      </c>
      <c r="F206" s="14" t="n">
        <f aca="false">(B206-E206)/365.25</f>
        <v>55.4031485284052</v>
      </c>
      <c r="G206" s="14" t="n">
        <f aca="false">(B206-D206)/365.25</f>
        <v>21.1416837782341</v>
      </c>
      <c r="H206" s="15" t="s">
        <v>183</v>
      </c>
      <c r="I206" s="15" t="s">
        <v>571</v>
      </c>
      <c r="J206" s="15" t="s">
        <v>181</v>
      </c>
      <c r="K206" s="21" t="n">
        <v>8</v>
      </c>
      <c r="L206" s="19" t="n">
        <v>56</v>
      </c>
      <c r="M206" s="0" t="n">
        <v>1.73</v>
      </c>
      <c r="N206" s="16" t="n">
        <f aca="false">L206/(M206*M206)</f>
        <v>18.7109492465502</v>
      </c>
      <c r="O206" s="19" t="n">
        <v>0</v>
      </c>
      <c r="P206" s="19" t="n">
        <v>0</v>
      </c>
      <c r="Q206" s="19" t="n">
        <v>0</v>
      </c>
      <c r="R206" s="26" t="n">
        <v>0</v>
      </c>
      <c r="S206" s="26" t="n">
        <v>0</v>
      </c>
      <c r="T206" s="26" t="n">
        <v>0</v>
      </c>
      <c r="U206" s="19" t="n">
        <v>0</v>
      </c>
      <c r="V206" s="19" t="n">
        <v>0</v>
      </c>
      <c r="W206" s="19" t="n">
        <v>1</v>
      </c>
      <c r="X206" s="19" t="n">
        <v>0</v>
      </c>
      <c r="Y206" s="19" t="n">
        <v>0</v>
      </c>
      <c r="Z206" s="19" t="n">
        <v>0</v>
      </c>
      <c r="AA206" s="19" t="n">
        <v>0</v>
      </c>
      <c r="AB206" s="19" t="n">
        <v>0</v>
      </c>
      <c r="AC206" s="19" t="n">
        <v>1</v>
      </c>
      <c r="AD206" s="19" t="n">
        <v>16</v>
      </c>
      <c r="AE206" s="19" t="n">
        <v>1</v>
      </c>
      <c r="AF206" s="19" t="n">
        <v>0</v>
      </c>
      <c r="AG206" s="19" t="n">
        <v>0</v>
      </c>
      <c r="AH206" s="19" t="n">
        <v>0</v>
      </c>
      <c r="AI206" s="19" t="n">
        <v>1</v>
      </c>
      <c r="AJ206" s="19" t="n">
        <v>0</v>
      </c>
      <c r="AK206" s="19" t="n">
        <v>0</v>
      </c>
      <c r="AL206" s="19" t="n">
        <v>0</v>
      </c>
      <c r="AM206" s="19" t="n">
        <v>0</v>
      </c>
      <c r="AN206" s="19" t="n">
        <v>0</v>
      </c>
      <c r="AO206" s="19" t="n">
        <v>0</v>
      </c>
      <c r="AP206" s="19" t="n">
        <v>0</v>
      </c>
      <c r="AQ206" s="19" t="n">
        <v>0</v>
      </c>
      <c r="AR206" s="19" t="n">
        <v>0</v>
      </c>
      <c r="AS206" s="19" t="n">
        <v>1</v>
      </c>
      <c r="AT206" s="19" t="n">
        <v>0</v>
      </c>
      <c r="AU206" s="19" t="n">
        <v>1</v>
      </c>
      <c r="AV206" s="19" t="n">
        <v>6</v>
      </c>
      <c r="AW206" s="19" t="n">
        <v>0</v>
      </c>
      <c r="AX206" s="19" t="n">
        <v>0</v>
      </c>
      <c r="AY206" s="19" t="n">
        <v>0</v>
      </c>
      <c r="AZ206" s="19" t="n">
        <v>0</v>
      </c>
      <c r="BA206" s="19" t="n">
        <v>0</v>
      </c>
      <c r="BB206" s="19" t="n">
        <v>1</v>
      </c>
      <c r="BC206" s="19" t="n">
        <v>1</v>
      </c>
      <c r="BD206" s="19" t="n">
        <v>0</v>
      </c>
      <c r="BE206" s="19" t="n">
        <v>0</v>
      </c>
      <c r="BF206" s="19" t="n">
        <v>0</v>
      </c>
      <c r="BG206" s="19" t="n">
        <v>0</v>
      </c>
      <c r="BH206" s="19" t="n">
        <v>0</v>
      </c>
      <c r="BI206" s="19" t="n">
        <v>0</v>
      </c>
      <c r="BJ206" s="19" t="n">
        <v>0</v>
      </c>
      <c r="BK206" s="19" t="n">
        <v>0</v>
      </c>
      <c r="BL206" s="19" t="n">
        <v>0</v>
      </c>
      <c r="BM206" s="19" t="n">
        <v>0</v>
      </c>
      <c r="BN206" s="19" t="n">
        <v>0</v>
      </c>
      <c r="BO206" s="19" t="n">
        <v>0</v>
      </c>
      <c r="BP206" s="19" t="n">
        <v>0</v>
      </c>
      <c r="BQ206" s="19" t="n">
        <v>0</v>
      </c>
      <c r="BR206" s="19" t="n">
        <v>3</v>
      </c>
      <c r="BS206" s="19" t="n">
        <v>3</v>
      </c>
      <c r="BT206" s="19" t="n">
        <v>4</v>
      </c>
      <c r="BU206" s="19" t="n">
        <v>5</v>
      </c>
      <c r="BV206" s="19" t="n">
        <v>2</v>
      </c>
      <c r="BW206" s="19" t="n">
        <v>1</v>
      </c>
      <c r="BX206" s="19" t="n">
        <v>3</v>
      </c>
      <c r="BY206" s="19" t="n">
        <v>3</v>
      </c>
      <c r="BZ206" s="19" t="n">
        <v>3</v>
      </c>
      <c r="CA206" s="19" t="n">
        <v>4</v>
      </c>
      <c r="CB206" s="19" t="n">
        <v>4</v>
      </c>
      <c r="CC206" s="19" t="n">
        <v>5</v>
      </c>
      <c r="CD206" s="19" t="n">
        <v>4</v>
      </c>
      <c r="CE206" s="19" t="n">
        <v>5</v>
      </c>
      <c r="CF206" s="19" t="n">
        <v>5</v>
      </c>
      <c r="CG206" s="19" t="n">
        <v>5</v>
      </c>
      <c r="CH206" s="19" t="n">
        <v>5</v>
      </c>
      <c r="CI206" s="19" t="n">
        <v>5</v>
      </c>
      <c r="CJ206" s="19" t="n">
        <v>4</v>
      </c>
      <c r="CK206" s="19" t="n">
        <v>8</v>
      </c>
      <c r="CL206" s="0" t="s">
        <v>540</v>
      </c>
      <c r="CM206" s="0" t="n">
        <v>70.5</v>
      </c>
      <c r="CN206" s="16" t="n">
        <v>88.2</v>
      </c>
      <c r="CO206" s="16" t="n">
        <v>80.4</v>
      </c>
      <c r="CP206" s="16" t="n">
        <v>36.3</v>
      </c>
      <c r="CQ206" s="0" t="n">
        <v>72.69</v>
      </c>
      <c r="CR206" s="17" t="n">
        <v>0</v>
      </c>
      <c r="CS206" s="0" t="n">
        <v>10.32</v>
      </c>
      <c r="CT206" s="0" t="n">
        <v>16.99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36.66</v>
      </c>
      <c r="DD206" s="0" t="n">
        <v>7.54</v>
      </c>
      <c r="DE206" s="0" t="n">
        <v>10.32</v>
      </c>
      <c r="DF206" s="0" t="n">
        <v>0</v>
      </c>
      <c r="DG206" s="0" t="n">
        <v>0</v>
      </c>
      <c r="DH206" s="0" t="n">
        <v>0</v>
      </c>
      <c r="DU206" s="0" t="n">
        <v>21.2</v>
      </c>
      <c r="DV206" s="0" t="n">
        <v>1</v>
      </c>
      <c r="DW206" s="0" t="n">
        <v>35</v>
      </c>
      <c r="DX206" s="0" t="n">
        <v>7</v>
      </c>
      <c r="DY206" s="0" t="n">
        <f aca="false">5.71+0.54</f>
        <v>6.25</v>
      </c>
      <c r="DZ206" s="0" t="n">
        <v>3</v>
      </c>
      <c r="EA206" s="0" t="n">
        <v>47</v>
      </c>
      <c r="EB206" s="0" t="n">
        <v>2</v>
      </c>
      <c r="EC206" s="0" t="n">
        <v>0.4</v>
      </c>
      <c r="ED206" s="0" t="n">
        <v>3</v>
      </c>
      <c r="EG206" s="20"/>
      <c r="EY206" s="0" t="n">
        <v>0</v>
      </c>
      <c r="GJ206" s="16" t="n">
        <v>11.58</v>
      </c>
      <c r="GK206" s="16" t="n">
        <v>1</v>
      </c>
      <c r="GL206" s="16" t="n">
        <v>2</v>
      </c>
      <c r="GM206" s="16"/>
      <c r="GN206" s="16" t="n">
        <f aca="false">0.22+1.95+3.81+0.27+0.32+0.04+0.05</f>
        <v>6.66</v>
      </c>
      <c r="GO206" s="16"/>
      <c r="GP206" s="16"/>
      <c r="GQ206" s="16"/>
      <c r="GR206" s="16"/>
      <c r="GS206" s="16"/>
      <c r="GT206" s="16"/>
      <c r="GU206" s="16" t="n">
        <v>0.27</v>
      </c>
      <c r="GV206" s="16" t="n">
        <v>0.27</v>
      </c>
      <c r="GW206" s="16" t="n">
        <v>0</v>
      </c>
      <c r="GX206" s="16" t="n">
        <v>0</v>
      </c>
      <c r="GY206" s="16" t="n">
        <v>0</v>
      </c>
      <c r="GZ206" s="16" t="n">
        <v>0</v>
      </c>
      <c r="HA206" s="16" t="n">
        <v>0</v>
      </c>
      <c r="HB206" s="0" t="n">
        <v>0</v>
      </c>
      <c r="HC206" s="0" t="s">
        <v>541</v>
      </c>
      <c r="HD206" s="0" t="n">
        <v>94.5</v>
      </c>
      <c r="HE206" s="16" t="n">
        <v>88.2</v>
      </c>
      <c r="HF206" s="16" t="n">
        <v>80.4</v>
      </c>
      <c r="HG206" s="16" t="n">
        <v>73.1</v>
      </c>
      <c r="HH206" s="0" t="n">
        <v>41.34</v>
      </c>
      <c r="HI206" s="17" t="n">
        <v>0</v>
      </c>
      <c r="HJ206" s="0" t="n">
        <v>8.63</v>
      </c>
      <c r="HK206" s="0" t="n">
        <v>0.04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0</v>
      </c>
      <c r="HQ206" s="0" t="n">
        <v>0</v>
      </c>
      <c r="HR206" s="0" t="n">
        <v>0</v>
      </c>
      <c r="HS206" s="0" t="n">
        <v>0</v>
      </c>
      <c r="HT206" s="0" t="n">
        <v>8.06</v>
      </c>
      <c r="HU206" s="0" t="n">
        <v>3.65</v>
      </c>
      <c r="HV206" s="0" t="n">
        <v>7.2</v>
      </c>
      <c r="HW206" s="0" t="n">
        <v>0</v>
      </c>
      <c r="HX206" s="0" t="n">
        <v>0</v>
      </c>
      <c r="HY206" s="0" t="n">
        <v>0</v>
      </c>
      <c r="IL206" s="0" t="n">
        <v>9.4</v>
      </c>
      <c r="IM206" s="0" t="n">
        <v>1</v>
      </c>
      <c r="IN206" s="0" t="n">
        <v>35</v>
      </c>
      <c r="IO206" s="0" t="n">
        <v>2</v>
      </c>
      <c r="IP206" s="0" t="n">
        <f aca="false">0.76+0.45</f>
        <v>1.21</v>
      </c>
      <c r="IQ206" s="0" t="n">
        <v>3</v>
      </c>
      <c r="IX206" s="20"/>
      <c r="JP206" s="0" t="n">
        <v>1</v>
      </c>
      <c r="JQ206" s="0" t="n">
        <v>70</v>
      </c>
      <c r="JR206" s="0" t="n">
        <v>2</v>
      </c>
      <c r="JS206" s="0" t="n">
        <f aca="false">0.75+1.69</f>
        <v>2.44</v>
      </c>
      <c r="JT206" s="0" t="n">
        <v>2</v>
      </c>
      <c r="LA206" s="16" t="n">
        <v>0.84</v>
      </c>
      <c r="LB206" s="16" t="n">
        <v>1</v>
      </c>
      <c r="LC206" s="16" t="n">
        <v>1</v>
      </c>
      <c r="LD206" s="16"/>
      <c r="LE206" s="16" t="n">
        <v>0.6</v>
      </c>
      <c r="LF206" s="16"/>
      <c r="LG206" s="16"/>
      <c r="LH206" s="16"/>
      <c r="LI206" s="16"/>
      <c r="LJ206" s="16"/>
      <c r="LK206" s="16"/>
      <c r="LL206" s="16" t="n">
        <v>10.19</v>
      </c>
      <c r="LM206" s="16" t="n">
        <v>8.46</v>
      </c>
      <c r="LN206" s="16" t="n">
        <v>0</v>
      </c>
      <c r="LO206" s="16" t="n">
        <v>0</v>
      </c>
      <c r="LP206" s="16" t="n">
        <v>0</v>
      </c>
      <c r="LQ206" s="16" t="n">
        <v>0</v>
      </c>
      <c r="LR206" s="16" t="n">
        <v>0</v>
      </c>
      <c r="LS206" s="0" t="n">
        <v>0</v>
      </c>
      <c r="LT206" s="0" t="s">
        <v>542</v>
      </c>
      <c r="LU206" s="0" t="n">
        <v>75</v>
      </c>
      <c r="LV206" s="16" t="n">
        <v>91.2</v>
      </c>
      <c r="LW206" s="16" t="n">
        <v>80.4</v>
      </c>
      <c r="LX206" s="16" t="n">
        <v>61</v>
      </c>
      <c r="LY206" s="0" t="n">
        <v>53.67</v>
      </c>
      <c r="LZ206" s="17" t="n">
        <v>0</v>
      </c>
      <c r="MA206" s="0" t="n">
        <v>16.76</v>
      </c>
      <c r="MB206" s="0" t="n">
        <v>29.58</v>
      </c>
      <c r="MC206" s="0" t="n">
        <v>0</v>
      </c>
      <c r="MD206" s="0" t="n">
        <v>0</v>
      </c>
      <c r="ME206" s="0" t="n">
        <v>0</v>
      </c>
      <c r="MF206" s="0" t="n">
        <v>0</v>
      </c>
      <c r="MG206" s="0" t="n">
        <v>0</v>
      </c>
      <c r="MH206" s="0" t="n">
        <v>0</v>
      </c>
      <c r="MI206" s="0" t="n">
        <v>0</v>
      </c>
      <c r="MJ206" s="0" t="n">
        <v>0</v>
      </c>
      <c r="MK206" s="0" t="n">
        <v>6.79</v>
      </c>
      <c r="ML206" s="0" t="n">
        <v>14.97</v>
      </c>
      <c r="MM206" s="0" t="n">
        <v>18.24</v>
      </c>
      <c r="MN206" s="0" t="n">
        <v>0</v>
      </c>
      <c r="MO206" s="0" t="n">
        <v>0</v>
      </c>
      <c r="MP206" s="0" t="n">
        <v>0</v>
      </c>
      <c r="NC206" s="0" t="n">
        <v>9</v>
      </c>
      <c r="ND206" s="0" t="n">
        <v>1</v>
      </c>
      <c r="NE206" s="0" t="n">
        <v>68</v>
      </c>
      <c r="NF206" s="0" t="n">
        <v>1</v>
      </c>
      <c r="NG206" s="0" t="n">
        <v>0.38</v>
      </c>
      <c r="NH206" s="0" t="n">
        <v>1</v>
      </c>
      <c r="NI206" s="0" t="n">
        <v>47</v>
      </c>
      <c r="NJ206" s="0" t="n">
        <v>1</v>
      </c>
      <c r="NK206" s="0" t="n">
        <v>1.13</v>
      </c>
      <c r="NL206" s="0" t="n">
        <v>3</v>
      </c>
      <c r="NO206" s="20"/>
      <c r="OG206" s="0" t="n">
        <v>1</v>
      </c>
      <c r="OH206" s="0" t="n">
        <v>70</v>
      </c>
      <c r="OI206" s="0" t="n">
        <v>2</v>
      </c>
      <c r="OJ206" s="0" t="n">
        <f aca="false">1.69+0.75</f>
        <v>2.44</v>
      </c>
      <c r="OK206" s="0" t="n">
        <v>2</v>
      </c>
      <c r="PR206" s="16" t="n">
        <v>1.88</v>
      </c>
      <c r="PS206" s="16" t="n">
        <v>1</v>
      </c>
      <c r="PT206" s="16" t="n">
        <v>1</v>
      </c>
      <c r="PU206" s="16"/>
      <c r="PV206" s="16" t="n">
        <f aca="false">1.04+1.04+1.04</f>
        <v>3.12</v>
      </c>
      <c r="PW206" s="16"/>
      <c r="PX206" s="16"/>
      <c r="PY206" s="16"/>
      <c r="PZ206" s="16"/>
      <c r="QA206" s="16"/>
      <c r="QB206" s="16"/>
      <c r="QC206" s="16" t="n">
        <v>1.5</v>
      </c>
      <c r="QD206" s="16" t="n">
        <v>1.5</v>
      </c>
      <c r="QE206" s="16" t="n">
        <v>0</v>
      </c>
      <c r="QF206" s="16" t="n">
        <v>0</v>
      </c>
      <c r="QG206" s="16" t="n">
        <v>0</v>
      </c>
      <c r="QH206" s="16" t="n">
        <v>0</v>
      </c>
      <c r="QI206" s="16" t="n">
        <v>0</v>
      </c>
      <c r="QJ206" s="0" t="n">
        <v>0</v>
      </c>
      <c r="QK206" s="0" t="s">
        <v>543</v>
      </c>
      <c r="QL206" s="0" t="n">
        <v>21</v>
      </c>
      <c r="QM206" s="16" t="n">
        <v>77.9</v>
      </c>
      <c r="QN206" s="16" t="n">
        <v>160.8</v>
      </c>
      <c r="QO206" s="16" t="n">
        <v>14.1</v>
      </c>
      <c r="QP206" s="0" t="n">
        <v>87.99</v>
      </c>
      <c r="QQ206" s="17" t="n">
        <v>0</v>
      </c>
      <c r="QR206" s="0" t="n">
        <v>3.38</v>
      </c>
      <c r="QS206" s="0" t="n">
        <v>0</v>
      </c>
      <c r="QT206" s="0" t="n">
        <v>8.63</v>
      </c>
      <c r="QU206" s="0" t="n">
        <v>0</v>
      </c>
      <c r="QV206" s="0" t="n">
        <v>0</v>
      </c>
      <c r="QW206" s="0" t="n">
        <v>0</v>
      </c>
      <c r="QX206" s="0" t="n">
        <v>0</v>
      </c>
      <c r="QY206" s="0" t="n">
        <v>0</v>
      </c>
      <c r="QZ206" s="0" t="n">
        <v>0</v>
      </c>
      <c r="RA206" s="0" t="n">
        <v>0</v>
      </c>
      <c r="RB206" s="0" t="n">
        <v>0</v>
      </c>
      <c r="RC206" s="0" t="n">
        <v>65.6</v>
      </c>
      <c r="RD206" s="0" t="n">
        <v>0</v>
      </c>
      <c r="RE206" s="0" t="n">
        <v>0</v>
      </c>
      <c r="RF206" s="0" t="n">
        <v>0</v>
      </c>
      <c r="RG206" s="0" t="n">
        <v>0</v>
      </c>
      <c r="RT206" s="0" t="n">
        <v>1.4</v>
      </c>
      <c r="RU206" s="0" t="n">
        <v>1</v>
      </c>
      <c r="RV206" s="0" t="n">
        <v>35</v>
      </c>
      <c r="RW206" s="0" t="n">
        <v>3</v>
      </c>
      <c r="RX206" s="0" t="n">
        <f aca="false">0.38</f>
        <v>0.38</v>
      </c>
      <c r="RY206" s="0" t="n">
        <v>3</v>
      </c>
      <c r="RZ206" s="0" t="n">
        <v>34</v>
      </c>
      <c r="SA206" s="0" t="n">
        <v>27</v>
      </c>
      <c r="SB206" s="0" t="n">
        <f aca="false">0.19+0.19+1.13+3.38+0.56+1.5+1.13+0.38</f>
        <v>8.46</v>
      </c>
      <c r="SC206" s="0" t="n">
        <v>1</v>
      </c>
      <c r="SF206" s="20"/>
      <c r="SX206" s="0" t="n">
        <v>1</v>
      </c>
      <c r="SY206" s="0" t="n">
        <v>40</v>
      </c>
      <c r="SZ206" s="0" t="n">
        <v>9</v>
      </c>
      <c r="TA206" s="0" t="n">
        <f aca="false">0.38+1.13+3+1.88+0.75</f>
        <v>7.14</v>
      </c>
      <c r="TB206" s="0" t="n">
        <v>3</v>
      </c>
      <c r="UI206" s="16" t="n">
        <v>0</v>
      </c>
      <c r="UJ206" s="16" t="n">
        <v>0</v>
      </c>
      <c r="UK206" s="16"/>
      <c r="UL206" s="16"/>
      <c r="UM206" s="16"/>
      <c r="UN206" s="16"/>
      <c r="UO206" s="16"/>
      <c r="UP206" s="16"/>
      <c r="UQ206" s="16"/>
      <c r="UR206" s="16"/>
      <c r="US206" s="16"/>
      <c r="UT206" s="16" t="n">
        <v>5.27</v>
      </c>
      <c r="UU206" s="16" t="n">
        <v>1.5</v>
      </c>
      <c r="UV206" s="16" t="n">
        <v>0</v>
      </c>
      <c r="UW206" s="16" t="n">
        <v>0</v>
      </c>
      <c r="UX206" s="16" t="n">
        <v>0</v>
      </c>
      <c r="UY206" s="16" t="n">
        <v>0</v>
      </c>
      <c r="UZ206" s="16" t="n">
        <v>0</v>
      </c>
      <c r="VA206" s="0" t="n">
        <v>0</v>
      </c>
      <c r="VE206" s="15"/>
      <c r="VF206" s="15"/>
      <c r="VM206" s="15"/>
      <c r="VN206" s="15"/>
      <c r="VU206" s="15"/>
      <c r="VV206" s="15"/>
      <c r="WC206" s="15"/>
      <c r="WD206" s="15"/>
      <c r="WK206" s="15"/>
      <c r="WL206" s="15"/>
      <c r="WS206" s="15"/>
      <c r="WT206" s="15"/>
      <c r="XA206" s="15"/>
      <c r="XB206" s="15"/>
      <c r="XI206" s="15"/>
      <c r="XJ206" s="15"/>
      <c r="XQ206" s="15"/>
      <c r="XR206" s="15"/>
      <c r="XY206" s="15"/>
      <c r="XZ206" s="15"/>
      <c r="YG206" s="15"/>
      <c r="YH206" s="15"/>
      <c r="YO206" s="15"/>
      <c r="YP206" s="15"/>
      <c r="YW206" s="15"/>
      <c r="YX206" s="15"/>
      <c r="ZE206" s="15"/>
      <c r="ZF206" s="15"/>
      <c r="ZM206" s="15"/>
      <c r="ZN206" s="15"/>
      <c r="ZU206" s="15"/>
      <c r="ZV206" s="15"/>
      <c r="AAC206" s="15"/>
      <c r="AAD206" s="15"/>
      <c r="AAK206" s="15"/>
      <c r="AAL206" s="15"/>
      <c r="AAS206" s="15"/>
      <c r="AAT206" s="15"/>
      <c r="ABA206" s="15"/>
      <c r="ABB206" s="15"/>
      <c r="ABI206" s="15"/>
      <c r="ABJ206" s="15"/>
      <c r="ABQ206" s="15"/>
      <c r="ABR206" s="15"/>
      <c r="ABY206" s="15"/>
      <c r="ABZ206" s="15"/>
      <c r="ACG206" s="15"/>
      <c r="ACH206" s="15"/>
      <c r="ACO206" s="15"/>
      <c r="ACP206" s="15"/>
      <c r="ACW206" s="15"/>
      <c r="ACX206" s="15"/>
      <c r="ADE206" s="15"/>
      <c r="ADF206" s="15"/>
      <c r="ADM206" s="15"/>
      <c r="ADN206" s="15"/>
      <c r="ADU206" s="15"/>
      <c r="ADV206" s="15"/>
      <c r="AEC206" s="15"/>
      <c r="AED206" s="15"/>
      <c r="AEK206" s="15"/>
      <c r="AEL206" s="15"/>
      <c r="AES206" s="15"/>
      <c r="AET206" s="15"/>
      <c r="AFA206" s="15"/>
      <c r="AFB206" s="15"/>
      <c r="AFI206" s="15"/>
      <c r="AFJ206" s="15"/>
      <c r="AFQ206" s="15"/>
      <c r="AFR206" s="15"/>
      <c r="AFY206" s="15"/>
      <c r="AFZ206" s="15"/>
      <c r="AGG206" s="15"/>
      <c r="AGH206" s="15"/>
      <c r="AGO206" s="15"/>
      <c r="AGP206" s="15"/>
      <c r="AGW206" s="15"/>
      <c r="AGX206" s="15"/>
      <c r="AHE206" s="15"/>
      <c r="AHF206" s="15"/>
      <c r="AHM206" s="15"/>
      <c r="AHN206" s="15"/>
      <c r="AHU206" s="15"/>
      <c r="AHV206" s="15"/>
      <c r="AIC206" s="15"/>
      <c r="AID206" s="15"/>
      <c r="AIK206" s="15"/>
      <c r="AIL206" s="15"/>
      <c r="AIS206" s="15"/>
      <c r="AIT206" s="15"/>
      <c r="AJA206" s="15"/>
      <c r="AJB206" s="15"/>
      <c r="AJI206" s="15"/>
      <c r="AJJ206" s="15"/>
      <c r="AJQ206" s="15"/>
      <c r="AJR206" s="15"/>
      <c r="AJY206" s="15"/>
      <c r="AJZ206" s="15"/>
      <c r="AKG206" s="15"/>
      <c r="AKH206" s="15"/>
      <c r="AKO206" s="15"/>
      <c r="AKP206" s="15"/>
      <c r="AKW206" s="15"/>
      <c r="AKX206" s="15"/>
      <c r="ALE206" s="15"/>
      <c r="ALF206" s="15"/>
      <c r="ALM206" s="15"/>
      <c r="ALN206" s="15"/>
      <c r="ALU206" s="15"/>
      <c r="ALV206" s="15"/>
      <c r="AMC206" s="15"/>
      <c r="AMD206" s="15"/>
    </row>
    <row r="207" customFormat="false" ht="13.8" hidden="false" customHeight="false" outlineLevel="0" collapsed="false">
      <c r="A207" s="1" t="s">
        <v>718</v>
      </c>
      <c r="B207" s="12" t="n">
        <v>42906</v>
      </c>
      <c r="C207" s="0" t="n">
        <v>2</v>
      </c>
      <c r="D207" s="13" t="n">
        <v>42821</v>
      </c>
      <c r="E207" s="12" t="n">
        <v>33873</v>
      </c>
      <c r="F207" s="14" t="n">
        <f aca="false">(B207-E207)/365.25</f>
        <v>24.7310061601643</v>
      </c>
      <c r="G207" s="14" t="n">
        <f aca="false">(B207-D207)/365.25</f>
        <v>0.232717316906229</v>
      </c>
      <c r="H207" s="15" t="s">
        <v>183</v>
      </c>
      <c r="I207" s="15" t="s">
        <v>571</v>
      </c>
      <c r="J207" s="15" t="s">
        <v>181</v>
      </c>
      <c r="K207" s="21" t="n">
        <v>8</v>
      </c>
      <c r="L207" s="19" t="n">
        <v>80</v>
      </c>
      <c r="M207" s="0" t="n">
        <v>1.8</v>
      </c>
      <c r="N207" s="16" t="n">
        <f aca="false">L207/(M207*M207)</f>
        <v>24.6913580246914</v>
      </c>
      <c r="O207" s="19" t="n">
        <v>0</v>
      </c>
      <c r="P207" s="19" t="n">
        <v>0</v>
      </c>
      <c r="Q207" s="19" t="n">
        <v>0</v>
      </c>
      <c r="R207" s="26" t="n">
        <v>0</v>
      </c>
      <c r="S207" s="26" t="n">
        <v>0</v>
      </c>
      <c r="T207" s="26" t="n">
        <v>0</v>
      </c>
      <c r="U207" s="19" t="n">
        <v>0</v>
      </c>
      <c r="V207" s="19" t="n">
        <v>0</v>
      </c>
      <c r="W207" s="19" t="n">
        <v>0</v>
      </c>
      <c r="X207" s="19" t="n">
        <v>0</v>
      </c>
      <c r="Y207" s="19" t="n">
        <v>1</v>
      </c>
      <c r="Z207" s="19" t="n">
        <v>2</v>
      </c>
      <c r="AA207" s="19" t="n">
        <v>120</v>
      </c>
      <c r="AB207" s="19" t="s">
        <v>308</v>
      </c>
      <c r="AC207" s="19" t="n">
        <v>0</v>
      </c>
      <c r="AD207" s="19" t="n">
        <v>0</v>
      </c>
      <c r="AE207" s="19" t="n">
        <v>0</v>
      </c>
      <c r="AF207" s="19" t="n">
        <v>0</v>
      </c>
      <c r="AG207" s="19" t="n">
        <v>0</v>
      </c>
      <c r="AH207" s="19" t="n">
        <v>0</v>
      </c>
      <c r="AI207" s="19" t="n">
        <v>0</v>
      </c>
      <c r="AJ207" s="19" t="n">
        <v>0</v>
      </c>
      <c r="AK207" s="19" t="n">
        <v>0</v>
      </c>
      <c r="AL207" s="19" t="n">
        <v>0</v>
      </c>
      <c r="AM207" s="19" t="n">
        <v>0</v>
      </c>
      <c r="AN207" s="19" t="n">
        <v>0</v>
      </c>
      <c r="AO207" s="19" t="n">
        <v>0</v>
      </c>
      <c r="AP207" s="19" t="n">
        <v>0</v>
      </c>
      <c r="AQ207" s="19" t="n">
        <v>0</v>
      </c>
      <c r="AR207" s="19" t="n">
        <v>0</v>
      </c>
      <c r="AS207" s="19" t="n">
        <v>0</v>
      </c>
      <c r="AT207" s="19" t="n">
        <v>0</v>
      </c>
      <c r="AU207" s="19" t="n">
        <v>0</v>
      </c>
      <c r="AV207" s="19" t="n">
        <v>0</v>
      </c>
      <c r="AW207" s="19" t="n">
        <v>0</v>
      </c>
      <c r="AX207" s="19" t="n">
        <v>0</v>
      </c>
      <c r="AY207" s="19" t="n">
        <v>0</v>
      </c>
      <c r="AZ207" s="19" t="n">
        <v>0</v>
      </c>
      <c r="BA207" s="19" t="n">
        <v>0</v>
      </c>
      <c r="BB207" s="19" t="n">
        <v>0</v>
      </c>
      <c r="BC207" s="19" t="n">
        <v>0</v>
      </c>
      <c r="BD207" s="19" t="n">
        <v>0</v>
      </c>
      <c r="BE207" s="19" t="n">
        <v>0</v>
      </c>
      <c r="BF207" s="19" t="n">
        <v>0</v>
      </c>
      <c r="BG207" s="19" t="n">
        <v>0</v>
      </c>
      <c r="BH207" s="19" t="n">
        <v>0</v>
      </c>
      <c r="BI207" s="19" t="n">
        <v>0</v>
      </c>
      <c r="BJ207" s="19" t="n">
        <v>0</v>
      </c>
      <c r="BK207" s="19" t="n">
        <v>0</v>
      </c>
      <c r="BL207" s="19" t="n">
        <v>0</v>
      </c>
      <c r="BM207" s="19" t="n">
        <v>0</v>
      </c>
      <c r="BN207" s="19" t="n">
        <v>0</v>
      </c>
      <c r="BO207" s="19" t="n">
        <v>0</v>
      </c>
      <c r="BP207" s="19" t="n">
        <v>0</v>
      </c>
      <c r="BQ207" s="19" t="n">
        <v>0</v>
      </c>
      <c r="BR207" s="19" t="n">
        <v>3</v>
      </c>
      <c r="BS207" s="19" t="n">
        <v>2</v>
      </c>
      <c r="BT207" s="19" t="n">
        <v>4</v>
      </c>
      <c r="BU207" s="19" t="n">
        <v>5</v>
      </c>
      <c r="BV207" s="19" t="n">
        <v>3</v>
      </c>
      <c r="BW207" s="19" t="n">
        <v>3</v>
      </c>
      <c r="BX207" s="19" t="n">
        <v>4</v>
      </c>
      <c r="BY207" s="19" t="n">
        <v>5</v>
      </c>
      <c r="BZ207" s="19" t="n">
        <v>3</v>
      </c>
      <c r="CA207" s="19" t="n">
        <v>5</v>
      </c>
      <c r="CB207" s="19" t="n">
        <v>5</v>
      </c>
      <c r="CC207" s="19" t="n">
        <v>5</v>
      </c>
      <c r="CD207" s="19" t="n">
        <v>5</v>
      </c>
      <c r="CE207" s="19" t="n">
        <v>5</v>
      </c>
      <c r="CF207" s="19" t="n">
        <v>5</v>
      </c>
      <c r="CG207" s="19" t="n">
        <v>5</v>
      </c>
      <c r="CH207" s="19" t="n">
        <v>5</v>
      </c>
      <c r="CI207" s="19" t="n">
        <v>5</v>
      </c>
      <c r="CJ207" s="19" t="n">
        <v>5</v>
      </c>
      <c r="CK207" s="19" t="n">
        <v>9</v>
      </c>
      <c r="CL207" s="0" t="s">
        <v>540</v>
      </c>
      <c r="CM207" s="0" t="n">
        <v>70.5</v>
      </c>
      <c r="CN207" s="16" t="n">
        <v>88.2</v>
      </c>
      <c r="CO207" s="16" t="n">
        <v>80.4</v>
      </c>
      <c r="CP207" s="16" t="n">
        <v>36.3</v>
      </c>
      <c r="CQ207" s="0" t="n">
        <v>72.69</v>
      </c>
      <c r="CR207" s="17" t="n">
        <v>0</v>
      </c>
      <c r="CS207" s="0" t="n">
        <v>10.32</v>
      </c>
      <c r="CT207" s="0" t="n">
        <v>16.99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36.66</v>
      </c>
      <c r="DD207" s="0" t="n">
        <v>7.54</v>
      </c>
      <c r="DE207" s="0" t="n">
        <v>10.32</v>
      </c>
      <c r="DF207" s="0" t="n">
        <v>0</v>
      </c>
      <c r="DG207" s="0" t="n">
        <v>0</v>
      </c>
      <c r="DH207" s="0" t="n">
        <v>0</v>
      </c>
      <c r="DU207" s="0" t="n">
        <v>21.2</v>
      </c>
      <c r="DV207" s="0" t="n">
        <v>1</v>
      </c>
      <c r="DW207" s="0" t="n">
        <v>35</v>
      </c>
      <c r="DX207" s="0" t="n">
        <v>7</v>
      </c>
      <c r="DY207" s="0" t="n">
        <f aca="false">5.71+0.54</f>
        <v>6.25</v>
      </c>
      <c r="DZ207" s="0" t="n">
        <v>3</v>
      </c>
      <c r="EA207" s="0" t="n">
        <v>47</v>
      </c>
      <c r="EB207" s="0" t="n">
        <v>2</v>
      </c>
      <c r="EC207" s="0" t="n">
        <v>0.4</v>
      </c>
      <c r="ED207" s="0" t="n">
        <v>3</v>
      </c>
      <c r="EG207" s="20"/>
      <c r="EY207" s="0" t="n">
        <v>0</v>
      </c>
      <c r="GJ207" s="16" t="n">
        <v>11.58</v>
      </c>
      <c r="GK207" s="16" t="n">
        <v>1</v>
      </c>
      <c r="GL207" s="16" t="n">
        <v>2</v>
      </c>
      <c r="GM207" s="16"/>
      <c r="GN207" s="16" t="n">
        <f aca="false">0.22+1.95+3.81+0.27+0.32+0.04+0.05</f>
        <v>6.66</v>
      </c>
      <c r="GO207" s="16"/>
      <c r="GP207" s="16"/>
      <c r="GQ207" s="16"/>
      <c r="GR207" s="16"/>
      <c r="GS207" s="16"/>
      <c r="GT207" s="16"/>
      <c r="GU207" s="16" t="n">
        <v>0.27</v>
      </c>
      <c r="GV207" s="16" t="n">
        <v>0.27</v>
      </c>
      <c r="GW207" s="16" t="n">
        <v>0</v>
      </c>
      <c r="GX207" s="16" t="n">
        <v>0</v>
      </c>
      <c r="GY207" s="16" t="n">
        <v>0</v>
      </c>
      <c r="GZ207" s="16" t="n">
        <v>0</v>
      </c>
      <c r="HA207" s="16" t="n">
        <v>0</v>
      </c>
      <c r="HB207" s="0" t="n">
        <v>0</v>
      </c>
      <c r="HC207" s="0" t="s">
        <v>541</v>
      </c>
      <c r="HD207" s="0" t="n">
        <v>94.5</v>
      </c>
      <c r="HE207" s="16" t="n">
        <v>88.2</v>
      </c>
      <c r="HF207" s="16" t="n">
        <v>80.4</v>
      </c>
      <c r="HG207" s="16" t="n">
        <v>73.1</v>
      </c>
      <c r="HH207" s="0" t="n">
        <v>41.34</v>
      </c>
      <c r="HI207" s="17" t="n">
        <v>0</v>
      </c>
      <c r="HJ207" s="0" t="n">
        <v>8.63</v>
      </c>
      <c r="HK207" s="0" t="n">
        <v>0.04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0</v>
      </c>
      <c r="HQ207" s="0" t="n">
        <v>0</v>
      </c>
      <c r="HR207" s="0" t="n">
        <v>0</v>
      </c>
      <c r="HS207" s="0" t="n">
        <v>0</v>
      </c>
      <c r="HT207" s="0" t="n">
        <v>8.06</v>
      </c>
      <c r="HU207" s="0" t="n">
        <v>3.65</v>
      </c>
      <c r="HV207" s="0" t="n">
        <v>7.2</v>
      </c>
      <c r="HW207" s="0" t="n">
        <v>0</v>
      </c>
      <c r="HX207" s="0" t="n">
        <v>0</v>
      </c>
      <c r="HY207" s="0" t="n">
        <v>0</v>
      </c>
      <c r="IL207" s="0" t="n">
        <v>9.4</v>
      </c>
      <c r="IM207" s="0" t="n">
        <v>1</v>
      </c>
      <c r="IN207" s="0" t="n">
        <v>35</v>
      </c>
      <c r="IO207" s="0" t="n">
        <v>2</v>
      </c>
      <c r="IP207" s="0" t="n">
        <f aca="false">0.76+0.45</f>
        <v>1.21</v>
      </c>
      <c r="IQ207" s="0" t="n">
        <v>3</v>
      </c>
      <c r="IX207" s="20"/>
      <c r="JP207" s="0" t="n">
        <v>1</v>
      </c>
      <c r="JQ207" s="0" t="n">
        <v>70</v>
      </c>
      <c r="JR207" s="0" t="n">
        <v>2</v>
      </c>
      <c r="JS207" s="0" t="n">
        <f aca="false">0.75+1.69</f>
        <v>2.44</v>
      </c>
      <c r="JT207" s="0" t="n">
        <v>2</v>
      </c>
      <c r="LA207" s="16" t="n">
        <v>0.84</v>
      </c>
      <c r="LB207" s="16" t="n">
        <v>1</v>
      </c>
      <c r="LC207" s="16" t="n">
        <v>1</v>
      </c>
      <c r="LD207" s="16"/>
      <c r="LE207" s="16" t="n">
        <v>0.6</v>
      </c>
      <c r="LF207" s="16"/>
      <c r="LG207" s="16"/>
      <c r="LH207" s="16"/>
      <c r="LI207" s="16"/>
      <c r="LJ207" s="16"/>
      <c r="LK207" s="16"/>
      <c r="LL207" s="16" t="n">
        <v>10.19</v>
      </c>
      <c r="LM207" s="16" t="n">
        <v>8.46</v>
      </c>
      <c r="LN207" s="16" t="n">
        <v>0</v>
      </c>
      <c r="LO207" s="16" t="n">
        <v>0</v>
      </c>
      <c r="LP207" s="16" t="n">
        <v>0</v>
      </c>
      <c r="LQ207" s="16" t="n">
        <v>0</v>
      </c>
      <c r="LR207" s="16" t="n">
        <v>0</v>
      </c>
      <c r="LS207" s="0" t="n">
        <v>0</v>
      </c>
      <c r="LT207" s="0" t="s">
        <v>542</v>
      </c>
      <c r="LU207" s="0" t="n">
        <v>75</v>
      </c>
      <c r="LV207" s="16" t="n">
        <v>91.2</v>
      </c>
      <c r="LW207" s="16" t="n">
        <v>80.4</v>
      </c>
      <c r="LX207" s="16" t="n">
        <v>61</v>
      </c>
      <c r="LY207" s="0" t="n">
        <v>53.67</v>
      </c>
      <c r="LZ207" s="17" t="n">
        <v>0</v>
      </c>
      <c r="MA207" s="0" t="n">
        <v>16.76</v>
      </c>
      <c r="MB207" s="0" t="n">
        <v>29.58</v>
      </c>
      <c r="MC207" s="0" t="n">
        <v>0</v>
      </c>
      <c r="MD207" s="0" t="n">
        <v>0</v>
      </c>
      <c r="ME207" s="0" t="n">
        <v>0</v>
      </c>
      <c r="MF207" s="0" t="n">
        <v>0</v>
      </c>
      <c r="MG207" s="0" t="n">
        <v>0</v>
      </c>
      <c r="MH207" s="0" t="n">
        <v>0</v>
      </c>
      <c r="MI207" s="0" t="n">
        <v>0</v>
      </c>
      <c r="MJ207" s="0" t="n">
        <v>0</v>
      </c>
      <c r="MK207" s="0" t="n">
        <v>6.79</v>
      </c>
      <c r="ML207" s="0" t="n">
        <v>14.97</v>
      </c>
      <c r="MM207" s="0" t="n">
        <v>18.24</v>
      </c>
      <c r="MN207" s="0" t="n">
        <v>0</v>
      </c>
      <c r="MO207" s="0" t="n">
        <v>0</v>
      </c>
      <c r="MP207" s="0" t="n">
        <v>0</v>
      </c>
      <c r="NC207" s="0" t="n">
        <v>9</v>
      </c>
      <c r="ND207" s="0" t="n">
        <v>1</v>
      </c>
      <c r="NE207" s="0" t="n">
        <v>68</v>
      </c>
      <c r="NF207" s="0" t="n">
        <v>1</v>
      </c>
      <c r="NG207" s="0" t="n">
        <v>0.38</v>
      </c>
      <c r="NH207" s="0" t="n">
        <v>1</v>
      </c>
      <c r="NI207" s="0" t="n">
        <v>47</v>
      </c>
      <c r="NJ207" s="0" t="n">
        <v>1</v>
      </c>
      <c r="NK207" s="0" t="n">
        <v>1.13</v>
      </c>
      <c r="NL207" s="0" t="n">
        <v>3</v>
      </c>
      <c r="NO207" s="20"/>
      <c r="OG207" s="0" t="n">
        <v>1</v>
      </c>
      <c r="OH207" s="0" t="n">
        <v>70</v>
      </c>
      <c r="OI207" s="0" t="n">
        <v>2</v>
      </c>
      <c r="OJ207" s="0" t="n">
        <f aca="false">1.69+0.75</f>
        <v>2.44</v>
      </c>
      <c r="OK207" s="0" t="n">
        <v>2</v>
      </c>
      <c r="PR207" s="16" t="n">
        <v>1.88</v>
      </c>
      <c r="PS207" s="16" t="n">
        <v>1</v>
      </c>
      <c r="PT207" s="16" t="n">
        <v>1</v>
      </c>
      <c r="PU207" s="16"/>
      <c r="PV207" s="16" t="n">
        <f aca="false">1.04+1.04+1.04</f>
        <v>3.12</v>
      </c>
      <c r="PW207" s="16"/>
      <c r="PX207" s="16"/>
      <c r="PY207" s="16"/>
      <c r="PZ207" s="16"/>
      <c r="QA207" s="16"/>
      <c r="QB207" s="16"/>
      <c r="QC207" s="16" t="n">
        <v>1.5</v>
      </c>
      <c r="QD207" s="16" t="n">
        <v>1.5</v>
      </c>
      <c r="QE207" s="16" t="n">
        <v>0</v>
      </c>
      <c r="QF207" s="16" t="n">
        <v>0</v>
      </c>
      <c r="QG207" s="16" t="n">
        <v>0</v>
      </c>
      <c r="QH207" s="16" t="n">
        <v>0</v>
      </c>
      <c r="QI207" s="16" t="n">
        <v>0</v>
      </c>
      <c r="QJ207" s="0" t="n">
        <v>0</v>
      </c>
      <c r="QK207" s="0" t="s">
        <v>543</v>
      </c>
      <c r="QL207" s="0" t="n">
        <v>21</v>
      </c>
      <c r="QM207" s="16" t="n">
        <v>77.9</v>
      </c>
      <c r="QN207" s="16" t="n">
        <v>160.8</v>
      </c>
      <c r="QO207" s="16" t="n">
        <v>14.1</v>
      </c>
      <c r="QP207" s="0" t="n">
        <v>87.99</v>
      </c>
      <c r="QQ207" s="17" t="n">
        <v>0</v>
      </c>
      <c r="QR207" s="0" t="n">
        <v>3.38</v>
      </c>
      <c r="QS207" s="0" t="n">
        <v>0</v>
      </c>
      <c r="QT207" s="0" t="n">
        <v>8.63</v>
      </c>
      <c r="QU207" s="0" t="n">
        <v>0</v>
      </c>
      <c r="QV207" s="0" t="n">
        <v>0</v>
      </c>
      <c r="QW207" s="0" t="n">
        <v>0</v>
      </c>
      <c r="QX207" s="0" t="n">
        <v>0</v>
      </c>
      <c r="QY207" s="0" t="n">
        <v>0</v>
      </c>
      <c r="QZ207" s="0" t="n">
        <v>0</v>
      </c>
      <c r="RA207" s="0" t="n">
        <v>0</v>
      </c>
      <c r="RB207" s="0" t="n">
        <v>0</v>
      </c>
      <c r="RC207" s="0" t="n">
        <v>65.6</v>
      </c>
      <c r="RD207" s="0" t="n">
        <v>0</v>
      </c>
      <c r="RE207" s="0" t="n">
        <v>0</v>
      </c>
      <c r="RF207" s="0" t="n">
        <v>0</v>
      </c>
      <c r="RG207" s="0" t="n">
        <v>0</v>
      </c>
      <c r="RT207" s="0" t="n">
        <v>1.4</v>
      </c>
      <c r="RU207" s="0" t="n">
        <v>1</v>
      </c>
      <c r="RV207" s="0" t="n">
        <v>35</v>
      </c>
      <c r="RW207" s="0" t="n">
        <v>3</v>
      </c>
      <c r="RX207" s="0" t="n">
        <f aca="false">0.38</f>
        <v>0.38</v>
      </c>
      <c r="RY207" s="0" t="n">
        <v>3</v>
      </c>
      <c r="RZ207" s="0" t="n">
        <v>34</v>
      </c>
      <c r="SA207" s="0" t="n">
        <v>27</v>
      </c>
      <c r="SB207" s="0" t="n">
        <f aca="false">0.19+0.19+1.13+3.38+0.56+1.5+1.13+0.38</f>
        <v>8.46</v>
      </c>
      <c r="SC207" s="0" t="n">
        <v>1</v>
      </c>
      <c r="SF207" s="20"/>
      <c r="SX207" s="0" t="n">
        <v>1</v>
      </c>
      <c r="SY207" s="0" t="n">
        <v>40</v>
      </c>
      <c r="SZ207" s="0" t="n">
        <v>9</v>
      </c>
      <c r="TA207" s="0" t="n">
        <f aca="false">0.38+1.13+3+1.88+0.75</f>
        <v>7.14</v>
      </c>
      <c r="TB207" s="0" t="n">
        <v>3</v>
      </c>
      <c r="UI207" s="16" t="n">
        <v>0</v>
      </c>
      <c r="UJ207" s="16" t="n">
        <v>0</v>
      </c>
      <c r="UK207" s="16"/>
      <c r="UL207" s="16"/>
      <c r="UM207" s="16"/>
      <c r="UN207" s="16"/>
      <c r="UO207" s="16"/>
      <c r="UP207" s="16"/>
      <c r="UQ207" s="16"/>
      <c r="UR207" s="16"/>
      <c r="US207" s="16"/>
      <c r="UT207" s="16" t="n">
        <v>5.27</v>
      </c>
      <c r="UU207" s="16" t="n">
        <v>1.5</v>
      </c>
      <c r="UV207" s="16" t="n">
        <v>0</v>
      </c>
      <c r="UW207" s="16" t="n">
        <v>0</v>
      </c>
      <c r="UX207" s="16" t="n">
        <v>0</v>
      </c>
      <c r="UY207" s="16" t="n">
        <v>0</v>
      </c>
      <c r="UZ207" s="16" t="n">
        <v>0</v>
      </c>
      <c r="VA207" s="0" t="n">
        <v>0</v>
      </c>
      <c r="VE207" s="15"/>
      <c r="VF207" s="15"/>
      <c r="VM207" s="15"/>
      <c r="VN207" s="15"/>
      <c r="VU207" s="15"/>
      <c r="VV207" s="15"/>
      <c r="WC207" s="15"/>
      <c r="WD207" s="15"/>
      <c r="WK207" s="15"/>
      <c r="WL207" s="15"/>
      <c r="WS207" s="15"/>
      <c r="WT207" s="15"/>
      <c r="XA207" s="15"/>
      <c r="XB207" s="15"/>
      <c r="XI207" s="15"/>
      <c r="XJ207" s="15"/>
      <c r="XQ207" s="15"/>
      <c r="XR207" s="15"/>
      <c r="XY207" s="15"/>
      <c r="XZ207" s="15"/>
      <c r="YG207" s="15"/>
      <c r="YH207" s="15"/>
      <c r="YO207" s="15"/>
      <c r="YP207" s="15"/>
      <c r="YW207" s="15"/>
      <c r="YX207" s="15"/>
      <c r="ZE207" s="15"/>
      <c r="ZF207" s="15"/>
      <c r="ZM207" s="15"/>
      <c r="ZN207" s="15"/>
      <c r="ZU207" s="15"/>
      <c r="ZV207" s="15"/>
      <c r="AAC207" s="15"/>
      <c r="AAD207" s="15"/>
      <c r="AAK207" s="15"/>
      <c r="AAL207" s="15"/>
      <c r="AAS207" s="15"/>
      <c r="AAT207" s="15"/>
      <c r="ABA207" s="15"/>
      <c r="ABB207" s="15"/>
      <c r="ABI207" s="15"/>
      <c r="ABJ207" s="15"/>
      <c r="ABQ207" s="15"/>
      <c r="ABR207" s="15"/>
      <c r="ABY207" s="15"/>
      <c r="ABZ207" s="15"/>
      <c r="ACG207" s="15"/>
      <c r="ACH207" s="15"/>
      <c r="ACO207" s="15"/>
      <c r="ACP207" s="15"/>
      <c r="ACW207" s="15"/>
      <c r="ACX207" s="15"/>
      <c r="ADE207" s="15"/>
      <c r="ADF207" s="15"/>
      <c r="ADM207" s="15"/>
      <c r="ADN207" s="15"/>
      <c r="ADU207" s="15"/>
      <c r="ADV207" s="15"/>
      <c r="AEC207" s="15"/>
      <c r="AED207" s="15"/>
      <c r="AEK207" s="15"/>
      <c r="AEL207" s="15"/>
      <c r="AES207" s="15"/>
      <c r="AET207" s="15"/>
      <c r="AFA207" s="15"/>
      <c r="AFB207" s="15"/>
      <c r="AFI207" s="15"/>
      <c r="AFJ207" s="15"/>
      <c r="AFQ207" s="15"/>
      <c r="AFR207" s="15"/>
      <c r="AFY207" s="15"/>
      <c r="AFZ207" s="15"/>
      <c r="AGG207" s="15"/>
      <c r="AGH207" s="15"/>
      <c r="AGO207" s="15"/>
      <c r="AGP207" s="15"/>
      <c r="AGW207" s="15"/>
      <c r="AGX207" s="15"/>
      <c r="AHE207" s="15"/>
      <c r="AHF207" s="15"/>
      <c r="AHM207" s="15"/>
      <c r="AHN207" s="15"/>
      <c r="AHU207" s="15"/>
      <c r="AHV207" s="15"/>
      <c r="AIC207" s="15"/>
      <c r="AID207" s="15"/>
      <c r="AIK207" s="15"/>
      <c r="AIL207" s="15"/>
      <c r="AIS207" s="15"/>
      <c r="AIT207" s="15"/>
      <c r="AJA207" s="15"/>
      <c r="AJB207" s="15"/>
      <c r="AJI207" s="15"/>
      <c r="AJJ207" s="15"/>
      <c r="AJQ207" s="15"/>
      <c r="AJR207" s="15"/>
      <c r="AJY207" s="15"/>
      <c r="AJZ207" s="15"/>
      <c r="AKG207" s="15"/>
      <c r="AKH207" s="15"/>
      <c r="AKO207" s="15"/>
      <c r="AKP207" s="15"/>
      <c r="AKW207" s="15"/>
      <c r="AKX207" s="15"/>
      <c r="ALE207" s="15"/>
      <c r="ALF207" s="15"/>
      <c r="ALM207" s="15"/>
      <c r="ALN207" s="15"/>
      <c r="ALU207" s="15"/>
      <c r="ALV207" s="15"/>
      <c r="AMC207" s="15"/>
      <c r="AMD207" s="15"/>
    </row>
    <row r="208" customFormat="false" ht="13.8" hidden="false" customHeight="false" outlineLevel="0" collapsed="false">
      <c r="A208" s="1" t="s">
        <v>719</v>
      </c>
      <c r="B208" s="12" t="n">
        <v>42906</v>
      </c>
      <c r="C208" s="0" t="n">
        <v>2</v>
      </c>
      <c r="D208" s="13" t="n">
        <v>34670</v>
      </c>
      <c r="E208" s="12" t="n">
        <v>26013</v>
      </c>
      <c r="F208" s="14" t="n">
        <f aca="false">(B208-E208)/365.25</f>
        <v>46.2505133470226</v>
      </c>
      <c r="G208" s="14" t="n">
        <f aca="false">(B208-D208)/365.25</f>
        <v>22.54893908282</v>
      </c>
      <c r="H208" s="15" t="s">
        <v>183</v>
      </c>
      <c r="I208" s="15" t="s">
        <v>571</v>
      </c>
      <c r="J208" s="21" t="s">
        <v>181</v>
      </c>
      <c r="K208" s="21" t="n">
        <v>8</v>
      </c>
      <c r="L208" s="19" t="n">
        <v>70</v>
      </c>
      <c r="M208" s="0" t="n">
        <v>1.8</v>
      </c>
      <c r="N208" s="16" t="n">
        <f aca="false">L208/(M208*M208)</f>
        <v>21.6049382716049</v>
      </c>
      <c r="O208" s="19" t="n">
        <v>0</v>
      </c>
      <c r="P208" s="19" t="n">
        <v>0</v>
      </c>
      <c r="Q208" s="19" t="n">
        <v>0</v>
      </c>
      <c r="R208" s="26" t="n">
        <v>0</v>
      </c>
      <c r="S208" s="26" t="n">
        <v>0</v>
      </c>
      <c r="T208" s="26" t="n">
        <v>0</v>
      </c>
      <c r="U208" s="19" t="n">
        <v>0</v>
      </c>
      <c r="V208" s="19" t="n">
        <v>0</v>
      </c>
      <c r="W208" s="19" t="n">
        <v>0</v>
      </c>
      <c r="X208" s="19" t="n">
        <v>0</v>
      </c>
      <c r="Y208" s="19" t="n">
        <v>1</v>
      </c>
      <c r="Z208" s="19" t="n">
        <v>2</v>
      </c>
      <c r="AA208" s="19" t="n">
        <v>60</v>
      </c>
      <c r="AB208" s="19" t="s">
        <v>215</v>
      </c>
      <c r="AC208" s="19" t="n">
        <v>1</v>
      </c>
      <c r="AD208" s="19" t="n">
        <v>20</v>
      </c>
      <c r="AE208" s="19" t="n">
        <v>1</v>
      </c>
      <c r="AF208" s="19" t="n">
        <v>1</v>
      </c>
      <c r="AG208" s="19" t="n">
        <v>0</v>
      </c>
      <c r="AH208" s="19" t="n">
        <v>0</v>
      </c>
      <c r="AI208" s="19" t="n">
        <v>0</v>
      </c>
      <c r="AJ208" s="19" t="n">
        <v>0</v>
      </c>
      <c r="AK208" s="19" t="n">
        <v>0</v>
      </c>
      <c r="AL208" s="19" t="n">
        <v>0</v>
      </c>
      <c r="AM208" s="19" t="n">
        <v>0</v>
      </c>
      <c r="AN208" s="19" t="n">
        <v>0</v>
      </c>
      <c r="AO208" s="19" t="n">
        <v>0</v>
      </c>
      <c r="AP208" s="19" t="n">
        <v>0</v>
      </c>
      <c r="AQ208" s="19" t="n">
        <v>0</v>
      </c>
      <c r="AR208" s="19" t="n">
        <v>0</v>
      </c>
      <c r="AS208" s="19" t="n">
        <v>0</v>
      </c>
      <c r="AT208" s="19" t="n">
        <v>0</v>
      </c>
      <c r="AU208" s="19" t="n">
        <v>0</v>
      </c>
      <c r="AV208" s="19" t="n">
        <v>0</v>
      </c>
      <c r="AW208" s="19" t="n">
        <v>0</v>
      </c>
      <c r="AX208" s="19" t="n">
        <v>0</v>
      </c>
      <c r="AY208" s="19" t="n">
        <v>0</v>
      </c>
      <c r="AZ208" s="19" t="n">
        <v>0</v>
      </c>
      <c r="BA208" s="19" t="n">
        <v>0</v>
      </c>
      <c r="BB208" s="19" t="n">
        <v>1</v>
      </c>
      <c r="BC208" s="19" t="n">
        <v>1</v>
      </c>
      <c r="BD208" s="19" t="n">
        <v>0</v>
      </c>
      <c r="BE208" s="19" t="n">
        <v>0</v>
      </c>
      <c r="BF208" s="19" t="n">
        <v>1</v>
      </c>
      <c r="BG208" s="19" t="n">
        <v>1</v>
      </c>
      <c r="BH208" s="19" t="n">
        <v>0</v>
      </c>
      <c r="BI208" s="19" t="n">
        <v>0</v>
      </c>
      <c r="BJ208" s="19" t="n">
        <v>1</v>
      </c>
      <c r="BK208" s="19" t="n">
        <v>1</v>
      </c>
      <c r="BL208" s="19" t="n">
        <v>0</v>
      </c>
      <c r="BM208" s="19" t="n">
        <v>0</v>
      </c>
      <c r="BN208" s="19" t="n">
        <v>0</v>
      </c>
      <c r="BO208" s="19" t="n">
        <v>0</v>
      </c>
      <c r="BP208" s="19" t="n">
        <v>0</v>
      </c>
      <c r="BQ208" s="19" t="n">
        <v>0</v>
      </c>
      <c r="BR208" s="19" t="n">
        <v>4</v>
      </c>
      <c r="BS208" s="19" t="n">
        <v>3</v>
      </c>
      <c r="BT208" s="19" t="n">
        <v>4</v>
      </c>
      <c r="BU208" s="19" t="n">
        <v>4</v>
      </c>
      <c r="BV208" s="19" t="n">
        <v>3</v>
      </c>
      <c r="BW208" s="19" t="n">
        <v>3</v>
      </c>
      <c r="BX208" s="19" t="n">
        <v>1</v>
      </c>
      <c r="BY208" s="19" t="n">
        <v>3</v>
      </c>
      <c r="BZ208" s="19" t="n">
        <v>4</v>
      </c>
      <c r="CA208" s="19" t="n">
        <v>3</v>
      </c>
      <c r="CB208" s="19" t="n">
        <v>3</v>
      </c>
      <c r="CC208" s="19" t="n">
        <v>5</v>
      </c>
      <c r="CD208" s="19" t="n">
        <v>3</v>
      </c>
      <c r="CE208" s="19" t="n">
        <v>3</v>
      </c>
      <c r="CF208" s="19" t="n">
        <v>4</v>
      </c>
      <c r="CG208" s="19" t="n">
        <v>5</v>
      </c>
      <c r="CH208" s="19" t="n">
        <v>3</v>
      </c>
      <c r="CI208" s="19" t="n">
        <v>4</v>
      </c>
      <c r="CJ208" s="19" t="n">
        <v>3</v>
      </c>
      <c r="CK208" s="19" t="n">
        <v>9</v>
      </c>
      <c r="CL208" s="0" t="s">
        <v>540</v>
      </c>
      <c r="CM208" s="0" t="n">
        <v>70.5</v>
      </c>
      <c r="CN208" s="16" t="n">
        <v>88.2</v>
      </c>
      <c r="CO208" s="16" t="n">
        <v>80.4</v>
      </c>
      <c r="CP208" s="16" t="n">
        <v>36.3</v>
      </c>
      <c r="CQ208" s="0" t="n">
        <v>72.69</v>
      </c>
      <c r="CR208" s="17" t="n">
        <v>0</v>
      </c>
      <c r="CS208" s="0" t="n">
        <v>10.32</v>
      </c>
      <c r="CT208" s="0" t="n">
        <v>16.99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36.66</v>
      </c>
      <c r="DD208" s="0" t="n">
        <v>7.54</v>
      </c>
      <c r="DE208" s="0" t="n">
        <v>10.32</v>
      </c>
      <c r="DF208" s="0" t="n">
        <v>0</v>
      </c>
      <c r="DG208" s="0" t="n">
        <v>0</v>
      </c>
      <c r="DH208" s="0" t="n">
        <v>0</v>
      </c>
      <c r="DU208" s="0" t="n">
        <v>21.2</v>
      </c>
      <c r="DV208" s="0" t="n">
        <v>1</v>
      </c>
      <c r="DW208" s="0" t="n">
        <v>35</v>
      </c>
      <c r="DX208" s="0" t="n">
        <v>7</v>
      </c>
      <c r="DY208" s="0" t="n">
        <f aca="false">5.71+0.54</f>
        <v>6.25</v>
      </c>
      <c r="DZ208" s="0" t="n">
        <v>3</v>
      </c>
      <c r="EA208" s="0" t="n">
        <v>47</v>
      </c>
      <c r="EB208" s="0" t="n">
        <v>2</v>
      </c>
      <c r="EC208" s="0" t="n">
        <v>0.4</v>
      </c>
      <c r="ED208" s="0" t="n">
        <v>3</v>
      </c>
      <c r="EG208" s="20"/>
      <c r="EY208" s="0" t="n">
        <v>0</v>
      </c>
      <c r="GJ208" s="16" t="n">
        <v>11.58</v>
      </c>
      <c r="GK208" s="16" t="n">
        <v>1</v>
      </c>
      <c r="GL208" s="16" t="n">
        <v>2</v>
      </c>
      <c r="GM208" s="16"/>
      <c r="GN208" s="16" t="n">
        <f aca="false">0.22+1.95+3.81+0.27+0.32+0.04+0.05</f>
        <v>6.66</v>
      </c>
      <c r="GO208" s="16"/>
      <c r="GP208" s="16"/>
      <c r="GQ208" s="16"/>
      <c r="GR208" s="16"/>
      <c r="GS208" s="16"/>
      <c r="GT208" s="16"/>
      <c r="GU208" s="16" t="n">
        <v>0.27</v>
      </c>
      <c r="GV208" s="16" t="n">
        <v>0.27</v>
      </c>
      <c r="GW208" s="16" t="n">
        <v>0</v>
      </c>
      <c r="GX208" s="16" t="n">
        <v>0</v>
      </c>
      <c r="GY208" s="16" t="n">
        <v>0</v>
      </c>
      <c r="GZ208" s="16" t="n">
        <v>0</v>
      </c>
      <c r="HA208" s="16" t="n">
        <v>0</v>
      </c>
      <c r="HB208" s="0" t="n">
        <v>0</v>
      </c>
      <c r="HC208" s="0" t="s">
        <v>541</v>
      </c>
      <c r="HD208" s="0" t="n">
        <v>94.5</v>
      </c>
      <c r="HE208" s="16" t="n">
        <v>88.2</v>
      </c>
      <c r="HF208" s="16" t="n">
        <v>80.4</v>
      </c>
      <c r="HG208" s="16" t="n">
        <v>73.1</v>
      </c>
      <c r="HH208" s="0" t="n">
        <v>41.34</v>
      </c>
      <c r="HI208" s="17" t="n">
        <v>0</v>
      </c>
      <c r="HJ208" s="0" t="n">
        <v>8.63</v>
      </c>
      <c r="HK208" s="0" t="n">
        <v>0.04</v>
      </c>
      <c r="HL208" s="0" t="n">
        <v>0</v>
      </c>
      <c r="HM208" s="0" t="n">
        <v>0</v>
      </c>
      <c r="HN208" s="0" t="n">
        <v>0</v>
      </c>
      <c r="HO208" s="0" t="n">
        <v>0</v>
      </c>
      <c r="HP208" s="0" t="n">
        <v>0</v>
      </c>
      <c r="HQ208" s="0" t="n">
        <v>0</v>
      </c>
      <c r="HR208" s="0" t="n">
        <v>0</v>
      </c>
      <c r="HS208" s="0" t="n">
        <v>0</v>
      </c>
      <c r="HT208" s="0" t="n">
        <v>8.06</v>
      </c>
      <c r="HU208" s="0" t="n">
        <v>3.65</v>
      </c>
      <c r="HV208" s="0" t="n">
        <v>7.2</v>
      </c>
      <c r="HW208" s="0" t="n">
        <v>0</v>
      </c>
      <c r="HX208" s="0" t="n">
        <v>0</v>
      </c>
      <c r="HY208" s="0" t="n">
        <v>0</v>
      </c>
      <c r="IL208" s="0" t="n">
        <v>9.4</v>
      </c>
      <c r="IM208" s="0" t="n">
        <v>1</v>
      </c>
      <c r="IN208" s="0" t="n">
        <v>35</v>
      </c>
      <c r="IO208" s="0" t="n">
        <v>2</v>
      </c>
      <c r="IP208" s="0" t="n">
        <f aca="false">0.76+0.45</f>
        <v>1.21</v>
      </c>
      <c r="IQ208" s="0" t="n">
        <v>3</v>
      </c>
      <c r="IX208" s="20"/>
      <c r="JP208" s="0" t="n">
        <v>1</v>
      </c>
      <c r="JQ208" s="0" t="n">
        <v>70</v>
      </c>
      <c r="JR208" s="0" t="n">
        <v>2</v>
      </c>
      <c r="JS208" s="0" t="n">
        <f aca="false">0.75+1.69</f>
        <v>2.44</v>
      </c>
      <c r="JT208" s="0" t="n">
        <v>2</v>
      </c>
      <c r="LA208" s="16" t="n">
        <v>0.84</v>
      </c>
      <c r="LB208" s="16" t="n">
        <v>1</v>
      </c>
      <c r="LC208" s="16" t="n">
        <v>1</v>
      </c>
      <c r="LD208" s="16"/>
      <c r="LE208" s="16" t="n">
        <v>0.6</v>
      </c>
      <c r="LF208" s="16"/>
      <c r="LG208" s="16"/>
      <c r="LH208" s="16"/>
      <c r="LI208" s="16"/>
      <c r="LJ208" s="16"/>
      <c r="LK208" s="16"/>
      <c r="LL208" s="16" t="n">
        <v>10.19</v>
      </c>
      <c r="LM208" s="16" t="n">
        <v>8.46</v>
      </c>
      <c r="LN208" s="16" t="n">
        <v>0</v>
      </c>
      <c r="LO208" s="16" t="n">
        <v>0</v>
      </c>
      <c r="LP208" s="16" t="n">
        <v>0</v>
      </c>
      <c r="LQ208" s="16" t="n">
        <v>0</v>
      </c>
      <c r="LR208" s="16" t="n">
        <v>0</v>
      </c>
      <c r="LS208" s="0" t="n">
        <v>0</v>
      </c>
      <c r="LT208" s="0" t="s">
        <v>542</v>
      </c>
      <c r="LU208" s="0" t="n">
        <v>75</v>
      </c>
      <c r="LV208" s="16" t="n">
        <v>91.2</v>
      </c>
      <c r="LW208" s="16" t="n">
        <v>80.4</v>
      </c>
      <c r="LX208" s="16" t="n">
        <v>61</v>
      </c>
      <c r="LY208" s="0" t="n">
        <v>53.67</v>
      </c>
      <c r="LZ208" s="17" t="n">
        <v>0</v>
      </c>
      <c r="MA208" s="0" t="n">
        <v>16.76</v>
      </c>
      <c r="MB208" s="0" t="n">
        <v>29.58</v>
      </c>
      <c r="MC208" s="0" t="n">
        <v>0</v>
      </c>
      <c r="MD208" s="0" t="n">
        <v>0</v>
      </c>
      <c r="ME208" s="0" t="n">
        <v>0</v>
      </c>
      <c r="MF208" s="0" t="n">
        <v>0</v>
      </c>
      <c r="MG208" s="0" t="n">
        <v>0</v>
      </c>
      <c r="MH208" s="0" t="n">
        <v>0</v>
      </c>
      <c r="MI208" s="0" t="n">
        <v>0</v>
      </c>
      <c r="MJ208" s="0" t="n">
        <v>0</v>
      </c>
      <c r="MK208" s="0" t="n">
        <v>6.79</v>
      </c>
      <c r="ML208" s="0" t="n">
        <v>14.97</v>
      </c>
      <c r="MM208" s="0" t="n">
        <v>18.24</v>
      </c>
      <c r="MN208" s="0" t="n">
        <v>0</v>
      </c>
      <c r="MO208" s="0" t="n">
        <v>0</v>
      </c>
      <c r="MP208" s="0" t="n">
        <v>0</v>
      </c>
      <c r="NC208" s="0" t="n">
        <v>9</v>
      </c>
      <c r="ND208" s="0" t="n">
        <v>1</v>
      </c>
      <c r="NE208" s="0" t="n">
        <v>68</v>
      </c>
      <c r="NF208" s="0" t="n">
        <v>1</v>
      </c>
      <c r="NG208" s="0" t="n">
        <v>0.38</v>
      </c>
      <c r="NH208" s="0" t="n">
        <v>1</v>
      </c>
      <c r="NI208" s="0" t="n">
        <v>47</v>
      </c>
      <c r="NJ208" s="0" t="n">
        <v>1</v>
      </c>
      <c r="NK208" s="0" t="n">
        <v>1.13</v>
      </c>
      <c r="NL208" s="0" t="n">
        <v>3</v>
      </c>
      <c r="NO208" s="20"/>
      <c r="OG208" s="0" t="n">
        <v>1</v>
      </c>
      <c r="OH208" s="0" t="n">
        <v>70</v>
      </c>
      <c r="OI208" s="0" t="n">
        <v>2</v>
      </c>
      <c r="OJ208" s="0" t="n">
        <f aca="false">1.69+0.75</f>
        <v>2.44</v>
      </c>
      <c r="OK208" s="0" t="n">
        <v>2</v>
      </c>
      <c r="PR208" s="16" t="n">
        <v>1.88</v>
      </c>
      <c r="PS208" s="16" t="n">
        <v>1</v>
      </c>
      <c r="PT208" s="16" t="n">
        <v>1</v>
      </c>
      <c r="PU208" s="16"/>
      <c r="PV208" s="16" t="n">
        <f aca="false">1.04+1.04+1.04</f>
        <v>3.12</v>
      </c>
      <c r="PW208" s="16"/>
      <c r="PX208" s="16"/>
      <c r="PY208" s="16"/>
      <c r="PZ208" s="16"/>
      <c r="QA208" s="16"/>
      <c r="QB208" s="16"/>
      <c r="QC208" s="16" t="n">
        <v>1.5</v>
      </c>
      <c r="QD208" s="16" t="n">
        <v>1.5</v>
      </c>
      <c r="QE208" s="16" t="n">
        <v>0</v>
      </c>
      <c r="QF208" s="16" t="n">
        <v>0</v>
      </c>
      <c r="QG208" s="16" t="n">
        <v>0</v>
      </c>
      <c r="QH208" s="16" t="n">
        <v>0</v>
      </c>
      <c r="QI208" s="16" t="n">
        <v>0</v>
      </c>
      <c r="QJ208" s="0" t="n">
        <v>0</v>
      </c>
      <c r="QK208" s="0" t="s">
        <v>543</v>
      </c>
      <c r="QL208" s="0" t="n">
        <v>21</v>
      </c>
      <c r="QM208" s="16" t="n">
        <v>77.9</v>
      </c>
      <c r="QN208" s="16" t="n">
        <v>160.8</v>
      </c>
      <c r="QO208" s="16" t="n">
        <v>14.1</v>
      </c>
      <c r="QP208" s="0" t="n">
        <v>87.99</v>
      </c>
      <c r="QQ208" s="17" t="n">
        <v>0</v>
      </c>
      <c r="QR208" s="0" t="n">
        <v>3.38</v>
      </c>
      <c r="QS208" s="0" t="n">
        <v>0</v>
      </c>
      <c r="QT208" s="0" t="n">
        <v>8.63</v>
      </c>
      <c r="QU208" s="0" t="n">
        <v>0</v>
      </c>
      <c r="QV208" s="0" t="n">
        <v>0</v>
      </c>
      <c r="QW208" s="0" t="n">
        <v>0</v>
      </c>
      <c r="QX208" s="0" t="n">
        <v>0</v>
      </c>
      <c r="QY208" s="0" t="n">
        <v>0</v>
      </c>
      <c r="QZ208" s="0" t="n">
        <v>0</v>
      </c>
      <c r="RA208" s="0" t="n">
        <v>0</v>
      </c>
      <c r="RB208" s="0" t="n">
        <v>0</v>
      </c>
      <c r="RC208" s="0" t="n">
        <v>65.6</v>
      </c>
      <c r="RD208" s="0" t="n">
        <v>0</v>
      </c>
      <c r="RE208" s="0" t="n">
        <v>0</v>
      </c>
      <c r="RF208" s="0" t="n">
        <v>0</v>
      </c>
      <c r="RG208" s="0" t="n">
        <v>0</v>
      </c>
      <c r="RT208" s="0" t="n">
        <v>1.4</v>
      </c>
      <c r="RU208" s="0" t="n">
        <v>1</v>
      </c>
      <c r="RV208" s="0" t="n">
        <v>35</v>
      </c>
      <c r="RW208" s="0" t="n">
        <v>3</v>
      </c>
      <c r="RX208" s="0" t="n">
        <f aca="false">0.38</f>
        <v>0.38</v>
      </c>
      <c r="RY208" s="0" t="n">
        <v>3</v>
      </c>
      <c r="RZ208" s="0" t="n">
        <v>34</v>
      </c>
      <c r="SA208" s="0" t="n">
        <v>27</v>
      </c>
      <c r="SB208" s="0" t="n">
        <f aca="false">0.19+0.19+1.13+3.38+0.56+1.5+1.13+0.38</f>
        <v>8.46</v>
      </c>
      <c r="SC208" s="0" t="n">
        <v>1</v>
      </c>
      <c r="SF208" s="20"/>
      <c r="SX208" s="0" t="n">
        <v>1</v>
      </c>
      <c r="SY208" s="0" t="n">
        <v>40</v>
      </c>
      <c r="SZ208" s="0" t="n">
        <v>9</v>
      </c>
      <c r="TA208" s="0" t="n">
        <f aca="false">0.38+1.13+3+1.88+0.75</f>
        <v>7.14</v>
      </c>
      <c r="TB208" s="0" t="n">
        <v>3</v>
      </c>
      <c r="UI208" s="16" t="n">
        <v>0</v>
      </c>
      <c r="UJ208" s="16" t="n">
        <v>0</v>
      </c>
      <c r="UK208" s="16"/>
      <c r="UL208" s="16"/>
      <c r="UM208" s="16"/>
      <c r="UN208" s="16"/>
      <c r="UO208" s="16"/>
      <c r="UP208" s="16"/>
      <c r="UQ208" s="16"/>
      <c r="UR208" s="16"/>
      <c r="US208" s="16"/>
      <c r="UT208" s="16" t="n">
        <v>5.27</v>
      </c>
      <c r="UU208" s="16" t="n">
        <v>1.5</v>
      </c>
      <c r="UV208" s="16" t="n">
        <v>0</v>
      </c>
      <c r="UW208" s="16" t="n">
        <v>0</v>
      </c>
      <c r="UX208" s="16" t="n">
        <v>0</v>
      </c>
      <c r="UY208" s="16" t="n">
        <v>0</v>
      </c>
      <c r="UZ208" s="16" t="n">
        <v>0</v>
      </c>
      <c r="VA208" s="0" t="n">
        <v>0</v>
      </c>
      <c r="VE208" s="15"/>
      <c r="VF208" s="15"/>
      <c r="VM208" s="15"/>
      <c r="VN208" s="15"/>
      <c r="VU208" s="15"/>
      <c r="VV208" s="15"/>
      <c r="WC208" s="15"/>
      <c r="WD208" s="15"/>
      <c r="WK208" s="15"/>
      <c r="WL208" s="15"/>
      <c r="WS208" s="15"/>
      <c r="WT208" s="15"/>
      <c r="XA208" s="15"/>
      <c r="XB208" s="15"/>
      <c r="XI208" s="15"/>
      <c r="XJ208" s="15"/>
      <c r="XQ208" s="15"/>
      <c r="XR208" s="15"/>
      <c r="XY208" s="15"/>
      <c r="XZ208" s="15"/>
      <c r="YG208" s="15"/>
      <c r="YH208" s="15"/>
      <c r="YO208" s="15"/>
      <c r="YP208" s="15"/>
      <c r="YW208" s="15"/>
      <c r="YX208" s="15"/>
      <c r="ZE208" s="15"/>
      <c r="ZF208" s="15"/>
      <c r="ZM208" s="15"/>
      <c r="ZN208" s="15"/>
      <c r="ZU208" s="15"/>
      <c r="ZV208" s="15"/>
      <c r="AAC208" s="15"/>
      <c r="AAD208" s="15"/>
      <c r="AAK208" s="15"/>
      <c r="AAL208" s="15"/>
      <c r="AAS208" s="15"/>
      <c r="AAT208" s="15"/>
      <c r="ABA208" s="15"/>
      <c r="ABB208" s="15"/>
      <c r="ABI208" s="15"/>
      <c r="ABJ208" s="15"/>
      <c r="ABQ208" s="15"/>
      <c r="ABR208" s="15"/>
      <c r="ABY208" s="15"/>
      <c r="ABZ208" s="15"/>
      <c r="ACG208" s="15"/>
      <c r="ACH208" s="15"/>
      <c r="ACO208" s="15"/>
      <c r="ACP208" s="15"/>
      <c r="ACW208" s="15"/>
      <c r="ACX208" s="15"/>
      <c r="ADE208" s="15"/>
      <c r="ADF208" s="15"/>
      <c r="ADM208" s="15"/>
      <c r="ADN208" s="15"/>
      <c r="ADU208" s="15"/>
      <c r="ADV208" s="15"/>
      <c r="AEC208" s="15"/>
      <c r="AED208" s="15"/>
      <c r="AEK208" s="15"/>
      <c r="AEL208" s="15"/>
      <c r="AES208" s="15"/>
      <c r="AET208" s="15"/>
      <c r="AFA208" s="15"/>
      <c r="AFB208" s="15"/>
      <c r="AFI208" s="15"/>
      <c r="AFJ208" s="15"/>
      <c r="AFQ208" s="15"/>
      <c r="AFR208" s="15"/>
      <c r="AFY208" s="15"/>
      <c r="AFZ208" s="15"/>
      <c r="AGG208" s="15"/>
      <c r="AGH208" s="15"/>
      <c r="AGO208" s="15"/>
      <c r="AGP208" s="15"/>
      <c r="AGW208" s="15"/>
      <c r="AGX208" s="15"/>
      <c r="AHE208" s="15"/>
      <c r="AHF208" s="15"/>
      <c r="AHM208" s="15"/>
      <c r="AHN208" s="15"/>
      <c r="AHU208" s="15"/>
      <c r="AHV208" s="15"/>
      <c r="AIC208" s="15"/>
      <c r="AID208" s="15"/>
      <c r="AIK208" s="15"/>
      <c r="AIL208" s="15"/>
      <c r="AIS208" s="15"/>
      <c r="AIT208" s="15"/>
      <c r="AJA208" s="15"/>
      <c r="AJB208" s="15"/>
      <c r="AJI208" s="15"/>
      <c r="AJJ208" s="15"/>
      <c r="AJQ208" s="15"/>
      <c r="AJR208" s="15"/>
      <c r="AJY208" s="15"/>
      <c r="AJZ208" s="15"/>
      <c r="AKG208" s="15"/>
      <c r="AKH208" s="15"/>
      <c r="AKO208" s="15"/>
      <c r="AKP208" s="15"/>
      <c r="AKW208" s="15"/>
      <c r="AKX208" s="15"/>
      <c r="ALE208" s="15"/>
      <c r="ALF208" s="15"/>
      <c r="ALM208" s="15"/>
      <c r="ALN208" s="15"/>
      <c r="ALU208" s="15"/>
      <c r="ALV208" s="15"/>
      <c r="AMC208" s="15"/>
      <c r="AMD208" s="15"/>
    </row>
    <row r="209" customFormat="false" ht="13.8" hidden="false" customHeight="false" outlineLevel="0" collapsed="false">
      <c r="A209" s="1" t="s">
        <v>720</v>
      </c>
      <c r="B209" s="12" t="n">
        <v>42906</v>
      </c>
      <c r="C209" s="0" t="n">
        <v>2</v>
      </c>
      <c r="D209" s="13" t="n">
        <v>42828</v>
      </c>
      <c r="E209" s="12" t="n">
        <v>35228</v>
      </c>
      <c r="F209" s="14" t="n">
        <f aca="false">(B209-E209)/365.25</f>
        <v>21.0212183436003</v>
      </c>
      <c r="G209" s="14" t="n">
        <f aca="false">(B209-D209)/365.25</f>
        <v>0.213552361396304</v>
      </c>
      <c r="H209" s="15" t="s">
        <v>183</v>
      </c>
      <c r="I209" s="15" t="s">
        <v>571</v>
      </c>
      <c r="J209" s="21" t="s">
        <v>181</v>
      </c>
      <c r="K209" s="21" t="n">
        <v>8</v>
      </c>
      <c r="L209" s="19" t="n">
        <v>105</v>
      </c>
      <c r="M209" s="0" t="n">
        <v>1.86</v>
      </c>
      <c r="N209" s="16" t="n">
        <f aca="false">L209/(M209*M209)</f>
        <v>30.3503295178633</v>
      </c>
      <c r="O209" s="19" t="n">
        <v>0</v>
      </c>
      <c r="P209" s="19" t="n">
        <v>0</v>
      </c>
      <c r="Q209" s="19" t="n">
        <v>0</v>
      </c>
      <c r="R209" s="26" t="n">
        <v>0</v>
      </c>
      <c r="S209" s="26" t="n">
        <v>0</v>
      </c>
      <c r="T209" s="26" t="n">
        <v>0</v>
      </c>
      <c r="U209" s="19" t="n">
        <v>0</v>
      </c>
      <c r="V209" s="19" t="n">
        <v>0</v>
      </c>
      <c r="W209" s="19" t="n">
        <v>0</v>
      </c>
      <c r="X209" s="19" t="n">
        <v>0</v>
      </c>
      <c r="Y209" s="19" t="n">
        <v>0</v>
      </c>
      <c r="Z209" s="19" t="n">
        <v>0</v>
      </c>
      <c r="AA209" s="19" t="n">
        <v>0</v>
      </c>
      <c r="AB209" s="19" t="n">
        <v>0</v>
      </c>
      <c r="AC209" s="19" t="n">
        <v>1</v>
      </c>
      <c r="AD209" s="19" t="n">
        <v>12</v>
      </c>
      <c r="AE209" s="19" t="n">
        <v>0</v>
      </c>
      <c r="AF209" s="19" t="n">
        <v>0</v>
      </c>
      <c r="AG209" s="19" t="n">
        <v>0</v>
      </c>
      <c r="AH209" s="19" t="n">
        <v>0</v>
      </c>
      <c r="AI209" s="19" t="n">
        <v>0</v>
      </c>
      <c r="AJ209" s="19" t="n">
        <v>0</v>
      </c>
      <c r="AK209" s="19" t="n">
        <v>0</v>
      </c>
      <c r="AL209" s="19" t="n">
        <v>0</v>
      </c>
      <c r="AM209" s="19" t="n">
        <v>0</v>
      </c>
      <c r="AN209" s="19" t="n">
        <v>0</v>
      </c>
      <c r="AO209" s="19" t="n">
        <v>0</v>
      </c>
      <c r="AP209" s="19" t="n">
        <v>0</v>
      </c>
      <c r="AQ209" s="19" t="n">
        <v>0</v>
      </c>
      <c r="AR209" s="19" t="n">
        <v>0</v>
      </c>
      <c r="AS209" s="19" t="n">
        <v>0</v>
      </c>
      <c r="AT209" s="19" t="n">
        <v>0</v>
      </c>
      <c r="AU209" s="19" t="n">
        <v>0</v>
      </c>
      <c r="AV209" s="19" t="n">
        <v>0</v>
      </c>
      <c r="AW209" s="19" t="n">
        <v>0</v>
      </c>
      <c r="AX209" s="19" t="n">
        <v>0</v>
      </c>
      <c r="AY209" s="19" t="n">
        <v>0</v>
      </c>
      <c r="AZ209" s="19" t="n">
        <v>0</v>
      </c>
      <c r="BA209" s="19" t="n">
        <v>0</v>
      </c>
      <c r="BB209" s="19" t="n">
        <v>0</v>
      </c>
      <c r="BC209" s="19" t="n">
        <v>0</v>
      </c>
      <c r="BD209" s="19" t="n">
        <v>0</v>
      </c>
      <c r="BE209" s="19" t="n">
        <v>0</v>
      </c>
      <c r="BF209" s="19" t="n">
        <v>0</v>
      </c>
      <c r="BG209" s="19" t="n">
        <v>0</v>
      </c>
      <c r="BH209" s="19" t="n">
        <v>0</v>
      </c>
      <c r="BI209" s="19" t="n">
        <v>0</v>
      </c>
      <c r="BJ209" s="19" t="n">
        <v>0</v>
      </c>
      <c r="BK209" s="19" t="n">
        <v>0</v>
      </c>
      <c r="BL209" s="19" t="n">
        <v>0</v>
      </c>
      <c r="BM209" s="19" t="n">
        <v>0</v>
      </c>
      <c r="BN209" s="19" t="n">
        <v>1</v>
      </c>
      <c r="BO209" s="19" t="n">
        <v>0</v>
      </c>
      <c r="BP209" s="19" t="n">
        <v>0</v>
      </c>
      <c r="BQ209" s="19" t="n">
        <v>0</v>
      </c>
      <c r="BR209" s="19" t="n">
        <v>2</v>
      </c>
      <c r="BS209" s="19" t="n">
        <v>3</v>
      </c>
      <c r="BT209" s="19" t="n">
        <v>3</v>
      </c>
      <c r="BU209" s="19" t="n">
        <v>4</v>
      </c>
      <c r="BV209" s="19" t="n">
        <v>2</v>
      </c>
      <c r="BW209" s="19" t="n">
        <v>1</v>
      </c>
      <c r="BX209" s="19" t="n">
        <v>4</v>
      </c>
      <c r="BY209" s="19" t="n">
        <v>3</v>
      </c>
      <c r="BZ209" s="19" t="n">
        <v>4</v>
      </c>
      <c r="CA209" s="19" t="n">
        <v>1</v>
      </c>
      <c r="CB209" s="19" t="n">
        <v>4</v>
      </c>
      <c r="CC209" s="19" t="n">
        <v>4</v>
      </c>
      <c r="CD209" s="19" t="n">
        <v>5</v>
      </c>
      <c r="CE209" s="19" t="n">
        <v>4</v>
      </c>
      <c r="CF209" s="19" t="n">
        <v>4</v>
      </c>
      <c r="CG209" s="19" t="n">
        <v>4</v>
      </c>
      <c r="CH209" s="19" t="n">
        <v>5</v>
      </c>
      <c r="CI209" s="19" t="n">
        <v>5</v>
      </c>
      <c r="CJ209" s="19" t="n">
        <v>5</v>
      </c>
      <c r="CK209" s="19" t="n">
        <v>9</v>
      </c>
      <c r="CL209" s="0" t="s">
        <v>540</v>
      </c>
      <c r="CM209" s="0" t="n">
        <v>70.5</v>
      </c>
      <c r="CN209" s="16" t="n">
        <v>88.2</v>
      </c>
      <c r="CO209" s="16" t="n">
        <v>80.4</v>
      </c>
      <c r="CP209" s="16" t="n">
        <v>36.3</v>
      </c>
      <c r="CQ209" s="0" t="n">
        <v>72.69</v>
      </c>
      <c r="CR209" s="17" t="n">
        <v>0</v>
      </c>
      <c r="CS209" s="0" t="n">
        <v>10.32</v>
      </c>
      <c r="CT209" s="0" t="n">
        <v>16.99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36.66</v>
      </c>
      <c r="DD209" s="0" t="n">
        <v>7.54</v>
      </c>
      <c r="DE209" s="0" t="n">
        <v>10.32</v>
      </c>
      <c r="DF209" s="0" t="n">
        <v>0</v>
      </c>
      <c r="DG209" s="0" t="n">
        <v>0</v>
      </c>
      <c r="DH209" s="0" t="n">
        <v>0</v>
      </c>
      <c r="DU209" s="0" t="n">
        <v>21.2</v>
      </c>
      <c r="DV209" s="0" t="n">
        <v>1</v>
      </c>
      <c r="DW209" s="0" t="n">
        <v>35</v>
      </c>
      <c r="DX209" s="0" t="n">
        <v>7</v>
      </c>
      <c r="DY209" s="0" t="n">
        <f aca="false">5.71+0.54</f>
        <v>6.25</v>
      </c>
      <c r="DZ209" s="0" t="n">
        <v>3</v>
      </c>
      <c r="EA209" s="0" t="n">
        <v>47</v>
      </c>
      <c r="EB209" s="0" t="n">
        <v>2</v>
      </c>
      <c r="EC209" s="0" t="n">
        <v>0.4</v>
      </c>
      <c r="ED209" s="0" t="n">
        <v>3</v>
      </c>
      <c r="EG209" s="20"/>
      <c r="EY209" s="0" t="n">
        <v>0</v>
      </c>
      <c r="GJ209" s="16" t="n">
        <v>11.58</v>
      </c>
      <c r="GK209" s="16" t="n">
        <v>1</v>
      </c>
      <c r="GL209" s="16" t="n">
        <v>2</v>
      </c>
      <c r="GM209" s="16"/>
      <c r="GN209" s="16" t="n">
        <f aca="false">0.22+1.95+3.81+0.27+0.32+0.04+0.05</f>
        <v>6.66</v>
      </c>
      <c r="GO209" s="16"/>
      <c r="GP209" s="16"/>
      <c r="GQ209" s="16"/>
      <c r="GR209" s="16"/>
      <c r="GS209" s="16"/>
      <c r="GT209" s="16"/>
      <c r="GU209" s="16" t="n">
        <v>0.27</v>
      </c>
      <c r="GV209" s="16" t="n">
        <v>0.27</v>
      </c>
      <c r="GW209" s="16" t="n">
        <v>0</v>
      </c>
      <c r="GX209" s="16" t="n">
        <v>0</v>
      </c>
      <c r="GY209" s="16" t="n">
        <v>0</v>
      </c>
      <c r="GZ209" s="16" t="n">
        <v>0</v>
      </c>
      <c r="HA209" s="16" t="n">
        <v>0</v>
      </c>
      <c r="HB209" s="0" t="n">
        <v>0</v>
      </c>
      <c r="HC209" s="0" t="s">
        <v>541</v>
      </c>
      <c r="HD209" s="0" t="n">
        <v>94.5</v>
      </c>
      <c r="HE209" s="16" t="n">
        <v>88.2</v>
      </c>
      <c r="HF209" s="16" t="n">
        <v>80.4</v>
      </c>
      <c r="HG209" s="16" t="n">
        <v>73.1</v>
      </c>
      <c r="HH209" s="0" t="n">
        <v>41.34</v>
      </c>
      <c r="HI209" s="17" t="n">
        <v>0</v>
      </c>
      <c r="HJ209" s="0" t="n">
        <v>8.63</v>
      </c>
      <c r="HK209" s="0" t="n">
        <v>0.04</v>
      </c>
      <c r="HL209" s="0" t="n">
        <v>0</v>
      </c>
      <c r="HM209" s="0" t="n">
        <v>0</v>
      </c>
      <c r="HN209" s="0" t="n">
        <v>0</v>
      </c>
      <c r="HO209" s="0" t="n">
        <v>0</v>
      </c>
      <c r="HP209" s="0" t="n">
        <v>0</v>
      </c>
      <c r="HQ209" s="0" t="n">
        <v>0</v>
      </c>
      <c r="HR209" s="0" t="n">
        <v>0</v>
      </c>
      <c r="HS209" s="0" t="n">
        <v>0</v>
      </c>
      <c r="HT209" s="0" t="n">
        <v>8.06</v>
      </c>
      <c r="HU209" s="0" t="n">
        <v>3.65</v>
      </c>
      <c r="HV209" s="0" t="n">
        <v>7.2</v>
      </c>
      <c r="HW209" s="0" t="n">
        <v>0</v>
      </c>
      <c r="HX209" s="0" t="n">
        <v>0</v>
      </c>
      <c r="HY209" s="0" t="n">
        <v>0</v>
      </c>
      <c r="IL209" s="0" t="n">
        <v>9.4</v>
      </c>
      <c r="IM209" s="0" t="n">
        <v>1</v>
      </c>
      <c r="IN209" s="0" t="n">
        <v>35</v>
      </c>
      <c r="IO209" s="0" t="n">
        <v>2</v>
      </c>
      <c r="IP209" s="0" t="n">
        <f aca="false">0.76+0.45</f>
        <v>1.21</v>
      </c>
      <c r="IQ209" s="0" t="n">
        <v>3</v>
      </c>
      <c r="IX209" s="20"/>
      <c r="JP209" s="0" t="n">
        <v>1</v>
      </c>
      <c r="JQ209" s="0" t="n">
        <v>70</v>
      </c>
      <c r="JR209" s="0" t="n">
        <v>2</v>
      </c>
      <c r="JS209" s="0" t="n">
        <f aca="false">0.75+1.69</f>
        <v>2.44</v>
      </c>
      <c r="JT209" s="0" t="n">
        <v>2</v>
      </c>
      <c r="LA209" s="16" t="n">
        <v>0.84</v>
      </c>
      <c r="LB209" s="16" t="n">
        <v>1</v>
      </c>
      <c r="LC209" s="16" t="n">
        <v>1</v>
      </c>
      <c r="LD209" s="16"/>
      <c r="LE209" s="16" t="n">
        <v>0.6</v>
      </c>
      <c r="LF209" s="16"/>
      <c r="LG209" s="16"/>
      <c r="LH209" s="16"/>
      <c r="LI209" s="16"/>
      <c r="LJ209" s="16"/>
      <c r="LK209" s="16"/>
      <c r="LL209" s="16" t="n">
        <v>10.19</v>
      </c>
      <c r="LM209" s="16" t="n">
        <v>8.46</v>
      </c>
      <c r="LN209" s="16" t="n">
        <v>0</v>
      </c>
      <c r="LO209" s="16" t="n">
        <v>0</v>
      </c>
      <c r="LP209" s="16" t="n">
        <v>0</v>
      </c>
      <c r="LQ209" s="16" t="n">
        <v>0</v>
      </c>
      <c r="LR209" s="16" t="n">
        <v>0</v>
      </c>
      <c r="LS209" s="0" t="n">
        <v>0</v>
      </c>
      <c r="LT209" s="0" t="s">
        <v>542</v>
      </c>
      <c r="LU209" s="0" t="n">
        <v>75</v>
      </c>
      <c r="LV209" s="16" t="n">
        <v>91.2</v>
      </c>
      <c r="LW209" s="16" t="n">
        <v>80.4</v>
      </c>
      <c r="LX209" s="16" t="n">
        <v>61</v>
      </c>
      <c r="LY209" s="0" t="n">
        <v>53.67</v>
      </c>
      <c r="LZ209" s="17" t="n">
        <v>0</v>
      </c>
      <c r="MA209" s="0" t="n">
        <v>16.76</v>
      </c>
      <c r="MB209" s="0" t="n">
        <v>29.58</v>
      </c>
      <c r="MC209" s="0" t="n">
        <v>0</v>
      </c>
      <c r="MD209" s="0" t="n">
        <v>0</v>
      </c>
      <c r="ME209" s="0" t="n">
        <v>0</v>
      </c>
      <c r="MF209" s="0" t="n">
        <v>0</v>
      </c>
      <c r="MG209" s="0" t="n">
        <v>0</v>
      </c>
      <c r="MH209" s="0" t="n">
        <v>0</v>
      </c>
      <c r="MI209" s="0" t="n">
        <v>0</v>
      </c>
      <c r="MJ209" s="0" t="n">
        <v>0</v>
      </c>
      <c r="MK209" s="0" t="n">
        <v>6.79</v>
      </c>
      <c r="ML209" s="0" t="n">
        <v>14.97</v>
      </c>
      <c r="MM209" s="0" t="n">
        <v>18.24</v>
      </c>
      <c r="MN209" s="0" t="n">
        <v>0</v>
      </c>
      <c r="MO209" s="0" t="n">
        <v>0</v>
      </c>
      <c r="MP209" s="0" t="n">
        <v>0</v>
      </c>
      <c r="NC209" s="0" t="n">
        <v>9</v>
      </c>
      <c r="ND209" s="0" t="n">
        <v>1</v>
      </c>
      <c r="NE209" s="0" t="n">
        <v>68</v>
      </c>
      <c r="NF209" s="0" t="n">
        <v>1</v>
      </c>
      <c r="NG209" s="0" t="n">
        <v>0.38</v>
      </c>
      <c r="NH209" s="0" t="n">
        <v>1</v>
      </c>
      <c r="NI209" s="0" t="n">
        <v>47</v>
      </c>
      <c r="NJ209" s="0" t="n">
        <v>1</v>
      </c>
      <c r="NK209" s="0" t="n">
        <v>1.13</v>
      </c>
      <c r="NL209" s="0" t="n">
        <v>3</v>
      </c>
      <c r="NO209" s="20"/>
      <c r="OG209" s="0" t="n">
        <v>1</v>
      </c>
      <c r="OH209" s="0" t="n">
        <v>70</v>
      </c>
      <c r="OI209" s="0" t="n">
        <v>2</v>
      </c>
      <c r="OJ209" s="0" t="n">
        <f aca="false">1.69+0.75</f>
        <v>2.44</v>
      </c>
      <c r="OK209" s="0" t="n">
        <v>2</v>
      </c>
      <c r="PR209" s="16" t="n">
        <v>1.88</v>
      </c>
      <c r="PS209" s="16" t="n">
        <v>1</v>
      </c>
      <c r="PT209" s="16" t="n">
        <v>1</v>
      </c>
      <c r="PU209" s="16"/>
      <c r="PV209" s="16" t="n">
        <f aca="false">1.04+1.04+1.04</f>
        <v>3.12</v>
      </c>
      <c r="PW209" s="16"/>
      <c r="PX209" s="16"/>
      <c r="PY209" s="16"/>
      <c r="PZ209" s="16"/>
      <c r="QA209" s="16"/>
      <c r="QB209" s="16"/>
      <c r="QC209" s="16" t="n">
        <v>1.5</v>
      </c>
      <c r="QD209" s="16" t="n">
        <v>1.5</v>
      </c>
      <c r="QE209" s="16" t="n">
        <v>0</v>
      </c>
      <c r="QF209" s="16" t="n">
        <v>0</v>
      </c>
      <c r="QG209" s="16" t="n">
        <v>0</v>
      </c>
      <c r="QH209" s="16" t="n">
        <v>0</v>
      </c>
      <c r="QI209" s="16" t="n">
        <v>0</v>
      </c>
      <c r="QJ209" s="0" t="n">
        <v>0</v>
      </c>
      <c r="QK209" s="0" t="s">
        <v>543</v>
      </c>
      <c r="QL209" s="0" t="n">
        <v>21</v>
      </c>
      <c r="QM209" s="16" t="n">
        <v>77.9</v>
      </c>
      <c r="QN209" s="16" t="n">
        <v>160.8</v>
      </c>
      <c r="QO209" s="16" t="n">
        <v>14.1</v>
      </c>
      <c r="QP209" s="0" t="n">
        <v>87.99</v>
      </c>
      <c r="QQ209" s="17" t="n">
        <v>0</v>
      </c>
      <c r="QR209" s="0" t="n">
        <v>3.38</v>
      </c>
      <c r="QS209" s="0" t="n">
        <v>0</v>
      </c>
      <c r="QT209" s="0" t="n">
        <v>8.63</v>
      </c>
      <c r="QU209" s="0" t="n">
        <v>0</v>
      </c>
      <c r="QV209" s="0" t="n">
        <v>0</v>
      </c>
      <c r="QW209" s="0" t="n">
        <v>0</v>
      </c>
      <c r="QX209" s="0" t="n">
        <v>0</v>
      </c>
      <c r="QY209" s="0" t="n">
        <v>0</v>
      </c>
      <c r="QZ209" s="0" t="n">
        <v>0</v>
      </c>
      <c r="RA209" s="0" t="n">
        <v>0</v>
      </c>
      <c r="RB209" s="0" t="n">
        <v>0</v>
      </c>
      <c r="RC209" s="0" t="n">
        <v>65.6</v>
      </c>
      <c r="RD209" s="0" t="n">
        <v>0</v>
      </c>
      <c r="RE209" s="0" t="n">
        <v>0</v>
      </c>
      <c r="RF209" s="0" t="n">
        <v>0</v>
      </c>
      <c r="RG209" s="0" t="n">
        <v>0</v>
      </c>
      <c r="RT209" s="0" t="n">
        <v>1.4</v>
      </c>
      <c r="RU209" s="0" t="n">
        <v>1</v>
      </c>
      <c r="RV209" s="0" t="n">
        <v>35</v>
      </c>
      <c r="RW209" s="0" t="n">
        <v>3</v>
      </c>
      <c r="RX209" s="0" t="n">
        <f aca="false">0.38</f>
        <v>0.38</v>
      </c>
      <c r="RY209" s="0" t="n">
        <v>3</v>
      </c>
      <c r="RZ209" s="0" t="n">
        <v>34</v>
      </c>
      <c r="SA209" s="0" t="n">
        <v>27</v>
      </c>
      <c r="SB209" s="0" t="n">
        <f aca="false">0.19+0.19+1.13+3.38+0.56+1.5+1.13+0.38</f>
        <v>8.46</v>
      </c>
      <c r="SC209" s="0" t="n">
        <v>1</v>
      </c>
      <c r="SF209" s="20"/>
      <c r="SX209" s="0" t="n">
        <v>1</v>
      </c>
      <c r="SY209" s="0" t="n">
        <v>40</v>
      </c>
      <c r="SZ209" s="0" t="n">
        <v>9</v>
      </c>
      <c r="TA209" s="0" t="n">
        <f aca="false">0.38+1.13+3+1.88+0.75</f>
        <v>7.14</v>
      </c>
      <c r="TB209" s="0" t="n">
        <v>3</v>
      </c>
      <c r="UI209" s="16" t="n">
        <v>0</v>
      </c>
      <c r="UJ209" s="16" t="n">
        <v>0</v>
      </c>
      <c r="UK209" s="16"/>
      <c r="UL209" s="16"/>
      <c r="UM209" s="16"/>
      <c r="UN209" s="16"/>
      <c r="UO209" s="16"/>
      <c r="UP209" s="16"/>
      <c r="UQ209" s="16"/>
      <c r="UR209" s="16"/>
      <c r="US209" s="16"/>
      <c r="UT209" s="16" t="n">
        <v>5.27</v>
      </c>
      <c r="UU209" s="16" t="n">
        <v>1.5</v>
      </c>
      <c r="UV209" s="16" t="n">
        <v>0</v>
      </c>
      <c r="UW209" s="16" t="n">
        <v>0</v>
      </c>
      <c r="UX209" s="16" t="n">
        <v>0</v>
      </c>
      <c r="UY209" s="16" t="n">
        <v>0</v>
      </c>
      <c r="UZ209" s="16" t="n">
        <v>0</v>
      </c>
      <c r="VA209" s="0" t="n">
        <v>0</v>
      </c>
      <c r="VE209" s="15"/>
      <c r="VF209" s="15"/>
      <c r="VM209" s="15"/>
      <c r="VN209" s="15"/>
      <c r="VU209" s="15"/>
      <c r="VV209" s="15"/>
      <c r="WC209" s="15"/>
      <c r="WD209" s="15"/>
      <c r="WK209" s="15"/>
      <c r="WL209" s="15"/>
      <c r="WS209" s="15"/>
      <c r="WT209" s="15"/>
      <c r="XA209" s="15"/>
      <c r="XB209" s="15"/>
      <c r="XI209" s="15"/>
      <c r="XJ209" s="15"/>
      <c r="XQ209" s="15"/>
      <c r="XR209" s="15"/>
      <c r="XY209" s="15"/>
      <c r="XZ209" s="15"/>
      <c r="YG209" s="15"/>
      <c r="YH209" s="15"/>
      <c r="YO209" s="15"/>
      <c r="YP209" s="15"/>
      <c r="YW209" s="15"/>
      <c r="YX209" s="15"/>
      <c r="ZE209" s="15"/>
      <c r="ZF209" s="15"/>
      <c r="ZM209" s="15"/>
      <c r="ZN209" s="15"/>
      <c r="ZU209" s="15"/>
      <c r="ZV209" s="15"/>
      <c r="AAC209" s="15"/>
      <c r="AAD209" s="15"/>
      <c r="AAK209" s="15"/>
      <c r="AAL209" s="15"/>
      <c r="AAS209" s="15"/>
      <c r="AAT209" s="15"/>
      <c r="ABA209" s="15"/>
      <c r="ABB209" s="15"/>
      <c r="ABI209" s="15"/>
      <c r="ABJ209" s="15"/>
      <c r="ABQ209" s="15"/>
      <c r="ABR209" s="15"/>
      <c r="ABY209" s="15"/>
      <c r="ABZ209" s="15"/>
      <c r="ACG209" s="15"/>
      <c r="ACH209" s="15"/>
      <c r="ACO209" s="15"/>
      <c r="ACP209" s="15"/>
      <c r="ACW209" s="15"/>
      <c r="ACX209" s="15"/>
      <c r="ADE209" s="15"/>
      <c r="ADF209" s="15"/>
      <c r="ADM209" s="15"/>
      <c r="ADN209" s="15"/>
      <c r="ADU209" s="15"/>
      <c r="ADV209" s="15"/>
      <c r="AEC209" s="15"/>
      <c r="AED209" s="15"/>
      <c r="AEK209" s="15"/>
      <c r="AEL209" s="15"/>
      <c r="AES209" s="15"/>
      <c r="AET209" s="15"/>
      <c r="AFA209" s="15"/>
      <c r="AFB209" s="15"/>
      <c r="AFI209" s="15"/>
      <c r="AFJ209" s="15"/>
      <c r="AFQ209" s="15"/>
      <c r="AFR209" s="15"/>
      <c r="AFY209" s="15"/>
      <c r="AFZ209" s="15"/>
      <c r="AGG209" s="15"/>
      <c r="AGH209" s="15"/>
      <c r="AGO209" s="15"/>
      <c r="AGP209" s="15"/>
      <c r="AGW209" s="15"/>
      <c r="AGX209" s="15"/>
      <c r="AHE209" s="15"/>
      <c r="AHF209" s="15"/>
      <c r="AHM209" s="15"/>
      <c r="AHN209" s="15"/>
      <c r="AHU209" s="15"/>
      <c r="AHV209" s="15"/>
      <c r="AIC209" s="15"/>
      <c r="AID209" s="15"/>
      <c r="AIK209" s="15"/>
      <c r="AIL209" s="15"/>
      <c r="AIS209" s="15"/>
      <c r="AIT209" s="15"/>
      <c r="AJA209" s="15"/>
      <c r="AJB209" s="15"/>
      <c r="AJI209" s="15"/>
      <c r="AJJ209" s="15"/>
      <c r="AJQ209" s="15"/>
      <c r="AJR209" s="15"/>
      <c r="AJY209" s="15"/>
      <c r="AJZ209" s="15"/>
      <c r="AKG209" s="15"/>
      <c r="AKH209" s="15"/>
      <c r="AKO209" s="15"/>
      <c r="AKP209" s="15"/>
      <c r="AKW209" s="15"/>
      <c r="AKX209" s="15"/>
      <c r="ALE209" s="15"/>
      <c r="ALF209" s="15"/>
      <c r="ALM209" s="15"/>
      <c r="ALN209" s="15"/>
      <c r="ALU209" s="15"/>
      <c r="ALV209" s="15"/>
      <c r="AMC209" s="15"/>
      <c r="AMD209" s="15"/>
    </row>
    <row r="210" customFormat="false" ht="13.8" hidden="false" customHeight="false" outlineLevel="0" collapsed="false">
      <c r="A210" s="1" t="s">
        <v>721</v>
      </c>
      <c r="B210" s="12" t="n">
        <v>42906</v>
      </c>
      <c r="C210" s="0" t="n">
        <v>2</v>
      </c>
      <c r="D210" s="13" t="n">
        <v>34960</v>
      </c>
      <c r="E210" s="12" t="n">
        <v>26528</v>
      </c>
      <c r="F210" s="14" t="n">
        <f aca="false">(B210-E210)/365.25</f>
        <v>44.8405201916496</v>
      </c>
      <c r="G210" s="14" t="n">
        <f aca="false">(B210-D210)/365.25</f>
        <v>21.7549623545517</v>
      </c>
      <c r="H210" s="15" t="s">
        <v>183</v>
      </c>
      <c r="I210" s="15" t="s">
        <v>571</v>
      </c>
      <c r="J210" s="21" t="s">
        <v>181</v>
      </c>
      <c r="K210" s="21" t="n">
        <v>8</v>
      </c>
      <c r="L210" s="19" t="n">
        <v>83</v>
      </c>
      <c r="M210" s="0" t="n">
        <v>1.81</v>
      </c>
      <c r="N210" s="16" t="n">
        <f aca="false">L210/(M210*M210)</f>
        <v>25.3350019840664</v>
      </c>
      <c r="O210" s="19" t="n">
        <v>0</v>
      </c>
      <c r="P210" s="19" t="n">
        <v>0</v>
      </c>
      <c r="Q210" s="19" t="n">
        <v>0</v>
      </c>
      <c r="R210" s="26" t="n">
        <v>0</v>
      </c>
      <c r="S210" s="26" t="n">
        <v>0</v>
      </c>
      <c r="T210" s="26" t="n">
        <v>0</v>
      </c>
      <c r="U210" s="19" t="n">
        <v>0</v>
      </c>
      <c r="V210" s="19" t="n">
        <v>0</v>
      </c>
      <c r="W210" s="19" t="n">
        <v>0</v>
      </c>
      <c r="X210" s="19" t="n">
        <v>0</v>
      </c>
      <c r="Y210" s="19" t="n">
        <v>1</v>
      </c>
      <c r="Z210" s="19" t="n">
        <v>1</v>
      </c>
      <c r="AA210" s="19" t="n">
        <v>60</v>
      </c>
      <c r="AB210" s="19" t="s">
        <v>722</v>
      </c>
      <c r="AC210" s="19" t="n">
        <v>0</v>
      </c>
      <c r="AD210" s="19" t="n">
        <v>0</v>
      </c>
      <c r="AE210" s="19" t="n">
        <v>0</v>
      </c>
      <c r="AF210" s="19" t="n">
        <v>0</v>
      </c>
      <c r="AG210" s="19" t="n">
        <v>0</v>
      </c>
      <c r="AH210" s="19" t="n">
        <v>0</v>
      </c>
      <c r="AI210" s="19" t="n">
        <v>0</v>
      </c>
      <c r="AJ210" s="19" t="n">
        <v>0</v>
      </c>
      <c r="AK210" s="19" t="n">
        <v>0</v>
      </c>
      <c r="AL210" s="19" t="n">
        <v>0</v>
      </c>
      <c r="AM210" s="19" t="n">
        <v>0</v>
      </c>
      <c r="AN210" s="19" t="n">
        <v>0</v>
      </c>
      <c r="AO210" s="19" t="n">
        <v>0</v>
      </c>
      <c r="AP210" s="19" t="n">
        <v>0</v>
      </c>
      <c r="AQ210" s="19" t="n">
        <v>0</v>
      </c>
      <c r="AR210" s="19" t="n">
        <v>0</v>
      </c>
      <c r="AS210" s="19" t="n">
        <v>1</v>
      </c>
      <c r="AT210" s="19" t="n">
        <v>1</v>
      </c>
      <c r="AU210" s="19" t="n">
        <v>1</v>
      </c>
      <c r="AV210" s="19" t="n">
        <v>2</v>
      </c>
      <c r="AW210" s="19" t="n">
        <v>0</v>
      </c>
      <c r="AX210" s="19" t="n">
        <v>0</v>
      </c>
      <c r="AY210" s="19" t="n">
        <v>0</v>
      </c>
      <c r="AZ210" s="19" t="n">
        <v>0</v>
      </c>
      <c r="BA210" s="19" t="n">
        <v>0</v>
      </c>
      <c r="BB210" s="19" t="n">
        <v>0</v>
      </c>
      <c r="BC210" s="19" t="n">
        <v>0</v>
      </c>
      <c r="BD210" s="19" t="n">
        <v>0</v>
      </c>
      <c r="BE210" s="19" t="n">
        <v>0</v>
      </c>
      <c r="BF210" s="19" t="n">
        <v>0</v>
      </c>
      <c r="BG210" s="19" t="n">
        <v>0</v>
      </c>
      <c r="BH210" s="19" t="n">
        <v>0</v>
      </c>
      <c r="BI210" s="19" t="n">
        <v>0</v>
      </c>
      <c r="BJ210" s="19" t="n">
        <v>0</v>
      </c>
      <c r="BK210" s="19" t="n">
        <v>0</v>
      </c>
      <c r="BL210" s="19" t="n">
        <v>0</v>
      </c>
      <c r="BM210" s="19" t="n">
        <v>0</v>
      </c>
      <c r="BN210" s="19" t="n">
        <v>0</v>
      </c>
      <c r="BO210" s="19" t="n">
        <v>0</v>
      </c>
      <c r="BP210" s="19" t="n">
        <v>0</v>
      </c>
      <c r="BQ210" s="19" t="n">
        <v>0</v>
      </c>
      <c r="BR210" s="19" t="n">
        <v>2</v>
      </c>
      <c r="BS210" s="19" t="n">
        <v>2</v>
      </c>
      <c r="BT210" s="19" t="n">
        <v>3</v>
      </c>
      <c r="BU210" s="19" t="n">
        <v>5</v>
      </c>
      <c r="BV210" s="19" t="n">
        <v>2</v>
      </c>
      <c r="BW210" s="19" t="n">
        <v>3</v>
      </c>
      <c r="BX210" s="19" t="n">
        <v>4</v>
      </c>
      <c r="BY210" s="19" t="n">
        <v>5</v>
      </c>
      <c r="BZ210" s="19" t="n">
        <v>5</v>
      </c>
      <c r="CA210" s="19"/>
      <c r="CB210" s="19" t="n">
        <v>4</v>
      </c>
      <c r="CC210" s="19" t="n">
        <v>5</v>
      </c>
      <c r="CD210" s="19" t="n">
        <v>5</v>
      </c>
      <c r="CE210" s="19" t="n">
        <v>5</v>
      </c>
      <c r="CF210" s="19" t="n">
        <v>5</v>
      </c>
      <c r="CG210" s="19" t="n">
        <v>5</v>
      </c>
      <c r="CH210" s="19" t="n">
        <v>5</v>
      </c>
      <c r="CI210" s="19" t="n">
        <v>5</v>
      </c>
      <c r="CJ210" s="19" t="n">
        <v>5</v>
      </c>
      <c r="CK210" s="19" t="n">
        <v>10</v>
      </c>
      <c r="CL210" s="0" t="s">
        <v>540</v>
      </c>
      <c r="CM210" s="0" t="n">
        <v>70.5</v>
      </c>
      <c r="CN210" s="16" t="n">
        <v>88.2</v>
      </c>
      <c r="CO210" s="16" t="n">
        <v>80.4</v>
      </c>
      <c r="CP210" s="16" t="n">
        <v>36.3</v>
      </c>
      <c r="CQ210" s="0" t="n">
        <v>72.69</v>
      </c>
      <c r="CR210" s="17" t="n">
        <v>0</v>
      </c>
      <c r="CS210" s="0" t="n">
        <v>10.32</v>
      </c>
      <c r="CT210" s="0" t="n">
        <v>16.99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36.66</v>
      </c>
      <c r="DD210" s="0" t="n">
        <v>7.54</v>
      </c>
      <c r="DE210" s="0" t="n">
        <v>10.32</v>
      </c>
      <c r="DF210" s="0" t="n">
        <v>0</v>
      </c>
      <c r="DG210" s="0" t="n">
        <v>0</v>
      </c>
      <c r="DH210" s="0" t="n">
        <v>0</v>
      </c>
      <c r="DU210" s="0" t="n">
        <v>21.2</v>
      </c>
      <c r="DV210" s="0" t="n">
        <v>1</v>
      </c>
      <c r="DW210" s="0" t="n">
        <v>35</v>
      </c>
      <c r="DX210" s="0" t="n">
        <v>7</v>
      </c>
      <c r="DY210" s="0" t="n">
        <f aca="false">5.71+0.54</f>
        <v>6.25</v>
      </c>
      <c r="DZ210" s="0" t="n">
        <v>3</v>
      </c>
      <c r="EA210" s="0" t="n">
        <v>47</v>
      </c>
      <c r="EB210" s="0" t="n">
        <v>2</v>
      </c>
      <c r="EC210" s="0" t="n">
        <v>0.4</v>
      </c>
      <c r="ED210" s="0" t="n">
        <v>3</v>
      </c>
      <c r="EG210" s="20"/>
      <c r="EY210" s="0" t="n">
        <v>0</v>
      </c>
      <c r="GJ210" s="16" t="n">
        <v>11.58</v>
      </c>
      <c r="GK210" s="16" t="n">
        <v>1</v>
      </c>
      <c r="GL210" s="16" t="n">
        <v>2</v>
      </c>
      <c r="GM210" s="16"/>
      <c r="GN210" s="16" t="n">
        <f aca="false">0.22+1.95+3.81+0.27+0.32+0.04+0.05</f>
        <v>6.66</v>
      </c>
      <c r="GO210" s="16"/>
      <c r="GP210" s="16"/>
      <c r="GQ210" s="16"/>
      <c r="GR210" s="16"/>
      <c r="GS210" s="16"/>
      <c r="GT210" s="16"/>
      <c r="GU210" s="16" t="n">
        <v>0.27</v>
      </c>
      <c r="GV210" s="16" t="n">
        <v>0.27</v>
      </c>
      <c r="GW210" s="16" t="n">
        <v>0</v>
      </c>
      <c r="GX210" s="16" t="n">
        <v>0</v>
      </c>
      <c r="GY210" s="16" t="n">
        <v>0</v>
      </c>
      <c r="GZ210" s="16" t="n">
        <v>0</v>
      </c>
      <c r="HA210" s="16" t="n">
        <v>0</v>
      </c>
      <c r="HB210" s="0" t="n">
        <v>0</v>
      </c>
      <c r="HC210" s="0" t="s">
        <v>541</v>
      </c>
      <c r="HD210" s="0" t="n">
        <v>94.5</v>
      </c>
      <c r="HE210" s="16" t="n">
        <v>88.2</v>
      </c>
      <c r="HF210" s="16" t="n">
        <v>80.4</v>
      </c>
      <c r="HG210" s="16" t="n">
        <v>73.1</v>
      </c>
      <c r="HH210" s="0" t="n">
        <v>41.34</v>
      </c>
      <c r="HI210" s="17" t="n">
        <v>0</v>
      </c>
      <c r="HJ210" s="0" t="n">
        <v>8.63</v>
      </c>
      <c r="HK210" s="0" t="n">
        <v>0.04</v>
      </c>
      <c r="HL210" s="0" t="n">
        <v>0</v>
      </c>
      <c r="HM210" s="0" t="n">
        <v>0</v>
      </c>
      <c r="HN210" s="0" t="n">
        <v>0</v>
      </c>
      <c r="HO210" s="0" t="n">
        <v>0</v>
      </c>
      <c r="HP210" s="0" t="n">
        <v>0</v>
      </c>
      <c r="HQ210" s="0" t="n">
        <v>0</v>
      </c>
      <c r="HR210" s="0" t="n">
        <v>0</v>
      </c>
      <c r="HS210" s="0" t="n">
        <v>0</v>
      </c>
      <c r="HT210" s="0" t="n">
        <v>8.06</v>
      </c>
      <c r="HU210" s="0" t="n">
        <v>3.65</v>
      </c>
      <c r="HV210" s="0" t="n">
        <v>7.2</v>
      </c>
      <c r="HW210" s="0" t="n">
        <v>0</v>
      </c>
      <c r="HX210" s="0" t="n">
        <v>0</v>
      </c>
      <c r="HY210" s="0" t="n">
        <v>0</v>
      </c>
      <c r="IL210" s="0" t="n">
        <v>9.4</v>
      </c>
      <c r="IM210" s="0" t="n">
        <v>1</v>
      </c>
      <c r="IN210" s="0" t="n">
        <v>35</v>
      </c>
      <c r="IO210" s="0" t="n">
        <v>2</v>
      </c>
      <c r="IP210" s="0" t="n">
        <f aca="false">0.76+0.45</f>
        <v>1.21</v>
      </c>
      <c r="IQ210" s="0" t="n">
        <v>3</v>
      </c>
      <c r="IX210" s="20"/>
      <c r="JP210" s="0" t="n">
        <v>1</v>
      </c>
      <c r="JQ210" s="0" t="n">
        <v>70</v>
      </c>
      <c r="JR210" s="0" t="n">
        <v>2</v>
      </c>
      <c r="JS210" s="0" t="n">
        <f aca="false">0.75+1.69</f>
        <v>2.44</v>
      </c>
      <c r="JT210" s="0" t="n">
        <v>2</v>
      </c>
      <c r="LA210" s="16" t="n">
        <v>0.84</v>
      </c>
      <c r="LB210" s="16" t="n">
        <v>1</v>
      </c>
      <c r="LC210" s="16" t="n">
        <v>1</v>
      </c>
      <c r="LD210" s="16"/>
      <c r="LE210" s="16" t="n">
        <v>0.6</v>
      </c>
      <c r="LF210" s="16"/>
      <c r="LG210" s="16"/>
      <c r="LH210" s="16"/>
      <c r="LI210" s="16"/>
      <c r="LJ210" s="16"/>
      <c r="LK210" s="16"/>
      <c r="LL210" s="16" t="n">
        <v>10.19</v>
      </c>
      <c r="LM210" s="16" t="n">
        <v>8.46</v>
      </c>
      <c r="LN210" s="16" t="n">
        <v>0</v>
      </c>
      <c r="LO210" s="16" t="n">
        <v>0</v>
      </c>
      <c r="LP210" s="16" t="n">
        <v>0</v>
      </c>
      <c r="LQ210" s="16" t="n">
        <v>0</v>
      </c>
      <c r="LR210" s="16" t="n">
        <v>0</v>
      </c>
      <c r="LS210" s="0" t="n">
        <v>0</v>
      </c>
      <c r="LT210" s="0" t="s">
        <v>542</v>
      </c>
      <c r="LU210" s="0" t="n">
        <v>75</v>
      </c>
      <c r="LV210" s="16" t="n">
        <v>91.2</v>
      </c>
      <c r="LW210" s="16" t="n">
        <v>80.4</v>
      </c>
      <c r="LX210" s="16" t="n">
        <v>61</v>
      </c>
      <c r="LY210" s="0" t="n">
        <v>53.67</v>
      </c>
      <c r="LZ210" s="17" t="n">
        <v>0</v>
      </c>
      <c r="MA210" s="0" t="n">
        <v>16.76</v>
      </c>
      <c r="MB210" s="0" t="n">
        <v>29.58</v>
      </c>
      <c r="MC210" s="0" t="n">
        <v>0</v>
      </c>
      <c r="MD210" s="0" t="n">
        <v>0</v>
      </c>
      <c r="ME210" s="0" t="n">
        <v>0</v>
      </c>
      <c r="MF210" s="0" t="n">
        <v>0</v>
      </c>
      <c r="MG210" s="0" t="n">
        <v>0</v>
      </c>
      <c r="MH210" s="0" t="n">
        <v>0</v>
      </c>
      <c r="MI210" s="0" t="n">
        <v>0</v>
      </c>
      <c r="MJ210" s="0" t="n">
        <v>0</v>
      </c>
      <c r="MK210" s="0" t="n">
        <v>6.79</v>
      </c>
      <c r="ML210" s="0" t="n">
        <v>14.97</v>
      </c>
      <c r="MM210" s="0" t="n">
        <v>18.24</v>
      </c>
      <c r="MN210" s="0" t="n">
        <v>0</v>
      </c>
      <c r="MO210" s="0" t="n">
        <v>0</v>
      </c>
      <c r="MP210" s="0" t="n">
        <v>0</v>
      </c>
      <c r="NC210" s="0" t="n">
        <v>9</v>
      </c>
      <c r="ND210" s="0" t="n">
        <v>1</v>
      </c>
      <c r="NE210" s="0" t="n">
        <v>68</v>
      </c>
      <c r="NF210" s="0" t="n">
        <v>1</v>
      </c>
      <c r="NG210" s="0" t="n">
        <v>0.38</v>
      </c>
      <c r="NH210" s="0" t="n">
        <v>1</v>
      </c>
      <c r="NI210" s="0" t="n">
        <v>47</v>
      </c>
      <c r="NJ210" s="0" t="n">
        <v>1</v>
      </c>
      <c r="NK210" s="0" t="n">
        <v>1.13</v>
      </c>
      <c r="NL210" s="0" t="n">
        <v>3</v>
      </c>
      <c r="NO210" s="20"/>
      <c r="OG210" s="0" t="n">
        <v>1</v>
      </c>
      <c r="OH210" s="0" t="n">
        <v>70</v>
      </c>
      <c r="OI210" s="0" t="n">
        <v>2</v>
      </c>
      <c r="OJ210" s="0" t="n">
        <f aca="false">1.69+0.75</f>
        <v>2.44</v>
      </c>
      <c r="OK210" s="0" t="n">
        <v>2</v>
      </c>
      <c r="PR210" s="16" t="n">
        <v>1.88</v>
      </c>
      <c r="PS210" s="16" t="n">
        <v>1</v>
      </c>
      <c r="PT210" s="16" t="n">
        <v>1</v>
      </c>
      <c r="PU210" s="16"/>
      <c r="PV210" s="16" t="n">
        <f aca="false">1.04+1.04+1.04</f>
        <v>3.12</v>
      </c>
      <c r="PW210" s="16"/>
      <c r="PX210" s="16"/>
      <c r="PY210" s="16"/>
      <c r="PZ210" s="16"/>
      <c r="QA210" s="16"/>
      <c r="QB210" s="16"/>
      <c r="QC210" s="16" t="n">
        <v>1.5</v>
      </c>
      <c r="QD210" s="16" t="n">
        <v>1.5</v>
      </c>
      <c r="QE210" s="16" t="n">
        <v>0</v>
      </c>
      <c r="QF210" s="16" t="n">
        <v>0</v>
      </c>
      <c r="QG210" s="16" t="n">
        <v>0</v>
      </c>
      <c r="QH210" s="16" t="n">
        <v>0</v>
      </c>
      <c r="QI210" s="16" t="n">
        <v>0</v>
      </c>
      <c r="QJ210" s="0" t="n">
        <v>0</v>
      </c>
      <c r="QK210" s="0" t="s">
        <v>543</v>
      </c>
      <c r="QL210" s="0" t="n">
        <v>21</v>
      </c>
      <c r="QM210" s="16" t="n">
        <v>77.9</v>
      </c>
      <c r="QN210" s="16" t="n">
        <v>160.8</v>
      </c>
      <c r="QO210" s="16" t="n">
        <v>14.1</v>
      </c>
      <c r="QP210" s="0" t="n">
        <v>87.99</v>
      </c>
      <c r="QQ210" s="17" t="n">
        <v>0</v>
      </c>
      <c r="QR210" s="0" t="n">
        <v>3.38</v>
      </c>
      <c r="QS210" s="0" t="n">
        <v>0</v>
      </c>
      <c r="QT210" s="0" t="n">
        <v>8.63</v>
      </c>
      <c r="QU210" s="0" t="n">
        <v>0</v>
      </c>
      <c r="QV210" s="0" t="n">
        <v>0</v>
      </c>
      <c r="QW210" s="0" t="n">
        <v>0</v>
      </c>
      <c r="QX210" s="0" t="n">
        <v>0</v>
      </c>
      <c r="QY210" s="0" t="n">
        <v>0</v>
      </c>
      <c r="QZ210" s="0" t="n">
        <v>0</v>
      </c>
      <c r="RA210" s="0" t="n">
        <v>0</v>
      </c>
      <c r="RB210" s="0" t="n">
        <v>0</v>
      </c>
      <c r="RC210" s="0" t="n">
        <v>65.6</v>
      </c>
      <c r="RD210" s="0" t="n">
        <v>0</v>
      </c>
      <c r="RE210" s="0" t="n">
        <v>0</v>
      </c>
      <c r="RF210" s="0" t="n">
        <v>0</v>
      </c>
      <c r="RG210" s="0" t="n">
        <v>0</v>
      </c>
      <c r="RT210" s="0" t="n">
        <v>1.4</v>
      </c>
      <c r="RU210" s="0" t="n">
        <v>1</v>
      </c>
      <c r="RV210" s="0" t="n">
        <v>35</v>
      </c>
      <c r="RW210" s="0" t="n">
        <v>3</v>
      </c>
      <c r="RX210" s="0" t="n">
        <f aca="false">0.38</f>
        <v>0.38</v>
      </c>
      <c r="RY210" s="0" t="n">
        <v>3</v>
      </c>
      <c r="RZ210" s="0" t="n">
        <v>34</v>
      </c>
      <c r="SA210" s="0" t="n">
        <v>27</v>
      </c>
      <c r="SB210" s="0" t="n">
        <f aca="false">0.19+0.19+1.13+3.38+0.56+1.5+1.13+0.38</f>
        <v>8.46</v>
      </c>
      <c r="SC210" s="0" t="n">
        <v>1</v>
      </c>
      <c r="SF210" s="20"/>
      <c r="SX210" s="0" t="n">
        <v>1</v>
      </c>
      <c r="SY210" s="0" t="n">
        <v>40</v>
      </c>
      <c r="SZ210" s="0" t="n">
        <v>9</v>
      </c>
      <c r="TA210" s="0" t="n">
        <f aca="false">0.38+1.13+3+1.88+0.75</f>
        <v>7.14</v>
      </c>
      <c r="TB210" s="0" t="n">
        <v>3</v>
      </c>
      <c r="UI210" s="16" t="n">
        <v>0</v>
      </c>
      <c r="UJ210" s="16" t="n">
        <v>0</v>
      </c>
      <c r="UK210" s="16"/>
      <c r="UL210" s="16"/>
      <c r="UM210" s="16"/>
      <c r="UN210" s="16"/>
      <c r="UO210" s="16"/>
      <c r="UP210" s="16"/>
      <c r="UQ210" s="16"/>
      <c r="UR210" s="16"/>
      <c r="US210" s="16"/>
      <c r="UT210" s="16" t="n">
        <v>5.27</v>
      </c>
      <c r="UU210" s="16" t="n">
        <v>1.5</v>
      </c>
      <c r="UV210" s="16" t="n">
        <v>0</v>
      </c>
      <c r="UW210" s="16" t="n">
        <v>0</v>
      </c>
      <c r="UX210" s="16" t="n">
        <v>0</v>
      </c>
      <c r="UY210" s="16" t="n">
        <v>0</v>
      </c>
      <c r="UZ210" s="16" t="n">
        <v>0</v>
      </c>
      <c r="VA210" s="0" t="n">
        <v>0</v>
      </c>
      <c r="VE210" s="15"/>
      <c r="VF210" s="15"/>
      <c r="VM210" s="15"/>
      <c r="VN210" s="15"/>
      <c r="VU210" s="15"/>
      <c r="VV210" s="15"/>
      <c r="WC210" s="15"/>
      <c r="WD210" s="15"/>
      <c r="WK210" s="15"/>
      <c r="WL210" s="15"/>
      <c r="WS210" s="15"/>
      <c r="WT210" s="15"/>
      <c r="XA210" s="15"/>
      <c r="XB210" s="15"/>
      <c r="XI210" s="15"/>
      <c r="XJ210" s="15"/>
      <c r="XQ210" s="15"/>
      <c r="XR210" s="15"/>
      <c r="XY210" s="15"/>
      <c r="XZ210" s="15"/>
      <c r="YG210" s="15"/>
      <c r="YH210" s="15"/>
      <c r="YO210" s="15"/>
      <c r="YP210" s="15"/>
      <c r="YW210" s="15"/>
      <c r="YX210" s="15"/>
      <c r="ZE210" s="15"/>
      <c r="ZF210" s="15"/>
      <c r="ZM210" s="15"/>
      <c r="ZN210" s="15"/>
      <c r="ZU210" s="15"/>
      <c r="ZV210" s="15"/>
      <c r="AAC210" s="15"/>
      <c r="AAD210" s="15"/>
      <c r="AAK210" s="15"/>
      <c r="AAL210" s="15"/>
      <c r="AAS210" s="15"/>
      <c r="AAT210" s="15"/>
      <c r="ABA210" s="15"/>
      <c r="ABB210" s="15"/>
      <c r="ABI210" s="15"/>
      <c r="ABJ210" s="15"/>
      <c r="ABQ210" s="15"/>
      <c r="ABR210" s="15"/>
      <c r="ABY210" s="15"/>
      <c r="ABZ210" s="15"/>
      <c r="ACG210" s="15"/>
      <c r="ACH210" s="15"/>
      <c r="ACO210" s="15"/>
      <c r="ACP210" s="15"/>
      <c r="ACW210" s="15"/>
      <c r="ACX210" s="15"/>
      <c r="ADE210" s="15"/>
      <c r="ADF210" s="15"/>
      <c r="ADM210" s="15"/>
      <c r="ADN210" s="15"/>
      <c r="ADU210" s="15"/>
      <c r="ADV210" s="15"/>
      <c r="AEC210" s="15"/>
      <c r="AED210" s="15"/>
      <c r="AEK210" s="15"/>
      <c r="AEL210" s="15"/>
      <c r="AES210" s="15"/>
      <c r="AET210" s="15"/>
      <c r="AFA210" s="15"/>
      <c r="AFB210" s="15"/>
      <c r="AFI210" s="15"/>
      <c r="AFJ210" s="15"/>
      <c r="AFQ210" s="15"/>
      <c r="AFR210" s="15"/>
      <c r="AFY210" s="15"/>
      <c r="AFZ210" s="15"/>
      <c r="AGG210" s="15"/>
      <c r="AGH210" s="15"/>
      <c r="AGO210" s="15"/>
      <c r="AGP210" s="15"/>
      <c r="AGW210" s="15"/>
      <c r="AGX210" s="15"/>
      <c r="AHE210" s="15"/>
      <c r="AHF210" s="15"/>
      <c r="AHM210" s="15"/>
      <c r="AHN210" s="15"/>
      <c r="AHU210" s="15"/>
      <c r="AHV210" s="15"/>
      <c r="AIC210" s="15"/>
      <c r="AID210" s="15"/>
      <c r="AIK210" s="15"/>
      <c r="AIL210" s="15"/>
      <c r="AIS210" s="15"/>
      <c r="AIT210" s="15"/>
      <c r="AJA210" s="15"/>
      <c r="AJB210" s="15"/>
      <c r="AJI210" s="15"/>
      <c r="AJJ210" s="15"/>
      <c r="AJQ210" s="15"/>
      <c r="AJR210" s="15"/>
      <c r="AJY210" s="15"/>
      <c r="AJZ210" s="15"/>
      <c r="AKG210" s="15"/>
      <c r="AKH210" s="15"/>
      <c r="AKO210" s="15"/>
      <c r="AKP210" s="15"/>
      <c r="AKW210" s="15"/>
      <c r="AKX210" s="15"/>
      <c r="ALE210" s="15"/>
      <c r="ALF210" s="15"/>
      <c r="ALM210" s="15"/>
      <c r="ALN210" s="15"/>
      <c r="ALU210" s="15"/>
      <c r="ALV210" s="15"/>
      <c r="AMC210" s="15"/>
      <c r="AMD210" s="15"/>
    </row>
    <row r="211" customFormat="false" ht="13.8" hidden="false" customHeight="false" outlineLevel="0" collapsed="false">
      <c r="A211" s="1" t="s">
        <v>723</v>
      </c>
      <c r="B211" s="12" t="n">
        <v>42906</v>
      </c>
      <c r="C211" s="0" t="n">
        <v>2</v>
      </c>
      <c r="D211" s="13" t="n">
        <v>34670</v>
      </c>
      <c r="E211" s="12" t="n">
        <v>25965</v>
      </c>
      <c r="F211" s="14" t="n">
        <f aca="false">(B211-E211)/365.25</f>
        <v>46.3819301848049</v>
      </c>
      <c r="G211" s="14" t="n">
        <f aca="false">(B211-D211)/365.25</f>
        <v>22.54893908282</v>
      </c>
      <c r="H211" s="15" t="s">
        <v>183</v>
      </c>
      <c r="I211" s="15" t="s">
        <v>571</v>
      </c>
      <c r="J211" s="21" t="s">
        <v>181</v>
      </c>
      <c r="K211" s="21" t="n">
        <v>8</v>
      </c>
      <c r="L211" s="19" t="n">
        <v>55</v>
      </c>
      <c r="M211" s="0" t="n">
        <v>1.7</v>
      </c>
      <c r="N211" s="16" t="n">
        <f aca="false">L211/(M211*M211)</f>
        <v>19.0311418685121</v>
      </c>
      <c r="O211" s="19" t="n">
        <v>0</v>
      </c>
      <c r="P211" s="19" t="n">
        <v>0</v>
      </c>
      <c r="Q211" s="19" t="n">
        <v>0</v>
      </c>
      <c r="R211" s="26" t="n">
        <v>0</v>
      </c>
      <c r="S211" s="26" t="n">
        <v>0</v>
      </c>
      <c r="T211" s="26" t="n">
        <v>0</v>
      </c>
      <c r="U211" s="19" t="n">
        <v>0</v>
      </c>
      <c r="V211" s="19" t="n">
        <v>0</v>
      </c>
      <c r="W211" s="19" t="n">
        <v>1</v>
      </c>
      <c r="X211" s="19" t="n">
        <v>0</v>
      </c>
      <c r="Y211" s="19" t="n">
        <v>0</v>
      </c>
      <c r="Z211" s="19" t="n">
        <v>0</v>
      </c>
      <c r="AA211" s="19" t="n">
        <v>0</v>
      </c>
      <c r="AB211" s="19" t="n">
        <v>0</v>
      </c>
      <c r="AC211" s="19" t="n">
        <v>1</v>
      </c>
      <c r="AD211" s="19" t="n">
        <v>8</v>
      </c>
      <c r="AE211" s="19" t="n">
        <v>0</v>
      </c>
      <c r="AF211" s="19" t="n">
        <v>0</v>
      </c>
      <c r="AG211" s="19" t="n">
        <v>0</v>
      </c>
      <c r="AH211" s="19" t="n">
        <v>0</v>
      </c>
      <c r="AI211" s="19" t="n">
        <v>0</v>
      </c>
      <c r="AJ211" s="19" t="n">
        <v>0</v>
      </c>
      <c r="AK211" s="19" t="n">
        <v>0</v>
      </c>
      <c r="AL211" s="19" t="n">
        <v>0</v>
      </c>
      <c r="AM211" s="19" t="n">
        <v>0</v>
      </c>
      <c r="AN211" s="19" t="n">
        <v>3</v>
      </c>
      <c r="AO211" s="19" t="n">
        <v>0</v>
      </c>
      <c r="AP211" s="19" t="n">
        <v>0</v>
      </c>
      <c r="AQ211" s="19" t="n">
        <v>0</v>
      </c>
      <c r="AR211" s="19" t="n">
        <v>0</v>
      </c>
      <c r="AS211" s="19" t="n">
        <v>0</v>
      </c>
      <c r="AT211" s="19" t="n">
        <v>0</v>
      </c>
      <c r="AU211" s="19" t="n">
        <v>0</v>
      </c>
      <c r="AV211" s="19" t="n">
        <v>0</v>
      </c>
      <c r="AW211" s="19" t="n">
        <v>0</v>
      </c>
      <c r="AX211" s="19" t="n">
        <v>0</v>
      </c>
      <c r="AY211" s="19" t="n">
        <v>0</v>
      </c>
      <c r="AZ211" s="19" t="n">
        <v>0</v>
      </c>
      <c r="BA211" s="19" t="n">
        <v>0</v>
      </c>
      <c r="BB211" s="19" t="n">
        <v>0</v>
      </c>
      <c r="BC211" s="19" t="n">
        <v>0</v>
      </c>
      <c r="BD211" s="19" t="n">
        <v>0</v>
      </c>
      <c r="BE211" s="19" t="n">
        <v>0</v>
      </c>
      <c r="BF211" s="19" t="n">
        <v>0</v>
      </c>
      <c r="BG211" s="19" t="n">
        <v>0</v>
      </c>
      <c r="BH211" s="19" t="n">
        <v>0</v>
      </c>
      <c r="BI211" s="19" t="n">
        <v>0</v>
      </c>
      <c r="BJ211" s="19" t="n">
        <v>0</v>
      </c>
      <c r="BK211" s="19" t="n">
        <v>0</v>
      </c>
      <c r="BL211" s="19" t="n">
        <v>0</v>
      </c>
      <c r="BM211" s="19" t="n">
        <v>0</v>
      </c>
      <c r="BN211" s="19" t="n">
        <v>0</v>
      </c>
      <c r="BO211" s="19" t="n">
        <v>0</v>
      </c>
      <c r="BP211" s="19" t="n">
        <v>0</v>
      </c>
      <c r="BQ211" s="19" t="n">
        <v>0</v>
      </c>
      <c r="BR211" s="19" t="n">
        <v>1</v>
      </c>
      <c r="BS211" s="19" t="n">
        <v>2</v>
      </c>
      <c r="BT211" s="19"/>
      <c r="BU211" s="19" t="n">
        <v>5</v>
      </c>
      <c r="BV211" s="19" t="n">
        <v>4</v>
      </c>
      <c r="BW211" s="19" t="n">
        <v>2</v>
      </c>
      <c r="BX211" s="19" t="n">
        <v>3</v>
      </c>
      <c r="BY211" s="19" t="n">
        <v>3</v>
      </c>
      <c r="BZ211" s="19" t="n">
        <v>4</v>
      </c>
      <c r="CA211" s="19" t="n">
        <v>4</v>
      </c>
      <c r="CB211" s="19" t="n">
        <v>5</v>
      </c>
      <c r="CC211" s="19" t="n">
        <v>5</v>
      </c>
      <c r="CD211" s="19" t="n">
        <v>1</v>
      </c>
      <c r="CE211" s="19" t="n">
        <v>5</v>
      </c>
      <c r="CF211" s="19" t="n">
        <v>5</v>
      </c>
      <c r="CG211" s="19" t="n">
        <v>4</v>
      </c>
      <c r="CH211" s="19" t="n">
        <v>5</v>
      </c>
      <c r="CI211" s="19" t="n">
        <v>5</v>
      </c>
      <c r="CJ211" s="19" t="n">
        <v>4</v>
      </c>
      <c r="CK211" s="19" t="n">
        <v>8</v>
      </c>
      <c r="CL211" s="0" t="s">
        <v>540</v>
      </c>
      <c r="CM211" s="0" t="n">
        <v>70.5</v>
      </c>
      <c r="CN211" s="16" t="n">
        <v>88.2</v>
      </c>
      <c r="CO211" s="16" t="n">
        <v>80.4</v>
      </c>
      <c r="CP211" s="16" t="n">
        <v>36.3</v>
      </c>
      <c r="CQ211" s="0" t="n">
        <v>72.69</v>
      </c>
      <c r="CR211" s="17" t="n">
        <v>0</v>
      </c>
      <c r="CS211" s="0" t="n">
        <v>10.32</v>
      </c>
      <c r="CT211" s="0" t="n">
        <v>16.99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36.66</v>
      </c>
      <c r="DD211" s="0" t="n">
        <v>7.54</v>
      </c>
      <c r="DE211" s="0" t="n">
        <v>10.32</v>
      </c>
      <c r="DF211" s="0" t="n">
        <v>0</v>
      </c>
      <c r="DG211" s="0" t="n">
        <v>0</v>
      </c>
      <c r="DH211" s="0" t="n">
        <v>0</v>
      </c>
      <c r="DU211" s="0" t="n">
        <v>21.2</v>
      </c>
      <c r="DV211" s="0" t="n">
        <v>1</v>
      </c>
      <c r="DW211" s="0" t="n">
        <v>35</v>
      </c>
      <c r="DX211" s="0" t="n">
        <v>7</v>
      </c>
      <c r="DY211" s="0" t="n">
        <f aca="false">5.71+0.54</f>
        <v>6.25</v>
      </c>
      <c r="DZ211" s="0" t="n">
        <v>3</v>
      </c>
      <c r="EA211" s="0" t="n">
        <v>47</v>
      </c>
      <c r="EB211" s="0" t="n">
        <v>2</v>
      </c>
      <c r="EC211" s="0" t="n">
        <v>0.4</v>
      </c>
      <c r="ED211" s="0" t="n">
        <v>3</v>
      </c>
      <c r="EG211" s="20"/>
      <c r="EY211" s="0" t="n">
        <v>0</v>
      </c>
      <c r="GJ211" s="16" t="n">
        <v>11.58</v>
      </c>
      <c r="GK211" s="16" t="n">
        <v>1</v>
      </c>
      <c r="GL211" s="16" t="n">
        <v>2</v>
      </c>
      <c r="GM211" s="16"/>
      <c r="GN211" s="16" t="n">
        <f aca="false">0.22+1.95+3.81+0.27+0.32+0.04+0.05</f>
        <v>6.66</v>
      </c>
      <c r="GO211" s="16"/>
      <c r="GP211" s="16"/>
      <c r="GQ211" s="16"/>
      <c r="GR211" s="16"/>
      <c r="GS211" s="16"/>
      <c r="GT211" s="16"/>
      <c r="GU211" s="16" t="n">
        <v>0.27</v>
      </c>
      <c r="GV211" s="16" t="n">
        <v>0.27</v>
      </c>
      <c r="GW211" s="16" t="n">
        <v>0</v>
      </c>
      <c r="GX211" s="16" t="n">
        <v>0</v>
      </c>
      <c r="GY211" s="16" t="n">
        <v>0</v>
      </c>
      <c r="GZ211" s="16" t="n">
        <v>0</v>
      </c>
      <c r="HA211" s="16" t="n">
        <v>0</v>
      </c>
      <c r="HB211" s="0" t="n">
        <v>0</v>
      </c>
      <c r="HC211" s="0" t="s">
        <v>541</v>
      </c>
      <c r="HD211" s="0" t="n">
        <v>94.5</v>
      </c>
      <c r="HE211" s="16" t="n">
        <v>88.2</v>
      </c>
      <c r="HF211" s="16" t="n">
        <v>80.4</v>
      </c>
      <c r="HG211" s="16" t="n">
        <v>73.1</v>
      </c>
      <c r="HH211" s="0" t="n">
        <v>41.34</v>
      </c>
      <c r="HI211" s="17" t="n">
        <v>0</v>
      </c>
      <c r="HJ211" s="0" t="n">
        <v>8.63</v>
      </c>
      <c r="HK211" s="0" t="n">
        <v>0.04</v>
      </c>
      <c r="HL211" s="0" t="n">
        <v>0</v>
      </c>
      <c r="HM211" s="0" t="n">
        <v>0</v>
      </c>
      <c r="HN211" s="0" t="n">
        <v>0</v>
      </c>
      <c r="HO211" s="0" t="n">
        <v>0</v>
      </c>
      <c r="HP211" s="0" t="n">
        <v>0</v>
      </c>
      <c r="HQ211" s="0" t="n">
        <v>0</v>
      </c>
      <c r="HR211" s="0" t="n">
        <v>0</v>
      </c>
      <c r="HS211" s="0" t="n">
        <v>0</v>
      </c>
      <c r="HT211" s="0" t="n">
        <v>8.06</v>
      </c>
      <c r="HU211" s="0" t="n">
        <v>3.65</v>
      </c>
      <c r="HV211" s="0" t="n">
        <v>7.2</v>
      </c>
      <c r="HW211" s="0" t="n">
        <v>0</v>
      </c>
      <c r="HX211" s="0" t="n">
        <v>0</v>
      </c>
      <c r="HY211" s="0" t="n">
        <v>0</v>
      </c>
      <c r="IL211" s="0" t="n">
        <v>9.4</v>
      </c>
      <c r="IM211" s="0" t="n">
        <v>1</v>
      </c>
      <c r="IN211" s="0" t="n">
        <v>35</v>
      </c>
      <c r="IO211" s="0" t="n">
        <v>2</v>
      </c>
      <c r="IP211" s="0" t="n">
        <f aca="false">0.76+0.45</f>
        <v>1.21</v>
      </c>
      <c r="IQ211" s="0" t="n">
        <v>3</v>
      </c>
      <c r="IX211" s="20"/>
      <c r="JP211" s="0" t="n">
        <v>1</v>
      </c>
      <c r="JQ211" s="0" t="n">
        <v>70</v>
      </c>
      <c r="JR211" s="0" t="n">
        <v>2</v>
      </c>
      <c r="JS211" s="0" t="n">
        <f aca="false">0.75+1.69</f>
        <v>2.44</v>
      </c>
      <c r="JT211" s="0" t="n">
        <v>2</v>
      </c>
      <c r="LA211" s="16" t="n">
        <v>0.84</v>
      </c>
      <c r="LB211" s="16" t="n">
        <v>1</v>
      </c>
      <c r="LC211" s="16" t="n">
        <v>1</v>
      </c>
      <c r="LD211" s="16"/>
      <c r="LE211" s="16" t="n">
        <v>0.6</v>
      </c>
      <c r="LF211" s="16"/>
      <c r="LG211" s="16"/>
      <c r="LH211" s="16"/>
      <c r="LI211" s="16"/>
      <c r="LJ211" s="16"/>
      <c r="LK211" s="16"/>
      <c r="LL211" s="16" t="n">
        <v>10.19</v>
      </c>
      <c r="LM211" s="16" t="n">
        <v>8.46</v>
      </c>
      <c r="LN211" s="16" t="n">
        <v>0</v>
      </c>
      <c r="LO211" s="16" t="n">
        <v>0</v>
      </c>
      <c r="LP211" s="16" t="n">
        <v>0</v>
      </c>
      <c r="LQ211" s="16" t="n">
        <v>0</v>
      </c>
      <c r="LR211" s="16" t="n">
        <v>0</v>
      </c>
      <c r="LS211" s="0" t="n">
        <v>0</v>
      </c>
      <c r="LT211" s="0" t="s">
        <v>542</v>
      </c>
      <c r="LU211" s="0" t="n">
        <v>75</v>
      </c>
      <c r="LV211" s="16" t="n">
        <v>91.2</v>
      </c>
      <c r="LW211" s="16" t="n">
        <v>80.4</v>
      </c>
      <c r="LX211" s="16" t="n">
        <v>61</v>
      </c>
      <c r="LY211" s="0" t="n">
        <v>53.67</v>
      </c>
      <c r="LZ211" s="17" t="n">
        <v>0</v>
      </c>
      <c r="MA211" s="0" t="n">
        <v>16.76</v>
      </c>
      <c r="MB211" s="0" t="n">
        <v>29.58</v>
      </c>
      <c r="MC211" s="0" t="n">
        <v>0</v>
      </c>
      <c r="MD211" s="0" t="n">
        <v>0</v>
      </c>
      <c r="ME211" s="0" t="n">
        <v>0</v>
      </c>
      <c r="MF211" s="0" t="n">
        <v>0</v>
      </c>
      <c r="MG211" s="0" t="n">
        <v>0</v>
      </c>
      <c r="MH211" s="0" t="n">
        <v>0</v>
      </c>
      <c r="MI211" s="0" t="n">
        <v>0</v>
      </c>
      <c r="MJ211" s="0" t="n">
        <v>0</v>
      </c>
      <c r="MK211" s="0" t="n">
        <v>6.79</v>
      </c>
      <c r="ML211" s="0" t="n">
        <v>14.97</v>
      </c>
      <c r="MM211" s="0" t="n">
        <v>18.24</v>
      </c>
      <c r="MN211" s="0" t="n">
        <v>0</v>
      </c>
      <c r="MO211" s="0" t="n">
        <v>0</v>
      </c>
      <c r="MP211" s="0" t="n">
        <v>0</v>
      </c>
      <c r="NC211" s="0" t="n">
        <v>9</v>
      </c>
      <c r="ND211" s="0" t="n">
        <v>1</v>
      </c>
      <c r="NE211" s="0" t="n">
        <v>68</v>
      </c>
      <c r="NF211" s="0" t="n">
        <v>1</v>
      </c>
      <c r="NG211" s="0" t="n">
        <v>0.38</v>
      </c>
      <c r="NH211" s="0" t="n">
        <v>1</v>
      </c>
      <c r="NI211" s="0" t="n">
        <v>47</v>
      </c>
      <c r="NJ211" s="0" t="n">
        <v>1</v>
      </c>
      <c r="NK211" s="0" t="n">
        <v>1.13</v>
      </c>
      <c r="NL211" s="0" t="n">
        <v>3</v>
      </c>
      <c r="NO211" s="20"/>
      <c r="OG211" s="0" t="n">
        <v>1</v>
      </c>
      <c r="OH211" s="0" t="n">
        <v>70</v>
      </c>
      <c r="OI211" s="0" t="n">
        <v>2</v>
      </c>
      <c r="OJ211" s="0" t="n">
        <f aca="false">1.69+0.75</f>
        <v>2.44</v>
      </c>
      <c r="OK211" s="0" t="n">
        <v>2</v>
      </c>
      <c r="PR211" s="16" t="n">
        <v>1.88</v>
      </c>
      <c r="PS211" s="16" t="n">
        <v>1</v>
      </c>
      <c r="PT211" s="16" t="n">
        <v>1</v>
      </c>
      <c r="PU211" s="16"/>
      <c r="PV211" s="16" t="n">
        <f aca="false">1.04+1.04+1.04</f>
        <v>3.12</v>
      </c>
      <c r="PW211" s="16"/>
      <c r="PX211" s="16"/>
      <c r="PY211" s="16"/>
      <c r="PZ211" s="16"/>
      <c r="QA211" s="16"/>
      <c r="QB211" s="16"/>
      <c r="QC211" s="16" t="n">
        <v>1.5</v>
      </c>
      <c r="QD211" s="16" t="n">
        <v>1.5</v>
      </c>
      <c r="QE211" s="16" t="n">
        <v>0</v>
      </c>
      <c r="QF211" s="16" t="n">
        <v>0</v>
      </c>
      <c r="QG211" s="16" t="n">
        <v>0</v>
      </c>
      <c r="QH211" s="16" t="n">
        <v>0</v>
      </c>
      <c r="QI211" s="16" t="n">
        <v>0</v>
      </c>
      <c r="QJ211" s="0" t="n">
        <v>0</v>
      </c>
      <c r="QK211" s="0" t="s">
        <v>543</v>
      </c>
      <c r="QL211" s="0" t="n">
        <v>21</v>
      </c>
      <c r="QM211" s="16" t="n">
        <v>77.9</v>
      </c>
      <c r="QN211" s="16" t="n">
        <v>160.8</v>
      </c>
      <c r="QO211" s="16" t="n">
        <v>14.1</v>
      </c>
      <c r="QP211" s="0" t="n">
        <v>87.99</v>
      </c>
      <c r="QQ211" s="17" t="n">
        <v>0</v>
      </c>
      <c r="QR211" s="0" t="n">
        <v>3.38</v>
      </c>
      <c r="QS211" s="0" t="n">
        <v>0</v>
      </c>
      <c r="QT211" s="0" t="n">
        <v>8.63</v>
      </c>
      <c r="QU211" s="0" t="n">
        <v>0</v>
      </c>
      <c r="QV211" s="0" t="n">
        <v>0</v>
      </c>
      <c r="QW211" s="0" t="n">
        <v>0</v>
      </c>
      <c r="QX211" s="0" t="n">
        <v>0</v>
      </c>
      <c r="QY211" s="0" t="n">
        <v>0</v>
      </c>
      <c r="QZ211" s="0" t="n">
        <v>0</v>
      </c>
      <c r="RA211" s="0" t="n">
        <v>0</v>
      </c>
      <c r="RB211" s="0" t="n">
        <v>0</v>
      </c>
      <c r="RC211" s="0" t="n">
        <v>65.6</v>
      </c>
      <c r="RD211" s="0" t="n">
        <v>0</v>
      </c>
      <c r="RE211" s="0" t="n">
        <v>0</v>
      </c>
      <c r="RF211" s="0" t="n">
        <v>0</v>
      </c>
      <c r="RG211" s="0" t="n">
        <v>0</v>
      </c>
      <c r="RT211" s="0" t="n">
        <v>1.4</v>
      </c>
      <c r="RU211" s="0" t="n">
        <v>1</v>
      </c>
      <c r="RV211" s="0" t="n">
        <v>35</v>
      </c>
      <c r="RW211" s="0" t="n">
        <v>3</v>
      </c>
      <c r="RX211" s="0" t="n">
        <f aca="false">0.38</f>
        <v>0.38</v>
      </c>
      <c r="RY211" s="0" t="n">
        <v>3</v>
      </c>
      <c r="RZ211" s="0" t="n">
        <v>34</v>
      </c>
      <c r="SA211" s="0" t="n">
        <v>27</v>
      </c>
      <c r="SB211" s="0" t="n">
        <f aca="false">0.19+0.19+1.13+3.38+0.56+1.5+1.13+0.38</f>
        <v>8.46</v>
      </c>
      <c r="SC211" s="0" t="n">
        <v>1</v>
      </c>
      <c r="SF211" s="20"/>
      <c r="SX211" s="0" t="n">
        <v>1</v>
      </c>
      <c r="SY211" s="0" t="n">
        <v>40</v>
      </c>
      <c r="SZ211" s="0" t="n">
        <v>9</v>
      </c>
      <c r="TA211" s="0" t="n">
        <f aca="false">0.38+1.13+3+1.88+0.75</f>
        <v>7.14</v>
      </c>
      <c r="TB211" s="0" t="n">
        <v>3</v>
      </c>
      <c r="UI211" s="16" t="n">
        <v>0</v>
      </c>
      <c r="UJ211" s="16" t="n">
        <v>0</v>
      </c>
      <c r="UK211" s="16"/>
      <c r="UL211" s="16"/>
      <c r="UM211" s="16"/>
      <c r="UN211" s="16"/>
      <c r="UO211" s="16"/>
      <c r="UP211" s="16"/>
      <c r="UQ211" s="16"/>
      <c r="UR211" s="16"/>
      <c r="US211" s="16"/>
      <c r="UT211" s="16" t="n">
        <v>5.27</v>
      </c>
      <c r="UU211" s="16" t="n">
        <v>1.5</v>
      </c>
      <c r="UV211" s="16" t="n">
        <v>0</v>
      </c>
      <c r="UW211" s="16" t="n">
        <v>0</v>
      </c>
      <c r="UX211" s="16" t="n">
        <v>0</v>
      </c>
      <c r="UY211" s="16" t="n">
        <v>0</v>
      </c>
      <c r="UZ211" s="16" t="n">
        <v>0</v>
      </c>
      <c r="VA211" s="0" t="n">
        <v>0</v>
      </c>
      <c r="VE211" s="15"/>
      <c r="VF211" s="15"/>
      <c r="VM211" s="15"/>
      <c r="VN211" s="15"/>
      <c r="VU211" s="15"/>
      <c r="VV211" s="15"/>
      <c r="WC211" s="15"/>
      <c r="WD211" s="15"/>
      <c r="WK211" s="15"/>
      <c r="WL211" s="15"/>
      <c r="WS211" s="15"/>
      <c r="WT211" s="15"/>
      <c r="XA211" s="15"/>
      <c r="XB211" s="15"/>
      <c r="XI211" s="15"/>
      <c r="XJ211" s="15"/>
      <c r="XQ211" s="15"/>
      <c r="XR211" s="15"/>
      <c r="XY211" s="15"/>
      <c r="XZ211" s="15"/>
      <c r="YG211" s="15"/>
      <c r="YH211" s="15"/>
      <c r="YO211" s="15"/>
      <c r="YP211" s="15"/>
      <c r="YW211" s="15"/>
      <c r="YX211" s="15"/>
      <c r="ZE211" s="15"/>
      <c r="ZF211" s="15"/>
      <c r="ZM211" s="15"/>
      <c r="ZN211" s="15"/>
      <c r="ZU211" s="15"/>
      <c r="ZV211" s="15"/>
      <c r="AAC211" s="15"/>
      <c r="AAD211" s="15"/>
      <c r="AAK211" s="15"/>
      <c r="AAL211" s="15"/>
      <c r="AAS211" s="15"/>
      <c r="AAT211" s="15"/>
      <c r="ABA211" s="15"/>
      <c r="ABB211" s="15"/>
      <c r="ABI211" s="15"/>
      <c r="ABJ211" s="15"/>
      <c r="ABQ211" s="15"/>
      <c r="ABR211" s="15"/>
      <c r="ABY211" s="15"/>
      <c r="ABZ211" s="15"/>
      <c r="ACG211" s="15"/>
      <c r="ACH211" s="15"/>
      <c r="ACO211" s="15"/>
      <c r="ACP211" s="15"/>
      <c r="ACW211" s="15"/>
      <c r="ACX211" s="15"/>
      <c r="ADE211" s="15"/>
      <c r="ADF211" s="15"/>
      <c r="ADM211" s="15"/>
      <c r="ADN211" s="15"/>
      <c r="ADU211" s="15"/>
      <c r="ADV211" s="15"/>
      <c r="AEC211" s="15"/>
      <c r="AED211" s="15"/>
      <c r="AEK211" s="15"/>
      <c r="AEL211" s="15"/>
      <c r="AES211" s="15"/>
      <c r="AET211" s="15"/>
      <c r="AFA211" s="15"/>
      <c r="AFB211" s="15"/>
      <c r="AFI211" s="15"/>
      <c r="AFJ211" s="15"/>
      <c r="AFQ211" s="15"/>
      <c r="AFR211" s="15"/>
      <c r="AFY211" s="15"/>
      <c r="AFZ211" s="15"/>
      <c r="AGG211" s="15"/>
      <c r="AGH211" s="15"/>
      <c r="AGO211" s="15"/>
      <c r="AGP211" s="15"/>
      <c r="AGW211" s="15"/>
      <c r="AGX211" s="15"/>
      <c r="AHE211" s="15"/>
      <c r="AHF211" s="15"/>
      <c r="AHM211" s="15"/>
      <c r="AHN211" s="15"/>
      <c r="AHU211" s="15"/>
      <c r="AHV211" s="15"/>
      <c r="AIC211" s="15"/>
      <c r="AID211" s="15"/>
      <c r="AIK211" s="15"/>
      <c r="AIL211" s="15"/>
      <c r="AIS211" s="15"/>
      <c r="AIT211" s="15"/>
      <c r="AJA211" s="15"/>
      <c r="AJB211" s="15"/>
      <c r="AJI211" s="15"/>
      <c r="AJJ211" s="15"/>
      <c r="AJQ211" s="15"/>
      <c r="AJR211" s="15"/>
      <c r="AJY211" s="15"/>
      <c r="AJZ211" s="15"/>
      <c r="AKG211" s="15"/>
      <c r="AKH211" s="15"/>
      <c r="AKO211" s="15"/>
      <c r="AKP211" s="15"/>
      <c r="AKW211" s="15"/>
      <c r="AKX211" s="15"/>
      <c r="ALE211" s="15"/>
      <c r="ALF211" s="15"/>
      <c r="ALM211" s="15"/>
      <c r="ALN211" s="15"/>
      <c r="ALU211" s="15"/>
      <c r="ALV211" s="15"/>
      <c r="AMC211" s="15"/>
      <c r="AMD211" s="15"/>
    </row>
    <row r="212" customFormat="false" ht="13.8" hidden="false" customHeight="false" outlineLevel="0" collapsed="false">
      <c r="A212" s="1" t="s">
        <v>724</v>
      </c>
      <c r="B212" s="12" t="n">
        <v>42906</v>
      </c>
      <c r="C212" s="0" t="n">
        <v>1</v>
      </c>
      <c r="D212" s="13" t="n">
        <v>42790</v>
      </c>
      <c r="E212" s="12" t="n">
        <v>30319</v>
      </c>
      <c r="F212" s="14" t="n">
        <f aca="false">(B212-E212)/365.25</f>
        <v>34.4613278576318</v>
      </c>
      <c r="G212" s="14" t="n">
        <f aca="false">(B212-D212)/365.25</f>
        <v>0.317590691307324</v>
      </c>
      <c r="H212" s="15" t="s">
        <v>183</v>
      </c>
      <c r="I212" s="15" t="s">
        <v>571</v>
      </c>
      <c r="J212" s="21" t="s">
        <v>181</v>
      </c>
      <c r="K212" s="21" t="n">
        <v>8</v>
      </c>
      <c r="L212" s="19" t="n">
        <v>86</v>
      </c>
      <c r="M212" s="0" t="n">
        <v>1.73</v>
      </c>
      <c r="N212" s="16" t="n">
        <f aca="false">L212/(M212*M212)</f>
        <v>28.734672057202</v>
      </c>
      <c r="O212" s="19" t="n">
        <v>0</v>
      </c>
      <c r="P212" s="19" t="n">
        <v>0</v>
      </c>
      <c r="Q212" s="19" t="n">
        <v>0</v>
      </c>
      <c r="R212" s="26" t="n">
        <v>0</v>
      </c>
      <c r="S212" s="26" t="n">
        <v>0</v>
      </c>
      <c r="T212" s="26" t="n">
        <v>0</v>
      </c>
      <c r="U212" s="19" t="n">
        <v>0</v>
      </c>
      <c r="V212" s="19" t="n">
        <v>0</v>
      </c>
      <c r="W212" s="19" t="n">
        <v>1</v>
      </c>
      <c r="X212" s="19" t="n">
        <v>0</v>
      </c>
      <c r="Y212" s="19" t="n">
        <v>0</v>
      </c>
      <c r="Z212" s="19" t="n">
        <v>0</v>
      </c>
      <c r="AA212" s="19" t="n">
        <v>0</v>
      </c>
      <c r="AB212" s="19" t="n">
        <v>0</v>
      </c>
      <c r="AC212" s="19" t="n">
        <v>0</v>
      </c>
      <c r="AD212" s="19" t="n">
        <v>0</v>
      </c>
      <c r="AE212" s="19" t="n">
        <v>1</v>
      </c>
      <c r="AF212" s="19" t="n">
        <v>1</v>
      </c>
      <c r="AG212" s="19" t="n">
        <v>1</v>
      </c>
      <c r="AH212" s="19" t="n">
        <v>4</v>
      </c>
      <c r="AI212" s="19" t="n">
        <v>0</v>
      </c>
      <c r="AJ212" s="19" t="n">
        <v>0</v>
      </c>
      <c r="AK212" s="19" t="n">
        <v>0</v>
      </c>
      <c r="AL212" s="19" t="n">
        <v>0</v>
      </c>
      <c r="AM212" s="19" t="n">
        <v>0</v>
      </c>
      <c r="AN212" s="19" t="n">
        <v>0</v>
      </c>
      <c r="AO212" s="19" t="n">
        <v>0</v>
      </c>
      <c r="AP212" s="19" t="n">
        <v>0</v>
      </c>
      <c r="AQ212" s="19" t="n">
        <v>0</v>
      </c>
      <c r="AR212" s="19" t="n">
        <v>0</v>
      </c>
      <c r="AS212" s="19" t="n">
        <v>1</v>
      </c>
      <c r="AT212" s="19" t="n">
        <v>0</v>
      </c>
      <c r="AU212" s="19" t="n">
        <v>1</v>
      </c>
      <c r="AV212" s="19" t="n">
        <v>7</v>
      </c>
      <c r="AW212" s="19" t="n">
        <v>0</v>
      </c>
      <c r="AX212" s="19" t="n">
        <v>0</v>
      </c>
      <c r="AY212" s="19" t="n">
        <v>0</v>
      </c>
      <c r="AZ212" s="19" t="n">
        <v>0</v>
      </c>
      <c r="BA212" s="19" t="n">
        <v>0</v>
      </c>
      <c r="BB212" s="19" t="n">
        <v>1</v>
      </c>
      <c r="BC212" s="19" t="n">
        <v>0</v>
      </c>
      <c r="BD212" s="19" t="n">
        <v>1</v>
      </c>
      <c r="BE212" s="19" t="n">
        <v>4</v>
      </c>
      <c r="BF212" s="19" t="n">
        <v>0</v>
      </c>
      <c r="BG212" s="19" t="n">
        <v>0</v>
      </c>
      <c r="BH212" s="19" t="n">
        <v>0</v>
      </c>
      <c r="BI212" s="19" t="n">
        <v>0</v>
      </c>
      <c r="BJ212" s="19" t="n">
        <v>1</v>
      </c>
      <c r="BK212" s="19" t="n">
        <v>0</v>
      </c>
      <c r="BL212" s="19" t="n">
        <v>0</v>
      </c>
      <c r="BM212" s="19" t="n">
        <v>0</v>
      </c>
      <c r="BN212" s="19" t="n">
        <v>0</v>
      </c>
      <c r="BO212" s="19" t="n">
        <v>0</v>
      </c>
      <c r="BP212" s="19" t="n">
        <v>0</v>
      </c>
      <c r="BQ212" s="19" t="n">
        <v>0</v>
      </c>
      <c r="BR212" s="19" t="n">
        <v>3</v>
      </c>
      <c r="BS212" s="19" t="n">
        <v>2</v>
      </c>
      <c r="BT212" s="19" t="n">
        <v>4</v>
      </c>
      <c r="BU212" s="19" t="n">
        <v>5</v>
      </c>
      <c r="BV212" s="19" t="n">
        <v>1</v>
      </c>
      <c r="BW212" s="19" t="n">
        <v>1</v>
      </c>
      <c r="BX212" s="19" t="n">
        <v>1</v>
      </c>
      <c r="BY212" s="19" t="n">
        <v>3</v>
      </c>
      <c r="BZ212" s="19" t="n">
        <v>2</v>
      </c>
      <c r="CA212" s="19" t="n">
        <v>3</v>
      </c>
      <c r="CB212" s="19" t="n">
        <v>3</v>
      </c>
      <c r="CC212" s="19" t="n">
        <v>4</v>
      </c>
      <c r="CD212" s="19" t="n">
        <v>3</v>
      </c>
      <c r="CE212" s="19" t="n">
        <v>4</v>
      </c>
      <c r="CF212" s="19" t="n">
        <v>4</v>
      </c>
      <c r="CG212" s="19" t="n">
        <v>4</v>
      </c>
      <c r="CH212" s="19" t="n">
        <v>3</v>
      </c>
      <c r="CI212" s="19" t="n">
        <v>4</v>
      </c>
      <c r="CJ212" s="19" t="n">
        <v>3</v>
      </c>
      <c r="CK212" s="19" t="n">
        <v>8</v>
      </c>
      <c r="CL212" s="0" t="s">
        <v>540</v>
      </c>
      <c r="CM212" s="0" t="n">
        <v>70.5</v>
      </c>
      <c r="CN212" s="16" t="n">
        <v>88.2</v>
      </c>
      <c r="CO212" s="16" t="n">
        <v>80.4</v>
      </c>
      <c r="CP212" s="16" t="n">
        <v>36.3</v>
      </c>
      <c r="CQ212" s="0" t="n">
        <v>72.69</v>
      </c>
      <c r="CR212" s="17" t="n">
        <v>0</v>
      </c>
      <c r="CS212" s="0" t="n">
        <v>10.32</v>
      </c>
      <c r="CT212" s="0" t="n">
        <v>16.99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36.66</v>
      </c>
      <c r="DD212" s="0" t="n">
        <v>7.54</v>
      </c>
      <c r="DE212" s="0" t="n">
        <v>10.32</v>
      </c>
      <c r="DF212" s="0" t="n">
        <v>0</v>
      </c>
      <c r="DG212" s="0" t="n">
        <v>0</v>
      </c>
      <c r="DH212" s="0" t="n">
        <v>0</v>
      </c>
      <c r="DU212" s="0" t="n">
        <v>21.2</v>
      </c>
      <c r="DV212" s="0" t="n">
        <v>1</v>
      </c>
      <c r="DW212" s="0" t="n">
        <v>35</v>
      </c>
      <c r="DX212" s="0" t="n">
        <v>7</v>
      </c>
      <c r="DY212" s="0" t="n">
        <f aca="false">5.71+0.54</f>
        <v>6.25</v>
      </c>
      <c r="DZ212" s="0" t="n">
        <v>3</v>
      </c>
      <c r="EA212" s="0" t="n">
        <v>47</v>
      </c>
      <c r="EB212" s="0" t="n">
        <v>2</v>
      </c>
      <c r="EC212" s="0" t="n">
        <v>0.4</v>
      </c>
      <c r="ED212" s="0" t="n">
        <v>3</v>
      </c>
      <c r="EG212" s="20"/>
      <c r="EY212" s="0" t="n">
        <v>0</v>
      </c>
      <c r="GJ212" s="16" t="n">
        <v>11.58</v>
      </c>
      <c r="GK212" s="16" t="n">
        <v>1</v>
      </c>
      <c r="GL212" s="16" t="n">
        <v>2</v>
      </c>
      <c r="GM212" s="16"/>
      <c r="GN212" s="16" t="n">
        <f aca="false">0.22+1.95+3.81+0.27+0.32+0.04+0.05</f>
        <v>6.66</v>
      </c>
      <c r="GO212" s="16"/>
      <c r="GP212" s="16"/>
      <c r="GQ212" s="16"/>
      <c r="GR212" s="16"/>
      <c r="GS212" s="16"/>
      <c r="GT212" s="16"/>
      <c r="GU212" s="16" t="n">
        <v>0.27</v>
      </c>
      <c r="GV212" s="16" t="n">
        <v>0.27</v>
      </c>
      <c r="GW212" s="16" t="n">
        <v>0</v>
      </c>
      <c r="GX212" s="16" t="n">
        <v>0</v>
      </c>
      <c r="GY212" s="16" t="n">
        <v>0</v>
      </c>
      <c r="GZ212" s="16" t="n">
        <v>0</v>
      </c>
      <c r="HA212" s="16" t="n">
        <v>0</v>
      </c>
      <c r="HB212" s="0" t="n">
        <v>0</v>
      </c>
      <c r="HC212" s="0" t="s">
        <v>541</v>
      </c>
      <c r="HD212" s="0" t="n">
        <v>94.5</v>
      </c>
      <c r="HE212" s="16" t="n">
        <v>88.2</v>
      </c>
      <c r="HF212" s="16" t="n">
        <v>80.4</v>
      </c>
      <c r="HG212" s="16" t="n">
        <v>73.1</v>
      </c>
      <c r="HH212" s="0" t="n">
        <v>41.34</v>
      </c>
      <c r="HI212" s="17" t="n">
        <v>0</v>
      </c>
      <c r="HJ212" s="0" t="n">
        <v>8.63</v>
      </c>
      <c r="HK212" s="0" t="n">
        <v>0.04</v>
      </c>
      <c r="HL212" s="0" t="n">
        <v>0</v>
      </c>
      <c r="HM212" s="0" t="n">
        <v>0</v>
      </c>
      <c r="HN212" s="0" t="n">
        <v>0</v>
      </c>
      <c r="HO212" s="0" t="n">
        <v>0</v>
      </c>
      <c r="HP212" s="0" t="n">
        <v>0</v>
      </c>
      <c r="HQ212" s="0" t="n">
        <v>0</v>
      </c>
      <c r="HR212" s="0" t="n">
        <v>0</v>
      </c>
      <c r="HS212" s="0" t="n">
        <v>0</v>
      </c>
      <c r="HT212" s="0" t="n">
        <v>8.06</v>
      </c>
      <c r="HU212" s="0" t="n">
        <v>3.65</v>
      </c>
      <c r="HV212" s="0" t="n">
        <v>7.2</v>
      </c>
      <c r="HW212" s="0" t="n">
        <v>0</v>
      </c>
      <c r="HX212" s="0" t="n">
        <v>0</v>
      </c>
      <c r="HY212" s="0" t="n">
        <v>0</v>
      </c>
      <c r="IL212" s="0" t="n">
        <v>9.4</v>
      </c>
      <c r="IM212" s="0" t="n">
        <v>1</v>
      </c>
      <c r="IN212" s="0" t="n">
        <v>35</v>
      </c>
      <c r="IO212" s="0" t="n">
        <v>2</v>
      </c>
      <c r="IP212" s="0" t="n">
        <f aca="false">0.76+0.45</f>
        <v>1.21</v>
      </c>
      <c r="IQ212" s="0" t="n">
        <v>3</v>
      </c>
      <c r="IX212" s="20"/>
      <c r="JP212" s="0" t="n">
        <v>1</v>
      </c>
      <c r="JQ212" s="0" t="n">
        <v>70</v>
      </c>
      <c r="JR212" s="0" t="n">
        <v>2</v>
      </c>
      <c r="JS212" s="0" t="n">
        <f aca="false">0.75+1.69</f>
        <v>2.44</v>
      </c>
      <c r="JT212" s="0" t="n">
        <v>2</v>
      </c>
      <c r="LA212" s="16" t="n">
        <v>0.84</v>
      </c>
      <c r="LB212" s="16" t="n">
        <v>1</v>
      </c>
      <c r="LC212" s="16" t="n">
        <v>1</v>
      </c>
      <c r="LD212" s="16"/>
      <c r="LE212" s="16" t="n">
        <v>0.6</v>
      </c>
      <c r="LF212" s="16"/>
      <c r="LG212" s="16"/>
      <c r="LH212" s="16"/>
      <c r="LI212" s="16"/>
      <c r="LJ212" s="16"/>
      <c r="LK212" s="16"/>
      <c r="LL212" s="16" t="n">
        <v>10.19</v>
      </c>
      <c r="LM212" s="16" t="n">
        <v>8.46</v>
      </c>
      <c r="LN212" s="16" t="n">
        <v>0</v>
      </c>
      <c r="LO212" s="16" t="n">
        <v>0</v>
      </c>
      <c r="LP212" s="16" t="n">
        <v>0</v>
      </c>
      <c r="LQ212" s="16" t="n">
        <v>0</v>
      </c>
      <c r="LR212" s="16" t="n">
        <v>0</v>
      </c>
      <c r="LS212" s="0" t="n">
        <v>0</v>
      </c>
      <c r="LT212" s="0" t="s">
        <v>542</v>
      </c>
      <c r="LU212" s="0" t="n">
        <v>75</v>
      </c>
      <c r="LV212" s="16" t="n">
        <v>91.2</v>
      </c>
      <c r="LW212" s="16" t="n">
        <v>80.4</v>
      </c>
      <c r="LX212" s="16" t="n">
        <v>61</v>
      </c>
      <c r="LY212" s="0" t="n">
        <v>53.67</v>
      </c>
      <c r="LZ212" s="17" t="n">
        <v>0</v>
      </c>
      <c r="MA212" s="0" t="n">
        <v>16.76</v>
      </c>
      <c r="MB212" s="0" t="n">
        <v>29.58</v>
      </c>
      <c r="MC212" s="0" t="n">
        <v>0</v>
      </c>
      <c r="MD212" s="0" t="n">
        <v>0</v>
      </c>
      <c r="ME212" s="0" t="n">
        <v>0</v>
      </c>
      <c r="MF212" s="0" t="n">
        <v>0</v>
      </c>
      <c r="MG212" s="0" t="n">
        <v>0</v>
      </c>
      <c r="MH212" s="0" t="n">
        <v>0</v>
      </c>
      <c r="MI212" s="0" t="n">
        <v>0</v>
      </c>
      <c r="MJ212" s="0" t="n">
        <v>0</v>
      </c>
      <c r="MK212" s="0" t="n">
        <v>6.79</v>
      </c>
      <c r="ML212" s="0" t="n">
        <v>14.97</v>
      </c>
      <c r="MM212" s="0" t="n">
        <v>18.24</v>
      </c>
      <c r="MN212" s="0" t="n">
        <v>0</v>
      </c>
      <c r="MO212" s="0" t="n">
        <v>0</v>
      </c>
      <c r="MP212" s="0" t="n">
        <v>0</v>
      </c>
      <c r="NC212" s="0" t="n">
        <v>9</v>
      </c>
      <c r="ND212" s="0" t="n">
        <v>1</v>
      </c>
      <c r="NE212" s="0" t="n">
        <v>68</v>
      </c>
      <c r="NF212" s="0" t="n">
        <v>1</v>
      </c>
      <c r="NG212" s="0" t="n">
        <v>0.38</v>
      </c>
      <c r="NH212" s="0" t="n">
        <v>1</v>
      </c>
      <c r="NI212" s="0" t="n">
        <v>47</v>
      </c>
      <c r="NJ212" s="0" t="n">
        <v>1</v>
      </c>
      <c r="NK212" s="0" t="n">
        <v>1.13</v>
      </c>
      <c r="NL212" s="0" t="n">
        <v>3</v>
      </c>
      <c r="NO212" s="20"/>
      <c r="OG212" s="0" t="n">
        <v>1</v>
      </c>
      <c r="OH212" s="0" t="n">
        <v>70</v>
      </c>
      <c r="OI212" s="0" t="n">
        <v>2</v>
      </c>
      <c r="OJ212" s="0" t="n">
        <f aca="false">1.69+0.75</f>
        <v>2.44</v>
      </c>
      <c r="OK212" s="0" t="n">
        <v>2</v>
      </c>
      <c r="PR212" s="16" t="n">
        <v>1.88</v>
      </c>
      <c r="PS212" s="16" t="n">
        <v>1</v>
      </c>
      <c r="PT212" s="16" t="n">
        <v>1</v>
      </c>
      <c r="PU212" s="16"/>
      <c r="PV212" s="16" t="n">
        <f aca="false">1.04+1.04+1.04</f>
        <v>3.12</v>
      </c>
      <c r="PW212" s="16"/>
      <c r="PX212" s="16"/>
      <c r="PY212" s="16"/>
      <c r="PZ212" s="16"/>
      <c r="QA212" s="16"/>
      <c r="QB212" s="16"/>
      <c r="QC212" s="16" t="n">
        <v>1.5</v>
      </c>
      <c r="QD212" s="16" t="n">
        <v>1.5</v>
      </c>
      <c r="QE212" s="16" t="n">
        <v>0</v>
      </c>
      <c r="QF212" s="16" t="n">
        <v>0</v>
      </c>
      <c r="QG212" s="16" t="n">
        <v>0</v>
      </c>
      <c r="QH212" s="16" t="n">
        <v>0</v>
      </c>
      <c r="QI212" s="16" t="n">
        <v>0</v>
      </c>
      <c r="QJ212" s="0" t="n">
        <v>0</v>
      </c>
      <c r="QK212" s="0" t="s">
        <v>543</v>
      </c>
      <c r="QL212" s="0" t="n">
        <v>21</v>
      </c>
      <c r="QM212" s="16" t="n">
        <v>77.9</v>
      </c>
      <c r="QN212" s="16" t="n">
        <v>160.8</v>
      </c>
      <c r="QO212" s="16" t="n">
        <v>14.1</v>
      </c>
      <c r="QP212" s="0" t="n">
        <v>87.99</v>
      </c>
      <c r="QQ212" s="17" t="n">
        <v>0</v>
      </c>
      <c r="QR212" s="0" t="n">
        <v>3.38</v>
      </c>
      <c r="QS212" s="0" t="n">
        <v>0</v>
      </c>
      <c r="QT212" s="0" t="n">
        <v>8.63</v>
      </c>
      <c r="QU212" s="0" t="n">
        <v>0</v>
      </c>
      <c r="QV212" s="0" t="n">
        <v>0</v>
      </c>
      <c r="QW212" s="0" t="n">
        <v>0</v>
      </c>
      <c r="QX212" s="0" t="n">
        <v>0</v>
      </c>
      <c r="QY212" s="0" t="n">
        <v>0</v>
      </c>
      <c r="QZ212" s="0" t="n">
        <v>0</v>
      </c>
      <c r="RA212" s="0" t="n">
        <v>0</v>
      </c>
      <c r="RB212" s="0" t="n">
        <v>0</v>
      </c>
      <c r="RC212" s="0" t="n">
        <v>65.6</v>
      </c>
      <c r="RD212" s="0" t="n">
        <v>0</v>
      </c>
      <c r="RE212" s="0" t="n">
        <v>0</v>
      </c>
      <c r="RF212" s="0" t="n">
        <v>0</v>
      </c>
      <c r="RG212" s="0" t="n">
        <v>0</v>
      </c>
      <c r="RT212" s="0" t="n">
        <v>1.4</v>
      </c>
      <c r="RU212" s="0" t="n">
        <v>1</v>
      </c>
      <c r="RV212" s="0" t="n">
        <v>35</v>
      </c>
      <c r="RW212" s="0" t="n">
        <v>3</v>
      </c>
      <c r="RX212" s="0" t="n">
        <f aca="false">0.38</f>
        <v>0.38</v>
      </c>
      <c r="RY212" s="0" t="n">
        <v>3</v>
      </c>
      <c r="RZ212" s="0" t="n">
        <v>34</v>
      </c>
      <c r="SA212" s="0" t="n">
        <v>27</v>
      </c>
      <c r="SB212" s="0" t="n">
        <f aca="false">0.19+0.19+1.13+3.38+0.56+1.5+1.13+0.38</f>
        <v>8.46</v>
      </c>
      <c r="SC212" s="0" t="n">
        <v>1</v>
      </c>
      <c r="SF212" s="20"/>
      <c r="SX212" s="0" t="n">
        <v>1</v>
      </c>
      <c r="SY212" s="0" t="n">
        <v>40</v>
      </c>
      <c r="SZ212" s="0" t="n">
        <v>9</v>
      </c>
      <c r="TA212" s="0" t="n">
        <f aca="false">0.38+1.13+3+1.88+0.75</f>
        <v>7.14</v>
      </c>
      <c r="TB212" s="0" t="n">
        <v>3</v>
      </c>
      <c r="UI212" s="16" t="n">
        <v>0</v>
      </c>
      <c r="UJ212" s="16" t="n">
        <v>0</v>
      </c>
      <c r="UK212" s="16"/>
      <c r="UL212" s="16"/>
      <c r="UM212" s="16"/>
      <c r="UN212" s="16"/>
      <c r="UO212" s="16"/>
      <c r="UP212" s="16"/>
      <c r="UQ212" s="16"/>
      <c r="UR212" s="16"/>
      <c r="US212" s="16"/>
      <c r="UT212" s="16" t="n">
        <v>5.27</v>
      </c>
      <c r="UU212" s="16" t="n">
        <v>1.5</v>
      </c>
      <c r="UV212" s="16" t="n">
        <v>0</v>
      </c>
      <c r="UW212" s="16" t="n">
        <v>0</v>
      </c>
      <c r="UX212" s="16" t="n">
        <v>0</v>
      </c>
      <c r="UY212" s="16" t="n">
        <v>0</v>
      </c>
      <c r="UZ212" s="16" t="n">
        <v>0</v>
      </c>
      <c r="VA212" s="0" t="n">
        <v>0</v>
      </c>
      <c r="VE212" s="15"/>
      <c r="VF212" s="15"/>
      <c r="VM212" s="15"/>
      <c r="VN212" s="15"/>
      <c r="VU212" s="15"/>
      <c r="VV212" s="15"/>
      <c r="WC212" s="15"/>
      <c r="WD212" s="15"/>
      <c r="WK212" s="15"/>
      <c r="WL212" s="15"/>
      <c r="WS212" s="15"/>
      <c r="WT212" s="15"/>
      <c r="XA212" s="15"/>
      <c r="XB212" s="15"/>
      <c r="XI212" s="15"/>
      <c r="XJ212" s="15"/>
      <c r="XQ212" s="15"/>
      <c r="XR212" s="15"/>
      <c r="XY212" s="15"/>
      <c r="XZ212" s="15"/>
      <c r="YG212" s="15"/>
      <c r="YH212" s="15"/>
      <c r="YO212" s="15"/>
      <c r="YP212" s="15"/>
      <c r="YW212" s="15"/>
      <c r="YX212" s="15"/>
      <c r="ZE212" s="15"/>
      <c r="ZF212" s="15"/>
      <c r="ZM212" s="15"/>
      <c r="ZN212" s="15"/>
      <c r="ZU212" s="15"/>
      <c r="ZV212" s="15"/>
      <c r="AAC212" s="15"/>
      <c r="AAD212" s="15"/>
      <c r="AAK212" s="15"/>
      <c r="AAL212" s="15"/>
      <c r="AAS212" s="15"/>
      <c r="AAT212" s="15"/>
      <c r="ABA212" s="15"/>
      <c r="ABB212" s="15"/>
      <c r="ABI212" s="15"/>
      <c r="ABJ212" s="15"/>
      <c r="ABQ212" s="15"/>
      <c r="ABR212" s="15"/>
      <c r="ABY212" s="15"/>
      <c r="ABZ212" s="15"/>
      <c r="ACG212" s="15"/>
      <c r="ACH212" s="15"/>
      <c r="ACO212" s="15"/>
      <c r="ACP212" s="15"/>
      <c r="ACW212" s="15"/>
      <c r="ACX212" s="15"/>
      <c r="ADE212" s="15"/>
      <c r="ADF212" s="15"/>
      <c r="ADM212" s="15"/>
      <c r="ADN212" s="15"/>
      <c r="ADU212" s="15"/>
      <c r="ADV212" s="15"/>
      <c r="AEC212" s="15"/>
      <c r="AED212" s="15"/>
      <c r="AEK212" s="15"/>
      <c r="AEL212" s="15"/>
      <c r="AES212" s="15"/>
      <c r="AET212" s="15"/>
      <c r="AFA212" s="15"/>
      <c r="AFB212" s="15"/>
      <c r="AFI212" s="15"/>
      <c r="AFJ212" s="15"/>
      <c r="AFQ212" s="15"/>
      <c r="AFR212" s="15"/>
      <c r="AFY212" s="15"/>
      <c r="AFZ212" s="15"/>
      <c r="AGG212" s="15"/>
      <c r="AGH212" s="15"/>
      <c r="AGO212" s="15"/>
      <c r="AGP212" s="15"/>
      <c r="AGW212" s="15"/>
      <c r="AGX212" s="15"/>
      <c r="AHE212" s="15"/>
      <c r="AHF212" s="15"/>
      <c r="AHM212" s="15"/>
      <c r="AHN212" s="15"/>
      <c r="AHU212" s="15"/>
      <c r="AHV212" s="15"/>
      <c r="AIC212" s="15"/>
      <c r="AID212" s="15"/>
      <c r="AIK212" s="15"/>
      <c r="AIL212" s="15"/>
      <c r="AIS212" s="15"/>
      <c r="AIT212" s="15"/>
      <c r="AJA212" s="15"/>
      <c r="AJB212" s="15"/>
      <c r="AJI212" s="15"/>
      <c r="AJJ212" s="15"/>
      <c r="AJQ212" s="15"/>
      <c r="AJR212" s="15"/>
      <c r="AJY212" s="15"/>
      <c r="AJZ212" s="15"/>
      <c r="AKG212" s="15"/>
      <c r="AKH212" s="15"/>
      <c r="AKO212" s="15"/>
      <c r="AKP212" s="15"/>
      <c r="AKW212" s="15"/>
      <c r="AKX212" s="15"/>
      <c r="ALE212" s="15"/>
      <c r="ALF212" s="15"/>
      <c r="ALM212" s="15"/>
      <c r="ALN212" s="15"/>
      <c r="ALU212" s="15"/>
      <c r="ALV212" s="15"/>
      <c r="AMC212" s="15"/>
      <c r="AMD212" s="15"/>
    </row>
    <row r="213" s="24" customFormat="true" ht="13.8" hidden="false" customHeight="false" outlineLevel="0" collapsed="false">
      <c r="A213" s="22" t="s">
        <v>725</v>
      </c>
      <c r="B213" s="23" t="n">
        <v>42906</v>
      </c>
      <c r="C213" s="24" t="n">
        <v>2</v>
      </c>
      <c r="D213" s="25" t="n">
        <v>40513</v>
      </c>
      <c r="E213" s="23" t="n">
        <v>31113</v>
      </c>
      <c r="F213" s="14" t="n">
        <f aca="false">(B213-E213)/365.25</f>
        <v>32.2874743326489</v>
      </c>
      <c r="G213" s="14" t="n">
        <f aca="false">(B213-D213)/365.25</f>
        <v>6.55167693360712</v>
      </c>
      <c r="H213" s="21" t="s">
        <v>181</v>
      </c>
      <c r="I213" s="21" t="s">
        <v>283</v>
      </c>
      <c r="J213" s="21" t="s">
        <v>181</v>
      </c>
      <c r="K213" s="21" t="n">
        <v>8</v>
      </c>
      <c r="L213" s="26" t="n">
        <v>78</v>
      </c>
      <c r="M213" s="24" t="n">
        <v>1.82</v>
      </c>
      <c r="N213" s="27" t="n">
        <f aca="false">L213/(M213*M213)</f>
        <v>23.5478806907378</v>
      </c>
      <c r="O213" s="26" t="n">
        <v>0</v>
      </c>
      <c r="P213" s="26" t="n">
        <v>0</v>
      </c>
      <c r="Q213" s="26" t="n">
        <v>0</v>
      </c>
      <c r="R213" s="26" t="n">
        <v>0</v>
      </c>
      <c r="S213" s="26" t="n">
        <v>0</v>
      </c>
      <c r="T213" s="26" t="n">
        <v>0</v>
      </c>
      <c r="U213" s="19" t="n">
        <v>0</v>
      </c>
      <c r="V213" s="19" t="n">
        <v>0</v>
      </c>
      <c r="W213" s="26" t="n">
        <v>0</v>
      </c>
      <c r="X213" s="26" t="n">
        <v>0</v>
      </c>
      <c r="Y213" s="26" t="n">
        <v>1</v>
      </c>
      <c r="Z213" s="26" t="n">
        <v>2</v>
      </c>
      <c r="AA213" s="26" t="n">
        <v>30</v>
      </c>
      <c r="AB213" s="26" t="s">
        <v>273</v>
      </c>
      <c r="AC213" s="26" t="n">
        <v>1</v>
      </c>
      <c r="AD213" s="26" t="n">
        <v>20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6" t="n">
        <v>0</v>
      </c>
      <c r="AJ213" s="26" t="n">
        <v>0</v>
      </c>
      <c r="AK213" s="26" t="n">
        <v>0</v>
      </c>
      <c r="AL213" s="26" t="n">
        <v>0</v>
      </c>
      <c r="AM213" s="19" t="n">
        <v>0</v>
      </c>
      <c r="AN213" s="26" t="n">
        <v>0</v>
      </c>
      <c r="AO213" s="26" t="n">
        <v>0</v>
      </c>
      <c r="AP213" s="26" t="n">
        <v>0</v>
      </c>
      <c r="AQ213" s="26" t="n">
        <v>0</v>
      </c>
      <c r="AR213" s="26" t="n">
        <v>0</v>
      </c>
      <c r="AS213" s="26" t="n">
        <v>0</v>
      </c>
      <c r="AT213" s="26" t="n">
        <v>0</v>
      </c>
      <c r="AU213" s="26" t="n">
        <v>0</v>
      </c>
      <c r="AV213" s="26" t="n">
        <v>0</v>
      </c>
      <c r="AW213" s="26" t="n">
        <v>0</v>
      </c>
      <c r="AX213" s="26" t="n">
        <v>0</v>
      </c>
      <c r="AY213" s="26" t="n">
        <v>0</v>
      </c>
      <c r="AZ213" s="26" t="n">
        <v>0</v>
      </c>
      <c r="BA213" s="26" t="n">
        <v>0</v>
      </c>
      <c r="BB213" s="26" t="n">
        <v>0</v>
      </c>
      <c r="BC213" s="26" t="n">
        <v>0</v>
      </c>
      <c r="BD213" s="26" t="n">
        <v>0</v>
      </c>
      <c r="BE213" s="26" t="n">
        <v>0</v>
      </c>
      <c r="BF213" s="26" t="n">
        <v>0</v>
      </c>
      <c r="BG213" s="26" t="n">
        <v>0</v>
      </c>
      <c r="BH213" s="26" t="n">
        <v>0</v>
      </c>
      <c r="BI213" s="26" t="n">
        <v>0</v>
      </c>
      <c r="BJ213" s="26" t="n">
        <v>0</v>
      </c>
      <c r="BK213" s="26" t="n">
        <v>0</v>
      </c>
      <c r="BL213" s="26" t="n">
        <v>0</v>
      </c>
      <c r="BM213" s="26" t="n">
        <v>0</v>
      </c>
      <c r="BN213" s="26" t="n">
        <v>0</v>
      </c>
      <c r="BO213" s="26" t="n">
        <v>0</v>
      </c>
      <c r="BP213" s="26" t="n">
        <v>0</v>
      </c>
      <c r="BQ213" s="26" t="n">
        <v>0</v>
      </c>
      <c r="BR213" s="26" t="n">
        <v>4</v>
      </c>
      <c r="BS213" s="26" t="n">
        <v>3</v>
      </c>
      <c r="BT213" s="26" t="n">
        <v>3</v>
      </c>
      <c r="BU213" s="26" t="n">
        <v>5</v>
      </c>
      <c r="BV213" s="26" t="n">
        <v>4</v>
      </c>
      <c r="BW213" s="26" t="n">
        <v>2</v>
      </c>
      <c r="BX213" s="26" t="n">
        <v>5</v>
      </c>
      <c r="BY213" s="26" t="n">
        <v>5</v>
      </c>
      <c r="BZ213" s="26" t="n">
        <v>5</v>
      </c>
      <c r="CA213" s="26" t="n">
        <v>2</v>
      </c>
      <c r="CB213" s="26" t="n">
        <v>2</v>
      </c>
      <c r="CC213" s="26" t="n">
        <v>5</v>
      </c>
      <c r="CD213" s="26" t="n">
        <v>5</v>
      </c>
      <c r="CE213" s="26" t="n">
        <v>5</v>
      </c>
      <c r="CF213" s="26" t="n">
        <v>5</v>
      </c>
      <c r="CG213" s="26" t="n">
        <v>5</v>
      </c>
      <c r="CH213" s="26" t="n">
        <v>5</v>
      </c>
      <c r="CI213" s="26" t="n">
        <v>5</v>
      </c>
      <c r="CJ213" s="26" t="n">
        <v>5</v>
      </c>
      <c r="CK213" s="26" t="n">
        <v>9</v>
      </c>
      <c r="CL213" s="24" t="s">
        <v>285</v>
      </c>
      <c r="CM213" s="24" t="n">
        <v>70</v>
      </c>
      <c r="CN213" s="27" t="n">
        <v>79.8</v>
      </c>
      <c r="CO213" s="27" t="n">
        <v>80.4</v>
      </c>
      <c r="CP213" s="27" t="n">
        <v>62.1</v>
      </c>
      <c r="CQ213" s="24" t="n">
        <v>39.51</v>
      </c>
      <c r="CR213" s="29" t="n">
        <v>0</v>
      </c>
      <c r="CS213" s="24" t="n">
        <v>47.45</v>
      </c>
      <c r="CT213" s="24" t="n">
        <v>13.05</v>
      </c>
      <c r="CU213" s="24" t="n">
        <v>0</v>
      </c>
      <c r="CV213" s="24" t="n">
        <v>0</v>
      </c>
      <c r="CW213" s="24" t="n">
        <v>0</v>
      </c>
      <c r="CX213" s="24" t="n">
        <v>0</v>
      </c>
      <c r="CY213" s="24" t="n">
        <v>0</v>
      </c>
      <c r="CZ213" s="24" t="n">
        <v>0</v>
      </c>
      <c r="DA213" s="24" t="n">
        <v>0</v>
      </c>
      <c r="DB213" s="24" t="n">
        <v>0</v>
      </c>
      <c r="DC213" s="24" t="n">
        <v>0</v>
      </c>
      <c r="DD213" s="24" t="n">
        <v>30.76</v>
      </c>
      <c r="DE213" s="24" t="n">
        <v>14.19</v>
      </c>
      <c r="DF213" s="24" t="n">
        <v>0</v>
      </c>
      <c r="DG213" s="24" t="n">
        <v>0</v>
      </c>
      <c r="DH213" s="24" t="n">
        <v>0</v>
      </c>
      <c r="DU213" s="24" t="n">
        <v>0.3</v>
      </c>
      <c r="DV213" s="24" t="n">
        <v>1</v>
      </c>
      <c r="DW213" s="24" t="n">
        <v>68</v>
      </c>
      <c r="DX213" s="24" t="n">
        <v>1</v>
      </c>
      <c r="DY213" s="24" t="n">
        <v>0.13</v>
      </c>
      <c r="DZ213" s="24" t="n">
        <v>1</v>
      </c>
      <c r="EG213" s="28"/>
      <c r="EY213" s="24" t="n">
        <v>0</v>
      </c>
      <c r="GJ213" s="27" t="n">
        <v>0.63</v>
      </c>
      <c r="GK213" s="27" t="n">
        <v>1</v>
      </c>
      <c r="GL213" s="27" t="n">
        <v>1</v>
      </c>
      <c r="GM213" s="27"/>
      <c r="GN213" s="27" t="n">
        <v>1.52</v>
      </c>
      <c r="GO213" s="27"/>
      <c r="GP213" s="27"/>
      <c r="GQ213" s="27"/>
      <c r="GR213" s="27"/>
      <c r="GS213" s="27"/>
      <c r="GT213" s="27"/>
      <c r="GU213" s="27" t="n">
        <v>3.55</v>
      </c>
      <c r="GV213" s="27" t="n">
        <v>4.46</v>
      </c>
      <c r="GW213" s="27"/>
      <c r="GX213" s="27"/>
      <c r="GY213" s="27" t="n">
        <v>0</v>
      </c>
      <c r="GZ213" s="27" t="n">
        <v>0</v>
      </c>
      <c r="HA213" s="27" t="n">
        <v>0</v>
      </c>
      <c r="HB213" s="24" t="n">
        <v>0</v>
      </c>
      <c r="HC213" s="24" t="s">
        <v>286</v>
      </c>
      <c r="HD213" s="24" t="n">
        <v>95.5</v>
      </c>
      <c r="HE213" s="27" t="n">
        <v>99.1</v>
      </c>
      <c r="HF213" s="27" t="n">
        <v>80.4</v>
      </c>
      <c r="HG213" s="27" t="n">
        <v>90.4</v>
      </c>
      <c r="HH213" s="24" t="n">
        <v>24.15</v>
      </c>
      <c r="HI213" s="29" t="n">
        <v>0</v>
      </c>
      <c r="HJ213" s="24" t="n">
        <v>31.26</v>
      </c>
      <c r="HK213" s="24" t="n">
        <v>44.6</v>
      </c>
      <c r="HL213" s="24" t="n">
        <v>0</v>
      </c>
      <c r="HM213" s="24" t="n">
        <v>0</v>
      </c>
      <c r="HN213" s="24" t="n">
        <v>0</v>
      </c>
      <c r="HO213" s="24" t="n">
        <v>0</v>
      </c>
      <c r="HP213" s="24" t="n">
        <v>0</v>
      </c>
      <c r="HQ213" s="24" t="n">
        <v>0</v>
      </c>
      <c r="HR213" s="24" t="n">
        <v>0</v>
      </c>
      <c r="HS213" s="24" t="n">
        <v>0</v>
      </c>
      <c r="HT213" s="24" t="n">
        <v>0</v>
      </c>
      <c r="HU213" s="24" t="n">
        <v>24.75</v>
      </c>
      <c r="HV213" s="24" t="n">
        <v>2.47</v>
      </c>
      <c r="HW213" s="24" t="n">
        <v>0</v>
      </c>
      <c r="HX213" s="24" t="n">
        <v>0</v>
      </c>
      <c r="HY213" s="24" t="n">
        <v>0</v>
      </c>
      <c r="IL213" s="24" t="n">
        <v>0.2</v>
      </c>
      <c r="IM213" s="24" t="n">
        <v>1</v>
      </c>
      <c r="IN213" s="24" t="n">
        <v>34</v>
      </c>
      <c r="IO213" s="24" t="n">
        <v>16</v>
      </c>
      <c r="IP213" s="24" t="n">
        <f aca="false">6.09+1.07</f>
        <v>7.16</v>
      </c>
      <c r="IQ213" s="24" t="n">
        <v>1</v>
      </c>
      <c r="IR213" s="24" t="n">
        <v>68</v>
      </c>
      <c r="IS213" s="24" t="n">
        <v>1</v>
      </c>
      <c r="IT213" s="24" t="n">
        <v>0.13</v>
      </c>
      <c r="IU213" s="24" t="n">
        <v>1</v>
      </c>
      <c r="IX213" s="28"/>
      <c r="JP213" s="24" t="n">
        <v>0</v>
      </c>
      <c r="LA213" s="27" t="n">
        <v>0.63</v>
      </c>
      <c r="LB213" s="27" t="n">
        <v>1</v>
      </c>
      <c r="LC213" s="27" t="n">
        <v>1</v>
      </c>
      <c r="LD213" s="27"/>
      <c r="LE213" s="27" t="n">
        <v>1.52</v>
      </c>
      <c r="LF213" s="27"/>
      <c r="LG213" s="27"/>
      <c r="LH213" s="27"/>
      <c r="LI213" s="27"/>
      <c r="LJ213" s="27"/>
      <c r="LK213" s="27"/>
      <c r="LL213" s="27" t="n">
        <v>0</v>
      </c>
      <c r="LM213" s="27" t="n">
        <v>0</v>
      </c>
      <c r="LN213" s="27"/>
      <c r="LO213" s="27"/>
      <c r="LP213" s="27" t="n">
        <v>0</v>
      </c>
      <c r="LQ213" s="27" t="n">
        <v>0</v>
      </c>
      <c r="LR213" s="27" t="n">
        <v>0</v>
      </c>
      <c r="LS213" s="24" t="n">
        <v>0</v>
      </c>
      <c r="LT213" s="24" t="s">
        <v>287</v>
      </c>
      <c r="LU213" s="24" t="n">
        <v>61.5</v>
      </c>
      <c r="LV213" s="27" t="n">
        <v>83.5</v>
      </c>
      <c r="LW213" s="27" t="n">
        <v>80.4</v>
      </c>
      <c r="LX213" s="27" t="n">
        <v>56.1</v>
      </c>
      <c r="LY213" s="24" t="n">
        <v>51.73</v>
      </c>
      <c r="LZ213" s="29" t="n">
        <v>0</v>
      </c>
      <c r="MA213" s="24" t="n">
        <v>30.08</v>
      </c>
      <c r="MB213" s="24" t="n">
        <v>18.19</v>
      </c>
      <c r="MC213" s="24" t="n">
        <v>0</v>
      </c>
      <c r="MD213" s="24" t="n">
        <v>0</v>
      </c>
      <c r="ME213" s="24" t="n">
        <v>0</v>
      </c>
      <c r="MF213" s="24" t="n">
        <v>0</v>
      </c>
      <c r="MG213" s="24" t="n">
        <v>0</v>
      </c>
      <c r="MH213" s="24" t="n">
        <v>0</v>
      </c>
      <c r="MI213" s="24" t="n">
        <v>0</v>
      </c>
      <c r="MJ213" s="24" t="n">
        <v>0</v>
      </c>
      <c r="MK213" s="24" t="n">
        <v>0.3</v>
      </c>
      <c r="ML213" s="24" t="n">
        <v>27.59</v>
      </c>
      <c r="MM213" s="24" t="n">
        <v>0</v>
      </c>
      <c r="MN213" s="24" t="n">
        <v>0</v>
      </c>
      <c r="MO213" s="24" t="n">
        <v>0</v>
      </c>
      <c r="MP213" s="24" t="n">
        <v>0</v>
      </c>
      <c r="NC213" s="24" t="n">
        <v>0</v>
      </c>
      <c r="ND213" s="24" t="n">
        <v>0</v>
      </c>
      <c r="NO213" s="28"/>
      <c r="OG213" s="24" t="n">
        <v>0</v>
      </c>
      <c r="PR213" s="27" t="n">
        <v>1.96</v>
      </c>
      <c r="PS213" s="27" t="n">
        <v>1</v>
      </c>
      <c r="PT213" s="27" t="n">
        <v>1</v>
      </c>
      <c r="PU213" s="27"/>
      <c r="PV213" s="27" t="n">
        <f aca="false">5.53+3.68+1.71+1.12+0.74</f>
        <v>12.78</v>
      </c>
      <c r="PW213" s="27"/>
      <c r="PX213" s="27"/>
      <c r="PY213" s="27"/>
      <c r="PZ213" s="27"/>
      <c r="QA213" s="27"/>
      <c r="QB213" s="27"/>
      <c r="QC213" s="27" t="n">
        <v>0.94</v>
      </c>
      <c r="QD213" s="27" t="n">
        <v>0.94</v>
      </c>
      <c r="QE213" s="27"/>
      <c r="QF213" s="27"/>
      <c r="QG213" s="27" t="n">
        <v>0</v>
      </c>
      <c r="QH213" s="27" t="n">
        <v>0</v>
      </c>
      <c r="QI213" s="27" t="n">
        <v>0</v>
      </c>
      <c r="QJ213" s="24" t="n">
        <v>0</v>
      </c>
      <c r="QK213" s="24" t="s">
        <v>288</v>
      </c>
      <c r="QL213" s="24" t="n">
        <v>77.5</v>
      </c>
      <c r="QM213" s="27" t="n">
        <v>87.4</v>
      </c>
      <c r="QN213" s="27" t="n">
        <v>80.4</v>
      </c>
      <c r="QO213" s="27" t="n">
        <v>53.5</v>
      </c>
      <c r="QP213" s="24" t="n">
        <v>51.28</v>
      </c>
      <c r="QQ213" s="29" t="n">
        <v>0</v>
      </c>
      <c r="QR213" s="24" t="n">
        <v>27.27</v>
      </c>
      <c r="QS213" s="24" t="n">
        <v>21.22</v>
      </c>
      <c r="QT213" s="24" t="n">
        <v>0</v>
      </c>
      <c r="QU213" s="24" t="n">
        <v>0</v>
      </c>
      <c r="QV213" s="24" t="n">
        <v>0</v>
      </c>
      <c r="QW213" s="24" t="n">
        <v>0</v>
      </c>
      <c r="QX213" s="24" t="n">
        <v>0</v>
      </c>
      <c r="QY213" s="24" t="n">
        <v>0</v>
      </c>
      <c r="QZ213" s="24" t="n">
        <v>0</v>
      </c>
      <c r="RA213" s="24" t="n">
        <v>0</v>
      </c>
      <c r="RB213" s="24" t="n">
        <v>5.93</v>
      </c>
      <c r="RC213" s="24" t="n">
        <v>4.61</v>
      </c>
      <c r="RD213" s="24" t="n">
        <v>5.38</v>
      </c>
      <c r="RE213" s="24" t="n">
        <v>0</v>
      </c>
      <c r="RF213" s="24" t="n">
        <v>15.4</v>
      </c>
      <c r="RG213" s="24" t="n">
        <v>1</v>
      </c>
      <c r="RH213" s="24" t="n">
        <v>4</v>
      </c>
      <c r="RJ213" s="24" t="n">
        <v>2</v>
      </c>
      <c r="RN213" s="24" t="n">
        <v>4</v>
      </c>
      <c r="RP213" s="24" t="n">
        <v>2</v>
      </c>
      <c r="RT213" s="24" t="n">
        <v>6.7</v>
      </c>
      <c r="RU213" s="24" t="n">
        <v>1</v>
      </c>
      <c r="RV213" s="24" t="n">
        <v>35</v>
      </c>
      <c r="RW213" s="24" t="n">
        <v>6</v>
      </c>
      <c r="RX213" s="24" t="n">
        <v>0.8</v>
      </c>
      <c r="RY213" s="24" t="n">
        <v>3</v>
      </c>
      <c r="RZ213" s="24" t="n">
        <v>47</v>
      </c>
      <c r="SA213" s="24" t="n">
        <v>1</v>
      </c>
      <c r="SB213" s="24" t="n">
        <v>0.13</v>
      </c>
      <c r="SC213" s="24" t="n">
        <v>3</v>
      </c>
      <c r="SF213" s="28"/>
      <c r="SX213" s="24" t="n">
        <v>1</v>
      </c>
      <c r="SY213" s="24" t="n">
        <v>60</v>
      </c>
      <c r="SZ213" s="24" t="n">
        <v>3</v>
      </c>
      <c r="TA213" s="24" t="n">
        <v>1.35</v>
      </c>
      <c r="TB213" s="24" t="n">
        <v>2</v>
      </c>
      <c r="UI213" s="27" t="n">
        <v>0</v>
      </c>
      <c r="UJ213" s="27" t="n">
        <v>0</v>
      </c>
      <c r="UK213" s="27"/>
      <c r="UL213" s="27"/>
      <c r="UM213" s="27"/>
      <c r="UN213" s="27"/>
      <c r="UO213" s="27"/>
      <c r="UP213" s="27"/>
      <c r="UQ213" s="27"/>
      <c r="UR213" s="27"/>
      <c r="US213" s="27"/>
      <c r="UT213" s="27" t="n">
        <v>0</v>
      </c>
      <c r="UU213" s="27" t="n">
        <v>0</v>
      </c>
      <c r="UV213" s="27"/>
      <c r="UW213" s="27"/>
      <c r="UX213" s="27" t="n">
        <v>0</v>
      </c>
      <c r="UY213" s="27" t="n">
        <v>0</v>
      </c>
      <c r="UZ213" s="27" t="n">
        <v>0</v>
      </c>
      <c r="VA213" s="24" t="n">
        <v>0</v>
      </c>
      <c r="VB213" s="24" t="s">
        <v>289</v>
      </c>
      <c r="VC213" s="24" t="n">
        <v>44</v>
      </c>
      <c r="VD213" s="27" t="n">
        <v>69.9</v>
      </c>
      <c r="VE213" s="27" t="n">
        <v>80.4</v>
      </c>
      <c r="VF213" s="27" t="n">
        <v>41</v>
      </c>
      <c r="VG213" s="24" t="n">
        <v>68.16</v>
      </c>
      <c r="VH213" s="29" t="n">
        <v>0</v>
      </c>
      <c r="VI213" s="24" t="n">
        <v>11.52</v>
      </c>
      <c r="VJ213" s="24" t="n">
        <v>20.32</v>
      </c>
      <c r="VK213" s="24" t="n">
        <v>0</v>
      </c>
      <c r="VL213" s="24" t="n">
        <v>0</v>
      </c>
      <c r="VM213" s="24" t="n">
        <v>0</v>
      </c>
      <c r="VN213" s="24" t="n">
        <v>0</v>
      </c>
      <c r="VO213" s="24" t="n">
        <v>0</v>
      </c>
      <c r="VP213" s="24" t="n">
        <v>0</v>
      </c>
      <c r="VQ213" s="24" t="n">
        <v>0</v>
      </c>
      <c r="VR213" s="24" t="n">
        <v>0</v>
      </c>
      <c r="VS213" s="24" t="n">
        <v>13.13</v>
      </c>
      <c r="VT213" s="24" t="n">
        <v>8.66</v>
      </c>
      <c r="VU213" s="24" t="n">
        <v>0</v>
      </c>
      <c r="VV213" s="24" t="n">
        <v>0</v>
      </c>
      <c r="VW213" s="24" t="n">
        <v>0</v>
      </c>
      <c r="VX213" s="24" t="n">
        <v>0</v>
      </c>
      <c r="WK213" s="24" t="n">
        <v>1.5</v>
      </c>
      <c r="WL213" s="24" t="n">
        <v>1</v>
      </c>
      <c r="WM213" s="24" t="n">
        <v>47</v>
      </c>
      <c r="WN213" s="24" t="n">
        <v>5</v>
      </c>
      <c r="WO213" s="24" t="n">
        <f aca="false">0.15+0.04</f>
        <v>0.19</v>
      </c>
      <c r="WP213" s="24" t="n">
        <v>3</v>
      </c>
      <c r="WQ213" s="24" t="n">
        <v>25</v>
      </c>
      <c r="WR213" s="24" t="n">
        <v>1</v>
      </c>
      <c r="WS213" s="24" t="n">
        <v>0.4</v>
      </c>
      <c r="WT213" s="24" t="n">
        <v>1</v>
      </c>
      <c r="WW213" s="28"/>
      <c r="XO213" s="24" t="n">
        <v>0</v>
      </c>
      <c r="YZ213" s="27" t="n">
        <v>0.11</v>
      </c>
      <c r="ZA213" s="27" t="n">
        <v>1</v>
      </c>
      <c r="ZB213" s="27" t="n">
        <v>1</v>
      </c>
      <c r="ZC213" s="27"/>
      <c r="ZD213" s="27" t="n">
        <v>0.56</v>
      </c>
      <c r="ZE213" s="27"/>
      <c r="ZF213" s="27"/>
      <c r="ZG213" s="27"/>
      <c r="ZH213" s="27"/>
      <c r="ZI213" s="27"/>
      <c r="ZJ213" s="27"/>
      <c r="ZK213" s="27" t="n">
        <v>0</v>
      </c>
      <c r="ZL213" s="27" t="n">
        <v>0</v>
      </c>
      <c r="ZM213" s="27"/>
      <c r="ZN213" s="27"/>
      <c r="ZO213" s="27" t="n">
        <v>0</v>
      </c>
      <c r="ZP213" s="27" t="n">
        <v>0</v>
      </c>
      <c r="ZQ213" s="27" t="n">
        <v>0</v>
      </c>
      <c r="ZR213" s="24" t="n">
        <v>0</v>
      </c>
      <c r="ZS213" s="24" t="s">
        <v>290</v>
      </c>
      <c r="ZT213" s="24" t="n">
        <v>43</v>
      </c>
      <c r="ZU213" s="27" t="n">
        <v>49.3</v>
      </c>
      <c r="ZV213" s="27" t="n">
        <v>80.4</v>
      </c>
      <c r="ZW213" s="27" t="n">
        <v>32.9</v>
      </c>
      <c r="ZX213" s="24" t="n">
        <v>73.52</v>
      </c>
      <c r="ZY213" s="29" t="n">
        <v>0</v>
      </c>
      <c r="ZZ213" s="24" t="n">
        <v>16.84</v>
      </c>
      <c r="AAA213" s="24" t="n">
        <v>9.64</v>
      </c>
      <c r="AAB213" s="24" t="n">
        <v>0</v>
      </c>
      <c r="AAC213" s="24" t="n">
        <v>0</v>
      </c>
      <c r="AAD213" s="24" t="n">
        <v>0</v>
      </c>
      <c r="AAE213" s="24" t="n">
        <v>0</v>
      </c>
      <c r="AAF213" s="24" t="n">
        <v>0</v>
      </c>
      <c r="AAG213" s="24" t="n">
        <v>0</v>
      </c>
      <c r="AAH213" s="24" t="n">
        <v>0</v>
      </c>
      <c r="AAI213" s="24" t="n">
        <v>0</v>
      </c>
      <c r="AAJ213" s="24" t="n">
        <v>13.52</v>
      </c>
      <c r="AAK213" s="24" t="n">
        <v>3.69</v>
      </c>
      <c r="AAL213" s="24" t="n">
        <v>3.85</v>
      </c>
      <c r="AAM213" s="24" t="n">
        <v>0</v>
      </c>
      <c r="AAN213" s="24" t="n">
        <v>0</v>
      </c>
      <c r="AAO213" s="24" t="n">
        <v>0</v>
      </c>
      <c r="ABB213" s="24" t="n">
        <v>7.4</v>
      </c>
      <c r="ABC213" s="24" t="n">
        <v>1</v>
      </c>
      <c r="ABD213" s="24" t="n">
        <v>47</v>
      </c>
      <c r="ABE213" s="24" t="n">
        <v>11</v>
      </c>
      <c r="ABF213" s="24" t="n">
        <f aca="false">2.09+0.15+0.04</f>
        <v>2.28</v>
      </c>
      <c r="ABG213" s="24" t="n">
        <v>3</v>
      </c>
      <c r="ABN213" s="28"/>
      <c r="ACF213" s="24" t="n">
        <v>0</v>
      </c>
      <c r="ADQ213" s="27" t="n">
        <v>0.28</v>
      </c>
      <c r="ADR213" s="27" t="n">
        <v>1</v>
      </c>
      <c r="ADS213" s="27" t="n">
        <v>1</v>
      </c>
      <c r="ADT213" s="27"/>
      <c r="ADU213" s="27" t="n">
        <v>0.56</v>
      </c>
      <c r="ADV213" s="27"/>
      <c r="ADW213" s="27"/>
      <c r="ADX213" s="27"/>
      <c r="ADY213" s="27"/>
      <c r="ADZ213" s="27"/>
      <c r="AEA213" s="27"/>
      <c r="AEB213" s="27" t="n">
        <v>0.99</v>
      </c>
      <c r="AEC213" s="27" t="n">
        <v>0.39</v>
      </c>
      <c r="AED213" s="27"/>
      <c r="AEE213" s="27"/>
      <c r="AEF213" s="27" t="n">
        <v>0</v>
      </c>
      <c r="AEG213" s="27" t="n">
        <v>0</v>
      </c>
      <c r="AEH213" s="27" t="n">
        <v>0</v>
      </c>
      <c r="AEI213" s="24" t="n">
        <v>0</v>
      </c>
      <c r="AEJ213" s="24" t="n">
        <v>56</v>
      </c>
      <c r="AEK213" s="24" t="n">
        <v>26.5</v>
      </c>
      <c r="AEL213" s="27" t="n">
        <v>66.1</v>
      </c>
      <c r="AEM213" s="27" t="n">
        <v>80.4</v>
      </c>
      <c r="AEN213" s="27" t="n">
        <v>15</v>
      </c>
      <c r="AEO213" s="24" t="n">
        <v>89</v>
      </c>
      <c r="AEP213" s="29" t="n">
        <v>0</v>
      </c>
      <c r="AEQ213" s="24" t="n">
        <v>7.09</v>
      </c>
      <c r="AER213" s="24" t="n">
        <v>2.12</v>
      </c>
      <c r="AES213" s="24" t="n">
        <v>0</v>
      </c>
      <c r="AET213" s="24" t="n">
        <v>0</v>
      </c>
      <c r="AEU213" s="24" t="n">
        <v>0</v>
      </c>
      <c r="AEV213" s="24" t="n">
        <v>0</v>
      </c>
      <c r="AEW213" s="24" t="n">
        <v>0</v>
      </c>
      <c r="AEX213" s="24" t="n">
        <v>0</v>
      </c>
      <c r="AEY213" s="24" t="n">
        <v>0</v>
      </c>
      <c r="AEZ213" s="24" t="n">
        <v>0</v>
      </c>
      <c r="AFA213" s="24" t="n">
        <v>4.26</v>
      </c>
      <c r="AFB213" s="24" t="n">
        <v>32.68</v>
      </c>
      <c r="AFC213" s="24" t="n">
        <v>1.91</v>
      </c>
      <c r="AFD213" s="24" t="n">
        <v>0</v>
      </c>
      <c r="AFE213" s="24" t="n">
        <v>0</v>
      </c>
      <c r="AFF213" s="24" t="n">
        <v>0</v>
      </c>
      <c r="AFS213" s="24" t="n">
        <v>0</v>
      </c>
      <c r="AFT213" s="24" t="n">
        <v>0</v>
      </c>
      <c r="AGE213" s="28"/>
      <c r="AGW213" s="24" t="n">
        <v>0</v>
      </c>
      <c r="AIH213" s="27" t="n">
        <v>3.52</v>
      </c>
      <c r="AII213" s="27" t="n">
        <v>1</v>
      </c>
      <c r="AIJ213" s="27" t="n">
        <v>1</v>
      </c>
      <c r="AIK213" s="27"/>
      <c r="AIL213" s="27" t="n">
        <f aca="false">3.13+3.17*4</f>
        <v>15.81</v>
      </c>
      <c r="AIM213" s="27" t="n">
        <v>2</v>
      </c>
      <c r="AIN213" s="27"/>
      <c r="AIO213" s="27" t="n">
        <v>0.87</v>
      </c>
      <c r="AIP213" s="27"/>
      <c r="AIQ213" s="27"/>
      <c r="AIR213" s="27"/>
      <c r="AIS213" s="27" t="n">
        <v>5.36</v>
      </c>
      <c r="AIT213" s="27" t="n">
        <v>8.39</v>
      </c>
      <c r="AIU213" s="27"/>
      <c r="AIV213" s="27"/>
      <c r="AIW213" s="27" t="n">
        <v>0</v>
      </c>
      <c r="AIX213" s="27" t="n">
        <v>0</v>
      </c>
      <c r="AIY213" s="27" t="n">
        <v>0</v>
      </c>
      <c r="AIZ213" s="24" t="n">
        <v>0</v>
      </c>
      <c r="AJA213" s="24" t="s">
        <v>291</v>
      </c>
      <c r="AJB213" s="24" t="n">
        <v>35.5</v>
      </c>
      <c r="AJC213" s="27" t="n">
        <v>84</v>
      </c>
      <c r="AJD213" s="27" t="n">
        <v>80.4</v>
      </c>
      <c r="AJE213" s="27" t="n">
        <v>10.5</v>
      </c>
      <c r="AJF213" s="24" t="n">
        <v>95.42</v>
      </c>
      <c r="AJG213" s="29" t="n">
        <v>0</v>
      </c>
      <c r="AJH213" s="24" t="n">
        <v>4.58</v>
      </c>
      <c r="AJI213" s="24" t="n">
        <v>0</v>
      </c>
      <c r="AJJ213" s="24" t="n">
        <v>0</v>
      </c>
      <c r="AJK213" s="24" t="n">
        <v>0</v>
      </c>
      <c r="AJL213" s="24" t="n">
        <v>0</v>
      </c>
      <c r="AJM213" s="24" t="n">
        <v>0</v>
      </c>
      <c r="AJN213" s="24" t="n">
        <v>0</v>
      </c>
      <c r="AJO213" s="24" t="n">
        <v>0</v>
      </c>
      <c r="AJP213" s="24" t="n">
        <v>0</v>
      </c>
      <c r="AJQ213" s="24" t="n">
        <v>0</v>
      </c>
      <c r="AJR213" s="24" t="n">
        <v>17.83</v>
      </c>
      <c r="AJS213" s="24" t="n">
        <v>40.99</v>
      </c>
      <c r="AJT213" s="24" t="n">
        <v>9.34</v>
      </c>
      <c r="AJU213" s="24" t="n">
        <v>0</v>
      </c>
      <c r="AJV213" s="24" t="n">
        <v>0</v>
      </c>
      <c r="AJW213" s="24" t="n">
        <v>0</v>
      </c>
      <c r="AKJ213" s="24" t="n">
        <v>4.4</v>
      </c>
      <c r="AKK213" s="24" t="n">
        <v>1</v>
      </c>
      <c r="AKL213" s="24" t="n">
        <v>34</v>
      </c>
      <c r="AKM213" s="24" t="n">
        <v>10</v>
      </c>
      <c r="AKN213" s="24" t="n">
        <f aca="false">8.56+1.51</f>
        <v>10.07</v>
      </c>
      <c r="AKO213" s="24" t="n">
        <v>1</v>
      </c>
      <c r="AKP213" s="24" t="n">
        <v>68</v>
      </c>
      <c r="AKQ213" s="24" t="n">
        <v>6</v>
      </c>
      <c r="AKR213" s="24" t="n">
        <f aca="false">3.43+0.6</f>
        <v>4.03</v>
      </c>
      <c r="AKS213" s="24" t="n">
        <v>1</v>
      </c>
      <c r="AKV213" s="28"/>
      <c r="ALN213" s="24" t="n">
        <v>0</v>
      </c>
    </row>
    <row r="214" customFormat="false" ht="13.8" hidden="false" customHeight="false" outlineLevel="0" collapsed="false">
      <c r="A214" s="1" t="s">
        <v>726</v>
      </c>
      <c r="B214" s="12" t="n">
        <v>42905</v>
      </c>
      <c r="C214" s="0" t="n">
        <v>2</v>
      </c>
      <c r="D214" s="13" t="n">
        <v>42818</v>
      </c>
      <c r="E214" s="12" t="n">
        <v>33617</v>
      </c>
      <c r="F214" s="14" t="n">
        <f aca="false">(B214-E214)/365.25</f>
        <v>25.429158110883</v>
      </c>
      <c r="G214" s="14" t="n">
        <f aca="false">(B214-D214)/365.25</f>
        <v>0.238193018480493</v>
      </c>
      <c r="H214" s="15" t="s">
        <v>181</v>
      </c>
      <c r="I214" s="15" t="s">
        <v>194</v>
      </c>
      <c r="J214" s="21" t="s">
        <v>181</v>
      </c>
      <c r="K214" s="21" t="n">
        <v>8</v>
      </c>
      <c r="L214" s="19" t="n">
        <v>78</v>
      </c>
      <c r="M214" s="0" t="n">
        <v>1.7</v>
      </c>
      <c r="N214" s="16" t="n">
        <f aca="false">L214/(M214*M214)</f>
        <v>26.9896193771626</v>
      </c>
      <c r="O214" s="19" t="n">
        <v>0</v>
      </c>
      <c r="P214" s="19" t="n">
        <v>0</v>
      </c>
      <c r="Q214" s="19" t="n">
        <v>0</v>
      </c>
      <c r="R214" s="26" t="n">
        <v>0</v>
      </c>
      <c r="S214" s="26" t="n">
        <v>0</v>
      </c>
      <c r="T214" s="26" t="n">
        <v>0</v>
      </c>
      <c r="U214" s="19" t="n">
        <v>0</v>
      </c>
      <c r="V214" s="19" t="n">
        <v>0</v>
      </c>
      <c r="W214" s="19" t="n">
        <v>0</v>
      </c>
      <c r="X214" s="19" t="n">
        <v>0</v>
      </c>
      <c r="Y214" s="19" t="n">
        <v>1</v>
      </c>
      <c r="Z214" s="19" t="n">
        <v>1</v>
      </c>
      <c r="AA214" s="19" t="n">
        <v>90</v>
      </c>
      <c r="AB214" s="19" t="s">
        <v>308</v>
      </c>
      <c r="AC214" s="19" t="n">
        <v>0</v>
      </c>
      <c r="AD214" s="19" t="n">
        <v>0</v>
      </c>
      <c r="AE214" s="19" t="n">
        <v>0</v>
      </c>
      <c r="AF214" s="19" t="n">
        <v>0</v>
      </c>
      <c r="AG214" s="19" t="n">
        <v>0</v>
      </c>
      <c r="AH214" s="19" t="n">
        <v>0</v>
      </c>
      <c r="AI214" s="19" t="n">
        <v>0</v>
      </c>
      <c r="AJ214" s="19" t="n">
        <v>0</v>
      </c>
      <c r="AK214" s="19" t="n">
        <v>0</v>
      </c>
      <c r="AL214" s="19" t="n">
        <v>0</v>
      </c>
      <c r="AM214" s="19" t="n">
        <v>0</v>
      </c>
      <c r="AN214" s="19" t="n">
        <v>0</v>
      </c>
      <c r="AO214" s="19" t="n">
        <v>0</v>
      </c>
      <c r="AP214" s="19" t="n">
        <v>0</v>
      </c>
      <c r="AQ214" s="19" t="n">
        <v>0</v>
      </c>
      <c r="AR214" s="19" t="n">
        <v>0</v>
      </c>
      <c r="AS214" s="19" t="n">
        <v>0</v>
      </c>
      <c r="AT214" s="19" t="n">
        <v>0</v>
      </c>
      <c r="AU214" s="19" t="n">
        <v>0</v>
      </c>
      <c r="AV214" s="19" t="n">
        <v>0</v>
      </c>
      <c r="AW214" s="19" t="n">
        <v>0</v>
      </c>
      <c r="AX214" s="19" t="n">
        <v>0</v>
      </c>
      <c r="AY214" s="19" t="n">
        <v>0</v>
      </c>
      <c r="AZ214" s="19" t="n">
        <v>0</v>
      </c>
      <c r="BA214" s="19" t="n">
        <v>0</v>
      </c>
      <c r="BB214" s="19" t="n">
        <v>0</v>
      </c>
      <c r="BC214" s="19" t="n">
        <v>0</v>
      </c>
      <c r="BD214" s="19" t="n">
        <v>0</v>
      </c>
      <c r="BE214" s="19" t="n">
        <v>0</v>
      </c>
      <c r="BF214" s="19" t="n">
        <v>0</v>
      </c>
      <c r="BG214" s="19" t="n">
        <v>0</v>
      </c>
      <c r="BH214" s="19" t="n">
        <v>0</v>
      </c>
      <c r="BI214" s="19" t="n">
        <v>0</v>
      </c>
      <c r="BJ214" s="19" t="n">
        <v>0</v>
      </c>
      <c r="BK214" s="19" t="n">
        <v>0</v>
      </c>
      <c r="BL214" s="19" t="n">
        <v>0</v>
      </c>
      <c r="BM214" s="19" t="n">
        <v>0</v>
      </c>
      <c r="BN214" s="19" t="n">
        <v>0</v>
      </c>
      <c r="BO214" s="19" t="n">
        <v>0</v>
      </c>
      <c r="BP214" s="19" t="n">
        <v>0</v>
      </c>
      <c r="BQ214" s="19" t="n">
        <v>0</v>
      </c>
      <c r="BR214" s="19" t="n">
        <v>2</v>
      </c>
      <c r="BS214" s="19" t="n">
        <v>2</v>
      </c>
      <c r="BT214" s="19" t="n">
        <v>3</v>
      </c>
      <c r="BU214" s="19" t="n">
        <v>3</v>
      </c>
      <c r="BV214" s="19" t="n">
        <v>3</v>
      </c>
      <c r="BW214" s="19" t="n">
        <v>3</v>
      </c>
      <c r="BX214" s="19" t="n">
        <v>3</v>
      </c>
      <c r="BY214" s="19" t="n">
        <v>4</v>
      </c>
      <c r="BZ214" s="19" t="n">
        <v>4</v>
      </c>
      <c r="CA214" s="19" t="n">
        <v>4</v>
      </c>
      <c r="CB214" s="19" t="n">
        <v>4</v>
      </c>
      <c r="CC214" s="19" t="n">
        <v>4</v>
      </c>
      <c r="CD214" s="19" t="n">
        <v>4</v>
      </c>
      <c r="CE214" s="19" t="n">
        <v>4</v>
      </c>
      <c r="CF214" s="19" t="n">
        <v>4</v>
      </c>
      <c r="CG214" s="19" t="n">
        <v>4</v>
      </c>
      <c r="CH214" s="19" t="n">
        <v>4</v>
      </c>
      <c r="CI214" s="19" t="n">
        <v>4</v>
      </c>
      <c r="CJ214" s="19" t="n">
        <v>4</v>
      </c>
      <c r="CK214" s="19" t="n">
        <v>7</v>
      </c>
      <c r="CL214" s="0" t="s">
        <v>195</v>
      </c>
      <c r="CM214" s="0" t="n">
        <v>37.5</v>
      </c>
      <c r="CN214" s="16" t="n">
        <v>87.4</v>
      </c>
      <c r="CO214" s="16" t="n">
        <v>80.4</v>
      </c>
      <c r="CP214" s="16" t="n">
        <v>18.5</v>
      </c>
      <c r="CQ214" s="0" t="n">
        <v>84.21</v>
      </c>
      <c r="CR214" s="17" t="n">
        <v>0</v>
      </c>
      <c r="CS214" s="0" t="n">
        <v>0</v>
      </c>
      <c r="CT214" s="0" t="n">
        <v>0</v>
      </c>
      <c r="CU214" s="0" t="n">
        <v>15.79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26.71</v>
      </c>
      <c r="DC214" s="0" t="n">
        <v>13.13</v>
      </c>
      <c r="DD214" s="0" t="n">
        <v>49.12</v>
      </c>
      <c r="DE214" s="0" t="n">
        <v>14.67</v>
      </c>
      <c r="DF214" s="0" t="n">
        <v>0</v>
      </c>
      <c r="DG214" s="0" t="n">
        <v>0</v>
      </c>
      <c r="DH214" s="0" t="n">
        <v>0</v>
      </c>
      <c r="DU214" s="0" t="n">
        <v>1.1</v>
      </c>
      <c r="DV214" s="0" t="n">
        <v>1</v>
      </c>
      <c r="DW214" s="0" t="n">
        <v>52</v>
      </c>
      <c r="DX214" s="0" t="n">
        <v>1</v>
      </c>
      <c r="DY214" s="0" t="n">
        <v>0.22</v>
      </c>
      <c r="DZ214" s="0" t="n">
        <v>2</v>
      </c>
      <c r="EA214" s="0" t="n">
        <v>35</v>
      </c>
      <c r="EB214" s="0" t="n">
        <v>2</v>
      </c>
      <c r="EC214" s="0" t="n">
        <v>0.16</v>
      </c>
      <c r="ED214" s="0" t="n">
        <v>3</v>
      </c>
      <c r="EG214" s="20"/>
      <c r="EY214" s="0" t="n">
        <v>0</v>
      </c>
      <c r="GJ214" s="16" t="n">
        <v>4.3</v>
      </c>
      <c r="GK214" s="16" t="n">
        <v>1</v>
      </c>
      <c r="GL214" s="16" t="n">
        <v>1</v>
      </c>
      <c r="GM214" s="16"/>
      <c r="GN214" s="16" t="n">
        <f aca="false">(2.11*6)+0.9+0.9+0.62+0.62+0.93+0.3+0.3+0.22+0.22+0.23+0.22+0.22+0.22</f>
        <v>18.56</v>
      </c>
      <c r="GO214" s="16"/>
      <c r="GP214" s="16"/>
      <c r="GQ214" s="16"/>
      <c r="GR214" s="16"/>
      <c r="GS214" s="16"/>
      <c r="GT214" s="16"/>
      <c r="GU214" s="16" t="n">
        <v>10.31</v>
      </c>
      <c r="GV214" s="16" t="n">
        <v>34.85</v>
      </c>
      <c r="GW214" s="16" t="n">
        <v>0</v>
      </c>
      <c r="GX214" s="16" t="n">
        <v>0</v>
      </c>
      <c r="GY214" s="16" t="n">
        <v>0</v>
      </c>
      <c r="GZ214" s="16" t="n">
        <v>0</v>
      </c>
      <c r="HA214" s="16" t="n">
        <v>0</v>
      </c>
      <c r="HB214" s="0" t="n">
        <v>0</v>
      </c>
      <c r="HC214" s="0" t="s">
        <v>196</v>
      </c>
      <c r="HD214" s="0" t="n">
        <v>39.5</v>
      </c>
      <c r="HE214" s="16" t="n">
        <v>89.8</v>
      </c>
      <c r="HF214" s="16" t="n">
        <v>80.4</v>
      </c>
      <c r="HG214" s="16" t="n">
        <v>5.1</v>
      </c>
      <c r="HH214" s="0" t="n">
        <v>100</v>
      </c>
      <c r="HI214" s="17" t="n">
        <v>0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0</v>
      </c>
      <c r="HR214" s="0" t="n">
        <v>0</v>
      </c>
      <c r="HS214" s="0" t="n">
        <v>0</v>
      </c>
      <c r="HT214" s="0" t="n">
        <v>50.37</v>
      </c>
      <c r="HU214" s="0" t="n">
        <v>16.55</v>
      </c>
      <c r="HV214" s="0" t="n">
        <v>0.4</v>
      </c>
      <c r="HW214" s="0" t="n">
        <v>0</v>
      </c>
      <c r="HX214" s="0" t="n">
        <v>27.4</v>
      </c>
      <c r="HY214" s="0" t="n">
        <v>1</v>
      </c>
      <c r="HZ214" s="0" t="n">
        <v>3</v>
      </c>
      <c r="IB214" s="0" t="n">
        <v>4</v>
      </c>
      <c r="IF214" s="0" t="n">
        <v>3</v>
      </c>
      <c r="IH214" s="0" t="n">
        <v>4</v>
      </c>
      <c r="IL214" s="0" t="n">
        <v>0.1</v>
      </c>
      <c r="IM214" s="0" t="n">
        <v>1</v>
      </c>
      <c r="IN214" s="0" t="n">
        <v>34</v>
      </c>
      <c r="IO214" s="0" t="n">
        <v>9</v>
      </c>
      <c r="IP214" s="0" t="n">
        <f aca="false">(1.71*3)+(0.2*2)</f>
        <v>5.53</v>
      </c>
      <c r="IQ214" s="0" t="n">
        <v>1</v>
      </c>
      <c r="IR214" s="0" t="n">
        <v>35</v>
      </c>
      <c r="IS214" s="0" t="n">
        <v>1</v>
      </c>
      <c r="IT214" s="16" t="n">
        <v>0.02</v>
      </c>
      <c r="IU214" s="0" t="n">
        <v>3</v>
      </c>
      <c r="IX214" s="20"/>
      <c r="JP214" s="0" t="n">
        <v>0</v>
      </c>
      <c r="LA214" s="16" t="n">
        <v>1.49</v>
      </c>
      <c r="LB214" s="16" t="n">
        <v>1</v>
      </c>
      <c r="LC214" s="16" t="n">
        <v>1</v>
      </c>
      <c r="LD214" s="16"/>
      <c r="LE214" s="16" t="n">
        <f aca="false">2.11+2.11+0.56+0.56</f>
        <v>5.34</v>
      </c>
      <c r="LF214" s="16"/>
      <c r="LG214" s="16"/>
      <c r="LH214" s="16"/>
      <c r="LI214" s="16"/>
      <c r="LJ214" s="16"/>
      <c r="LK214" s="16"/>
      <c r="LL214" s="16" t="n">
        <v>5.01</v>
      </c>
      <c r="LM214" s="16" t="n">
        <v>5.13</v>
      </c>
      <c r="LN214" s="16" t="n">
        <v>0</v>
      </c>
      <c r="LO214" s="16" t="n">
        <v>0</v>
      </c>
      <c r="LP214" s="16" t="n">
        <v>0</v>
      </c>
      <c r="LQ214" s="16" t="n">
        <v>0</v>
      </c>
      <c r="LR214" s="16" t="n">
        <v>0</v>
      </c>
      <c r="LS214" s="0" t="n">
        <v>0</v>
      </c>
      <c r="LT214" s="0" t="s">
        <v>197</v>
      </c>
      <c r="LU214" s="0" t="n">
        <v>49.5</v>
      </c>
      <c r="LV214" s="16" t="n">
        <v>90.1</v>
      </c>
      <c r="LW214" s="16" t="n">
        <v>80.4</v>
      </c>
      <c r="LX214" s="16" t="n">
        <v>9.9</v>
      </c>
      <c r="LY214" s="0" t="n">
        <v>94.62</v>
      </c>
      <c r="LZ214" s="17" t="n">
        <v>0</v>
      </c>
      <c r="MA214" s="0" t="n">
        <v>0.32</v>
      </c>
      <c r="MB214" s="0" t="n">
        <v>0</v>
      </c>
      <c r="MC214" s="0" t="n">
        <v>5.05</v>
      </c>
      <c r="MD214" s="0" t="n">
        <v>0</v>
      </c>
      <c r="ME214" s="0" t="n">
        <v>0</v>
      </c>
      <c r="MF214" s="0" t="n">
        <v>0</v>
      </c>
      <c r="MG214" s="0" t="n">
        <v>0</v>
      </c>
      <c r="MH214" s="0" t="n">
        <v>0</v>
      </c>
      <c r="MI214" s="0" t="n">
        <v>0</v>
      </c>
      <c r="MJ214" s="0" t="n">
        <v>3.42</v>
      </c>
      <c r="MK214" s="0" t="n">
        <v>32.25</v>
      </c>
      <c r="ML214" s="0" t="n">
        <v>29.89</v>
      </c>
      <c r="MM214" s="0" t="n">
        <v>8.28</v>
      </c>
      <c r="MN214" s="0" t="n">
        <v>0</v>
      </c>
      <c r="MO214" s="0" t="n">
        <v>12.9</v>
      </c>
      <c r="MP214" s="0" t="n">
        <v>1</v>
      </c>
      <c r="MQ214" s="0" t="n">
        <v>7</v>
      </c>
      <c r="MS214" s="0" t="n">
        <v>5</v>
      </c>
      <c r="MT214" s="0" t="n">
        <v>3</v>
      </c>
      <c r="MV214" s="0" t="n">
        <v>3</v>
      </c>
      <c r="MW214" s="0" t="n">
        <v>7</v>
      </c>
      <c r="MY214" s="0" t="n">
        <v>5</v>
      </c>
      <c r="MZ214" s="0" t="n">
        <v>3</v>
      </c>
      <c r="NB214" s="0" t="n">
        <v>3</v>
      </c>
      <c r="NC214" s="0" t="n">
        <v>16.6</v>
      </c>
      <c r="ND214" s="0" t="n">
        <v>1</v>
      </c>
      <c r="NE214" s="0" t="n">
        <v>68</v>
      </c>
      <c r="NF214" s="0" t="n">
        <v>6</v>
      </c>
      <c r="NG214" s="0" t="n">
        <v>0.21</v>
      </c>
      <c r="NH214" s="0" t="n">
        <v>1</v>
      </c>
      <c r="NI214" s="0" t="n">
        <v>35</v>
      </c>
      <c r="NJ214" s="0" t="n">
        <v>3</v>
      </c>
      <c r="NK214" s="0" t="n">
        <v>0.51</v>
      </c>
      <c r="NL214" s="0" t="n">
        <v>3</v>
      </c>
      <c r="NM214" s="0" t="n">
        <v>47</v>
      </c>
      <c r="NN214" s="0" t="n">
        <v>22</v>
      </c>
      <c r="NO214" s="20" t="n">
        <f aca="false">(0.43*3)+(0.07*4)+0.22</f>
        <v>1.79</v>
      </c>
      <c r="NP214" s="0" t="n">
        <v>3</v>
      </c>
      <c r="OG214" s="0" t="n">
        <v>1</v>
      </c>
      <c r="OH214" s="0" t="n">
        <v>60</v>
      </c>
      <c r="OI214" s="0" t="n">
        <v>17</v>
      </c>
      <c r="OJ214" s="0" t="n">
        <f aca="false">0.22+0.04+0.11+0.08+0.08+0.05</f>
        <v>0.58</v>
      </c>
      <c r="OK214" s="0" t="n">
        <v>3</v>
      </c>
      <c r="OL214" s="0" t="n">
        <v>60</v>
      </c>
      <c r="OM214" s="0" t="n">
        <v>12</v>
      </c>
      <c r="ON214" s="0" t="n">
        <f aca="false">0.87+0.43+0.15+0.07</f>
        <v>1.52</v>
      </c>
      <c r="OO214" s="0" t="n">
        <v>1</v>
      </c>
      <c r="PR214" s="16" t="n">
        <v>2.49</v>
      </c>
      <c r="PS214" s="16" t="n">
        <v>1</v>
      </c>
      <c r="PT214" s="16" t="n">
        <v>1</v>
      </c>
      <c r="PU214" s="16"/>
      <c r="PV214" s="16" t="n">
        <v>10.89</v>
      </c>
      <c r="PW214" s="16"/>
      <c r="PX214" s="16"/>
      <c r="PY214" s="16"/>
      <c r="PZ214" s="16"/>
      <c r="QA214" s="16"/>
      <c r="QB214" s="16"/>
      <c r="QC214" s="16" t="n">
        <v>4.17</v>
      </c>
      <c r="QD214" s="16" t="n">
        <v>3.7</v>
      </c>
      <c r="QE214" s="16" t="n">
        <v>0</v>
      </c>
      <c r="QF214" s="16" t="n">
        <v>0</v>
      </c>
      <c r="QG214" s="16" t="n">
        <v>0</v>
      </c>
      <c r="QH214" s="16" t="n">
        <v>0</v>
      </c>
      <c r="QI214" s="16" t="n">
        <v>0</v>
      </c>
      <c r="QJ214" s="0" t="n">
        <v>0</v>
      </c>
      <c r="QK214" s="0" t="s">
        <v>198</v>
      </c>
      <c r="QL214" s="0" t="n">
        <v>28.5</v>
      </c>
      <c r="QM214" s="16" t="n">
        <v>78.4</v>
      </c>
      <c r="QN214" s="16" t="n">
        <v>80.4</v>
      </c>
      <c r="QO214" s="16" t="n">
        <v>16</v>
      </c>
      <c r="QP214" s="0" t="n">
        <v>95.22</v>
      </c>
      <c r="QQ214" s="17" t="n">
        <v>0</v>
      </c>
      <c r="QR214" s="0" t="n">
        <v>4.23</v>
      </c>
      <c r="QS214" s="0" t="n">
        <v>0</v>
      </c>
      <c r="QT214" s="0" t="n">
        <v>0</v>
      </c>
      <c r="QU214" s="0" t="n">
        <v>0</v>
      </c>
      <c r="QV214" s="0" t="n">
        <v>0</v>
      </c>
      <c r="QW214" s="0" t="n">
        <v>0</v>
      </c>
      <c r="QX214" s="0" t="n">
        <v>0</v>
      </c>
      <c r="QY214" s="0" t="n">
        <v>0</v>
      </c>
      <c r="QZ214" s="0" t="n">
        <v>0</v>
      </c>
      <c r="RA214" s="0" t="n">
        <v>9.77</v>
      </c>
      <c r="RB214" s="0" t="n">
        <v>2.18</v>
      </c>
      <c r="RC214" s="0" t="n">
        <v>46.81</v>
      </c>
      <c r="RD214" s="0" t="n">
        <v>10.57</v>
      </c>
      <c r="RE214" s="0" t="n">
        <v>0</v>
      </c>
      <c r="RF214" s="0" t="n">
        <v>0</v>
      </c>
      <c r="RG214" s="0" t="n">
        <v>0</v>
      </c>
      <c r="RT214" s="0" t="n">
        <v>0</v>
      </c>
      <c r="RU214" s="0" t="n">
        <v>0</v>
      </c>
      <c r="SF214" s="20"/>
      <c r="SX214" s="0" t="n">
        <v>0</v>
      </c>
      <c r="UI214" s="16" t="n">
        <v>4.23</v>
      </c>
      <c r="UJ214" s="16" t="n">
        <v>1</v>
      </c>
      <c r="UK214" s="16" t="n">
        <v>2</v>
      </c>
      <c r="UL214" s="16"/>
      <c r="UM214" s="16" t="n">
        <v>6.34</v>
      </c>
      <c r="UN214" s="16" t="n">
        <v>1</v>
      </c>
      <c r="UO214" s="16" t="n">
        <v>1</v>
      </c>
      <c r="UP214" s="16" t="n">
        <f aca="false">9.52+3.17+3.17+3.17+1.12+1.12+1.12</f>
        <v>22.39</v>
      </c>
      <c r="UQ214" s="16"/>
      <c r="UR214" s="16"/>
      <c r="US214" s="16"/>
      <c r="UT214" s="16" t="n">
        <v>5.41</v>
      </c>
      <c r="UU214" s="16" t="n">
        <v>8.96</v>
      </c>
      <c r="UV214" s="16" t="n">
        <v>0</v>
      </c>
      <c r="UW214" s="16" t="n">
        <v>0</v>
      </c>
      <c r="UX214" s="16" t="n">
        <v>0</v>
      </c>
      <c r="UY214" s="16" t="n">
        <v>0</v>
      </c>
      <c r="UZ214" s="16" t="n">
        <v>0</v>
      </c>
      <c r="VA214" s="0" t="n">
        <v>0</v>
      </c>
      <c r="VB214" s="0" t="s">
        <v>202</v>
      </c>
      <c r="VC214" s="0" t="n">
        <v>60</v>
      </c>
      <c r="VD214" s="16" t="n">
        <v>55.4</v>
      </c>
      <c r="VE214" s="16" t="n">
        <v>80.4</v>
      </c>
      <c r="VF214" s="16" t="n">
        <v>29.6</v>
      </c>
      <c r="VG214" s="0" t="n">
        <v>76.8</v>
      </c>
      <c r="VH214" s="17" t="n">
        <v>0</v>
      </c>
      <c r="VI214" s="0" t="n">
        <v>0</v>
      </c>
      <c r="VJ214" s="0" t="n">
        <v>0</v>
      </c>
      <c r="VK214" s="0" t="n">
        <v>0</v>
      </c>
      <c r="VM214" s="0" t="n">
        <v>4.83</v>
      </c>
      <c r="VN214" s="0" t="n">
        <v>1.71</v>
      </c>
      <c r="VO214" s="0" t="n">
        <v>0</v>
      </c>
      <c r="VP214" s="0" t="n">
        <v>0</v>
      </c>
      <c r="VQ214" s="0" t="n">
        <v>0</v>
      </c>
      <c r="VR214" s="0" t="n">
        <v>1.51</v>
      </c>
      <c r="VS214" s="0" t="n">
        <v>1.85</v>
      </c>
      <c r="VT214" s="0" t="n">
        <v>2.31</v>
      </c>
      <c r="VU214" s="0" t="n">
        <v>19.08</v>
      </c>
      <c r="VV214" s="0" t="n">
        <v>18.37</v>
      </c>
      <c r="VW214" s="0" t="n">
        <v>0</v>
      </c>
      <c r="VX214" s="0" t="n">
        <v>0</v>
      </c>
      <c r="VY214" s="0" t="n">
        <v>0</v>
      </c>
      <c r="WE214" s="0" t="n">
        <v>0</v>
      </c>
      <c r="WK214" s="0" t="n">
        <v>22.9</v>
      </c>
      <c r="WL214" s="0" t="n">
        <v>1</v>
      </c>
      <c r="WM214" s="0" t="n">
        <v>34</v>
      </c>
      <c r="WN214" s="0" t="n">
        <v>1</v>
      </c>
      <c r="WO214" s="0" t="n">
        <v>1.19</v>
      </c>
      <c r="WP214" s="0" t="n">
        <v>1</v>
      </c>
      <c r="WQ214" s="0" t="n">
        <v>47</v>
      </c>
      <c r="WR214" s="0" t="n">
        <f aca="false">7+3+1+2+3+5+7+1+7+2+7+5+5</f>
        <v>55</v>
      </c>
      <c r="WS214" s="0" t="n">
        <f aca="false">(0.3*7)+0.15+0.3+0.9+0.6+0.45+0.6+(0.3*3)+(0.3*5)+(0.3*7)+0.9+(0.3*7)+(0.4)+(0.3*7)+(0.3*5)+(0.3*5)</f>
        <v>18.1</v>
      </c>
      <c r="WT214" s="0" t="n">
        <v>2</v>
      </c>
      <c r="WW214" s="20"/>
      <c r="XO214" s="0" t="n">
        <v>0</v>
      </c>
      <c r="YZ214" s="16" t="n">
        <v>0.06</v>
      </c>
      <c r="ZA214" s="16" t="n">
        <v>1</v>
      </c>
      <c r="ZB214" s="16" t="n">
        <v>1</v>
      </c>
      <c r="ZC214" s="16"/>
      <c r="ZD214" s="16" t="n">
        <v>0.1</v>
      </c>
      <c r="ZE214" s="16"/>
      <c r="ZF214" s="16"/>
      <c r="ZG214" s="16"/>
      <c r="ZH214" s="16"/>
      <c r="ZI214" s="16"/>
      <c r="ZJ214" s="16"/>
      <c r="ZK214" s="16" t="n">
        <v>5.42</v>
      </c>
      <c r="ZL214" s="16" t="n">
        <v>8.83</v>
      </c>
      <c r="ZM214" s="16" t="n">
        <v>0</v>
      </c>
      <c r="ZN214" s="16" t="n">
        <v>0</v>
      </c>
      <c r="ZO214" s="16" t="n">
        <v>1.99</v>
      </c>
      <c r="ZP214" s="16" t="n">
        <v>0</v>
      </c>
      <c r="ZQ214" s="16" t="n">
        <v>0</v>
      </c>
      <c r="ZR214" s="0" t="n">
        <v>2</v>
      </c>
      <c r="ZS214" s="0" t="s">
        <v>727</v>
      </c>
      <c r="ZT214" s="0" t="n">
        <v>47.5</v>
      </c>
      <c r="ZU214" s="16" t="n">
        <v>58.6</v>
      </c>
      <c r="ZV214" s="16" t="n">
        <v>80.4</v>
      </c>
      <c r="ZW214" s="16" t="n">
        <v>19.5</v>
      </c>
      <c r="ZX214" s="0" t="n">
        <v>76.23</v>
      </c>
      <c r="ZY214" s="17" t="n">
        <v>0</v>
      </c>
      <c r="ZZ214" s="0" t="n">
        <v>7.5</v>
      </c>
      <c r="AAA214" s="0" t="n">
        <v>0</v>
      </c>
      <c r="AAB214" s="0" t="n">
        <v>16.26</v>
      </c>
      <c r="AAC214" s="0" t="n">
        <v>0</v>
      </c>
      <c r="AAD214" s="0" t="n">
        <v>0</v>
      </c>
      <c r="AAE214" s="0" t="n">
        <v>0</v>
      </c>
      <c r="AAF214" s="0" t="n">
        <v>0</v>
      </c>
      <c r="AAG214" s="0" t="n">
        <v>0</v>
      </c>
      <c r="AAH214" s="0" t="n">
        <v>0</v>
      </c>
      <c r="AAI214" s="0" t="n">
        <v>0</v>
      </c>
      <c r="AAJ214" s="0" t="n">
        <v>22.34</v>
      </c>
      <c r="AAK214" s="0" t="n">
        <v>19.22</v>
      </c>
      <c r="AAL214" s="0" t="n">
        <v>9.8</v>
      </c>
      <c r="AAM214" s="0" t="n">
        <v>0.28</v>
      </c>
      <c r="AAN214" s="0" t="n">
        <v>0</v>
      </c>
      <c r="ABB214" s="0" t="n">
        <v>24.1</v>
      </c>
      <c r="ABC214" s="0" t="n">
        <v>1</v>
      </c>
      <c r="ABD214" s="0" t="n">
        <v>47</v>
      </c>
      <c r="ABE214" s="0" t="n">
        <v>6</v>
      </c>
      <c r="ABF214" s="0" t="n">
        <f aca="false">2.28+0.81</f>
        <v>3.09</v>
      </c>
      <c r="ABG214" s="0" t="n">
        <v>3</v>
      </c>
      <c r="ABH214" s="0" t="n">
        <v>23</v>
      </c>
      <c r="ABI214" s="0" t="n">
        <v>2</v>
      </c>
      <c r="ABJ214" s="0" t="n">
        <v>0.54</v>
      </c>
      <c r="ABK214" s="0" t="n">
        <v>3</v>
      </c>
      <c r="ABN214" s="20"/>
      <c r="ACF214" s="0" t="n">
        <v>0</v>
      </c>
      <c r="ADQ214" s="16" t="n">
        <v>0</v>
      </c>
      <c r="ADR214" s="16" t="n">
        <v>0</v>
      </c>
      <c r="ADS214" s="16"/>
      <c r="ADT214" s="16"/>
      <c r="ADU214" s="16"/>
      <c r="ADV214" s="16"/>
      <c r="ADW214" s="16"/>
      <c r="ADX214" s="16"/>
      <c r="ADY214" s="16"/>
      <c r="ADZ214" s="16"/>
      <c r="AEA214" s="16"/>
      <c r="AEB214" s="16" t="n">
        <v>2.97</v>
      </c>
      <c r="AEC214" s="16" t="n">
        <v>2.96</v>
      </c>
      <c r="AED214" s="16" t="n">
        <v>0</v>
      </c>
      <c r="AEE214" s="16" t="n">
        <v>0</v>
      </c>
      <c r="AEF214" s="16" t="n">
        <v>0</v>
      </c>
      <c r="AEG214" s="16" t="n">
        <v>0</v>
      </c>
      <c r="AEH214" s="16" t="n">
        <v>0</v>
      </c>
      <c r="AEI214" s="0" t="n">
        <v>0</v>
      </c>
      <c r="AEJ214" s="0" t="s">
        <v>213</v>
      </c>
      <c r="AEK214" s="0" t="n">
        <v>49.5</v>
      </c>
      <c r="AEL214" s="16" t="n">
        <v>78.9</v>
      </c>
      <c r="AEM214" s="16" t="n">
        <v>80.4</v>
      </c>
      <c r="AEN214" s="16" t="n">
        <v>31.1</v>
      </c>
      <c r="AEO214" s="0" t="n">
        <v>22.13</v>
      </c>
      <c r="AEP214" s="17" t="n">
        <v>0</v>
      </c>
      <c r="AEQ214" s="0" t="n">
        <v>0</v>
      </c>
      <c r="AER214" s="0" t="n">
        <v>0</v>
      </c>
      <c r="AES214" s="0" t="n">
        <v>3.8</v>
      </c>
      <c r="AET214" s="0" t="n">
        <v>0</v>
      </c>
      <c r="AEU214" s="0" t="n">
        <v>74.07</v>
      </c>
      <c r="AEV214" s="0" t="n">
        <v>28.31</v>
      </c>
      <c r="AEW214" s="0" t="n">
        <v>0</v>
      </c>
      <c r="AEX214" s="0" t="n">
        <v>0</v>
      </c>
      <c r="AEY214" s="0" t="n">
        <v>0</v>
      </c>
      <c r="AEZ214" s="0" t="n">
        <v>8.07</v>
      </c>
      <c r="AFA214" s="0" t="n">
        <v>1.71</v>
      </c>
      <c r="AFB214" s="0" t="n">
        <v>33.85</v>
      </c>
      <c r="AFC214" s="0" t="n">
        <v>17.12</v>
      </c>
      <c r="AFD214" s="0" t="n">
        <v>0</v>
      </c>
      <c r="AFE214" s="0" t="n">
        <v>0</v>
      </c>
      <c r="AFF214" s="0" t="n">
        <v>0</v>
      </c>
      <c r="AFS214" s="0" t="n">
        <v>3.4</v>
      </c>
      <c r="AFT214" s="0" t="n">
        <v>1</v>
      </c>
      <c r="AFU214" s="0" t="n">
        <v>34</v>
      </c>
      <c r="AFV214" s="0" t="n">
        <v>1</v>
      </c>
      <c r="AFW214" s="0" t="n">
        <v>1.6</v>
      </c>
      <c r="AFX214" s="0" t="n">
        <v>1</v>
      </c>
      <c r="AFY214" s="0" t="n">
        <v>68</v>
      </c>
      <c r="AFZ214" s="0" t="n">
        <v>2</v>
      </c>
      <c r="AGA214" s="0" t="n">
        <f aca="false">0.65+0.11</f>
        <v>0.76</v>
      </c>
      <c r="AGB214" s="0" t="n">
        <v>1</v>
      </c>
      <c r="AGC214" s="0" t="n">
        <v>52</v>
      </c>
      <c r="AGD214" s="0" t="n">
        <v>2</v>
      </c>
      <c r="AGE214" s="20" t="n">
        <f aca="false">1.33+0.34</f>
        <v>1.67</v>
      </c>
      <c r="AGF214" s="0" t="n">
        <v>2</v>
      </c>
      <c r="AGW214" s="0" t="n">
        <v>0</v>
      </c>
      <c r="AIH214" s="16" t="n">
        <v>0</v>
      </c>
      <c r="AII214" s="16" t="n">
        <v>0</v>
      </c>
      <c r="AIJ214" s="16"/>
      <c r="AIK214" s="16"/>
      <c r="AIL214" s="16"/>
      <c r="AIM214" s="16"/>
      <c r="AIN214" s="16"/>
      <c r="AIO214" s="16"/>
      <c r="AIP214" s="16"/>
      <c r="AIQ214" s="16"/>
      <c r="AIR214" s="16"/>
      <c r="AIS214" s="16" t="n">
        <v>5.13</v>
      </c>
      <c r="AIT214" s="16" t="n">
        <v>6.28</v>
      </c>
      <c r="AIU214" s="16" t="n">
        <v>0</v>
      </c>
      <c r="AIV214" s="16" t="n">
        <v>0</v>
      </c>
      <c r="AIW214" s="16" t="n">
        <v>6.72</v>
      </c>
      <c r="AIX214" s="16" t="n">
        <v>0</v>
      </c>
      <c r="AIY214" s="16" t="n">
        <v>2.54</v>
      </c>
      <c r="AIZ214" s="0" t="n">
        <v>2</v>
      </c>
      <c r="AJA214" s="15"/>
      <c r="AJB214" s="15"/>
      <c r="AJI214" s="15"/>
      <c r="AJJ214" s="15"/>
      <c r="AJQ214" s="15"/>
      <c r="AJR214" s="15"/>
      <c r="AJY214" s="15"/>
      <c r="AJZ214" s="15"/>
      <c r="AKG214" s="15"/>
      <c r="AKH214" s="15"/>
      <c r="AKO214" s="15"/>
      <c r="AKP214" s="15"/>
      <c r="AKW214" s="15"/>
      <c r="AKX214" s="15"/>
      <c r="ALE214" s="15"/>
      <c r="ALF214" s="15"/>
      <c r="ALM214" s="15"/>
      <c r="ALN214" s="15"/>
      <c r="ALU214" s="15"/>
      <c r="ALV214" s="15"/>
      <c r="AMC214" s="15"/>
      <c r="AMD214" s="15"/>
    </row>
    <row r="215" customFormat="false" ht="13.8" hidden="false" customHeight="false" outlineLevel="0" collapsed="false">
      <c r="A215" s="1" t="s">
        <v>728</v>
      </c>
      <c r="B215" s="12" t="n">
        <v>42905</v>
      </c>
      <c r="C215" s="0" t="n">
        <v>1</v>
      </c>
      <c r="D215" s="13" t="n">
        <v>42801</v>
      </c>
      <c r="E215" s="12" t="n">
        <v>35268</v>
      </c>
      <c r="F215" s="14" t="n">
        <f aca="false">(B215-E215)/365.25</f>
        <v>20.9089664613279</v>
      </c>
      <c r="G215" s="14" t="n">
        <f aca="false">(B215-D215)/365.25</f>
        <v>0.284736481861739</v>
      </c>
      <c r="H215" s="15" t="s">
        <v>181</v>
      </c>
      <c r="I215" s="15" t="s">
        <v>194</v>
      </c>
      <c r="J215" s="21" t="s">
        <v>181</v>
      </c>
      <c r="K215" s="21" t="n">
        <v>8</v>
      </c>
      <c r="L215" s="19" t="n">
        <v>57</v>
      </c>
      <c r="M215" s="0" t="n">
        <v>1.57</v>
      </c>
      <c r="N215" s="16" t="n">
        <f aca="false">L215/(M215*M215)</f>
        <v>23.1246703720232</v>
      </c>
      <c r="O215" s="19" t="n">
        <v>0</v>
      </c>
      <c r="P215" s="19" t="n">
        <v>0</v>
      </c>
      <c r="Q215" s="19" t="n">
        <v>0</v>
      </c>
      <c r="R215" s="26" t="n">
        <v>0</v>
      </c>
      <c r="S215" s="26" t="n">
        <v>0</v>
      </c>
      <c r="T215" s="26" t="n">
        <v>0</v>
      </c>
      <c r="U215" s="19" t="n">
        <v>0</v>
      </c>
      <c r="V215" s="19" t="n">
        <v>0</v>
      </c>
      <c r="W215" s="19" t="n">
        <v>0</v>
      </c>
      <c r="X215" s="19" t="n">
        <v>0</v>
      </c>
      <c r="Y215" s="19" t="n">
        <v>0</v>
      </c>
      <c r="Z215" s="19" t="n">
        <v>0</v>
      </c>
      <c r="AA215" s="19" t="n">
        <v>0</v>
      </c>
      <c r="AB215" s="19" t="n">
        <v>0</v>
      </c>
      <c r="AC215" s="19" t="n">
        <v>0</v>
      </c>
      <c r="AD215" s="19" t="n">
        <v>0</v>
      </c>
      <c r="AE215" s="19" t="n">
        <v>0</v>
      </c>
      <c r="AF215" s="19" t="n">
        <v>0</v>
      </c>
      <c r="AG215" s="19" t="n">
        <v>0</v>
      </c>
      <c r="AH215" s="19" t="n">
        <v>0</v>
      </c>
      <c r="AI215" s="19" t="n">
        <v>0</v>
      </c>
      <c r="AJ215" s="19" t="n">
        <v>0</v>
      </c>
      <c r="AK215" s="19" t="n">
        <v>0</v>
      </c>
      <c r="AL215" s="19" t="n">
        <v>0</v>
      </c>
      <c r="AM215" s="19" t="n">
        <v>0</v>
      </c>
      <c r="AN215" s="19" t="n">
        <v>0</v>
      </c>
      <c r="AO215" s="19" t="n">
        <v>0</v>
      </c>
      <c r="AP215" s="19" t="n">
        <v>0</v>
      </c>
      <c r="AQ215" s="19" t="n">
        <v>0</v>
      </c>
      <c r="AR215" s="19" t="n">
        <v>0</v>
      </c>
      <c r="AS215" s="19" t="n">
        <v>0</v>
      </c>
      <c r="AT215" s="19" t="n">
        <v>0</v>
      </c>
      <c r="AU215" s="19" t="n">
        <v>0</v>
      </c>
      <c r="AV215" s="19" t="n">
        <v>0</v>
      </c>
      <c r="AW215" s="19" t="n">
        <v>0</v>
      </c>
      <c r="AX215" s="19" t="n">
        <v>0</v>
      </c>
      <c r="AY215" s="19" t="n">
        <v>0</v>
      </c>
      <c r="AZ215" s="19" t="n">
        <v>0</v>
      </c>
      <c r="BA215" s="19" t="n">
        <v>0</v>
      </c>
      <c r="BB215" s="26" t="n">
        <v>0</v>
      </c>
      <c r="BC215" s="26" t="n">
        <v>0</v>
      </c>
      <c r="BD215" s="26" t="n">
        <v>0</v>
      </c>
      <c r="BE215" s="26" t="n">
        <v>0</v>
      </c>
      <c r="BF215" s="19" t="n">
        <v>0</v>
      </c>
      <c r="BG215" s="19" t="n">
        <v>0</v>
      </c>
      <c r="BH215" s="19" t="n">
        <v>0</v>
      </c>
      <c r="BI215" s="19" t="n">
        <v>0</v>
      </c>
      <c r="BJ215" s="19" t="n">
        <v>0</v>
      </c>
      <c r="BK215" s="19" t="n">
        <v>0</v>
      </c>
      <c r="BL215" s="19" t="n">
        <v>0</v>
      </c>
      <c r="BM215" s="19" t="n">
        <v>0</v>
      </c>
      <c r="BN215" s="19" t="n">
        <v>0</v>
      </c>
      <c r="BO215" s="19" t="n">
        <v>0</v>
      </c>
      <c r="BP215" s="19" t="n">
        <v>0</v>
      </c>
      <c r="BQ215" s="19" t="n">
        <v>0</v>
      </c>
      <c r="BR215" s="19" t="n">
        <v>2</v>
      </c>
      <c r="BS215" s="19" t="n">
        <v>2</v>
      </c>
      <c r="BT215" s="19" t="n">
        <v>2</v>
      </c>
      <c r="BU215" s="19" t="n">
        <v>3</v>
      </c>
      <c r="BV215" s="19" t="n">
        <v>2</v>
      </c>
      <c r="BW215" s="19" t="n">
        <v>2</v>
      </c>
      <c r="BX215" s="19" t="n">
        <v>2</v>
      </c>
      <c r="BY215" s="19" t="n">
        <v>3</v>
      </c>
      <c r="BZ215" s="19" t="n">
        <v>3</v>
      </c>
      <c r="CA215" s="19" t="n">
        <v>3</v>
      </c>
      <c r="CB215" s="19" t="n">
        <v>3</v>
      </c>
      <c r="CC215" s="19" t="n">
        <v>3</v>
      </c>
      <c r="CD215" s="19" t="n">
        <v>4</v>
      </c>
      <c r="CE215" s="19" t="n">
        <v>4</v>
      </c>
      <c r="CF215" s="19" t="n">
        <v>2</v>
      </c>
      <c r="CG215" s="19" t="n">
        <v>4</v>
      </c>
      <c r="CH215" s="19" t="n">
        <v>4</v>
      </c>
      <c r="CI215" s="19" t="n">
        <v>4</v>
      </c>
      <c r="CJ215" s="19" t="n">
        <v>4</v>
      </c>
      <c r="CK215" s="19" t="n">
        <v>8</v>
      </c>
      <c r="CL215" s="0" t="s">
        <v>198</v>
      </c>
      <c r="CM215" s="0" t="n">
        <v>28.5</v>
      </c>
      <c r="CN215" s="16" t="n">
        <v>78.4</v>
      </c>
      <c r="CO215" s="16" t="n">
        <v>80.4</v>
      </c>
      <c r="CP215" s="16" t="n">
        <v>16</v>
      </c>
      <c r="CQ215" s="0" t="n">
        <v>95.22</v>
      </c>
      <c r="CR215" s="17" t="n">
        <v>0</v>
      </c>
      <c r="CS215" s="0" t="n">
        <v>4.23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9.77</v>
      </c>
      <c r="DC215" s="0" t="n">
        <v>2.18</v>
      </c>
      <c r="DD215" s="0" t="n">
        <v>46.81</v>
      </c>
      <c r="DE215" s="0" t="n">
        <v>10.57</v>
      </c>
      <c r="DF215" s="0" t="n">
        <v>0</v>
      </c>
      <c r="DG215" s="0" t="n">
        <v>0</v>
      </c>
      <c r="DH215" s="0" t="n">
        <v>0</v>
      </c>
      <c r="DU215" s="0" t="n">
        <v>0</v>
      </c>
      <c r="DV215" s="0" t="n">
        <v>0</v>
      </c>
      <c r="EG215" s="20"/>
      <c r="EY215" s="0" t="n">
        <v>0</v>
      </c>
      <c r="GJ215" s="16" t="n">
        <v>4.23</v>
      </c>
      <c r="GK215" s="16" t="n">
        <v>1</v>
      </c>
      <c r="GL215" s="16" t="n">
        <v>2</v>
      </c>
      <c r="GM215" s="16"/>
      <c r="GN215" s="16" t="n">
        <v>6.34</v>
      </c>
      <c r="GO215" s="16" t="n">
        <v>1</v>
      </c>
      <c r="GP215" s="16" t="n">
        <v>1</v>
      </c>
      <c r="GQ215" s="16" t="n">
        <f aca="false">9.52+3.17+3.17+3.17+1.12+1.12+1.12</f>
        <v>22.39</v>
      </c>
      <c r="GR215" s="16"/>
      <c r="GS215" s="16"/>
      <c r="GT215" s="16"/>
      <c r="GU215" s="16" t="n">
        <v>5.41</v>
      </c>
      <c r="GV215" s="16" t="n">
        <v>8.96</v>
      </c>
      <c r="GW215" s="16" t="n">
        <v>0</v>
      </c>
      <c r="GX215" s="16" t="n">
        <v>0</v>
      </c>
      <c r="GY215" s="16" t="n">
        <v>0</v>
      </c>
      <c r="GZ215" s="16" t="n">
        <v>0</v>
      </c>
      <c r="HA215" s="16" t="n">
        <v>0</v>
      </c>
      <c r="HB215" s="0" t="n">
        <v>0</v>
      </c>
      <c r="HC215" s="0" t="s">
        <v>200</v>
      </c>
      <c r="HD215" s="0" t="n">
        <v>28.5</v>
      </c>
      <c r="HE215" s="16" t="n">
        <v>69.4</v>
      </c>
      <c r="HF215" s="16" t="n">
        <v>80.4</v>
      </c>
      <c r="HG215" s="16" t="n">
        <v>9.8</v>
      </c>
      <c r="HH215" s="0" t="n">
        <v>96.02</v>
      </c>
      <c r="HI215" s="17" t="n">
        <v>0</v>
      </c>
      <c r="HJ215" s="0" t="n">
        <v>3.98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0</v>
      </c>
      <c r="HR215" s="0" t="n">
        <v>0</v>
      </c>
      <c r="HS215" s="0" t="n">
        <v>0</v>
      </c>
      <c r="HT215" s="0" t="n">
        <v>16.55</v>
      </c>
      <c r="HU215" s="0" t="n">
        <v>26.49</v>
      </c>
      <c r="HV215" s="0" t="n">
        <v>6.34</v>
      </c>
      <c r="HW215" s="0" t="n">
        <v>0</v>
      </c>
      <c r="HX215" s="0" t="n">
        <v>0</v>
      </c>
      <c r="HY215" s="0" t="n">
        <v>0</v>
      </c>
      <c r="IL215" s="0" t="n">
        <v>10.2</v>
      </c>
      <c r="IM215" s="0" t="n">
        <v>1</v>
      </c>
      <c r="IN215" s="0" t="n">
        <v>35</v>
      </c>
      <c r="IO215" s="0" t="n">
        <v>1</v>
      </c>
      <c r="IP215" s="0" t="n">
        <v>0.02</v>
      </c>
      <c r="IQ215" s="0" t="n">
        <v>3</v>
      </c>
      <c r="IR215" s="0" t="n">
        <v>70</v>
      </c>
      <c r="IS215" s="0" t="n">
        <v>2</v>
      </c>
      <c r="IT215" s="0" t="n">
        <v>0.27</v>
      </c>
      <c r="IU215" s="0" t="n">
        <v>3</v>
      </c>
      <c r="IX215" s="20"/>
      <c r="JP215" s="0" t="n">
        <v>1</v>
      </c>
      <c r="JQ215" s="0" t="n">
        <v>50</v>
      </c>
      <c r="JR215" s="0" t="n">
        <v>5</v>
      </c>
      <c r="JS215" s="0" t="n">
        <f aca="false">1.52+0.5+0.19+0.12</f>
        <v>2.33</v>
      </c>
      <c r="JT215" s="0" t="n">
        <v>3</v>
      </c>
      <c r="LA215" s="16" t="n">
        <v>2.63</v>
      </c>
      <c r="LB215" s="16" t="n">
        <v>1</v>
      </c>
      <c r="LC215" s="16" t="n">
        <v>1</v>
      </c>
      <c r="LD215" s="16"/>
      <c r="LE215" s="16" t="n">
        <f aca="false">0.04+2.11+3.17+0.37+0.56</f>
        <v>6.25</v>
      </c>
      <c r="LF215" s="16" t="n">
        <v>2</v>
      </c>
      <c r="LG215" s="16"/>
      <c r="LH215" s="16" t="n">
        <f aca="false">0.53+0.53+0.11+0.07+0.15</f>
        <v>1.39</v>
      </c>
      <c r="LI215" s="16"/>
      <c r="LJ215" s="16"/>
      <c r="LK215" s="16"/>
      <c r="LL215" s="16" t="n">
        <v>3.33</v>
      </c>
      <c r="LM215" s="16" t="n">
        <v>2.06</v>
      </c>
      <c r="LN215" s="16" t="n">
        <v>0</v>
      </c>
      <c r="LO215" s="16" t="n">
        <v>0</v>
      </c>
      <c r="LP215" s="16" t="n">
        <v>0</v>
      </c>
      <c r="LQ215" s="16" t="n">
        <v>0</v>
      </c>
      <c r="LR215" s="16" t="n">
        <v>0</v>
      </c>
      <c r="LS215" s="0" t="n">
        <v>0</v>
      </c>
      <c r="LT215" s="0" t="s">
        <v>202</v>
      </c>
      <c r="LU215" s="0" t="n">
        <v>60</v>
      </c>
      <c r="LV215" s="16" t="n">
        <v>55.4</v>
      </c>
      <c r="LW215" s="16" t="n">
        <v>80.4</v>
      </c>
      <c r="LX215" s="16" t="n">
        <v>29.6</v>
      </c>
      <c r="LY215" s="0" t="n">
        <v>76.8</v>
      </c>
      <c r="LZ215" s="17" t="n">
        <v>0</v>
      </c>
      <c r="MA215" s="0" t="n">
        <v>0</v>
      </c>
      <c r="MB215" s="0" t="n">
        <v>0</v>
      </c>
      <c r="MC215" s="0" t="n">
        <v>0</v>
      </c>
      <c r="ME215" s="0" t="n">
        <v>4.83</v>
      </c>
      <c r="MF215" s="0" t="n">
        <v>1.71</v>
      </c>
      <c r="MG215" s="0" t="n">
        <v>0</v>
      </c>
      <c r="MH215" s="0" t="n">
        <v>0</v>
      </c>
      <c r="MI215" s="0" t="n">
        <v>0</v>
      </c>
      <c r="MJ215" s="0" t="n">
        <v>1.51</v>
      </c>
      <c r="MK215" s="0" t="n">
        <v>1.85</v>
      </c>
      <c r="ML215" s="0" t="n">
        <v>2.31</v>
      </c>
      <c r="MM215" s="0" t="n">
        <v>19.08</v>
      </c>
      <c r="MN215" s="0" t="n">
        <v>18.37</v>
      </c>
      <c r="MO215" s="0" t="n">
        <v>0</v>
      </c>
      <c r="MP215" s="0" t="n">
        <v>0</v>
      </c>
      <c r="MQ215" s="0" t="n">
        <v>0</v>
      </c>
      <c r="MW215" s="0" t="n">
        <v>0</v>
      </c>
      <c r="NC215" s="0" t="n">
        <v>22.9</v>
      </c>
      <c r="ND215" s="0" t="n">
        <v>1</v>
      </c>
      <c r="NE215" s="0" t="n">
        <v>34</v>
      </c>
      <c r="NF215" s="0" t="n">
        <v>1</v>
      </c>
      <c r="NG215" s="0" t="n">
        <v>1.19</v>
      </c>
      <c r="NH215" s="0" t="n">
        <v>1</v>
      </c>
      <c r="NI215" s="0" t="n">
        <v>47</v>
      </c>
      <c r="NJ215" s="0" t="n">
        <f aca="false">7+3+1+2+3+5+7+1+7+2+7+5+5</f>
        <v>55</v>
      </c>
      <c r="NK215" s="0" t="n">
        <f aca="false">(0.3*7)+0.15+0.3+0.9+0.6+0.45+0.6+(0.3*3)+(0.3*5)+(0.3*7)+0.9+(0.3*7)+(0.4)+(0.3*7)+(0.3*5)+(0.3*5)</f>
        <v>18.1</v>
      </c>
      <c r="NL215" s="0" t="n">
        <v>2</v>
      </c>
      <c r="NO215" s="20"/>
      <c r="OG215" s="0" t="n">
        <v>0</v>
      </c>
      <c r="PR215" s="16" t="n">
        <v>0.06</v>
      </c>
      <c r="PS215" s="16" t="n">
        <v>1</v>
      </c>
      <c r="PT215" s="16" t="n">
        <v>1</v>
      </c>
      <c r="PU215" s="16"/>
      <c r="PV215" s="16" t="n">
        <v>0.1</v>
      </c>
      <c r="PW215" s="16"/>
      <c r="PX215" s="16"/>
      <c r="PY215" s="16"/>
      <c r="PZ215" s="16"/>
      <c r="QA215" s="16"/>
      <c r="QB215" s="16"/>
      <c r="QC215" s="16" t="n">
        <v>5.42</v>
      </c>
      <c r="QD215" s="16" t="n">
        <v>8.83</v>
      </c>
      <c r="QE215" s="16" t="n">
        <v>0</v>
      </c>
      <c r="QF215" s="16" t="n">
        <v>0</v>
      </c>
      <c r="QG215" s="16" t="n">
        <v>1.99</v>
      </c>
      <c r="QH215" s="16" t="n">
        <v>0</v>
      </c>
      <c r="QI215" s="16" t="n">
        <v>0</v>
      </c>
      <c r="QJ215" s="0" t="n">
        <v>2</v>
      </c>
      <c r="QK215" s="0" t="s">
        <v>727</v>
      </c>
      <c r="QL215" s="0" t="n">
        <v>47.5</v>
      </c>
      <c r="QM215" s="16" t="n">
        <v>58.6</v>
      </c>
      <c r="QN215" s="16" t="n">
        <v>80.4</v>
      </c>
      <c r="QO215" s="16" t="n">
        <v>19.5</v>
      </c>
      <c r="QP215" s="0" t="n">
        <v>76.23</v>
      </c>
      <c r="QQ215" s="17" t="n">
        <v>0</v>
      </c>
      <c r="QR215" s="0" t="n">
        <v>7.5</v>
      </c>
      <c r="QS215" s="0" t="n">
        <v>0</v>
      </c>
      <c r="QT215" s="0" t="n">
        <v>16.26</v>
      </c>
      <c r="QU215" s="0" t="n">
        <v>0</v>
      </c>
      <c r="QV215" s="0" t="n">
        <v>0</v>
      </c>
      <c r="QW215" s="0" t="n">
        <v>0</v>
      </c>
      <c r="QX215" s="0" t="n">
        <v>0</v>
      </c>
      <c r="QY215" s="0" t="n">
        <v>0</v>
      </c>
      <c r="QZ215" s="0" t="n">
        <v>0</v>
      </c>
      <c r="RA215" s="0" t="n">
        <v>0</v>
      </c>
      <c r="RB215" s="0" t="n">
        <v>22.34</v>
      </c>
      <c r="RC215" s="0" t="n">
        <v>19.22</v>
      </c>
      <c r="RD215" s="0" t="n">
        <v>9.8</v>
      </c>
      <c r="RE215" s="0" t="n">
        <v>0.28</v>
      </c>
      <c r="RF215" s="0" t="n">
        <v>0</v>
      </c>
      <c r="RT215" s="0" t="n">
        <v>24.1</v>
      </c>
      <c r="RU215" s="0" t="n">
        <v>1</v>
      </c>
      <c r="RV215" s="0" t="n">
        <v>47</v>
      </c>
      <c r="RW215" s="0" t="n">
        <v>6</v>
      </c>
      <c r="RX215" s="0" t="n">
        <f aca="false">2.28+0.81</f>
        <v>3.09</v>
      </c>
      <c r="RY215" s="0" t="n">
        <v>3</v>
      </c>
      <c r="RZ215" s="0" t="n">
        <v>23</v>
      </c>
      <c r="SA215" s="0" t="n">
        <v>2</v>
      </c>
      <c r="SB215" s="0" t="n">
        <v>0.54</v>
      </c>
      <c r="SC215" s="0" t="n">
        <v>3</v>
      </c>
      <c r="SF215" s="20"/>
      <c r="SX215" s="0" t="n">
        <v>0</v>
      </c>
      <c r="UI215" s="16" t="n">
        <v>0</v>
      </c>
      <c r="UJ215" s="16" t="n">
        <v>0</v>
      </c>
      <c r="UK215" s="16"/>
      <c r="UL215" s="16"/>
      <c r="UM215" s="16"/>
      <c r="UN215" s="16"/>
      <c r="UO215" s="16"/>
      <c r="UP215" s="16"/>
      <c r="UQ215" s="16"/>
      <c r="UR215" s="16"/>
      <c r="US215" s="16"/>
      <c r="UT215" s="16" t="n">
        <v>2.97</v>
      </c>
      <c r="UU215" s="16" t="n">
        <v>2.96</v>
      </c>
      <c r="UV215" s="16" t="n">
        <v>0</v>
      </c>
      <c r="UW215" s="16" t="n">
        <v>0</v>
      </c>
      <c r="UX215" s="16" t="n">
        <v>0</v>
      </c>
      <c r="UY215" s="16" t="n">
        <v>0</v>
      </c>
      <c r="UZ215" s="16" t="n">
        <v>0</v>
      </c>
      <c r="VA215" s="0" t="n">
        <v>0</v>
      </c>
      <c r="VB215" s="0" t="s">
        <v>213</v>
      </c>
      <c r="VC215" s="0" t="n">
        <v>49.5</v>
      </c>
      <c r="VD215" s="16" t="n">
        <v>78.9</v>
      </c>
      <c r="VE215" s="16" t="n">
        <v>80.4</v>
      </c>
      <c r="VF215" s="16" t="n">
        <v>31.1</v>
      </c>
      <c r="VG215" s="0" t="n">
        <v>22.13</v>
      </c>
      <c r="VH215" s="17" t="n">
        <v>0</v>
      </c>
      <c r="VI215" s="0" t="n">
        <v>0</v>
      </c>
      <c r="VJ215" s="0" t="n">
        <v>0</v>
      </c>
      <c r="VK215" s="0" t="n">
        <v>3.8</v>
      </c>
      <c r="VL215" s="0" t="n">
        <v>0</v>
      </c>
      <c r="VM215" s="0" t="n">
        <v>74.07</v>
      </c>
      <c r="VN215" s="0" t="n">
        <v>28.31</v>
      </c>
      <c r="VO215" s="0" t="n">
        <v>0</v>
      </c>
      <c r="VP215" s="0" t="n">
        <v>0</v>
      </c>
      <c r="VQ215" s="0" t="n">
        <v>0</v>
      </c>
      <c r="VR215" s="0" t="n">
        <v>8.07</v>
      </c>
      <c r="VS215" s="0" t="n">
        <v>1.71</v>
      </c>
      <c r="VT215" s="0" t="n">
        <v>33.85</v>
      </c>
      <c r="VU215" s="0" t="n">
        <v>17.12</v>
      </c>
      <c r="VV215" s="0" t="n">
        <v>0</v>
      </c>
      <c r="VW215" s="0" t="n">
        <v>0</v>
      </c>
      <c r="VX215" s="0" t="n">
        <v>0</v>
      </c>
      <c r="WK215" s="0" t="n">
        <v>3.4</v>
      </c>
      <c r="WL215" s="0" t="n">
        <v>1</v>
      </c>
      <c r="WM215" s="0" t="n">
        <v>34</v>
      </c>
      <c r="WN215" s="0" t="n">
        <v>1</v>
      </c>
      <c r="WO215" s="0" t="n">
        <v>1.6</v>
      </c>
      <c r="WP215" s="0" t="n">
        <v>1</v>
      </c>
      <c r="WQ215" s="0" t="n">
        <v>68</v>
      </c>
      <c r="WR215" s="0" t="n">
        <v>2</v>
      </c>
      <c r="WS215" s="0" t="n">
        <f aca="false">0.65+0.11</f>
        <v>0.76</v>
      </c>
      <c r="WT215" s="0" t="n">
        <v>1</v>
      </c>
      <c r="WU215" s="0" t="n">
        <v>52</v>
      </c>
      <c r="WV215" s="0" t="n">
        <v>2</v>
      </c>
      <c r="WW215" s="20" t="n">
        <f aca="false">1.33+0.34</f>
        <v>1.67</v>
      </c>
      <c r="WX215" s="0" t="n">
        <v>2</v>
      </c>
      <c r="XO215" s="0" t="n">
        <v>0</v>
      </c>
      <c r="YZ215" s="16" t="n">
        <v>0</v>
      </c>
      <c r="ZA215" s="16" t="n">
        <v>0</v>
      </c>
      <c r="ZB215" s="16"/>
      <c r="ZC215" s="16"/>
      <c r="ZD215" s="16"/>
      <c r="ZE215" s="16"/>
      <c r="ZF215" s="16"/>
      <c r="ZG215" s="16"/>
      <c r="ZH215" s="16"/>
      <c r="ZI215" s="16"/>
      <c r="ZJ215" s="16"/>
      <c r="ZK215" s="16" t="n">
        <v>5.13</v>
      </c>
      <c r="ZL215" s="16" t="n">
        <v>6.28</v>
      </c>
      <c r="ZM215" s="16" t="n">
        <v>0</v>
      </c>
      <c r="ZN215" s="16" t="n">
        <v>0</v>
      </c>
      <c r="ZO215" s="16" t="n">
        <v>6.72</v>
      </c>
      <c r="ZP215" s="16" t="n">
        <v>0</v>
      </c>
      <c r="ZQ215" s="16" t="n">
        <v>2.54</v>
      </c>
      <c r="ZR215" s="0" t="n">
        <v>2</v>
      </c>
      <c r="ZU215" s="15"/>
      <c r="ZV215" s="15"/>
      <c r="AAC215" s="15"/>
      <c r="AAD215" s="15"/>
      <c r="AAK215" s="15"/>
      <c r="AAL215" s="15"/>
      <c r="AAS215" s="15"/>
      <c r="AAT215" s="15"/>
      <c r="ABA215" s="15"/>
      <c r="ABB215" s="15"/>
      <c r="ABI215" s="15"/>
      <c r="ABJ215" s="15"/>
      <c r="ABQ215" s="15"/>
      <c r="ABR215" s="15"/>
      <c r="ABY215" s="15"/>
      <c r="ABZ215" s="15"/>
      <c r="ACG215" s="15"/>
      <c r="ACH215" s="15"/>
      <c r="ACO215" s="15"/>
      <c r="ACP215" s="15"/>
      <c r="ACW215" s="15"/>
      <c r="ACX215" s="15"/>
      <c r="ADE215" s="15"/>
      <c r="ADF215" s="15"/>
      <c r="ADM215" s="15"/>
      <c r="ADN215" s="15"/>
      <c r="ADU215" s="15"/>
      <c r="ADV215" s="15"/>
      <c r="AEC215" s="15"/>
      <c r="AED215" s="15"/>
      <c r="AEK215" s="15"/>
      <c r="AEL215" s="15"/>
      <c r="AES215" s="15"/>
      <c r="AET215" s="15"/>
      <c r="AFA215" s="15"/>
      <c r="AFB215" s="15"/>
      <c r="AFI215" s="15"/>
      <c r="AFJ215" s="15"/>
      <c r="AFQ215" s="15"/>
      <c r="AFR215" s="15"/>
      <c r="AFY215" s="15"/>
      <c r="AFZ215" s="15"/>
      <c r="AGG215" s="15"/>
      <c r="AGH215" s="15"/>
      <c r="AGO215" s="15"/>
      <c r="AGP215" s="15"/>
      <c r="AGW215" s="15"/>
      <c r="AGX215" s="15"/>
      <c r="AHE215" s="15"/>
      <c r="AHF215" s="15"/>
      <c r="AHM215" s="15"/>
      <c r="AHN215" s="15"/>
      <c r="AHU215" s="15"/>
      <c r="AHV215" s="15"/>
      <c r="AIC215" s="15"/>
      <c r="AID215" s="15"/>
      <c r="AIK215" s="15"/>
      <c r="AIL215" s="15"/>
      <c r="AIS215" s="15"/>
      <c r="AIT215" s="15"/>
      <c r="AJA215" s="15"/>
      <c r="AJB215" s="15"/>
      <c r="AJI215" s="15"/>
      <c r="AJJ215" s="15"/>
      <c r="AJQ215" s="15"/>
      <c r="AJR215" s="15"/>
      <c r="AJY215" s="15"/>
      <c r="AJZ215" s="15"/>
      <c r="AKG215" s="15"/>
      <c r="AKH215" s="15"/>
      <c r="AKO215" s="15"/>
      <c r="AKP215" s="15"/>
      <c r="AKW215" s="15"/>
      <c r="AKX215" s="15"/>
      <c r="ALE215" s="15"/>
      <c r="ALF215" s="15"/>
      <c r="ALM215" s="15"/>
      <c r="ALN215" s="15"/>
      <c r="ALU215" s="15"/>
      <c r="ALV215" s="15"/>
      <c r="AMC215" s="15"/>
      <c r="AMD215" s="15"/>
    </row>
    <row r="216" customFormat="false" ht="13.8" hidden="false" customHeight="false" outlineLevel="0" collapsed="false">
      <c r="A216" s="1" t="s">
        <v>729</v>
      </c>
      <c r="B216" s="12" t="n">
        <v>42905</v>
      </c>
      <c r="C216" s="0" t="n">
        <v>2</v>
      </c>
      <c r="D216" s="13" t="n">
        <v>40751</v>
      </c>
      <c r="E216" s="12" t="n">
        <v>33326</v>
      </c>
      <c r="F216" s="14" t="n">
        <f aca="false">(B216-E216)/365.25</f>
        <v>26.2258726899384</v>
      </c>
      <c r="G216" s="14" t="n">
        <f aca="false">(B216-D216)/365.25</f>
        <v>5.89733059548255</v>
      </c>
      <c r="H216" s="15" t="s">
        <v>181</v>
      </c>
      <c r="I216" s="15" t="s">
        <v>194</v>
      </c>
      <c r="J216" s="21" t="s">
        <v>181</v>
      </c>
      <c r="K216" s="21" t="n">
        <v>8</v>
      </c>
      <c r="L216" s="19" t="n">
        <v>75</v>
      </c>
      <c r="M216" s="0" t="n">
        <v>1.82</v>
      </c>
      <c r="N216" s="16" t="n">
        <f aca="false">L216/(M216*M216)</f>
        <v>22.6421929718633</v>
      </c>
      <c r="O216" s="19" t="n">
        <v>0</v>
      </c>
      <c r="P216" s="19" t="n">
        <v>0</v>
      </c>
      <c r="Q216" s="19" t="n">
        <v>0</v>
      </c>
      <c r="R216" s="26" t="n">
        <v>0</v>
      </c>
      <c r="S216" s="26" t="n">
        <v>0</v>
      </c>
      <c r="T216" s="26" t="n">
        <v>0</v>
      </c>
      <c r="U216" s="19" t="n">
        <v>0</v>
      </c>
      <c r="V216" s="19" t="n">
        <v>0</v>
      </c>
      <c r="W216" s="19" t="n">
        <v>0</v>
      </c>
      <c r="X216" s="19" t="n">
        <v>0</v>
      </c>
      <c r="Y216" s="19" t="n">
        <v>0</v>
      </c>
      <c r="Z216" s="19" t="n">
        <v>0</v>
      </c>
      <c r="AA216" s="19" t="n">
        <v>0</v>
      </c>
      <c r="AB216" s="19" t="n">
        <v>0</v>
      </c>
      <c r="AC216" s="19" t="n">
        <v>1</v>
      </c>
      <c r="AD216" s="19" t="n">
        <v>8</v>
      </c>
      <c r="AE216" s="19" t="n">
        <v>1</v>
      </c>
      <c r="AF216" s="19" t="n">
        <v>0</v>
      </c>
      <c r="AG216" s="19" t="n">
        <v>0</v>
      </c>
      <c r="AH216" s="19" t="n">
        <v>0</v>
      </c>
      <c r="AI216" s="19" t="n">
        <v>1</v>
      </c>
      <c r="AJ216" s="19" t="n">
        <v>1</v>
      </c>
      <c r="AK216" s="19" t="n">
        <v>0</v>
      </c>
      <c r="AL216" s="19" t="n">
        <v>0</v>
      </c>
      <c r="AM216" s="19" t="n">
        <v>0</v>
      </c>
      <c r="AN216" s="19" t="n">
        <v>0</v>
      </c>
      <c r="AO216" s="19" t="n">
        <v>0</v>
      </c>
      <c r="AP216" s="19" t="n">
        <v>0</v>
      </c>
      <c r="AQ216" s="19" t="n">
        <v>0</v>
      </c>
      <c r="AR216" s="19" t="n">
        <v>0</v>
      </c>
      <c r="AS216" s="19" t="n">
        <v>3</v>
      </c>
      <c r="AT216" s="19" t="n">
        <v>0</v>
      </c>
      <c r="AU216" s="19" t="n">
        <v>0</v>
      </c>
      <c r="AV216" s="19" t="n">
        <v>0</v>
      </c>
      <c r="AW216" s="19" t="n">
        <v>0</v>
      </c>
      <c r="AX216" s="19" t="n">
        <v>0</v>
      </c>
      <c r="AY216" s="19" t="n">
        <v>0</v>
      </c>
      <c r="AZ216" s="19" t="n">
        <v>0</v>
      </c>
      <c r="BA216" s="19" t="n">
        <v>0</v>
      </c>
      <c r="BB216" s="19" t="n">
        <v>1</v>
      </c>
      <c r="BC216" s="19" t="n">
        <v>1</v>
      </c>
      <c r="BD216" s="19" t="n">
        <v>0</v>
      </c>
      <c r="BE216" s="19" t="n">
        <v>0</v>
      </c>
      <c r="BF216" s="19" t="n">
        <v>0</v>
      </c>
      <c r="BG216" s="19" t="n">
        <v>0</v>
      </c>
      <c r="BH216" s="19" t="n">
        <v>0</v>
      </c>
      <c r="BI216" s="19" t="n">
        <v>0</v>
      </c>
      <c r="BJ216" s="19" t="n">
        <v>1</v>
      </c>
      <c r="BK216" s="19" t="n">
        <v>1</v>
      </c>
      <c r="BL216" s="19" t="n">
        <v>0</v>
      </c>
      <c r="BM216" s="19" t="n">
        <v>0</v>
      </c>
      <c r="BN216" s="19" t="n">
        <v>1</v>
      </c>
      <c r="BO216" s="19" t="n">
        <v>0</v>
      </c>
      <c r="BP216" s="19" t="n">
        <v>0</v>
      </c>
      <c r="BQ216" s="19" t="n">
        <v>0</v>
      </c>
      <c r="BR216" s="19" t="n">
        <v>4</v>
      </c>
      <c r="BS216" s="19" t="n">
        <v>3</v>
      </c>
      <c r="BT216" s="19" t="n">
        <v>4</v>
      </c>
      <c r="BU216" s="19" t="n">
        <v>4</v>
      </c>
      <c r="BV216" s="19" t="n">
        <v>3</v>
      </c>
      <c r="BW216" s="19" t="n">
        <v>3</v>
      </c>
      <c r="BX216" s="19" t="n">
        <v>3</v>
      </c>
      <c r="BY216" s="19" t="n">
        <v>4</v>
      </c>
      <c r="BZ216" s="19" t="n">
        <v>2</v>
      </c>
      <c r="CA216" s="19" t="n">
        <v>2</v>
      </c>
      <c r="CB216" s="19" t="n">
        <v>3</v>
      </c>
      <c r="CC216" s="19" t="n">
        <v>4</v>
      </c>
      <c r="CD216" s="19" t="n">
        <v>2</v>
      </c>
      <c r="CE216" s="19" t="n">
        <v>3</v>
      </c>
      <c r="CF216" s="19" t="n">
        <v>4</v>
      </c>
      <c r="CG216" s="19" t="n">
        <v>4</v>
      </c>
      <c r="CH216" s="19" t="n">
        <v>3</v>
      </c>
      <c r="CI216" s="19" t="n">
        <v>3</v>
      </c>
      <c r="CJ216" s="19" t="n">
        <v>3</v>
      </c>
      <c r="CK216" s="19" t="n">
        <v>10</v>
      </c>
      <c r="CL216" s="0" t="s">
        <v>195</v>
      </c>
      <c r="CM216" s="0" t="n">
        <v>37.5</v>
      </c>
      <c r="CN216" s="16" t="n">
        <v>87.4</v>
      </c>
      <c r="CO216" s="16" t="n">
        <v>80.4</v>
      </c>
      <c r="CP216" s="16" t="n">
        <v>18.5</v>
      </c>
      <c r="CQ216" s="0" t="n">
        <v>84.21</v>
      </c>
      <c r="CR216" s="17" t="n">
        <v>0</v>
      </c>
      <c r="CS216" s="0" t="n">
        <v>0</v>
      </c>
      <c r="CT216" s="0" t="n">
        <v>0</v>
      </c>
      <c r="CU216" s="0" t="n">
        <v>15.79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26.71</v>
      </c>
      <c r="DC216" s="0" t="n">
        <v>13.13</v>
      </c>
      <c r="DD216" s="0" t="n">
        <v>49.12</v>
      </c>
      <c r="DE216" s="0" t="n">
        <v>14.67</v>
      </c>
      <c r="DF216" s="0" t="n">
        <v>0</v>
      </c>
      <c r="DG216" s="0" t="n">
        <v>0</v>
      </c>
      <c r="DH216" s="0" t="n">
        <v>0</v>
      </c>
      <c r="DU216" s="0" t="n">
        <v>1.1</v>
      </c>
      <c r="DV216" s="0" t="n">
        <v>1</v>
      </c>
      <c r="DW216" s="0" t="n">
        <v>52</v>
      </c>
      <c r="DX216" s="0" t="n">
        <v>1</v>
      </c>
      <c r="DY216" s="0" t="n">
        <v>0.22</v>
      </c>
      <c r="DZ216" s="0" t="n">
        <v>2</v>
      </c>
      <c r="EA216" s="0" t="n">
        <v>35</v>
      </c>
      <c r="EB216" s="0" t="n">
        <v>2</v>
      </c>
      <c r="EC216" s="0" t="n">
        <v>0.16</v>
      </c>
      <c r="ED216" s="0" t="n">
        <v>3</v>
      </c>
      <c r="EG216" s="20"/>
      <c r="EY216" s="0" t="n">
        <v>0</v>
      </c>
      <c r="GJ216" s="16" t="n">
        <v>4.3</v>
      </c>
      <c r="GK216" s="16" t="n">
        <v>1</v>
      </c>
      <c r="GL216" s="16" t="n">
        <v>1</v>
      </c>
      <c r="GM216" s="16"/>
      <c r="GN216" s="16" t="n">
        <f aca="false">(2.11*6)+0.9+0.9+0.62+0.62+0.93+0.3+0.3+0.22+0.22+0.23+0.22+0.22+0.22</f>
        <v>18.56</v>
      </c>
      <c r="GO216" s="16"/>
      <c r="GP216" s="16"/>
      <c r="GQ216" s="16"/>
      <c r="GR216" s="16"/>
      <c r="GS216" s="16"/>
      <c r="GT216" s="16"/>
      <c r="GU216" s="16" t="n">
        <v>10.31</v>
      </c>
      <c r="GV216" s="16" t="n">
        <v>34.85</v>
      </c>
      <c r="GW216" s="16" t="n">
        <v>0</v>
      </c>
      <c r="GX216" s="16" t="n">
        <v>0</v>
      </c>
      <c r="GY216" s="16" t="n">
        <v>0</v>
      </c>
      <c r="GZ216" s="16" t="n">
        <v>0</v>
      </c>
      <c r="HA216" s="16" t="n">
        <v>0</v>
      </c>
      <c r="HB216" s="0" t="n">
        <v>0</v>
      </c>
      <c r="HC216" s="0" t="s">
        <v>196</v>
      </c>
      <c r="HD216" s="0" t="n">
        <v>39.5</v>
      </c>
      <c r="HE216" s="16" t="n">
        <v>89.8</v>
      </c>
      <c r="HF216" s="16" t="n">
        <v>80.4</v>
      </c>
      <c r="HG216" s="16" t="n">
        <v>5.1</v>
      </c>
      <c r="HH216" s="0" t="n">
        <v>100</v>
      </c>
      <c r="HI216" s="17" t="n">
        <v>0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0</v>
      </c>
      <c r="HP216" s="0" t="n">
        <v>0</v>
      </c>
      <c r="HQ216" s="0" t="n">
        <v>0</v>
      </c>
      <c r="HR216" s="0" t="n">
        <v>0</v>
      </c>
      <c r="HS216" s="0" t="n">
        <v>0</v>
      </c>
      <c r="HT216" s="0" t="n">
        <v>50.37</v>
      </c>
      <c r="HU216" s="0" t="n">
        <v>16.55</v>
      </c>
      <c r="HV216" s="0" t="n">
        <v>0.4</v>
      </c>
      <c r="HW216" s="0" t="n">
        <v>0</v>
      </c>
      <c r="HX216" s="0" t="n">
        <v>27.4</v>
      </c>
      <c r="HY216" s="0" t="n">
        <v>1</v>
      </c>
      <c r="HZ216" s="0" t="n">
        <v>3</v>
      </c>
      <c r="IB216" s="0" t="n">
        <v>4</v>
      </c>
      <c r="IF216" s="0" t="n">
        <v>3</v>
      </c>
      <c r="IH216" s="0" t="n">
        <v>4</v>
      </c>
      <c r="IL216" s="0" t="n">
        <v>0.1</v>
      </c>
      <c r="IM216" s="0" t="n">
        <v>1</v>
      </c>
      <c r="IN216" s="0" t="n">
        <v>34</v>
      </c>
      <c r="IO216" s="0" t="n">
        <v>9</v>
      </c>
      <c r="IP216" s="0" t="n">
        <f aca="false">(1.71*3)+(0.2*2)</f>
        <v>5.53</v>
      </c>
      <c r="IQ216" s="0" t="n">
        <v>1</v>
      </c>
      <c r="IR216" s="0" t="n">
        <v>35</v>
      </c>
      <c r="IS216" s="0" t="n">
        <v>1</v>
      </c>
      <c r="IT216" s="16" t="n">
        <v>0.02</v>
      </c>
      <c r="IU216" s="0" t="n">
        <v>3</v>
      </c>
      <c r="IX216" s="20"/>
      <c r="JP216" s="0" t="n">
        <v>0</v>
      </c>
      <c r="LA216" s="16" t="n">
        <v>1.49</v>
      </c>
      <c r="LB216" s="16" t="n">
        <v>1</v>
      </c>
      <c r="LC216" s="16" t="n">
        <v>1</v>
      </c>
      <c r="LD216" s="16"/>
      <c r="LE216" s="16" t="n">
        <f aca="false">2.11+2.11+0.56+0.56</f>
        <v>5.34</v>
      </c>
      <c r="LF216" s="16"/>
      <c r="LG216" s="16"/>
      <c r="LH216" s="16"/>
      <c r="LI216" s="16"/>
      <c r="LJ216" s="16"/>
      <c r="LK216" s="16"/>
      <c r="LL216" s="16" t="n">
        <v>5.01</v>
      </c>
      <c r="LM216" s="16" t="n">
        <v>5.13</v>
      </c>
      <c r="LN216" s="16" t="n">
        <v>0</v>
      </c>
      <c r="LO216" s="16" t="n">
        <v>0</v>
      </c>
      <c r="LP216" s="16" t="n">
        <v>0</v>
      </c>
      <c r="LQ216" s="16" t="n">
        <v>0</v>
      </c>
      <c r="LR216" s="16" t="n">
        <v>0</v>
      </c>
      <c r="LS216" s="0" t="n">
        <v>0</v>
      </c>
      <c r="LT216" s="0" t="s">
        <v>197</v>
      </c>
      <c r="LU216" s="0" t="n">
        <v>49.5</v>
      </c>
      <c r="LV216" s="16" t="n">
        <v>90.1</v>
      </c>
      <c r="LW216" s="16" t="n">
        <v>80.4</v>
      </c>
      <c r="LX216" s="16" t="n">
        <v>9.9</v>
      </c>
      <c r="LY216" s="0" t="n">
        <v>94.62</v>
      </c>
      <c r="LZ216" s="17" t="n">
        <v>0</v>
      </c>
      <c r="MA216" s="0" t="n">
        <v>0.32</v>
      </c>
      <c r="MB216" s="0" t="n">
        <v>0</v>
      </c>
      <c r="MC216" s="0" t="n">
        <v>5.05</v>
      </c>
      <c r="MD216" s="0" t="n">
        <v>0</v>
      </c>
      <c r="ME216" s="0" t="n">
        <v>0</v>
      </c>
      <c r="MF216" s="0" t="n">
        <v>0</v>
      </c>
      <c r="MG216" s="0" t="n">
        <v>0</v>
      </c>
      <c r="MH216" s="0" t="n">
        <v>0</v>
      </c>
      <c r="MI216" s="0" t="n">
        <v>0</v>
      </c>
      <c r="MJ216" s="0" t="n">
        <v>3.42</v>
      </c>
      <c r="MK216" s="0" t="n">
        <v>32.25</v>
      </c>
      <c r="ML216" s="0" t="n">
        <v>29.89</v>
      </c>
      <c r="MM216" s="0" t="n">
        <v>8.28</v>
      </c>
      <c r="MN216" s="0" t="n">
        <v>0</v>
      </c>
      <c r="MO216" s="0" t="n">
        <v>12.9</v>
      </c>
      <c r="MP216" s="0" t="n">
        <v>1</v>
      </c>
      <c r="MQ216" s="0" t="n">
        <v>7</v>
      </c>
      <c r="MS216" s="0" t="n">
        <v>5</v>
      </c>
      <c r="MT216" s="0" t="n">
        <v>3</v>
      </c>
      <c r="MV216" s="0" t="n">
        <v>3</v>
      </c>
      <c r="MW216" s="0" t="n">
        <v>7</v>
      </c>
      <c r="MY216" s="0" t="n">
        <v>5</v>
      </c>
      <c r="MZ216" s="0" t="n">
        <v>3</v>
      </c>
      <c r="NB216" s="0" t="n">
        <v>3</v>
      </c>
      <c r="NC216" s="0" t="n">
        <v>16.6</v>
      </c>
      <c r="ND216" s="0" t="n">
        <v>1</v>
      </c>
      <c r="NE216" s="0" t="n">
        <v>68</v>
      </c>
      <c r="NF216" s="0" t="n">
        <v>6</v>
      </c>
      <c r="NG216" s="0" t="n">
        <v>0.21</v>
      </c>
      <c r="NH216" s="0" t="n">
        <v>1</v>
      </c>
      <c r="NI216" s="0" t="n">
        <v>35</v>
      </c>
      <c r="NJ216" s="0" t="n">
        <v>3</v>
      </c>
      <c r="NK216" s="0" t="n">
        <v>0.51</v>
      </c>
      <c r="NL216" s="0" t="n">
        <v>3</v>
      </c>
      <c r="NM216" s="0" t="n">
        <v>47</v>
      </c>
      <c r="NN216" s="0" t="n">
        <v>22</v>
      </c>
      <c r="NO216" s="20" t="n">
        <f aca="false">(0.43*3)+(0.07*4)+0.22</f>
        <v>1.79</v>
      </c>
      <c r="NP216" s="0" t="n">
        <v>3</v>
      </c>
      <c r="OG216" s="0" t="n">
        <v>1</v>
      </c>
      <c r="OH216" s="0" t="n">
        <v>60</v>
      </c>
      <c r="OI216" s="0" t="n">
        <v>17</v>
      </c>
      <c r="OJ216" s="0" t="n">
        <f aca="false">0.22+0.04+0.11+0.08+0.08+0.05</f>
        <v>0.58</v>
      </c>
      <c r="OK216" s="0" t="n">
        <v>3</v>
      </c>
      <c r="OL216" s="0" t="n">
        <v>60</v>
      </c>
      <c r="OM216" s="0" t="n">
        <v>12</v>
      </c>
      <c r="ON216" s="0" t="n">
        <f aca="false">0.87+0.43+0.15+0.07</f>
        <v>1.52</v>
      </c>
      <c r="OO216" s="0" t="n">
        <v>1</v>
      </c>
      <c r="PR216" s="16" t="n">
        <v>2.49</v>
      </c>
      <c r="PS216" s="16" t="n">
        <v>1</v>
      </c>
      <c r="PT216" s="16" t="n">
        <v>1</v>
      </c>
      <c r="PU216" s="16"/>
      <c r="PV216" s="16" t="n">
        <v>10.89</v>
      </c>
      <c r="PW216" s="16"/>
      <c r="PX216" s="16"/>
      <c r="PY216" s="16"/>
      <c r="PZ216" s="16"/>
      <c r="QA216" s="16"/>
      <c r="QB216" s="16"/>
      <c r="QC216" s="16" t="n">
        <v>4.17</v>
      </c>
      <c r="QD216" s="16" t="n">
        <v>3.7</v>
      </c>
      <c r="QE216" s="16" t="n">
        <v>0</v>
      </c>
      <c r="QF216" s="16" t="n">
        <v>0</v>
      </c>
      <c r="QG216" s="16" t="n">
        <v>0</v>
      </c>
      <c r="QH216" s="16" t="n">
        <v>0</v>
      </c>
      <c r="QI216" s="16" t="n">
        <v>0</v>
      </c>
      <c r="QJ216" s="0" t="n">
        <v>0</v>
      </c>
      <c r="QK216" s="0" t="s">
        <v>198</v>
      </c>
      <c r="QL216" s="0" t="n">
        <v>28.5</v>
      </c>
      <c r="QM216" s="16" t="n">
        <v>78.4</v>
      </c>
      <c r="QN216" s="16" t="n">
        <v>80.4</v>
      </c>
      <c r="QO216" s="16" t="n">
        <v>16</v>
      </c>
      <c r="QP216" s="0" t="n">
        <v>95.22</v>
      </c>
      <c r="QQ216" s="17" t="n">
        <v>0</v>
      </c>
      <c r="QR216" s="0" t="n">
        <v>4.23</v>
      </c>
      <c r="QS216" s="0" t="n">
        <v>0</v>
      </c>
      <c r="QT216" s="0" t="n">
        <v>0</v>
      </c>
      <c r="QU216" s="0" t="n">
        <v>0</v>
      </c>
      <c r="QV216" s="0" t="n">
        <v>0</v>
      </c>
      <c r="QW216" s="0" t="n">
        <v>0</v>
      </c>
      <c r="QX216" s="0" t="n">
        <v>0</v>
      </c>
      <c r="QY216" s="0" t="n">
        <v>0</v>
      </c>
      <c r="QZ216" s="0" t="n">
        <v>0</v>
      </c>
      <c r="RA216" s="0" t="n">
        <v>9.77</v>
      </c>
      <c r="RB216" s="0" t="n">
        <v>2.18</v>
      </c>
      <c r="RC216" s="0" t="n">
        <v>46.81</v>
      </c>
      <c r="RD216" s="0" t="n">
        <v>10.57</v>
      </c>
      <c r="RE216" s="0" t="n">
        <v>0</v>
      </c>
      <c r="RF216" s="0" t="n">
        <v>0</v>
      </c>
      <c r="RG216" s="0" t="n">
        <v>0</v>
      </c>
      <c r="RT216" s="0" t="n">
        <v>0</v>
      </c>
      <c r="RU216" s="0" t="n">
        <v>0</v>
      </c>
      <c r="SF216" s="20"/>
      <c r="SX216" s="0" t="n">
        <v>0</v>
      </c>
      <c r="UI216" s="16" t="n">
        <v>4.23</v>
      </c>
      <c r="UJ216" s="16" t="n">
        <v>1</v>
      </c>
      <c r="UK216" s="16" t="n">
        <v>2</v>
      </c>
      <c r="UL216" s="16"/>
      <c r="UM216" s="16" t="n">
        <v>6.34</v>
      </c>
      <c r="UN216" s="16" t="n">
        <v>1</v>
      </c>
      <c r="UO216" s="16" t="n">
        <v>1</v>
      </c>
      <c r="UP216" s="16" t="n">
        <f aca="false">9.52+3.17+3.17+3.17+1.12+1.12+1.12</f>
        <v>22.39</v>
      </c>
      <c r="UQ216" s="16"/>
      <c r="UR216" s="16"/>
      <c r="US216" s="16"/>
      <c r="UT216" s="16" t="n">
        <v>5.41</v>
      </c>
      <c r="UU216" s="16" t="n">
        <v>8.96</v>
      </c>
      <c r="UV216" s="16" t="n">
        <v>0</v>
      </c>
      <c r="UW216" s="16" t="n">
        <v>0</v>
      </c>
      <c r="UX216" s="16" t="n">
        <v>0</v>
      </c>
      <c r="UY216" s="16" t="n">
        <v>0</v>
      </c>
      <c r="UZ216" s="16" t="n">
        <v>0</v>
      </c>
      <c r="VA216" s="0" t="n">
        <v>0</v>
      </c>
      <c r="VB216" s="0" t="s">
        <v>199</v>
      </c>
      <c r="VC216" s="0" t="n">
        <v>56.5</v>
      </c>
      <c r="VD216" s="16" t="n">
        <v>88.4</v>
      </c>
      <c r="VE216" s="16" t="n">
        <v>80.4</v>
      </c>
      <c r="VF216" s="16" t="n">
        <v>24.8</v>
      </c>
      <c r="VG216" s="0" t="n">
        <v>77.37</v>
      </c>
      <c r="VH216" s="17" t="n">
        <v>0</v>
      </c>
      <c r="VI216" s="0" t="n">
        <v>7.99</v>
      </c>
      <c r="VJ216" s="0" t="n">
        <v>0</v>
      </c>
      <c r="VK216" s="0" t="n">
        <v>14.63</v>
      </c>
      <c r="VL216" s="0" t="n">
        <v>0</v>
      </c>
      <c r="VM216" s="0" t="n">
        <v>0</v>
      </c>
      <c r="VN216" s="0" t="n">
        <v>0</v>
      </c>
      <c r="VO216" s="0" t="n">
        <v>0</v>
      </c>
      <c r="VP216" s="0" t="n">
        <v>0</v>
      </c>
      <c r="VQ216" s="0" t="n">
        <v>0</v>
      </c>
      <c r="VR216" s="0" t="n">
        <v>8.04</v>
      </c>
      <c r="VS216" s="0" t="n">
        <v>23.21</v>
      </c>
      <c r="VT216" s="0" t="n">
        <v>37.03</v>
      </c>
      <c r="VU216" s="0" t="n">
        <v>14.79</v>
      </c>
      <c r="VV216" s="0" t="n">
        <v>0</v>
      </c>
      <c r="VW216" s="0" t="n">
        <v>0</v>
      </c>
      <c r="VX216" s="0" t="n">
        <v>0</v>
      </c>
      <c r="WK216" s="0" t="n">
        <v>25.5</v>
      </c>
      <c r="WL216" s="0" t="n">
        <v>1</v>
      </c>
      <c r="WM216" s="0" t="n">
        <v>52</v>
      </c>
      <c r="WN216" s="0" t="n">
        <v>13</v>
      </c>
      <c r="WO216" s="0" t="n">
        <f aca="false">0.27+1.07+0.13+0.27</f>
        <v>1.74</v>
      </c>
      <c r="WP216" s="0" t="n">
        <v>2</v>
      </c>
      <c r="WQ216" s="0" t="n">
        <v>35</v>
      </c>
      <c r="WR216" s="0" t="n">
        <v>3</v>
      </c>
      <c r="WS216" s="0" t="n">
        <f aca="false">0.13+0.08+0.24</f>
        <v>0.45</v>
      </c>
      <c r="WT216" s="0" t="n">
        <v>3</v>
      </c>
      <c r="WU216" s="0" t="n">
        <v>47</v>
      </c>
      <c r="WV216" s="0" t="n">
        <v>5</v>
      </c>
      <c r="WW216" s="20" t="n">
        <f aca="false">0.76+1.14+0.76+0.13+0.08</f>
        <v>2.87</v>
      </c>
      <c r="WX216" s="0" t="n">
        <v>3</v>
      </c>
      <c r="XO216" s="0" t="n">
        <v>0</v>
      </c>
      <c r="YZ216" s="16" t="n">
        <v>2.59</v>
      </c>
      <c r="ZA216" s="16" t="n">
        <v>1</v>
      </c>
      <c r="ZB216" s="16" t="n">
        <v>1</v>
      </c>
      <c r="ZC216" s="16"/>
      <c r="ZD216" s="16" t="n">
        <f aca="false">(2.11*4)+0.37</f>
        <v>8.81</v>
      </c>
      <c r="ZE216" s="16"/>
      <c r="ZF216" s="16"/>
      <c r="ZG216" s="16"/>
      <c r="ZH216" s="16"/>
      <c r="ZI216" s="16"/>
      <c r="ZJ216" s="16"/>
      <c r="ZK216" s="16" t="n">
        <v>1.33</v>
      </c>
      <c r="ZL216" s="16" t="n">
        <v>0.89</v>
      </c>
      <c r="ZM216" s="16" t="n">
        <v>0</v>
      </c>
      <c r="ZN216" s="16" t="n">
        <v>0</v>
      </c>
      <c r="ZO216" s="16" t="n">
        <v>0</v>
      </c>
      <c r="ZP216" s="16" t="n">
        <v>0</v>
      </c>
      <c r="ZQ216" s="16" t="n">
        <v>0</v>
      </c>
      <c r="ZR216" s="0" t="n">
        <v>0</v>
      </c>
      <c r="ZS216" s="0" t="s">
        <v>200</v>
      </c>
      <c r="ZT216" s="0" t="n">
        <v>28.5</v>
      </c>
      <c r="ZU216" s="16" t="n">
        <v>69.4</v>
      </c>
      <c r="ZV216" s="16" t="n">
        <v>80.4</v>
      </c>
      <c r="ZW216" s="16" t="n">
        <v>9.8</v>
      </c>
      <c r="ZX216" s="0" t="n">
        <v>96.02</v>
      </c>
      <c r="ZY216" s="17" t="n">
        <v>0</v>
      </c>
      <c r="ZZ216" s="0" t="n">
        <v>3.98</v>
      </c>
      <c r="AAA216" s="0" t="n">
        <v>0</v>
      </c>
      <c r="AAB216" s="0" t="n">
        <v>0</v>
      </c>
      <c r="AAC216" s="0" t="n">
        <v>0</v>
      </c>
      <c r="AAD216" s="0" t="n">
        <v>0</v>
      </c>
      <c r="AAE216" s="0" t="n">
        <v>0</v>
      </c>
      <c r="AAF216" s="0" t="n">
        <v>0</v>
      </c>
      <c r="AAG216" s="0" t="n">
        <v>0</v>
      </c>
      <c r="AAH216" s="0" t="n">
        <v>0</v>
      </c>
      <c r="AAI216" s="0" t="n">
        <v>0</v>
      </c>
      <c r="AAJ216" s="0" t="n">
        <v>16.55</v>
      </c>
      <c r="AAK216" s="0" t="n">
        <v>26.49</v>
      </c>
      <c r="AAL216" s="0" t="n">
        <v>6.34</v>
      </c>
      <c r="AAM216" s="0" t="n">
        <v>0</v>
      </c>
      <c r="AAN216" s="0" t="n">
        <v>0</v>
      </c>
      <c r="AAO216" s="0" t="n">
        <v>0</v>
      </c>
      <c r="ABB216" s="0" t="n">
        <v>10.2</v>
      </c>
      <c r="ABC216" s="0" t="n">
        <v>1</v>
      </c>
      <c r="ABD216" s="0" t="n">
        <v>35</v>
      </c>
      <c r="ABE216" s="0" t="n">
        <v>1</v>
      </c>
      <c r="ABF216" s="0" t="n">
        <v>0.02</v>
      </c>
      <c r="ABG216" s="0" t="n">
        <v>3</v>
      </c>
      <c r="ABH216" s="0" t="n">
        <v>70</v>
      </c>
      <c r="ABI216" s="0" t="n">
        <v>2</v>
      </c>
      <c r="ABJ216" s="0" t="n">
        <v>0.27</v>
      </c>
      <c r="ABK216" s="0" t="n">
        <v>3</v>
      </c>
      <c r="ABN216" s="20"/>
      <c r="ACF216" s="0" t="n">
        <v>1</v>
      </c>
      <c r="ACG216" s="0" t="n">
        <v>50</v>
      </c>
      <c r="ACH216" s="0" t="n">
        <v>5</v>
      </c>
      <c r="ACI216" s="0" t="n">
        <f aca="false">1.52+0.5+0.19+0.12</f>
        <v>2.33</v>
      </c>
      <c r="ACJ216" s="0" t="n">
        <v>3</v>
      </c>
      <c r="ADQ216" s="16" t="n">
        <v>2.63</v>
      </c>
      <c r="ADR216" s="16" t="n">
        <v>1</v>
      </c>
      <c r="ADS216" s="16" t="n">
        <v>1</v>
      </c>
      <c r="ADT216" s="16"/>
      <c r="ADU216" s="16" t="n">
        <f aca="false">0.04+2.11+3.17+0.37+0.56</f>
        <v>6.25</v>
      </c>
      <c r="ADV216" s="16" t="n">
        <v>2</v>
      </c>
      <c r="ADW216" s="16"/>
      <c r="ADX216" s="16" t="n">
        <f aca="false">0.53+0.53+0.11+0.07+0.15</f>
        <v>1.39</v>
      </c>
      <c r="ADY216" s="16"/>
      <c r="ADZ216" s="16"/>
      <c r="AEA216" s="16"/>
      <c r="AEB216" s="16" t="n">
        <v>3.33</v>
      </c>
      <c r="AEC216" s="16" t="n">
        <v>2.06</v>
      </c>
      <c r="AED216" s="16" t="n">
        <v>0</v>
      </c>
      <c r="AEE216" s="16" t="n">
        <v>0</v>
      </c>
      <c r="AEF216" s="16" t="n">
        <v>0</v>
      </c>
      <c r="AEG216" s="16" t="n">
        <v>0</v>
      </c>
      <c r="AEH216" s="16" t="n">
        <v>0</v>
      </c>
      <c r="AEI216" s="0" t="n">
        <v>0</v>
      </c>
      <c r="AEJ216" s="0" t="s">
        <v>201</v>
      </c>
      <c r="AEK216" s="0" t="n">
        <v>48.5</v>
      </c>
      <c r="AEL216" s="16" t="n">
        <v>89.7</v>
      </c>
      <c r="AEM216" s="16" t="n">
        <v>80.4</v>
      </c>
      <c r="AEN216" s="16" t="n">
        <v>9.3</v>
      </c>
      <c r="AEO216" s="0" t="n">
        <v>100</v>
      </c>
      <c r="AEP216" s="17" t="n">
        <v>0</v>
      </c>
      <c r="AEQ216" s="0" t="n">
        <v>0</v>
      </c>
      <c r="AER216" s="0" t="n">
        <v>0</v>
      </c>
      <c r="AES216" s="0" t="n">
        <v>0</v>
      </c>
      <c r="AET216" s="0" t="n">
        <v>0</v>
      </c>
      <c r="AEU216" s="0" t="n">
        <v>0</v>
      </c>
      <c r="AEV216" s="0" t="n">
        <v>0</v>
      </c>
      <c r="AEW216" s="0" t="n">
        <v>0</v>
      </c>
      <c r="AEX216" s="0" t="n">
        <v>0</v>
      </c>
      <c r="AEY216" s="0" t="n">
        <v>0</v>
      </c>
      <c r="AEZ216" s="0" t="n">
        <v>1.65</v>
      </c>
      <c r="AFA216" s="0" t="n">
        <v>2.69</v>
      </c>
      <c r="AFB216" s="0" t="n">
        <v>54.55</v>
      </c>
      <c r="AFC216" s="0" t="n">
        <v>11.29</v>
      </c>
      <c r="AFD216" s="0" t="n">
        <v>0</v>
      </c>
      <c r="AFE216" s="0" t="n">
        <v>0</v>
      </c>
      <c r="AFF216" s="0" t="n">
        <v>0</v>
      </c>
      <c r="AFS216" s="0" t="n">
        <v>30.6</v>
      </c>
      <c r="AFT216" s="0" t="n">
        <v>1</v>
      </c>
      <c r="AFU216" s="0" t="n">
        <v>35</v>
      </c>
      <c r="AFV216" s="0" t="n">
        <v>14</v>
      </c>
      <c r="AFW216" s="0" t="n">
        <f aca="false">3.05+1.52+1.52+0.27+0.03+0.07</f>
        <v>6.46</v>
      </c>
      <c r="AFX216" s="0" t="n">
        <v>3</v>
      </c>
      <c r="AFY216" s="0" t="n">
        <v>47</v>
      </c>
      <c r="AFZ216" s="0" t="n">
        <v>6</v>
      </c>
      <c r="AGA216" s="0" t="n">
        <f aca="false">1.52+0.27*2</f>
        <v>2.06</v>
      </c>
      <c r="AGB216" s="0" t="n">
        <v>3</v>
      </c>
      <c r="AGE216" s="20"/>
      <c r="AGW216" s="0" t="n">
        <v>0</v>
      </c>
      <c r="AIH216" s="16" t="n">
        <v>3.34</v>
      </c>
      <c r="AII216" s="16" t="n">
        <v>1</v>
      </c>
      <c r="AIJ216" s="16" t="n">
        <v>1</v>
      </c>
      <c r="AIK216" s="16"/>
      <c r="AIL216" s="16" t="n">
        <f aca="false">4.23+1.14+2.11+4.23+1.37+0.02+2.03+0.75+0.37+0.13</f>
        <v>16.38</v>
      </c>
      <c r="AIM216" s="16"/>
      <c r="AIN216" s="16"/>
      <c r="AIO216" s="16"/>
      <c r="AIP216" s="16"/>
      <c r="AIQ216" s="16"/>
      <c r="AIR216" s="16"/>
      <c r="AIS216" s="16" t="n">
        <v>1.45</v>
      </c>
      <c r="AIT216" s="16" t="n">
        <v>1.46</v>
      </c>
      <c r="AIU216" s="16" t="n">
        <v>0</v>
      </c>
      <c r="AIV216" s="16" t="n">
        <v>0</v>
      </c>
      <c r="AIW216" s="16" t="n">
        <v>0</v>
      </c>
      <c r="AIX216" s="16" t="n">
        <v>0</v>
      </c>
      <c r="AIY216" s="16" t="n">
        <v>0</v>
      </c>
      <c r="AIZ216" s="0" t="n">
        <v>0</v>
      </c>
      <c r="AJA216" s="15"/>
      <c r="AJB216" s="15"/>
      <c r="AJI216" s="15"/>
      <c r="AJJ216" s="15"/>
      <c r="AJQ216" s="15"/>
      <c r="AJR216" s="15"/>
      <c r="AJY216" s="15"/>
      <c r="AJZ216" s="15"/>
      <c r="AKG216" s="15"/>
      <c r="AKH216" s="15"/>
      <c r="AKO216" s="15"/>
      <c r="AKP216" s="15"/>
      <c r="AKW216" s="15"/>
      <c r="AKX216" s="15"/>
      <c r="ALE216" s="15"/>
      <c r="ALF216" s="15"/>
      <c r="ALM216" s="15"/>
      <c r="ALN216" s="15"/>
      <c r="ALU216" s="15"/>
      <c r="ALV216" s="15"/>
      <c r="AMC216" s="15"/>
      <c r="AMD216" s="15"/>
    </row>
    <row r="217" customFormat="false" ht="13.8" hidden="false" customHeight="false" outlineLevel="0" collapsed="false">
      <c r="A217" s="1" t="s">
        <v>730</v>
      </c>
      <c r="B217" s="12" t="n">
        <v>42905</v>
      </c>
      <c r="C217" s="0" t="n">
        <v>2</v>
      </c>
      <c r="D217" s="13" t="n">
        <v>42814</v>
      </c>
      <c r="E217" s="12" t="n">
        <v>34638</v>
      </c>
      <c r="F217" s="14" t="n">
        <f aca="false">(B217-E217)/365.25</f>
        <v>22.6338124572211</v>
      </c>
      <c r="G217" s="14" t="n">
        <f aca="false">(B217-D217)/365.25</f>
        <v>0.249144421629021</v>
      </c>
      <c r="H217" s="15" t="s">
        <v>181</v>
      </c>
      <c r="I217" s="15" t="s">
        <v>194</v>
      </c>
      <c r="J217" s="21" t="s">
        <v>181</v>
      </c>
      <c r="K217" s="21" t="n">
        <v>8</v>
      </c>
      <c r="L217" s="19" t="n">
        <v>64</v>
      </c>
      <c r="M217" s="0" t="n">
        <v>1.72</v>
      </c>
      <c r="N217" s="16" t="n">
        <f aca="false">L217/(M217*M217)</f>
        <v>21.6333153055706</v>
      </c>
      <c r="O217" s="19" t="n">
        <v>0</v>
      </c>
      <c r="P217" s="19" t="n">
        <v>0</v>
      </c>
      <c r="Q217" s="19" t="n">
        <v>0</v>
      </c>
      <c r="R217" s="26" t="n">
        <v>0</v>
      </c>
      <c r="S217" s="26" t="n">
        <v>0</v>
      </c>
      <c r="T217" s="26" t="n">
        <v>0</v>
      </c>
      <c r="U217" s="19" t="n">
        <v>0</v>
      </c>
      <c r="V217" s="19" t="n">
        <v>0</v>
      </c>
      <c r="W217" s="19" t="n">
        <v>0</v>
      </c>
      <c r="X217" s="19" t="n">
        <v>0</v>
      </c>
      <c r="Y217" s="19" t="n">
        <v>1</v>
      </c>
      <c r="Z217" s="19" t="n">
        <v>2</v>
      </c>
      <c r="AA217" s="19" t="n">
        <v>20</v>
      </c>
      <c r="AB217" s="19" t="s">
        <v>349</v>
      </c>
      <c r="AC217" s="19" t="n">
        <v>0</v>
      </c>
      <c r="AD217" s="19" t="n">
        <v>0</v>
      </c>
      <c r="AE217" s="19" t="n">
        <v>0</v>
      </c>
      <c r="AF217" s="19" t="n">
        <v>0</v>
      </c>
      <c r="AG217" s="19" t="n">
        <v>0</v>
      </c>
      <c r="AH217" s="19" t="n">
        <v>0</v>
      </c>
      <c r="AI217" s="19" t="n">
        <v>0</v>
      </c>
      <c r="AJ217" s="19" t="n">
        <v>0</v>
      </c>
      <c r="AK217" s="19" t="n">
        <v>0</v>
      </c>
      <c r="AL217" s="19" t="n">
        <v>0</v>
      </c>
      <c r="AM217" s="19" t="n">
        <v>0</v>
      </c>
      <c r="AN217" s="19" t="n">
        <v>0</v>
      </c>
      <c r="AO217" s="19" t="n">
        <v>0</v>
      </c>
      <c r="AP217" s="19" t="n">
        <v>0</v>
      </c>
      <c r="AQ217" s="19" t="n">
        <v>0</v>
      </c>
      <c r="AR217" s="19" t="n">
        <v>0</v>
      </c>
      <c r="AS217" s="19" t="n">
        <v>0</v>
      </c>
      <c r="AT217" s="19" t="n">
        <v>0</v>
      </c>
      <c r="AU217" s="19" t="n">
        <v>0</v>
      </c>
      <c r="AV217" s="19" t="n">
        <v>0</v>
      </c>
      <c r="AW217" s="19" t="n">
        <v>0</v>
      </c>
      <c r="AX217" s="19" t="n">
        <v>0</v>
      </c>
      <c r="AY217" s="19" t="n">
        <v>0</v>
      </c>
      <c r="AZ217" s="19" t="n">
        <v>0</v>
      </c>
      <c r="BA217" s="19" t="n">
        <v>0</v>
      </c>
      <c r="BB217" s="19" t="n">
        <v>0</v>
      </c>
      <c r="BC217" s="19" t="n">
        <v>0</v>
      </c>
      <c r="BD217" s="19" t="n">
        <v>0</v>
      </c>
      <c r="BE217" s="19" t="n">
        <v>0</v>
      </c>
      <c r="BF217" s="19" t="n">
        <v>1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19" t="n">
        <v>0</v>
      </c>
      <c r="BL217" s="19" t="n">
        <v>0</v>
      </c>
      <c r="BM217" s="19" t="n">
        <v>0</v>
      </c>
      <c r="BN217" s="19" t="n">
        <v>1</v>
      </c>
      <c r="BO217" s="19" t="n">
        <v>1</v>
      </c>
      <c r="BP217" s="19" t="n">
        <v>0</v>
      </c>
      <c r="BQ217" s="19" t="n">
        <v>0</v>
      </c>
      <c r="BR217" s="19" t="n">
        <v>1</v>
      </c>
      <c r="BS217" s="19" t="n">
        <v>2</v>
      </c>
      <c r="BT217" s="19" t="n">
        <v>4</v>
      </c>
      <c r="BU217" s="19" t="n">
        <v>5</v>
      </c>
      <c r="BV217" s="19" t="n">
        <v>3</v>
      </c>
      <c r="BW217" s="19" t="n">
        <v>1</v>
      </c>
      <c r="BX217" s="19" t="n">
        <v>4</v>
      </c>
      <c r="BY217" s="19" t="n">
        <v>4</v>
      </c>
      <c r="BZ217" s="19" t="n">
        <v>5</v>
      </c>
      <c r="CA217" s="19" t="n">
        <v>5</v>
      </c>
      <c r="CB217" s="19" t="n">
        <v>5</v>
      </c>
      <c r="CC217" s="19" t="n">
        <v>5</v>
      </c>
      <c r="CD217" s="19" t="n">
        <v>4</v>
      </c>
      <c r="CE217" s="19" t="n">
        <v>5</v>
      </c>
      <c r="CF217" s="19" t="n">
        <v>5</v>
      </c>
      <c r="CG217" s="19" t="n">
        <v>5</v>
      </c>
      <c r="CH217" s="19" t="n">
        <v>5</v>
      </c>
      <c r="CI217" s="19" t="n">
        <v>5</v>
      </c>
      <c r="CJ217" s="19" t="n">
        <v>4</v>
      </c>
      <c r="CK217" s="19" t="n">
        <v>8</v>
      </c>
      <c r="CL217" s="0" t="s">
        <v>195</v>
      </c>
      <c r="CM217" s="0" t="n">
        <v>37.5</v>
      </c>
      <c r="CN217" s="16" t="n">
        <v>87.4</v>
      </c>
      <c r="CO217" s="16" t="n">
        <v>80.4</v>
      </c>
      <c r="CP217" s="16" t="n">
        <v>18.5</v>
      </c>
      <c r="CQ217" s="0" t="n">
        <v>84.21</v>
      </c>
      <c r="CR217" s="17" t="n">
        <v>0</v>
      </c>
      <c r="CS217" s="0" t="n">
        <v>0</v>
      </c>
      <c r="CT217" s="0" t="n">
        <v>0</v>
      </c>
      <c r="CU217" s="0" t="n">
        <v>15.79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26.71</v>
      </c>
      <c r="DC217" s="0" t="n">
        <v>13.13</v>
      </c>
      <c r="DD217" s="0" t="n">
        <v>49.12</v>
      </c>
      <c r="DE217" s="0" t="n">
        <v>14.67</v>
      </c>
      <c r="DF217" s="0" t="n">
        <v>0</v>
      </c>
      <c r="DG217" s="0" t="n">
        <v>0</v>
      </c>
      <c r="DH217" s="0" t="n">
        <v>0</v>
      </c>
      <c r="DU217" s="0" t="n">
        <v>1.1</v>
      </c>
      <c r="DV217" s="0" t="n">
        <v>1</v>
      </c>
      <c r="DW217" s="0" t="n">
        <v>52</v>
      </c>
      <c r="DX217" s="0" t="n">
        <v>1</v>
      </c>
      <c r="DY217" s="0" t="n">
        <v>0.22</v>
      </c>
      <c r="DZ217" s="0" t="n">
        <v>2</v>
      </c>
      <c r="EA217" s="0" t="n">
        <v>35</v>
      </c>
      <c r="EB217" s="0" t="n">
        <v>2</v>
      </c>
      <c r="EC217" s="0" t="n">
        <v>0.16</v>
      </c>
      <c r="ED217" s="0" t="n">
        <v>3</v>
      </c>
      <c r="EG217" s="20"/>
      <c r="EY217" s="0" t="n">
        <v>0</v>
      </c>
      <c r="GJ217" s="16" t="n">
        <v>4.3</v>
      </c>
      <c r="GK217" s="16" t="n">
        <v>1</v>
      </c>
      <c r="GL217" s="16" t="n">
        <v>1</v>
      </c>
      <c r="GM217" s="16"/>
      <c r="GN217" s="16" t="n">
        <f aca="false">(2.11*6)+0.9+0.9+0.62+0.62+0.93+0.3+0.3+0.22+0.22+0.23+0.22+0.22+0.22</f>
        <v>18.56</v>
      </c>
      <c r="GO217" s="16"/>
      <c r="GP217" s="16"/>
      <c r="GQ217" s="16"/>
      <c r="GR217" s="16"/>
      <c r="GS217" s="16"/>
      <c r="GT217" s="16"/>
      <c r="GU217" s="16" t="n">
        <v>10.31</v>
      </c>
      <c r="GV217" s="16" t="n">
        <v>34.85</v>
      </c>
      <c r="GW217" s="16" t="n">
        <v>0</v>
      </c>
      <c r="GX217" s="16" t="n">
        <v>0</v>
      </c>
      <c r="GY217" s="16" t="n">
        <v>0</v>
      </c>
      <c r="GZ217" s="16" t="n">
        <v>0</v>
      </c>
      <c r="HA217" s="16" t="n">
        <v>0</v>
      </c>
      <c r="HB217" s="0" t="n">
        <v>0</v>
      </c>
      <c r="HC217" s="0" t="s">
        <v>196</v>
      </c>
      <c r="HD217" s="0" t="n">
        <v>39.5</v>
      </c>
      <c r="HE217" s="16" t="n">
        <v>89.8</v>
      </c>
      <c r="HF217" s="16" t="n">
        <v>80.4</v>
      </c>
      <c r="HG217" s="16" t="n">
        <v>5.1</v>
      </c>
      <c r="HH217" s="0" t="n">
        <v>100</v>
      </c>
      <c r="HI217" s="17" t="n">
        <v>0</v>
      </c>
      <c r="HJ217" s="0" t="n">
        <v>0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0</v>
      </c>
      <c r="HQ217" s="0" t="n">
        <v>0</v>
      </c>
      <c r="HR217" s="0" t="n">
        <v>0</v>
      </c>
      <c r="HS217" s="0" t="n">
        <v>0</v>
      </c>
      <c r="HT217" s="0" t="n">
        <v>50.37</v>
      </c>
      <c r="HU217" s="0" t="n">
        <v>16.55</v>
      </c>
      <c r="HV217" s="0" t="n">
        <v>0.4</v>
      </c>
      <c r="HW217" s="0" t="n">
        <v>0</v>
      </c>
      <c r="HX217" s="0" t="n">
        <v>27.4</v>
      </c>
      <c r="HY217" s="0" t="n">
        <v>1</v>
      </c>
      <c r="HZ217" s="0" t="n">
        <v>3</v>
      </c>
      <c r="IB217" s="0" t="n">
        <v>4</v>
      </c>
      <c r="IF217" s="0" t="n">
        <v>3</v>
      </c>
      <c r="IH217" s="0" t="n">
        <v>4</v>
      </c>
      <c r="IL217" s="0" t="n">
        <v>0.1</v>
      </c>
      <c r="IM217" s="0" t="n">
        <v>1</v>
      </c>
      <c r="IN217" s="0" t="n">
        <v>34</v>
      </c>
      <c r="IO217" s="0" t="n">
        <v>9</v>
      </c>
      <c r="IP217" s="0" t="n">
        <f aca="false">(1.71*3)+(0.2*2)</f>
        <v>5.53</v>
      </c>
      <c r="IQ217" s="0" t="n">
        <v>1</v>
      </c>
      <c r="IR217" s="0" t="n">
        <v>35</v>
      </c>
      <c r="IS217" s="0" t="n">
        <v>1</v>
      </c>
      <c r="IT217" s="16" t="n">
        <v>0.02</v>
      </c>
      <c r="IU217" s="0" t="n">
        <v>3</v>
      </c>
      <c r="IX217" s="20"/>
      <c r="JP217" s="0" t="n">
        <v>0</v>
      </c>
      <c r="LA217" s="16" t="n">
        <v>1.49</v>
      </c>
      <c r="LB217" s="16" t="n">
        <v>1</v>
      </c>
      <c r="LC217" s="16" t="n">
        <v>1</v>
      </c>
      <c r="LD217" s="16"/>
      <c r="LE217" s="16" t="n">
        <f aca="false">2.11+2.11+0.56+0.56</f>
        <v>5.34</v>
      </c>
      <c r="LF217" s="16"/>
      <c r="LG217" s="16"/>
      <c r="LH217" s="16"/>
      <c r="LI217" s="16"/>
      <c r="LJ217" s="16"/>
      <c r="LK217" s="16"/>
      <c r="LL217" s="16" t="n">
        <v>5.01</v>
      </c>
      <c r="LM217" s="16" t="n">
        <v>5.13</v>
      </c>
      <c r="LN217" s="16" t="n">
        <v>0</v>
      </c>
      <c r="LO217" s="16" t="n">
        <v>0</v>
      </c>
      <c r="LP217" s="16" t="n">
        <v>0</v>
      </c>
      <c r="LQ217" s="16" t="n">
        <v>0</v>
      </c>
      <c r="LR217" s="16" t="n">
        <v>0</v>
      </c>
      <c r="LS217" s="0" t="n">
        <v>0</v>
      </c>
      <c r="LT217" s="0" t="s">
        <v>197</v>
      </c>
      <c r="LU217" s="0" t="n">
        <v>49.5</v>
      </c>
      <c r="LV217" s="16" t="n">
        <v>90.1</v>
      </c>
      <c r="LW217" s="16" t="n">
        <v>80.4</v>
      </c>
      <c r="LX217" s="16" t="n">
        <v>9.9</v>
      </c>
      <c r="LY217" s="0" t="n">
        <v>94.62</v>
      </c>
      <c r="LZ217" s="17" t="n">
        <v>0</v>
      </c>
      <c r="MA217" s="0" t="n">
        <v>0.32</v>
      </c>
      <c r="MB217" s="0" t="n">
        <v>0</v>
      </c>
      <c r="MC217" s="0" t="n">
        <v>5.05</v>
      </c>
      <c r="MD217" s="0" t="n">
        <v>0</v>
      </c>
      <c r="ME217" s="0" t="n">
        <v>0</v>
      </c>
      <c r="MF217" s="0" t="n">
        <v>0</v>
      </c>
      <c r="MG217" s="0" t="n">
        <v>0</v>
      </c>
      <c r="MH217" s="0" t="n">
        <v>0</v>
      </c>
      <c r="MI217" s="0" t="n">
        <v>0</v>
      </c>
      <c r="MJ217" s="0" t="n">
        <v>3.42</v>
      </c>
      <c r="MK217" s="0" t="n">
        <v>32.25</v>
      </c>
      <c r="ML217" s="0" t="n">
        <v>29.89</v>
      </c>
      <c r="MM217" s="0" t="n">
        <v>8.28</v>
      </c>
      <c r="MN217" s="0" t="n">
        <v>0</v>
      </c>
      <c r="MO217" s="0" t="n">
        <v>12.9</v>
      </c>
      <c r="MP217" s="0" t="n">
        <v>1</v>
      </c>
      <c r="MQ217" s="0" t="n">
        <v>7</v>
      </c>
      <c r="MS217" s="0" t="n">
        <v>5</v>
      </c>
      <c r="MT217" s="0" t="n">
        <v>3</v>
      </c>
      <c r="MV217" s="0" t="n">
        <v>3</v>
      </c>
      <c r="MW217" s="0" t="n">
        <v>7</v>
      </c>
      <c r="MY217" s="0" t="n">
        <v>5</v>
      </c>
      <c r="MZ217" s="0" t="n">
        <v>3</v>
      </c>
      <c r="NB217" s="0" t="n">
        <v>3</v>
      </c>
      <c r="NC217" s="0" t="n">
        <v>16.6</v>
      </c>
      <c r="ND217" s="0" t="n">
        <v>1</v>
      </c>
      <c r="NE217" s="0" t="n">
        <v>68</v>
      </c>
      <c r="NF217" s="0" t="n">
        <v>6</v>
      </c>
      <c r="NG217" s="0" t="n">
        <v>0.21</v>
      </c>
      <c r="NH217" s="0" t="n">
        <v>1</v>
      </c>
      <c r="NI217" s="0" t="n">
        <v>35</v>
      </c>
      <c r="NJ217" s="0" t="n">
        <v>3</v>
      </c>
      <c r="NK217" s="0" t="n">
        <v>0.51</v>
      </c>
      <c r="NL217" s="0" t="n">
        <v>3</v>
      </c>
      <c r="NM217" s="0" t="n">
        <v>47</v>
      </c>
      <c r="NN217" s="0" t="n">
        <v>22</v>
      </c>
      <c r="NO217" s="20" t="n">
        <f aca="false">(0.43*3)+(0.07*4)+0.22</f>
        <v>1.79</v>
      </c>
      <c r="NP217" s="0" t="n">
        <v>3</v>
      </c>
      <c r="OG217" s="0" t="n">
        <v>1</v>
      </c>
      <c r="OH217" s="0" t="n">
        <v>60</v>
      </c>
      <c r="OI217" s="0" t="n">
        <v>17</v>
      </c>
      <c r="OJ217" s="0" t="n">
        <f aca="false">0.22+0.04+0.11+0.08+0.08+0.05</f>
        <v>0.58</v>
      </c>
      <c r="OK217" s="0" t="n">
        <v>3</v>
      </c>
      <c r="OL217" s="0" t="n">
        <v>60</v>
      </c>
      <c r="OM217" s="0" t="n">
        <v>12</v>
      </c>
      <c r="ON217" s="0" t="n">
        <f aca="false">0.87+0.43+0.15+0.07</f>
        <v>1.52</v>
      </c>
      <c r="OO217" s="0" t="n">
        <v>1</v>
      </c>
      <c r="PR217" s="16" t="n">
        <v>2.49</v>
      </c>
      <c r="PS217" s="16" t="n">
        <v>1</v>
      </c>
      <c r="PT217" s="16" t="n">
        <v>1</v>
      </c>
      <c r="PU217" s="16"/>
      <c r="PV217" s="16" t="n">
        <v>10.89</v>
      </c>
      <c r="PW217" s="16"/>
      <c r="PX217" s="16"/>
      <c r="PY217" s="16"/>
      <c r="PZ217" s="16"/>
      <c r="QA217" s="16"/>
      <c r="QB217" s="16"/>
      <c r="QC217" s="16" t="n">
        <v>4.17</v>
      </c>
      <c r="QD217" s="16" t="n">
        <v>3.7</v>
      </c>
      <c r="QE217" s="16" t="n">
        <v>0</v>
      </c>
      <c r="QF217" s="16" t="n">
        <v>0</v>
      </c>
      <c r="QG217" s="16" t="n">
        <v>0</v>
      </c>
      <c r="QH217" s="16" t="n">
        <v>0</v>
      </c>
      <c r="QI217" s="16" t="n">
        <v>0</v>
      </c>
      <c r="QJ217" s="0" t="n">
        <v>0</v>
      </c>
      <c r="QK217" s="0" t="s">
        <v>198</v>
      </c>
      <c r="QL217" s="0" t="n">
        <v>28.5</v>
      </c>
      <c r="QM217" s="16" t="n">
        <v>78.4</v>
      </c>
      <c r="QN217" s="16" t="n">
        <v>80.4</v>
      </c>
      <c r="QO217" s="16" t="n">
        <v>16</v>
      </c>
      <c r="QP217" s="0" t="n">
        <v>95.22</v>
      </c>
      <c r="QQ217" s="17" t="n">
        <v>0</v>
      </c>
      <c r="QR217" s="0" t="n">
        <v>4.23</v>
      </c>
      <c r="QS217" s="0" t="n">
        <v>0</v>
      </c>
      <c r="QT217" s="0" t="n">
        <v>0</v>
      </c>
      <c r="QU217" s="0" t="n">
        <v>0</v>
      </c>
      <c r="QV217" s="0" t="n">
        <v>0</v>
      </c>
      <c r="QW217" s="0" t="n">
        <v>0</v>
      </c>
      <c r="QX217" s="0" t="n">
        <v>0</v>
      </c>
      <c r="QY217" s="0" t="n">
        <v>0</v>
      </c>
      <c r="QZ217" s="0" t="n">
        <v>0</v>
      </c>
      <c r="RA217" s="0" t="n">
        <v>9.77</v>
      </c>
      <c r="RB217" s="0" t="n">
        <v>2.18</v>
      </c>
      <c r="RC217" s="0" t="n">
        <v>46.81</v>
      </c>
      <c r="RD217" s="0" t="n">
        <v>10.57</v>
      </c>
      <c r="RE217" s="0" t="n">
        <v>0</v>
      </c>
      <c r="RF217" s="0" t="n">
        <v>0</v>
      </c>
      <c r="RG217" s="0" t="n">
        <v>0</v>
      </c>
      <c r="RT217" s="0" t="n">
        <v>0</v>
      </c>
      <c r="RU217" s="0" t="n">
        <v>0</v>
      </c>
      <c r="SF217" s="20"/>
      <c r="SX217" s="0" t="n">
        <v>0</v>
      </c>
      <c r="UI217" s="16" t="n">
        <v>4.23</v>
      </c>
      <c r="UJ217" s="16" t="n">
        <v>1</v>
      </c>
      <c r="UK217" s="16" t="n">
        <v>2</v>
      </c>
      <c r="UL217" s="16"/>
      <c r="UM217" s="16" t="n">
        <v>6.34</v>
      </c>
      <c r="UN217" s="16" t="n">
        <v>1</v>
      </c>
      <c r="UO217" s="16" t="n">
        <v>1</v>
      </c>
      <c r="UP217" s="16" t="n">
        <f aca="false">9.52+3.17+3.17+3.17+1.12+1.12+1.12</f>
        <v>22.39</v>
      </c>
      <c r="UQ217" s="16"/>
      <c r="UR217" s="16"/>
      <c r="US217" s="16"/>
      <c r="UT217" s="16" t="n">
        <v>5.41</v>
      </c>
      <c r="UU217" s="16" t="n">
        <v>8.96</v>
      </c>
      <c r="UV217" s="16" t="n">
        <v>0</v>
      </c>
      <c r="UW217" s="16" t="n">
        <v>0</v>
      </c>
      <c r="UX217" s="16" t="n">
        <v>0</v>
      </c>
      <c r="UY217" s="16" t="n">
        <v>0</v>
      </c>
      <c r="UZ217" s="16" t="n">
        <v>0</v>
      </c>
      <c r="VA217" s="0" t="n">
        <v>0</v>
      </c>
      <c r="VB217" s="0" t="s">
        <v>200</v>
      </c>
      <c r="VC217" s="0" t="n">
        <v>28.5</v>
      </c>
      <c r="VD217" s="16" t="n">
        <v>69.4</v>
      </c>
      <c r="VE217" s="16" t="n">
        <v>80.4</v>
      </c>
      <c r="VF217" s="16" t="n">
        <v>9.8</v>
      </c>
      <c r="VG217" s="0" t="n">
        <v>96.02</v>
      </c>
      <c r="VH217" s="17" t="n">
        <v>0</v>
      </c>
      <c r="VI217" s="0" t="n">
        <v>3.98</v>
      </c>
      <c r="VJ217" s="0" t="n">
        <v>0</v>
      </c>
      <c r="VK217" s="0" t="n">
        <v>0</v>
      </c>
      <c r="VL217" s="0" t="n">
        <v>0</v>
      </c>
      <c r="VM217" s="0" t="n">
        <v>0</v>
      </c>
      <c r="VN217" s="0" t="n">
        <v>0</v>
      </c>
      <c r="VO217" s="0" t="n">
        <v>0</v>
      </c>
      <c r="VP217" s="0" t="n">
        <v>0</v>
      </c>
      <c r="VQ217" s="0" t="n">
        <v>0</v>
      </c>
      <c r="VR217" s="0" t="n">
        <v>0</v>
      </c>
      <c r="VS217" s="0" t="n">
        <v>16.55</v>
      </c>
      <c r="VT217" s="0" t="n">
        <v>26.49</v>
      </c>
      <c r="VU217" s="0" t="n">
        <v>6.34</v>
      </c>
      <c r="VV217" s="0" t="n">
        <v>0</v>
      </c>
      <c r="VW217" s="0" t="n">
        <v>0</v>
      </c>
      <c r="VX217" s="0" t="n">
        <v>0</v>
      </c>
      <c r="WK217" s="0" t="n">
        <v>10.2</v>
      </c>
      <c r="WL217" s="0" t="n">
        <v>1</v>
      </c>
      <c r="WM217" s="0" t="n">
        <v>35</v>
      </c>
      <c r="WN217" s="0" t="n">
        <v>1</v>
      </c>
      <c r="WO217" s="0" t="n">
        <v>0.02</v>
      </c>
      <c r="WP217" s="0" t="n">
        <v>3</v>
      </c>
      <c r="WQ217" s="0" t="n">
        <v>70</v>
      </c>
      <c r="WR217" s="0" t="n">
        <v>2</v>
      </c>
      <c r="WS217" s="0" t="n">
        <v>0.27</v>
      </c>
      <c r="WT217" s="0" t="n">
        <v>3</v>
      </c>
      <c r="WW217" s="20"/>
      <c r="XO217" s="0" t="n">
        <v>1</v>
      </c>
      <c r="XP217" s="0" t="n">
        <v>50</v>
      </c>
      <c r="XQ217" s="0" t="n">
        <v>5</v>
      </c>
      <c r="XR217" s="0" t="n">
        <f aca="false">1.52+0.5+0.19+0.12</f>
        <v>2.33</v>
      </c>
      <c r="XS217" s="0" t="n">
        <v>3</v>
      </c>
      <c r="YZ217" s="16" t="n">
        <v>2.63</v>
      </c>
      <c r="ZA217" s="16" t="n">
        <v>1</v>
      </c>
      <c r="ZB217" s="16" t="n">
        <v>1</v>
      </c>
      <c r="ZC217" s="16"/>
      <c r="ZD217" s="16" t="n">
        <f aca="false">0.04+2.11+3.17+0.37+0.56</f>
        <v>6.25</v>
      </c>
      <c r="ZE217" s="16" t="n">
        <v>2</v>
      </c>
      <c r="ZF217" s="16"/>
      <c r="ZG217" s="16" t="n">
        <f aca="false">0.53+0.53+0.11+0.07+0.15</f>
        <v>1.39</v>
      </c>
      <c r="ZH217" s="16"/>
      <c r="ZI217" s="16"/>
      <c r="ZJ217" s="16"/>
      <c r="ZK217" s="16" t="n">
        <v>3.33</v>
      </c>
      <c r="ZL217" s="16" t="n">
        <v>2.06</v>
      </c>
      <c r="ZM217" s="16" t="n">
        <v>0</v>
      </c>
      <c r="ZN217" s="16" t="n">
        <v>0</v>
      </c>
      <c r="ZO217" s="16" t="n">
        <v>0</v>
      </c>
      <c r="ZP217" s="16" t="n">
        <v>0</v>
      </c>
      <c r="ZQ217" s="16" t="n">
        <v>0</v>
      </c>
      <c r="ZR217" s="0" t="n">
        <v>0</v>
      </c>
      <c r="ZS217" s="0" t="s">
        <v>202</v>
      </c>
      <c r="ZT217" s="0" t="n">
        <v>60</v>
      </c>
      <c r="ZU217" s="16" t="n">
        <v>55.4</v>
      </c>
      <c r="ZV217" s="16" t="n">
        <v>80.4</v>
      </c>
      <c r="ZW217" s="16" t="n">
        <v>29.6</v>
      </c>
      <c r="ZX217" s="0" t="n">
        <v>76.8</v>
      </c>
      <c r="ZY217" s="17" t="n">
        <v>0</v>
      </c>
      <c r="ZZ217" s="0" t="n">
        <v>0</v>
      </c>
      <c r="AAA217" s="0" t="n">
        <v>0</v>
      </c>
      <c r="AAB217" s="0" t="n">
        <v>0</v>
      </c>
      <c r="AAD217" s="0" t="n">
        <v>4.83</v>
      </c>
      <c r="AAE217" s="0" t="n">
        <v>1.71</v>
      </c>
      <c r="AAF217" s="0" t="n">
        <v>0</v>
      </c>
      <c r="AAG217" s="0" t="n">
        <v>0</v>
      </c>
      <c r="AAH217" s="0" t="n">
        <v>0</v>
      </c>
      <c r="AAI217" s="0" t="n">
        <v>1.51</v>
      </c>
      <c r="AAJ217" s="0" t="n">
        <v>1.85</v>
      </c>
      <c r="AAK217" s="0" t="n">
        <v>2.31</v>
      </c>
      <c r="AAL217" s="0" t="n">
        <v>19.08</v>
      </c>
      <c r="AAM217" s="0" t="n">
        <v>18.37</v>
      </c>
      <c r="AAN217" s="0" t="n">
        <v>0</v>
      </c>
      <c r="AAO217" s="0" t="n">
        <v>0</v>
      </c>
      <c r="AAP217" s="0" t="n">
        <v>0</v>
      </c>
      <c r="AAV217" s="0" t="n">
        <v>0</v>
      </c>
      <c r="ABB217" s="0" t="n">
        <v>22.9</v>
      </c>
      <c r="ABC217" s="0" t="n">
        <v>1</v>
      </c>
      <c r="ABD217" s="0" t="n">
        <v>34</v>
      </c>
      <c r="ABE217" s="0" t="n">
        <v>1</v>
      </c>
      <c r="ABF217" s="0" t="n">
        <v>1.19</v>
      </c>
      <c r="ABG217" s="0" t="n">
        <v>1</v>
      </c>
      <c r="ABH217" s="0" t="n">
        <v>47</v>
      </c>
      <c r="ABI217" s="0" t="n">
        <f aca="false">7+3+1+2+3+5+7+1+7+2+7+5+5</f>
        <v>55</v>
      </c>
      <c r="ABJ217" s="0" t="n">
        <f aca="false">(0.3*7)+0.15+0.3+0.9+0.6+0.45+0.6+(0.3*3)+(0.3*5)+(0.3*7)+0.9+(0.3*7)+(0.4)+(0.3*7)+(0.3*5)+(0.3*5)</f>
        <v>18.1</v>
      </c>
      <c r="ABK217" s="0" t="n">
        <v>2</v>
      </c>
      <c r="ABN217" s="20"/>
      <c r="ACF217" s="0" t="n">
        <v>0</v>
      </c>
      <c r="ADQ217" s="16" t="n">
        <v>0.06</v>
      </c>
      <c r="ADR217" s="16" t="n">
        <v>1</v>
      </c>
      <c r="ADS217" s="16" t="n">
        <v>1</v>
      </c>
      <c r="ADT217" s="16"/>
      <c r="ADU217" s="16" t="n">
        <v>0.1</v>
      </c>
      <c r="ADV217" s="16"/>
      <c r="ADW217" s="16"/>
      <c r="ADX217" s="16"/>
      <c r="ADY217" s="16"/>
      <c r="ADZ217" s="16"/>
      <c r="AEA217" s="16"/>
      <c r="AEB217" s="16" t="n">
        <v>5.42</v>
      </c>
      <c r="AEC217" s="16" t="n">
        <v>8.83</v>
      </c>
      <c r="AED217" s="16" t="n">
        <v>0</v>
      </c>
      <c r="AEE217" s="16" t="n">
        <v>0</v>
      </c>
      <c r="AEF217" s="16" t="n">
        <v>1.99</v>
      </c>
      <c r="AEG217" s="16" t="n">
        <v>0</v>
      </c>
      <c r="AEH217" s="16" t="n">
        <v>0</v>
      </c>
      <c r="AEI217" s="0" t="n">
        <v>2</v>
      </c>
      <c r="AEJ217" s="0" t="s">
        <v>727</v>
      </c>
      <c r="AEK217" s="0" t="n">
        <v>47.5</v>
      </c>
      <c r="AEL217" s="16" t="n">
        <v>58.6</v>
      </c>
      <c r="AEM217" s="16" t="n">
        <v>80.4</v>
      </c>
      <c r="AEN217" s="16" t="n">
        <v>19.5</v>
      </c>
      <c r="AEO217" s="0" t="n">
        <v>76.23</v>
      </c>
      <c r="AEP217" s="17" t="n">
        <v>0</v>
      </c>
      <c r="AEQ217" s="0" t="n">
        <v>7.5</v>
      </c>
      <c r="AER217" s="0" t="n">
        <v>0</v>
      </c>
      <c r="AES217" s="0" t="n">
        <v>16.26</v>
      </c>
      <c r="AET217" s="0" t="n">
        <v>0</v>
      </c>
      <c r="AEU217" s="0" t="n">
        <v>0</v>
      </c>
      <c r="AEV217" s="0" t="n">
        <v>0</v>
      </c>
      <c r="AEW217" s="0" t="n">
        <v>0</v>
      </c>
      <c r="AEX217" s="0" t="n">
        <v>0</v>
      </c>
      <c r="AEY217" s="0" t="n">
        <v>0</v>
      </c>
      <c r="AEZ217" s="0" t="n">
        <v>0</v>
      </c>
      <c r="AFA217" s="0" t="n">
        <v>22.34</v>
      </c>
      <c r="AFB217" s="0" t="n">
        <v>19.22</v>
      </c>
      <c r="AFC217" s="0" t="n">
        <v>9.8</v>
      </c>
      <c r="AFD217" s="0" t="n">
        <v>0.28</v>
      </c>
      <c r="AFE217" s="0" t="n">
        <v>0</v>
      </c>
      <c r="AFS217" s="0" t="n">
        <v>24.1</v>
      </c>
      <c r="AFT217" s="0" t="n">
        <v>1</v>
      </c>
      <c r="AFU217" s="0" t="n">
        <v>47</v>
      </c>
      <c r="AFV217" s="0" t="n">
        <v>6</v>
      </c>
      <c r="AFW217" s="0" t="n">
        <f aca="false">2.28+0.81</f>
        <v>3.09</v>
      </c>
      <c r="AFX217" s="0" t="n">
        <v>3</v>
      </c>
      <c r="AFY217" s="0" t="n">
        <v>23</v>
      </c>
      <c r="AFZ217" s="0" t="n">
        <v>2</v>
      </c>
      <c r="AGA217" s="0" t="n">
        <v>0.54</v>
      </c>
      <c r="AGB217" s="0" t="n">
        <v>3</v>
      </c>
      <c r="AGE217" s="20"/>
      <c r="AGW217" s="0" t="n">
        <v>0</v>
      </c>
      <c r="AIH217" s="16" t="n">
        <v>0</v>
      </c>
      <c r="AII217" s="16" t="n">
        <v>0</v>
      </c>
      <c r="AIJ217" s="16"/>
      <c r="AIK217" s="16"/>
      <c r="AIL217" s="16"/>
      <c r="AIM217" s="16"/>
      <c r="AIN217" s="16"/>
      <c r="AIO217" s="16"/>
      <c r="AIP217" s="16"/>
      <c r="AIQ217" s="16"/>
      <c r="AIR217" s="16"/>
      <c r="AIS217" s="16" t="n">
        <v>2.97</v>
      </c>
      <c r="AIT217" s="16" t="n">
        <v>2.96</v>
      </c>
      <c r="AIU217" s="16" t="n">
        <v>0</v>
      </c>
      <c r="AIV217" s="16" t="n">
        <v>0</v>
      </c>
      <c r="AIW217" s="16" t="n">
        <v>0</v>
      </c>
      <c r="AIX217" s="16" t="n">
        <v>0</v>
      </c>
      <c r="AIY217" s="16" t="n">
        <v>0</v>
      </c>
      <c r="AIZ217" s="0" t="n">
        <v>0</v>
      </c>
      <c r="AJA217" s="15"/>
      <c r="AJB217" s="15"/>
      <c r="AJI217" s="15"/>
      <c r="AJJ217" s="15"/>
      <c r="AJQ217" s="15"/>
      <c r="AJR217" s="15"/>
      <c r="AJY217" s="15"/>
      <c r="AJZ217" s="15"/>
      <c r="AKG217" s="15"/>
      <c r="AKH217" s="15"/>
      <c r="AKO217" s="15"/>
      <c r="AKP217" s="15"/>
      <c r="AKW217" s="15"/>
      <c r="AKX217" s="15"/>
      <c r="ALE217" s="15"/>
      <c r="ALF217" s="15"/>
      <c r="ALM217" s="15"/>
      <c r="ALN217" s="15"/>
      <c r="ALU217" s="15"/>
      <c r="ALV217" s="15"/>
      <c r="AMC217" s="15"/>
      <c r="AMD217" s="15"/>
    </row>
    <row r="218" customFormat="false" ht="13.8" hidden="false" customHeight="false" outlineLevel="0" collapsed="false">
      <c r="A218" s="1" t="s">
        <v>731</v>
      </c>
      <c r="B218" s="12" t="n">
        <v>42903</v>
      </c>
      <c r="C218" s="0" t="n">
        <v>2</v>
      </c>
      <c r="D218" s="13" t="n">
        <v>42811</v>
      </c>
      <c r="E218" s="12" t="n">
        <v>29954</v>
      </c>
      <c r="F218" s="14" t="n">
        <f aca="false">(B218-E218)/365.25</f>
        <v>35.4524298425736</v>
      </c>
      <c r="G218" s="14" t="n">
        <f aca="false">(B218-D218)/365.25</f>
        <v>0.251882272416153</v>
      </c>
      <c r="H218" s="15" t="s">
        <v>181</v>
      </c>
      <c r="I218" s="15" t="s">
        <v>194</v>
      </c>
      <c r="J218" s="21" t="s">
        <v>181</v>
      </c>
      <c r="K218" s="21" t="n">
        <v>8</v>
      </c>
      <c r="L218" s="19" t="n">
        <v>70</v>
      </c>
      <c r="M218" s="0" t="n">
        <v>1.7</v>
      </c>
      <c r="N218" s="16" t="n">
        <f aca="false">L218/(M218*M218)</f>
        <v>24.2214532871972</v>
      </c>
      <c r="O218" s="19" t="n">
        <v>0</v>
      </c>
      <c r="P218" s="19" t="n">
        <v>0</v>
      </c>
      <c r="Q218" s="19" t="n">
        <v>0</v>
      </c>
      <c r="R218" s="26" t="n">
        <v>0</v>
      </c>
      <c r="S218" s="26" t="n">
        <v>0</v>
      </c>
      <c r="T218" s="26" t="n">
        <v>0</v>
      </c>
      <c r="U218" s="19" t="n">
        <v>0</v>
      </c>
      <c r="V218" s="19" t="n">
        <v>0</v>
      </c>
      <c r="W218" s="19" t="n">
        <v>0</v>
      </c>
      <c r="X218" s="19" t="n">
        <v>0</v>
      </c>
      <c r="Y218" s="19" t="n">
        <v>1</v>
      </c>
      <c r="Z218" s="19" t="n">
        <v>1</v>
      </c>
      <c r="AA218" s="19" t="n">
        <v>60</v>
      </c>
      <c r="AB218" s="19" t="s">
        <v>308</v>
      </c>
      <c r="AC218" s="19" t="n">
        <v>0</v>
      </c>
      <c r="AD218" s="19" t="n">
        <v>0</v>
      </c>
      <c r="AE218" s="19" t="n">
        <v>0</v>
      </c>
      <c r="AF218" s="19" t="n">
        <v>0</v>
      </c>
      <c r="AG218" s="19" t="n">
        <v>0</v>
      </c>
      <c r="AH218" s="19" t="n">
        <v>0</v>
      </c>
      <c r="AI218" s="19" t="n">
        <v>0</v>
      </c>
      <c r="AJ218" s="19" t="n">
        <v>0</v>
      </c>
      <c r="AK218" s="19" t="n">
        <v>0</v>
      </c>
      <c r="AL218" s="19" t="n">
        <v>0</v>
      </c>
      <c r="AM218" s="19" t="n">
        <v>0</v>
      </c>
      <c r="AN218" s="19" t="n">
        <v>0</v>
      </c>
      <c r="AO218" s="19" t="n">
        <v>0</v>
      </c>
      <c r="AP218" s="19" t="n">
        <v>0</v>
      </c>
      <c r="AQ218" s="19" t="n">
        <v>0</v>
      </c>
      <c r="AR218" s="19" t="n">
        <v>0</v>
      </c>
      <c r="AS218" s="19" t="n">
        <v>0</v>
      </c>
      <c r="AT218" s="19" t="n">
        <v>0</v>
      </c>
      <c r="AU218" s="19" t="n">
        <v>0</v>
      </c>
      <c r="AV218" s="19" t="n">
        <v>0</v>
      </c>
      <c r="AW218" s="19" t="n">
        <v>0</v>
      </c>
      <c r="AX218" s="19" t="n">
        <v>0</v>
      </c>
      <c r="AY218" s="19" t="n">
        <v>0</v>
      </c>
      <c r="AZ218" s="19" t="n">
        <v>0</v>
      </c>
      <c r="BA218" s="19" t="n">
        <v>0</v>
      </c>
      <c r="BB218" s="19" t="n">
        <v>0</v>
      </c>
      <c r="BC218" s="19" t="n">
        <v>0</v>
      </c>
      <c r="BD218" s="19" t="n">
        <v>0</v>
      </c>
      <c r="BE218" s="19" t="n">
        <v>0</v>
      </c>
      <c r="BF218" s="19" t="n">
        <v>0</v>
      </c>
      <c r="BG218" s="19" t="n">
        <v>0</v>
      </c>
      <c r="BH218" s="19" t="n">
        <v>0</v>
      </c>
      <c r="BI218" s="19" t="n">
        <v>0</v>
      </c>
      <c r="BJ218" s="19" t="n">
        <v>0</v>
      </c>
      <c r="BK218" s="19" t="n">
        <v>0</v>
      </c>
      <c r="BL218" s="19" t="n">
        <v>0</v>
      </c>
      <c r="BM218" s="19" t="n">
        <v>0</v>
      </c>
      <c r="BN218" s="19" t="n">
        <v>0</v>
      </c>
      <c r="BO218" s="19" t="n">
        <v>0</v>
      </c>
      <c r="BP218" s="19" t="n">
        <v>0</v>
      </c>
      <c r="BQ218" s="19" t="n">
        <v>0</v>
      </c>
      <c r="BR218" s="19" t="n">
        <v>1</v>
      </c>
      <c r="BS218" s="19" t="n">
        <v>3</v>
      </c>
      <c r="BT218" s="19" t="n">
        <v>3</v>
      </c>
      <c r="BU218" s="19" t="n">
        <v>3</v>
      </c>
      <c r="BV218" s="19" t="n">
        <v>1</v>
      </c>
      <c r="BW218" s="19" t="n">
        <v>1</v>
      </c>
      <c r="BX218" s="19" t="n">
        <v>3</v>
      </c>
      <c r="BY218" s="19" t="n">
        <v>3</v>
      </c>
      <c r="BZ218" s="19" t="n">
        <v>5</v>
      </c>
      <c r="CA218" s="19" t="n">
        <v>5</v>
      </c>
      <c r="CB218" s="19" t="n">
        <v>5</v>
      </c>
      <c r="CC218" s="19" t="n">
        <v>5</v>
      </c>
      <c r="CD218" s="19" t="n">
        <v>1</v>
      </c>
      <c r="CE218" s="19" t="n">
        <v>5</v>
      </c>
      <c r="CF218" s="19" t="n">
        <v>5</v>
      </c>
      <c r="CG218" s="19" t="n">
        <v>5</v>
      </c>
      <c r="CH218" s="19" t="n">
        <v>5</v>
      </c>
      <c r="CI218" s="19" t="n">
        <v>3</v>
      </c>
      <c r="CJ218" s="19" t="n">
        <v>3</v>
      </c>
      <c r="CK218" s="19" t="n">
        <v>6</v>
      </c>
      <c r="CL218" s="0" t="s">
        <v>198</v>
      </c>
      <c r="CM218" s="0" t="n">
        <v>28.5</v>
      </c>
      <c r="CN218" s="16" t="n">
        <v>78.4</v>
      </c>
      <c r="CO218" s="16" t="n">
        <v>80.4</v>
      </c>
      <c r="CP218" s="16" t="n">
        <v>16</v>
      </c>
      <c r="CQ218" s="0" t="n">
        <v>95.22</v>
      </c>
      <c r="CR218" s="17" t="n">
        <v>0</v>
      </c>
      <c r="CS218" s="0" t="n">
        <v>4.23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9.77</v>
      </c>
      <c r="DC218" s="0" t="n">
        <v>2.18</v>
      </c>
      <c r="DD218" s="0" t="n">
        <v>46.81</v>
      </c>
      <c r="DE218" s="0" t="n">
        <v>10.57</v>
      </c>
      <c r="DF218" s="0" t="n">
        <v>0</v>
      </c>
      <c r="DG218" s="0" t="n">
        <v>0</v>
      </c>
      <c r="DH218" s="0" t="n">
        <v>0</v>
      </c>
      <c r="DU218" s="0" t="n">
        <v>0</v>
      </c>
      <c r="DV218" s="0" t="n">
        <v>0</v>
      </c>
      <c r="EG218" s="20"/>
      <c r="EY218" s="0" t="n">
        <v>0</v>
      </c>
      <c r="GJ218" s="16" t="n">
        <v>4.23</v>
      </c>
      <c r="GK218" s="16" t="n">
        <v>1</v>
      </c>
      <c r="GL218" s="16" t="n">
        <v>2</v>
      </c>
      <c r="GM218" s="16"/>
      <c r="GN218" s="16" t="n">
        <v>6.34</v>
      </c>
      <c r="GO218" s="16" t="n">
        <v>1</v>
      </c>
      <c r="GP218" s="16" t="n">
        <v>1</v>
      </c>
      <c r="GQ218" s="16" t="n">
        <f aca="false">9.52+3.17+3.17+3.17+1.12+1.12+1.12</f>
        <v>22.39</v>
      </c>
      <c r="GR218" s="16"/>
      <c r="GS218" s="16"/>
      <c r="GT218" s="16"/>
      <c r="GU218" s="16" t="n">
        <v>5.41</v>
      </c>
      <c r="GV218" s="16" t="n">
        <v>8.96</v>
      </c>
      <c r="GW218" s="16" t="n">
        <v>0</v>
      </c>
      <c r="GX218" s="16" t="n">
        <v>0</v>
      </c>
      <c r="GY218" s="16" t="n">
        <v>0</v>
      </c>
      <c r="GZ218" s="16" t="n">
        <v>0</v>
      </c>
      <c r="HA218" s="16" t="n">
        <v>0</v>
      </c>
      <c r="HB218" s="0" t="n">
        <v>0</v>
      </c>
      <c r="HC218" s="0" t="s">
        <v>200</v>
      </c>
      <c r="HD218" s="0" t="n">
        <v>28.5</v>
      </c>
      <c r="HE218" s="16" t="n">
        <v>69.4</v>
      </c>
      <c r="HF218" s="16" t="n">
        <v>80.4</v>
      </c>
      <c r="HG218" s="16" t="n">
        <v>9.8</v>
      </c>
      <c r="HH218" s="0" t="n">
        <v>96.02</v>
      </c>
      <c r="HI218" s="17" t="n">
        <v>0</v>
      </c>
      <c r="HJ218" s="0" t="n">
        <v>3.98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0</v>
      </c>
      <c r="HR218" s="0" t="n">
        <v>0</v>
      </c>
      <c r="HS218" s="0" t="n">
        <v>0</v>
      </c>
      <c r="HT218" s="0" t="n">
        <v>16.55</v>
      </c>
      <c r="HU218" s="0" t="n">
        <v>26.49</v>
      </c>
      <c r="HV218" s="0" t="n">
        <v>6.34</v>
      </c>
      <c r="HW218" s="0" t="n">
        <v>0</v>
      </c>
      <c r="HX218" s="0" t="n">
        <v>0</v>
      </c>
      <c r="HY218" s="0" t="n">
        <v>0</v>
      </c>
      <c r="IL218" s="0" t="n">
        <v>10.2</v>
      </c>
      <c r="IM218" s="0" t="n">
        <v>1</v>
      </c>
      <c r="IN218" s="0" t="n">
        <v>35</v>
      </c>
      <c r="IO218" s="0" t="n">
        <v>1</v>
      </c>
      <c r="IP218" s="0" t="n">
        <v>0.02</v>
      </c>
      <c r="IQ218" s="0" t="n">
        <v>3</v>
      </c>
      <c r="IR218" s="0" t="n">
        <v>70</v>
      </c>
      <c r="IS218" s="0" t="n">
        <v>2</v>
      </c>
      <c r="IT218" s="0" t="n">
        <v>0.27</v>
      </c>
      <c r="IU218" s="0" t="n">
        <v>3</v>
      </c>
      <c r="IX218" s="20"/>
      <c r="JP218" s="0" t="n">
        <v>1</v>
      </c>
      <c r="JQ218" s="0" t="n">
        <v>50</v>
      </c>
      <c r="JR218" s="0" t="n">
        <v>5</v>
      </c>
      <c r="JS218" s="0" t="n">
        <f aca="false">1.52+0.5+0.19+0.12</f>
        <v>2.33</v>
      </c>
      <c r="JT218" s="0" t="n">
        <v>3</v>
      </c>
      <c r="LA218" s="16" t="n">
        <v>2.63</v>
      </c>
      <c r="LB218" s="16" t="n">
        <v>1</v>
      </c>
      <c r="LC218" s="16" t="n">
        <v>1</v>
      </c>
      <c r="LD218" s="16"/>
      <c r="LE218" s="16" t="n">
        <f aca="false">0.04+2.11+3.17+0.37+0.56</f>
        <v>6.25</v>
      </c>
      <c r="LF218" s="16" t="n">
        <v>2</v>
      </c>
      <c r="LG218" s="16"/>
      <c r="LH218" s="16" t="n">
        <f aca="false">0.53+0.53+0.11+0.07+0.15</f>
        <v>1.39</v>
      </c>
      <c r="LI218" s="16"/>
      <c r="LJ218" s="16"/>
      <c r="LK218" s="16"/>
      <c r="LL218" s="16" t="n">
        <v>3.33</v>
      </c>
      <c r="LM218" s="16" t="n">
        <v>2.06</v>
      </c>
      <c r="LN218" s="16" t="n">
        <v>0</v>
      </c>
      <c r="LO218" s="16" t="n">
        <v>0</v>
      </c>
      <c r="LP218" s="16" t="n">
        <v>0</v>
      </c>
      <c r="LQ218" s="16" t="n">
        <v>0</v>
      </c>
      <c r="LR218" s="16" t="n">
        <v>0</v>
      </c>
      <c r="LS218" s="0" t="n">
        <v>0</v>
      </c>
      <c r="LT218" s="0" t="s">
        <v>727</v>
      </c>
      <c r="LU218" s="0" t="n">
        <v>47.5</v>
      </c>
      <c r="LV218" s="16" t="n">
        <v>58.6</v>
      </c>
      <c r="LW218" s="16" t="n">
        <v>80.4</v>
      </c>
      <c r="LX218" s="16" t="n">
        <v>19.5</v>
      </c>
      <c r="LY218" s="0" t="n">
        <v>76.23</v>
      </c>
      <c r="LZ218" s="17" t="n">
        <v>0</v>
      </c>
      <c r="MA218" s="0" t="n">
        <v>7.5</v>
      </c>
      <c r="MB218" s="0" t="n">
        <v>0</v>
      </c>
      <c r="MC218" s="0" t="n">
        <v>16.26</v>
      </c>
      <c r="MD218" s="0" t="n">
        <v>0</v>
      </c>
      <c r="ME218" s="0" t="n">
        <v>0</v>
      </c>
      <c r="MF218" s="0" t="n">
        <v>0</v>
      </c>
      <c r="MG218" s="0" t="n">
        <v>0</v>
      </c>
      <c r="MH218" s="0" t="n">
        <v>0</v>
      </c>
      <c r="MI218" s="0" t="n">
        <v>0</v>
      </c>
      <c r="MJ218" s="0" t="n">
        <v>0</v>
      </c>
      <c r="MK218" s="0" t="n">
        <v>22.34</v>
      </c>
      <c r="ML218" s="0" t="n">
        <v>19.22</v>
      </c>
      <c r="MM218" s="0" t="n">
        <v>9.8</v>
      </c>
      <c r="MN218" s="0" t="n">
        <v>0.28</v>
      </c>
      <c r="MO218" s="0" t="n">
        <v>0</v>
      </c>
      <c r="NC218" s="0" t="n">
        <v>24.1</v>
      </c>
      <c r="ND218" s="0" t="n">
        <v>1</v>
      </c>
      <c r="NE218" s="0" t="n">
        <v>47</v>
      </c>
      <c r="NF218" s="0" t="n">
        <v>6</v>
      </c>
      <c r="NG218" s="0" t="n">
        <f aca="false">2.28+0.81</f>
        <v>3.09</v>
      </c>
      <c r="NH218" s="0" t="n">
        <v>3</v>
      </c>
      <c r="NI218" s="0" t="n">
        <v>23</v>
      </c>
      <c r="NJ218" s="0" t="n">
        <v>2</v>
      </c>
      <c r="NK218" s="0" t="n">
        <v>0.54</v>
      </c>
      <c r="NL218" s="0" t="n">
        <v>3</v>
      </c>
      <c r="NO218" s="20"/>
      <c r="OG218" s="0" t="n">
        <v>0</v>
      </c>
      <c r="PR218" s="16" t="n">
        <v>0</v>
      </c>
      <c r="PS218" s="16" t="n">
        <v>0</v>
      </c>
      <c r="PT218" s="16"/>
      <c r="PU218" s="16"/>
      <c r="PV218" s="16"/>
      <c r="PW218" s="16"/>
      <c r="PX218" s="16"/>
      <c r="PY218" s="16"/>
      <c r="PZ218" s="16"/>
      <c r="QA218" s="16"/>
      <c r="QB218" s="16"/>
      <c r="QC218" s="16" t="n">
        <v>2.97</v>
      </c>
      <c r="QD218" s="16" t="n">
        <v>2.96</v>
      </c>
      <c r="QE218" s="16" t="n">
        <v>0</v>
      </c>
      <c r="QF218" s="16" t="n">
        <v>0</v>
      </c>
      <c r="QG218" s="16" t="n">
        <v>0</v>
      </c>
      <c r="QH218" s="16" t="n">
        <v>0</v>
      </c>
      <c r="QI218" s="16" t="n">
        <v>0</v>
      </c>
      <c r="QJ218" s="0" t="n">
        <v>0</v>
      </c>
      <c r="QK218" s="0" t="s">
        <v>213</v>
      </c>
      <c r="QL218" s="0" t="n">
        <v>49.5</v>
      </c>
      <c r="QM218" s="16" t="n">
        <v>78.9</v>
      </c>
      <c r="QN218" s="16" t="n">
        <v>80.4</v>
      </c>
      <c r="QO218" s="16" t="n">
        <v>31.1</v>
      </c>
      <c r="QP218" s="0" t="n">
        <v>22.13</v>
      </c>
      <c r="QQ218" s="17" t="n">
        <v>0</v>
      </c>
      <c r="QR218" s="0" t="n">
        <v>0</v>
      </c>
      <c r="QS218" s="0" t="n">
        <v>0</v>
      </c>
      <c r="QT218" s="0" t="n">
        <v>3.8</v>
      </c>
      <c r="QU218" s="0" t="n">
        <v>0</v>
      </c>
      <c r="QV218" s="0" t="n">
        <v>74.07</v>
      </c>
      <c r="QW218" s="0" t="n">
        <v>28.31</v>
      </c>
      <c r="QX218" s="0" t="n">
        <v>0</v>
      </c>
      <c r="QY218" s="0" t="n">
        <v>0</v>
      </c>
      <c r="QZ218" s="0" t="n">
        <v>0</v>
      </c>
      <c r="RA218" s="0" t="n">
        <v>8.07</v>
      </c>
      <c r="RB218" s="0" t="n">
        <v>1.71</v>
      </c>
      <c r="RC218" s="0" t="n">
        <v>33.85</v>
      </c>
      <c r="RD218" s="0" t="n">
        <v>17.12</v>
      </c>
      <c r="RE218" s="0" t="n">
        <v>0</v>
      </c>
      <c r="RF218" s="0" t="n">
        <v>0</v>
      </c>
      <c r="RG218" s="0" t="n">
        <v>0</v>
      </c>
      <c r="RT218" s="0" t="n">
        <v>3.4</v>
      </c>
      <c r="RU218" s="0" t="n">
        <v>1</v>
      </c>
      <c r="RV218" s="0" t="n">
        <v>34</v>
      </c>
      <c r="RW218" s="0" t="n">
        <v>1</v>
      </c>
      <c r="RX218" s="0" t="n">
        <v>1.6</v>
      </c>
      <c r="RY218" s="0" t="n">
        <v>1</v>
      </c>
      <c r="RZ218" s="0" t="n">
        <v>68</v>
      </c>
      <c r="SA218" s="0" t="n">
        <v>2</v>
      </c>
      <c r="SB218" s="0" t="n">
        <f aca="false">0.65+0.11</f>
        <v>0.76</v>
      </c>
      <c r="SC218" s="0" t="n">
        <v>1</v>
      </c>
      <c r="SD218" s="0" t="n">
        <v>52</v>
      </c>
      <c r="SE218" s="0" t="n">
        <v>2</v>
      </c>
      <c r="SF218" s="20" t="n">
        <f aca="false">1.33+0.34</f>
        <v>1.67</v>
      </c>
      <c r="SG218" s="0" t="n">
        <v>2</v>
      </c>
      <c r="SX218" s="0" t="n">
        <v>0</v>
      </c>
      <c r="UI218" s="16" t="n">
        <v>0</v>
      </c>
      <c r="UJ218" s="16" t="n">
        <v>0</v>
      </c>
      <c r="UK218" s="16"/>
      <c r="UL218" s="16"/>
      <c r="UM218" s="16"/>
      <c r="UN218" s="16"/>
      <c r="UO218" s="16"/>
      <c r="UP218" s="16"/>
      <c r="UQ218" s="16"/>
      <c r="UR218" s="16"/>
      <c r="US218" s="16"/>
      <c r="UT218" s="16" t="n">
        <v>5.13</v>
      </c>
      <c r="UU218" s="16" t="n">
        <v>6.28</v>
      </c>
      <c r="UV218" s="16" t="n">
        <v>0</v>
      </c>
      <c r="UW218" s="16" t="n">
        <v>0</v>
      </c>
      <c r="UX218" s="16" t="n">
        <v>6.72</v>
      </c>
      <c r="UY218" s="16" t="n">
        <v>0</v>
      </c>
      <c r="UZ218" s="16" t="n">
        <v>2.54</v>
      </c>
      <c r="VA218" s="0" t="n">
        <v>2</v>
      </c>
      <c r="VE218" s="15"/>
      <c r="VF218" s="15"/>
      <c r="VM218" s="15"/>
      <c r="VN218" s="15"/>
      <c r="VU218" s="15"/>
      <c r="VV218" s="15"/>
      <c r="WC218" s="15"/>
      <c r="WD218" s="15"/>
      <c r="WK218" s="15"/>
      <c r="WL218" s="15"/>
      <c r="WS218" s="15"/>
      <c r="WT218" s="15"/>
      <c r="XA218" s="15"/>
      <c r="XB218" s="15"/>
      <c r="XI218" s="15"/>
      <c r="XJ218" s="15"/>
      <c r="XQ218" s="15"/>
      <c r="XR218" s="15"/>
      <c r="XY218" s="15"/>
      <c r="XZ218" s="15"/>
      <c r="YG218" s="15"/>
      <c r="YH218" s="15"/>
      <c r="YO218" s="15"/>
      <c r="YP218" s="15"/>
      <c r="YW218" s="15"/>
      <c r="YX218" s="15"/>
      <c r="ZE218" s="15"/>
      <c r="ZF218" s="15"/>
      <c r="ZM218" s="15"/>
      <c r="ZN218" s="15"/>
      <c r="ZU218" s="15"/>
      <c r="ZV218" s="15"/>
      <c r="AAC218" s="15"/>
      <c r="AAD218" s="15"/>
      <c r="AAK218" s="15"/>
      <c r="AAL218" s="15"/>
      <c r="AAS218" s="15"/>
      <c r="AAT218" s="15"/>
      <c r="ABA218" s="15"/>
      <c r="ABB218" s="15"/>
      <c r="ABI218" s="15"/>
      <c r="ABJ218" s="15"/>
      <c r="ABQ218" s="15"/>
      <c r="ABR218" s="15"/>
      <c r="ABY218" s="15"/>
      <c r="ABZ218" s="15"/>
      <c r="ACG218" s="15"/>
      <c r="ACH218" s="15"/>
      <c r="ACO218" s="15"/>
      <c r="ACP218" s="15"/>
      <c r="ACW218" s="15"/>
      <c r="ACX218" s="15"/>
      <c r="ADE218" s="15"/>
      <c r="ADF218" s="15"/>
      <c r="ADM218" s="15"/>
      <c r="ADN218" s="15"/>
      <c r="ADU218" s="15"/>
      <c r="ADV218" s="15"/>
      <c r="AEC218" s="15"/>
      <c r="AED218" s="15"/>
      <c r="AEK218" s="15"/>
      <c r="AEL218" s="15"/>
      <c r="AES218" s="15"/>
      <c r="AET218" s="15"/>
      <c r="AFA218" s="15"/>
      <c r="AFB218" s="15"/>
      <c r="AFI218" s="15"/>
      <c r="AFJ218" s="15"/>
      <c r="AFQ218" s="15"/>
      <c r="AFR218" s="15"/>
      <c r="AFY218" s="15"/>
      <c r="AFZ218" s="15"/>
      <c r="AGG218" s="15"/>
      <c r="AGH218" s="15"/>
      <c r="AGO218" s="15"/>
      <c r="AGP218" s="15"/>
      <c r="AGW218" s="15"/>
      <c r="AGX218" s="15"/>
      <c r="AHE218" s="15"/>
      <c r="AHF218" s="15"/>
      <c r="AHM218" s="15"/>
      <c r="AHN218" s="15"/>
      <c r="AHU218" s="15"/>
      <c r="AHV218" s="15"/>
      <c r="AIC218" s="15"/>
      <c r="AID218" s="15"/>
      <c r="AIK218" s="15"/>
      <c r="AIL218" s="15"/>
      <c r="AIS218" s="15"/>
      <c r="AIT218" s="15"/>
      <c r="AJA218" s="15"/>
      <c r="AJB218" s="15"/>
      <c r="AJI218" s="15"/>
      <c r="AJJ218" s="15"/>
      <c r="AJQ218" s="15"/>
      <c r="AJR218" s="15"/>
      <c r="AJY218" s="15"/>
      <c r="AJZ218" s="15"/>
      <c r="AKG218" s="15"/>
      <c r="AKH218" s="15"/>
      <c r="AKO218" s="15"/>
      <c r="AKP218" s="15"/>
      <c r="AKW218" s="15"/>
      <c r="AKX218" s="15"/>
      <c r="ALE218" s="15"/>
      <c r="ALF218" s="15"/>
      <c r="ALM218" s="15"/>
      <c r="ALN218" s="15"/>
      <c r="ALU218" s="15"/>
      <c r="ALV218" s="15"/>
      <c r="AMC218" s="15"/>
      <c r="AMD218" s="15"/>
    </row>
    <row r="219" customFormat="false" ht="13.8" hidden="false" customHeight="false" outlineLevel="0" collapsed="false">
      <c r="A219" s="1" t="s">
        <v>732</v>
      </c>
      <c r="B219" s="12" t="n">
        <v>42905</v>
      </c>
      <c r="C219" s="0" t="n">
        <v>2</v>
      </c>
      <c r="D219" s="13" t="n">
        <v>42807</v>
      </c>
      <c r="E219" s="12" t="n">
        <v>31871</v>
      </c>
      <c r="F219" s="14" t="n">
        <f aca="false">(B219-E219)/365.25</f>
        <v>30.2094455852156</v>
      </c>
      <c r="G219" s="14" t="n">
        <f aca="false">(B219-D219)/365.25</f>
        <v>0.268309377138946</v>
      </c>
      <c r="H219" s="15" t="s">
        <v>181</v>
      </c>
      <c r="I219" s="15" t="s">
        <v>194</v>
      </c>
      <c r="J219" s="21" t="s">
        <v>181</v>
      </c>
      <c r="K219" s="21" t="n">
        <v>8</v>
      </c>
      <c r="L219" s="19" t="n">
        <v>70</v>
      </c>
      <c r="M219" s="0" t="n">
        <v>1.7</v>
      </c>
      <c r="N219" s="16" t="n">
        <f aca="false">L219/(M219*M219)</f>
        <v>24.2214532871972</v>
      </c>
      <c r="O219" s="19" t="n">
        <v>0</v>
      </c>
      <c r="P219" s="19" t="n">
        <v>0</v>
      </c>
      <c r="Q219" s="19" t="n">
        <v>0</v>
      </c>
      <c r="R219" s="26" t="n">
        <v>0</v>
      </c>
      <c r="S219" s="26" t="n">
        <v>0</v>
      </c>
      <c r="T219" s="26" t="n">
        <v>0</v>
      </c>
      <c r="U219" s="19" t="n">
        <v>1</v>
      </c>
      <c r="V219" s="19" t="n">
        <v>3</v>
      </c>
      <c r="W219" s="19" t="n">
        <v>0</v>
      </c>
      <c r="X219" s="19" t="n">
        <v>0</v>
      </c>
      <c r="Y219" s="19" t="n">
        <v>0</v>
      </c>
      <c r="Z219" s="19" t="n">
        <v>0</v>
      </c>
      <c r="AA219" s="19" t="n">
        <v>0</v>
      </c>
      <c r="AB219" s="19" t="n">
        <v>0</v>
      </c>
      <c r="AC219" s="19" t="n">
        <v>0</v>
      </c>
      <c r="AD219" s="19" t="n">
        <v>0</v>
      </c>
      <c r="AE219" s="19" t="n">
        <v>0</v>
      </c>
      <c r="AF219" s="19" t="n">
        <v>0</v>
      </c>
      <c r="AG219" s="19" t="n">
        <v>0</v>
      </c>
      <c r="AH219" s="19" t="n">
        <v>0</v>
      </c>
      <c r="AI219" s="19" t="n">
        <v>0</v>
      </c>
      <c r="AJ219" s="19" t="n">
        <v>0</v>
      </c>
      <c r="AK219" s="19" t="n">
        <v>0</v>
      </c>
      <c r="AL219" s="19" t="n">
        <v>0</v>
      </c>
      <c r="AM219" s="19" t="n">
        <v>0</v>
      </c>
      <c r="AN219" s="19" t="n">
        <v>0</v>
      </c>
      <c r="AO219" s="19" t="n">
        <v>0</v>
      </c>
      <c r="AP219" s="19" t="n">
        <v>0</v>
      </c>
      <c r="AQ219" s="19" t="n">
        <v>0</v>
      </c>
      <c r="AR219" s="19" t="n">
        <v>0</v>
      </c>
      <c r="AS219" s="19" t="n">
        <v>0</v>
      </c>
      <c r="AT219" s="19" t="n">
        <v>0</v>
      </c>
      <c r="AU219" s="19" t="n">
        <v>0</v>
      </c>
      <c r="AV219" s="19" t="n">
        <v>0</v>
      </c>
      <c r="AW219" s="19" t="n">
        <v>0</v>
      </c>
      <c r="AX219" s="19" t="n">
        <v>0</v>
      </c>
      <c r="AY219" s="19" t="n">
        <v>0</v>
      </c>
      <c r="AZ219" s="19" t="n">
        <v>0</v>
      </c>
      <c r="BA219" s="19" t="n">
        <v>0</v>
      </c>
      <c r="BB219" s="19" t="n">
        <v>0</v>
      </c>
      <c r="BC219" s="19" t="n">
        <v>0</v>
      </c>
      <c r="BD219" s="19" t="n">
        <v>0</v>
      </c>
      <c r="BE219" s="19" t="n">
        <v>0</v>
      </c>
      <c r="BF219" s="19" t="n">
        <v>0</v>
      </c>
      <c r="BG219" s="19" t="n">
        <v>0</v>
      </c>
      <c r="BH219" s="19" t="n">
        <v>0</v>
      </c>
      <c r="BI219" s="19" t="n">
        <v>0</v>
      </c>
      <c r="BJ219" s="19" t="n">
        <v>0</v>
      </c>
      <c r="BK219" s="19" t="n">
        <v>0</v>
      </c>
      <c r="BL219" s="19" t="n">
        <v>0</v>
      </c>
      <c r="BM219" s="19" t="n">
        <v>0</v>
      </c>
      <c r="BN219" s="19" t="n">
        <v>0</v>
      </c>
      <c r="BO219" s="19" t="n">
        <v>0</v>
      </c>
      <c r="BP219" s="19" t="n">
        <v>0</v>
      </c>
      <c r="BQ219" s="19" t="n">
        <v>0</v>
      </c>
      <c r="BR219" s="19" t="n">
        <v>2</v>
      </c>
      <c r="BS219" s="19" t="n">
        <v>1</v>
      </c>
      <c r="BT219" s="19" t="n">
        <v>3</v>
      </c>
      <c r="BU219" s="19" t="n">
        <v>5</v>
      </c>
      <c r="BV219" s="19" t="n">
        <v>5</v>
      </c>
      <c r="BW219" s="19" t="n">
        <v>4</v>
      </c>
      <c r="BX219" s="19" t="n">
        <v>4</v>
      </c>
      <c r="BY219" s="19" t="n">
        <v>5</v>
      </c>
      <c r="BZ219" s="19" t="n">
        <v>5</v>
      </c>
      <c r="CA219" s="19" t="n">
        <v>4</v>
      </c>
      <c r="CB219" s="19" t="n">
        <v>4</v>
      </c>
      <c r="CC219" s="19" t="n">
        <v>5</v>
      </c>
      <c r="CD219" s="19" t="n">
        <v>4</v>
      </c>
      <c r="CE219" s="19" t="n">
        <v>5</v>
      </c>
      <c r="CF219" s="19" t="n">
        <v>5</v>
      </c>
      <c r="CG219" s="19" t="n">
        <v>5</v>
      </c>
      <c r="CH219" s="19" t="n">
        <v>4</v>
      </c>
      <c r="CI219" s="19" t="n">
        <v>4</v>
      </c>
      <c r="CJ219" s="19" t="n">
        <v>4</v>
      </c>
      <c r="CK219" s="19" t="n">
        <v>8</v>
      </c>
      <c r="CL219" s="0" t="s">
        <v>195</v>
      </c>
      <c r="CM219" s="0" t="n">
        <v>37.5</v>
      </c>
      <c r="CN219" s="16" t="n">
        <v>87.4</v>
      </c>
      <c r="CO219" s="16" t="n">
        <v>80.4</v>
      </c>
      <c r="CP219" s="16" t="n">
        <v>18.5</v>
      </c>
      <c r="CQ219" s="0" t="n">
        <v>84.21</v>
      </c>
      <c r="CR219" s="17" t="n">
        <v>0</v>
      </c>
      <c r="CS219" s="0" t="n">
        <v>0</v>
      </c>
      <c r="CT219" s="0" t="n">
        <v>0</v>
      </c>
      <c r="CU219" s="0" t="n">
        <v>15.79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26.71</v>
      </c>
      <c r="DC219" s="0" t="n">
        <v>13.13</v>
      </c>
      <c r="DD219" s="0" t="n">
        <v>49.12</v>
      </c>
      <c r="DE219" s="0" t="n">
        <v>14.67</v>
      </c>
      <c r="DF219" s="0" t="n">
        <v>0</v>
      </c>
      <c r="DG219" s="0" t="n">
        <v>0</v>
      </c>
      <c r="DH219" s="0" t="n">
        <v>0</v>
      </c>
      <c r="DU219" s="0" t="n">
        <v>1.1</v>
      </c>
      <c r="DV219" s="0" t="n">
        <v>1</v>
      </c>
      <c r="DW219" s="0" t="n">
        <v>52</v>
      </c>
      <c r="DX219" s="0" t="n">
        <v>1</v>
      </c>
      <c r="DY219" s="0" t="n">
        <v>0.22</v>
      </c>
      <c r="DZ219" s="0" t="n">
        <v>2</v>
      </c>
      <c r="EA219" s="0" t="n">
        <v>35</v>
      </c>
      <c r="EB219" s="0" t="n">
        <v>2</v>
      </c>
      <c r="EC219" s="0" t="n">
        <v>0.16</v>
      </c>
      <c r="ED219" s="0" t="n">
        <v>3</v>
      </c>
      <c r="EG219" s="20"/>
      <c r="EY219" s="0" t="n">
        <v>0</v>
      </c>
      <c r="GJ219" s="16" t="n">
        <v>4.3</v>
      </c>
      <c r="GK219" s="16" t="n">
        <v>1</v>
      </c>
      <c r="GL219" s="16" t="n">
        <v>1</v>
      </c>
      <c r="GM219" s="16"/>
      <c r="GN219" s="16" t="n">
        <f aca="false">(2.11*6)+0.9+0.9+0.62+0.62+0.93+0.3+0.3+0.22+0.22+0.23+0.22+0.22+0.22</f>
        <v>18.56</v>
      </c>
      <c r="GO219" s="16"/>
      <c r="GP219" s="16"/>
      <c r="GQ219" s="16"/>
      <c r="GR219" s="16"/>
      <c r="GS219" s="16"/>
      <c r="GT219" s="16"/>
      <c r="GU219" s="16" t="n">
        <v>10.31</v>
      </c>
      <c r="GV219" s="16" t="n">
        <v>34.85</v>
      </c>
      <c r="GW219" s="16" t="n">
        <v>0</v>
      </c>
      <c r="GX219" s="16" t="n">
        <v>0</v>
      </c>
      <c r="GY219" s="16" t="n">
        <v>0</v>
      </c>
      <c r="GZ219" s="16" t="n">
        <v>0</v>
      </c>
      <c r="HA219" s="16" t="n">
        <v>0</v>
      </c>
      <c r="HB219" s="0" t="n">
        <v>0</v>
      </c>
      <c r="HC219" s="0" t="s">
        <v>198</v>
      </c>
      <c r="HD219" s="0" t="n">
        <v>28.5</v>
      </c>
      <c r="HE219" s="16" t="n">
        <v>78.4</v>
      </c>
      <c r="HF219" s="16" t="n">
        <v>80.4</v>
      </c>
      <c r="HG219" s="16" t="n">
        <v>16</v>
      </c>
      <c r="HH219" s="0" t="n">
        <v>95.22</v>
      </c>
      <c r="HI219" s="17" t="n">
        <v>0</v>
      </c>
      <c r="HJ219" s="0" t="n">
        <v>4.23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0</v>
      </c>
      <c r="HS219" s="0" t="n">
        <v>9.77</v>
      </c>
      <c r="HT219" s="0" t="n">
        <v>2.18</v>
      </c>
      <c r="HU219" s="0" t="n">
        <v>46.81</v>
      </c>
      <c r="HV219" s="0" t="n">
        <v>10.57</v>
      </c>
      <c r="HW219" s="0" t="n">
        <v>0</v>
      </c>
      <c r="HX219" s="0" t="n">
        <v>0</v>
      </c>
      <c r="HY219" s="0" t="n">
        <v>0</v>
      </c>
      <c r="IL219" s="0" t="n">
        <v>0</v>
      </c>
      <c r="IM219" s="0" t="n">
        <v>0</v>
      </c>
      <c r="IX219" s="20"/>
      <c r="JP219" s="0" t="n">
        <v>0</v>
      </c>
      <c r="LA219" s="16" t="n">
        <v>4.23</v>
      </c>
      <c r="LB219" s="16" t="n">
        <v>1</v>
      </c>
      <c r="LC219" s="16" t="n">
        <v>2</v>
      </c>
      <c r="LD219" s="16"/>
      <c r="LE219" s="16" t="n">
        <v>6.34</v>
      </c>
      <c r="LF219" s="16" t="n">
        <v>1</v>
      </c>
      <c r="LG219" s="16" t="n">
        <v>1</v>
      </c>
      <c r="LH219" s="16" t="n">
        <f aca="false">9.52+3.17+3.17+3.17+1.12+1.12+1.12</f>
        <v>22.39</v>
      </c>
      <c r="LI219" s="16"/>
      <c r="LJ219" s="16"/>
      <c r="LK219" s="16"/>
      <c r="LL219" s="16" t="n">
        <v>5.41</v>
      </c>
      <c r="LM219" s="16" t="n">
        <v>8.96</v>
      </c>
      <c r="LN219" s="16" t="n">
        <v>0</v>
      </c>
      <c r="LO219" s="16" t="n">
        <v>0</v>
      </c>
      <c r="LP219" s="16" t="n">
        <v>0</v>
      </c>
      <c r="LQ219" s="16" t="n">
        <v>0</v>
      </c>
      <c r="LR219" s="16" t="n">
        <v>0</v>
      </c>
      <c r="LS219" s="0" t="n">
        <v>0</v>
      </c>
      <c r="LT219" s="0" t="s">
        <v>201</v>
      </c>
      <c r="LU219" s="0" t="n">
        <v>48.5</v>
      </c>
      <c r="LV219" s="16" t="n">
        <v>89.7</v>
      </c>
      <c r="LW219" s="16" t="n">
        <v>80.4</v>
      </c>
      <c r="LX219" s="16" t="n">
        <v>9.3</v>
      </c>
      <c r="LY219" s="0" t="n">
        <v>100</v>
      </c>
      <c r="LZ219" s="17" t="n">
        <v>0</v>
      </c>
      <c r="MA219" s="0" t="n">
        <v>0</v>
      </c>
      <c r="MB219" s="0" t="n">
        <v>0</v>
      </c>
      <c r="MC219" s="0" t="n">
        <v>0</v>
      </c>
      <c r="MD219" s="0" t="n">
        <v>0</v>
      </c>
      <c r="ME219" s="0" t="n">
        <v>0</v>
      </c>
      <c r="MF219" s="0" t="n">
        <v>0</v>
      </c>
      <c r="MG219" s="0" t="n">
        <v>0</v>
      </c>
      <c r="MH219" s="0" t="n">
        <v>0</v>
      </c>
      <c r="MI219" s="0" t="n">
        <v>0</v>
      </c>
      <c r="MJ219" s="0" t="n">
        <v>1.65</v>
      </c>
      <c r="MK219" s="0" t="n">
        <v>2.69</v>
      </c>
      <c r="ML219" s="0" t="n">
        <v>54.55</v>
      </c>
      <c r="MM219" s="0" t="n">
        <v>11.29</v>
      </c>
      <c r="MN219" s="0" t="n">
        <v>0</v>
      </c>
      <c r="MO219" s="0" t="n">
        <v>0</v>
      </c>
      <c r="MP219" s="0" t="n">
        <v>0</v>
      </c>
      <c r="NC219" s="0" t="n">
        <v>30.6</v>
      </c>
      <c r="ND219" s="0" t="n">
        <v>1</v>
      </c>
      <c r="NE219" s="0" t="n">
        <v>35</v>
      </c>
      <c r="NF219" s="0" t="n">
        <v>14</v>
      </c>
      <c r="NG219" s="0" t="n">
        <f aca="false">3.05+1.52+1.52+0.27+0.03+0.07</f>
        <v>6.46</v>
      </c>
      <c r="NH219" s="0" t="n">
        <v>3</v>
      </c>
      <c r="NI219" s="0" t="n">
        <v>47</v>
      </c>
      <c r="NJ219" s="0" t="n">
        <v>6</v>
      </c>
      <c r="NK219" s="0" t="n">
        <f aca="false">1.52+0.27*2</f>
        <v>2.06</v>
      </c>
      <c r="NL219" s="0" t="n">
        <v>3</v>
      </c>
      <c r="NO219" s="20"/>
      <c r="OG219" s="0" t="n">
        <v>0</v>
      </c>
      <c r="PR219" s="16" t="n">
        <v>3.34</v>
      </c>
      <c r="PS219" s="16" t="n">
        <v>1</v>
      </c>
      <c r="PT219" s="16" t="n">
        <v>1</v>
      </c>
      <c r="PU219" s="16"/>
      <c r="PV219" s="16" t="n">
        <f aca="false">4.23+1.14+2.11+4.23+1.37+0.02+2.03+0.75+0.37+0.13</f>
        <v>16.38</v>
      </c>
      <c r="PW219" s="16"/>
      <c r="PX219" s="16"/>
      <c r="PY219" s="16"/>
      <c r="PZ219" s="16"/>
      <c r="QA219" s="16"/>
      <c r="QB219" s="16"/>
      <c r="QC219" s="16" t="n">
        <v>1.45</v>
      </c>
      <c r="QD219" s="16" t="n">
        <v>1.46</v>
      </c>
      <c r="QE219" s="16" t="n">
        <v>0</v>
      </c>
      <c r="QF219" s="16" t="n">
        <v>0</v>
      </c>
      <c r="QG219" s="16" t="n">
        <v>0</v>
      </c>
      <c r="QH219" s="16" t="n">
        <v>0</v>
      </c>
      <c r="QI219" s="16" t="n">
        <v>0</v>
      </c>
      <c r="QJ219" s="0" t="n">
        <v>0</v>
      </c>
      <c r="QK219" s="0" t="s">
        <v>202</v>
      </c>
      <c r="QL219" s="0" t="n">
        <v>60</v>
      </c>
      <c r="QM219" s="16" t="n">
        <v>55.4</v>
      </c>
      <c r="QN219" s="16" t="n">
        <v>80.4</v>
      </c>
      <c r="QO219" s="16" t="n">
        <v>29.6</v>
      </c>
      <c r="QP219" s="0" t="n">
        <v>76.8</v>
      </c>
      <c r="QQ219" s="17" t="n">
        <v>0</v>
      </c>
      <c r="QR219" s="0" t="n">
        <v>0</v>
      </c>
      <c r="QS219" s="0" t="n">
        <v>0</v>
      </c>
      <c r="QT219" s="0" t="n">
        <v>0</v>
      </c>
      <c r="QV219" s="0" t="n">
        <v>4.83</v>
      </c>
      <c r="QW219" s="0" t="n">
        <v>1.71</v>
      </c>
      <c r="QX219" s="0" t="n">
        <v>0</v>
      </c>
      <c r="QY219" s="0" t="n">
        <v>0</v>
      </c>
      <c r="QZ219" s="0" t="n">
        <v>0</v>
      </c>
      <c r="RA219" s="0" t="n">
        <v>1.51</v>
      </c>
      <c r="RB219" s="0" t="n">
        <v>1.85</v>
      </c>
      <c r="RC219" s="0" t="n">
        <v>2.31</v>
      </c>
      <c r="RD219" s="0" t="n">
        <v>19.08</v>
      </c>
      <c r="RE219" s="0" t="n">
        <v>18.37</v>
      </c>
      <c r="RF219" s="0" t="n">
        <v>0</v>
      </c>
      <c r="RG219" s="0" t="n">
        <v>0</v>
      </c>
      <c r="RH219" s="0" t="n">
        <v>0</v>
      </c>
      <c r="RN219" s="0" t="n">
        <v>0</v>
      </c>
      <c r="RT219" s="0" t="n">
        <v>22.9</v>
      </c>
      <c r="RU219" s="0" t="n">
        <v>1</v>
      </c>
      <c r="RV219" s="0" t="n">
        <v>34</v>
      </c>
      <c r="RW219" s="0" t="n">
        <v>1</v>
      </c>
      <c r="RX219" s="0" t="n">
        <v>1.19</v>
      </c>
      <c r="RY219" s="0" t="n">
        <v>1</v>
      </c>
      <c r="RZ219" s="0" t="n">
        <v>47</v>
      </c>
      <c r="SA219" s="0" t="n">
        <f aca="false">7+3+1+2+3+5+7+1+7+2+7+5+5</f>
        <v>55</v>
      </c>
      <c r="SB219" s="0" t="n">
        <f aca="false">(0.3*7)+0.15+0.3+0.9+0.6+0.45+0.6+(0.3*3)+(0.3*5)+(0.3*7)+0.9+(0.3*7)+(0.4)+(0.3*7)+(0.3*5)+(0.3*5)</f>
        <v>18.1</v>
      </c>
      <c r="SC219" s="0" t="n">
        <v>2</v>
      </c>
      <c r="SF219" s="20"/>
      <c r="SX219" s="0" t="n">
        <v>0</v>
      </c>
      <c r="UI219" s="16" t="n">
        <v>0.06</v>
      </c>
      <c r="UJ219" s="16" t="n">
        <v>1</v>
      </c>
      <c r="UK219" s="16" t="n">
        <v>1</v>
      </c>
      <c r="UL219" s="16"/>
      <c r="UM219" s="16" t="n">
        <v>0.1</v>
      </c>
      <c r="UN219" s="16"/>
      <c r="UO219" s="16"/>
      <c r="UP219" s="16"/>
      <c r="UQ219" s="16"/>
      <c r="UR219" s="16"/>
      <c r="US219" s="16"/>
      <c r="UT219" s="16" t="n">
        <v>5.42</v>
      </c>
      <c r="UU219" s="16" t="n">
        <v>8.83</v>
      </c>
      <c r="UV219" s="16" t="n">
        <v>0</v>
      </c>
      <c r="UW219" s="16" t="n">
        <v>0</v>
      </c>
      <c r="UX219" s="16" t="n">
        <v>1.99</v>
      </c>
      <c r="UY219" s="16" t="n">
        <v>0</v>
      </c>
      <c r="UZ219" s="16" t="n">
        <v>0</v>
      </c>
      <c r="VA219" s="0" t="n">
        <v>2</v>
      </c>
      <c r="VB219" s="0" t="s">
        <v>727</v>
      </c>
      <c r="VC219" s="0" t="n">
        <v>47.5</v>
      </c>
      <c r="VD219" s="16" t="n">
        <v>58.6</v>
      </c>
      <c r="VE219" s="16" t="n">
        <v>80.4</v>
      </c>
      <c r="VF219" s="16" t="n">
        <v>19.5</v>
      </c>
      <c r="VG219" s="0" t="n">
        <v>76.23</v>
      </c>
      <c r="VH219" s="17" t="n">
        <v>0</v>
      </c>
      <c r="VI219" s="0" t="n">
        <v>7.5</v>
      </c>
      <c r="VJ219" s="0" t="n">
        <v>0</v>
      </c>
      <c r="VK219" s="0" t="n">
        <v>16.26</v>
      </c>
      <c r="VL219" s="0" t="n">
        <v>0</v>
      </c>
      <c r="VM219" s="0" t="n">
        <v>0</v>
      </c>
      <c r="VN219" s="0" t="n">
        <v>0</v>
      </c>
      <c r="VO219" s="0" t="n">
        <v>0</v>
      </c>
      <c r="VP219" s="0" t="n">
        <v>0</v>
      </c>
      <c r="VQ219" s="0" t="n">
        <v>0</v>
      </c>
      <c r="VR219" s="0" t="n">
        <v>0</v>
      </c>
      <c r="VS219" s="0" t="n">
        <v>22.34</v>
      </c>
      <c r="VT219" s="0" t="n">
        <v>19.22</v>
      </c>
      <c r="VU219" s="0" t="n">
        <v>9.8</v>
      </c>
      <c r="VV219" s="0" t="n">
        <v>0.28</v>
      </c>
      <c r="VW219" s="0" t="n">
        <v>0</v>
      </c>
      <c r="WK219" s="0" t="n">
        <v>24.1</v>
      </c>
      <c r="WL219" s="0" t="n">
        <v>1</v>
      </c>
      <c r="WM219" s="0" t="n">
        <v>47</v>
      </c>
      <c r="WN219" s="0" t="n">
        <v>6</v>
      </c>
      <c r="WO219" s="0" t="n">
        <f aca="false">2.28+0.81</f>
        <v>3.09</v>
      </c>
      <c r="WP219" s="0" t="n">
        <v>3</v>
      </c>
      <c r="WQ219" s="0" t="n">
        <v>23</v>
      </c>
      <c r="WR219" s="0" t="n">
        <v>2</v>
      </c>
      <c r="WS219" s="0" t="n">
        <v>0.54</v>
      </c>
      <c r="WT219" s="0" t="n">
        <v>3</v>
      </c>
      <c r="WW219" s="20"/>
      <c r="XO219" s="0" t="n">
        <v>0</v>
      </c>
      <c r="YZ219" s="16" t="n">
        <v>0</v>
      </c>
      <c r="ZA219" s="16" t="n">
        <v>0</v>
      </c>
      <c r="ZB219" s="16"/>
      <c r="ZC219" s="16"/>
      <c r="ZD219" s="16"/>
      <c r="ZE219" s="16"/>
      <c r="ZF219" s="16"/>
      <c r="ZG219" s="16"/>
      <c r="ZH219" s="16"/>
      <c r="ZI219" s="16"/>
      <c r="ZJ219" s="16"/>
      <c r="ZK219" s="16" t="n">
        <v>2.97</v>
      </c>
      <c r="ZL219" s="16" t="n">
        <v>2.96</v>
      </c>
      <c r="ZM219" s="16" t="n">
        <v>0</v>
      </c>
      <c r="ZN219" s="16" t="n">
        <v>0</v>
      </c>
      <c r="ZO219" s="16" t="n">
        <v>0</v>
      </c>
      <c r="ZP219" s="16" t="n">
        <v>0</v>
      </c>
      <c r="ZQ219" s="16" t="n">
        <v>0</v>
      </c>
      <c r="ZR219" s="0" t="n">
        <v>0</v>
      </c>
      <c r="ZS219" s="0" t="s">
        <v>213</v>
      </c>
      <c r="ZT219" s="0" t="n">
        <v>49.5</v>
      </c>
      <c r="ZU219" s="16" t="n">
        <v>78.9</v>
      </c>
      <c r="ZV219" s="16" t="n">
        <v>80.4</v>
      </c>
      <c r="ZW219" s="16" t="n">
        <v>31.1</v>
      </c>
      <c r="ZX219" s="0" t="n">
        <v>22.13</v>
      </c>
      <c r="ZY219" s="17" t="n">
        <v>0</v>
      </c>
      <c r="ZZ219" s="0" t="n">
        <v>0</v>
      </c>
      <c r="AAA219" s="0" t="n">
        <v>0</v>
      </c>
      <c r="AAB219" s="0" t="n">
        <v>3.8</v>
      </c>
      <c r="AAC219" s="0" t="n">
        <v>0</v>
      </c>
      <c r="AAD219" s="0" t="n">
        <v>74.07</v>
      </c>
      <c r="AAE219" s="0" t="n">
        <v>28.31</v>
      </c>
      <c r="AAF219" s="0" t="n">
        <v>0</v>
      </c>
      <c r="AAG219" s="0" t="n">
        <v>0</v>
      </c>
      <c r="AAH219" s="0" t="n">
        <v>0</v>
      </c>
      <c r="AAI219" s="0" t="n">
        <v>8.07</v>
      </c>
      <c r="AAJ219" s="0" t="n">
        <v>1.71</v>
      </c>
      <c r="AAK219" s="0" t="n">
        <v>33.85</v>
      </c>
      <c r="AAL219" s="0" t="n">
        <v>17.12</v>
      </c>
      <c r="AAM219" s="0" t="n">
        <v>0</v>
      </c>
      <c r="AAN219" s="0" t="n">
        <v>0</v>
      </c>
      <c r="AAO219" s="0" t="n">
        <v>0</v>
      </c>
      <c r="ABB219" s="0" t="n">
        <v>3.4</v>
      </c>
      <c r="ABC219" s="0" t="n">
        <v>1</v>
      </c>
      <c r="ABD219" s="0" t="n">
        <v>34</v>
      </c>
      <c r="ABE219" s="0" t="n">
        <v>1</v>
      </c>
      <c r="ABF219" s="0" t="n">
        <v>1.6</v>
      </c>
      <c r="ABG219" s="0" t="n">
        <v>1</v>
      </c>
      <c r="ABH219" s="0" t="n">
        <v>68</v>
      </c>
      <c r="ABI219" s="0" t="n">
        <v>2</v>
      </c>
      <c r="ABJ219" s="0" t="n">
        <f aca="false">0.65+0.11</f>
        <v>0.76</v>
      </c>
      <c r="ABK219" s="0" t="n">
        <v>1</v>
      </c>
      <c r="ABL219" s="0" t="n">
        <v>52</v>
      </c>
      <c r="ABM219" s="0" t="n">
        <v>2</v>
      </c>
      <c r="ABN219" s="20" t="n">
        <f aca="false">1.33+0.34</f>
        <v>1.67</v>
      </c>
      <c r="ABO219" s="0" t="n">
        <v>2</v>
      </c>
      <c r="ACF219" s="0" t="n">
        <v>0</v>
      </c>
      <c r="ADQ219" s="16" t="n">
        <v>0</v>
      </c>
      <c r="ADR219" s="16" t="n">
        <v>0</v>
      </c>
      <c r="ADS219" s="16"/>
      <c r="ADT219" s="16"/>
      <c r="ADU219" s="16"/>
      <c r="ADV219" s="16"/>
      <c r="ADW219" s="16"/>
      <c r="ADX219" s="16"/>
      <c r="ADY219" s="16"/>
      <c r="ADZ219" s="16"/>
      <c r="AEA219" s="16"/>
      <c r="AEB219" s="16" t="n">
        <v>5.13</v>
      </c>
      <c r="AEC219" s="16" t="n">
        <v>6.28</v>
      </c>
      <c r="AED219" s="16" t="n">
        <v>0</v>
      </c>
      <c r="AEE219" s="16" t="n">
        <v>0</v>
      </c>
      <c r="AEF219" s="16" t="n">
        <v>6.72</v>
      </c>
      <c r="AEG219" s="16" t="n">
        <v>0</v>
      </c>
      <c r="AEH219" s="16" t="n">
        <v>2.54</v>
      </c>
      <c r="AEI219" s="0" t="n">
        <v>2</v>
      </c>
      <c r="AEK219" s="15"/>
      <c r="AEL219" s="15"/>
      <c r="AES219" s="15"/>
      <c r="AET219" s="15"/>
      <c r="AFA219" s="15"/>
      <c r="AFB219" s="15"/>
      <c r="AFI219" s="15"/>
      <c r="AFJ219" s="15"/>
      <c r="AFQ219" s="15"/>
      <c r="AFR219" s="15"/>
      <c r="AFY219" s="15"/>
      <c r="AFZ219" s="15"/>
      <c r="AGG219" s="15"/>
      <c r="AGH219" s="15"/>
      <c r="AGO219" s="15"/>
      <c r="AGP219" s="15"/>
      <c r="AGW219" s="15"/>
      <c r="AGX219" s="15"/>
      <c r="AHE219" s="15"/>
      <c r="AHF219" s="15"/>
      <c r="AHM219" s="15"/>
      <c r="AHN219" s="15"/>
      <c r="AHU219" s="15"/>
      <c r="AHV219" s="15"/>
      <c r="AIC219" s="15"/>
      <c r="AID219" s="15"/>
      <c r="AIK219" s="15"/>
      <c r="AIL219" s="15"/>
      <c r="AIS219" s="15"/>
      <c r="AIT219" s="15"/>
      <c r="AJA219" s="15"/>
      <c r="AJB219" s="15"/>
      <c r="AJI219" s="15"/>
      <c r="AJJ219" s="15"/>
      <c r="AJQ219" s="15"/>
      <c r="AJR219" s="15"/>
      <c r="AJY219" s="15"/>
      <c r="AJZ219" s="15"/>
      <c r="AKG219" s="15"/>
      <c r="AKH219" s="15"/>
      <c r="AKO219" s="15"/>
      <c r="AKP219" s="15"/>
      <c r="AKW219" s="15"/>
      <c r="AKX219" s="15"/>
      <c r="ALE219" s="15"/>
      <c r="ALF219" s="15"/>
      <c r="ALM219" s="15"/>
      <c r="ALN219" s="15"/>
      <c r="ALU219" s="15"/>
      <c r="ALV219" s="15"/>
      <c r="AMC219" s="15"/>
      <c r="AMD219" s="15"/>
    </row>
    <row r="220" customFormat="false" ht="13.8" hidden="false" customHeight="false" outlineLevel="0" collapsed="false">
      <c r="A220" s="1" t="s">
        <v>733</v>
      </c>
      <c r="B220" s="12" t="n">
        <v>42905</v>
      </c>
      <c r="C220" s="0" t="n">
        <v>2</v>
      </c>
      <c r="D220" s="13" t="n">
        <v>42786</v>
      </c>
      <c r="E220" s="12" t="n">
        <v>28523</v>
      </c>
      <c r="F220" s="14" t="n">
        <f aca="false">(B220-E220)/365.25</f>
        <v>39.3757700205339</v>
      </c>
      <c r="G220" s="14" t="n">
        <f aca="false">(B220-D220)/365.25</f>
        <v>0.32580424366872</v>
      </c>
      <c r="H220" s="15" t="s">
        <v>181</v>
      </c>
      <c r="I220" s="15" t="s">
        <v>194</v>
      </c>
      <c r="J220" s="21" t="s">
        <v>183</v>
      </c>
      <c r="K220" s="21" t="n">
        <v>4</v>
      </c>
      <c r="L220" s="19" t="n">
        <v>81</v>
      </c>
      <c r="M220" s="0" t="n">
        <v>1.7</v>
      </c>
      <c r="N220" s="16" t="n">
        <f aca="false">L220/(M220*M220)</f>
        <v>28.0276816608996</v>
      </c>
      <c r="O220" s="19" t="n">
        <v>0</v>
      </c>
      <c r="P220" s="19" t="n">
        <v>0</v>
      </c>
      <c r="Q220" s="19" t="n">
        <v>0</v>
      </c>
      <c r="R220" s="26" t="n">
        <v>0</v>
      </c>
      <c r="S220" s="26" t="n">
        <v>0</v>
      </c>
      <c r="T220" s="26" t="n">
        <v>0</v>
      </c>
      <c r="U220" s="19" t="n">
        <v>0</v>
      </c>
      <c r="V220" s="19" t="n">
        <v>0</v>
      </c>
      <c r="W220" s="19" t="n">
        <v>0</v>
      </c>
      <c r="X220" s="19" t="n">
        <v>0</v>
      </c>
      <c r="Y220" s="19" t="n">
        <v>0</v>
      </c>
      <c r="Z220" s="19" t="n">
        <v>0</v>
      </c>
      <c r="AA220" s="19" t="n">
        <v>0</v>
      </c>
      <c r="AB220" s="19" t="n">
        <v>0</v>
      </c>
      <c r="AC220" s="19" t="n">
        <v>1</v>
      </c>
      <c r="AD220" s="19" t="n">
        <v>10</v>
      </c>
      <c r="AE220" s="19" t="n">
        <v>0</v>
      </c>
      <c r="AF220" s="19" t="n">
        <v>0</v>
      </c>
      <c r="AG220" s="19" t="n">
        <v>0</v>
      </c>
      <c r="AH220" s="19" t="n">
        <v>0</v>
      </c>
      <c r="AI220" s="19" t="n">
        <v>0</v>
      </c>
      <c r="AJ220" s="19" t="n">
        <v>0</v>
      </c>
      <c r="AK220" s="19" t="n">
        <v>0</v>
      </c>
      <c r="AL220" s="19" t="n">
        <v>0</v>
      </c>
      <c r="AM220" s="19" t="n">
        <v>0</v>
      </c>
      <c r="AN220" s="19" t="n">
        <v>0</v>
      </c>
      <c r="AO220" s="19" t="n">
        <v>0</v>
      </c>
      <c r="AP220" s="19" t="n">
        <v>0</v>
      </c>
      <c r="AQ220" s="19" t="n">
        <v>0</v>
      </c>
      <c r="AR220" s="19" t="n">
        <v>0</v>
      </c>
      <c r="AS220" s="19" t="n">
        <v>0</v>
      </c>
      <c r="AT220" s="19" t="n">
        <v>0</v>
      </c>
      <c r="AU220" s="19" t="n">
        <v>0</v>
      </c>
      <c r="AV220" s="19" t="n">
        <v>0</v>
      </c>
      <c r="AW220" s="19" t="n">
        <v>0</v>
      </c>
      <c r="AX220" s="19" t="n">
        <v>0</v>
      </c>
      <c r="AY220" s="19" t="n">
        <v>0</v>
      </c>
      <c r="AZ220" s="19" t="n">
        <v>0</v>
      </c>
      <c r="BA220" s="19" t="n">
        <v>0</v>
      </c>
      <c r="BB220" s="19" t="n">
        <v>0</v>
      </c>
      <c r="BC220" s="19" t="n">
        <v>0</v>
      </c>
      <c r="BD220" s="19" t="n">
        <v>0</v>
      </c>
      <c r="BE220" s="19" t="n">
        <v>0</v>
      </c>
      <c r="BF220" s="19" t="n">
        <v>0</v>
      </c>
      <c r="BG220" s="19" t="n">
        <v>0</v>
      </c>
      <c r="BH220" s="19" t="n">
        <v>0</v>
      </c>
      <c r="BI220" s="19" t="n">
        <v>0</v>
      </c>
      <c r="BJ220" s="19" t="n">
        <v>0</v>
      </c>
      <c r="BK220" s="19" t="n">
        <v>0</v>
      </c>
      <c r="BL220" s="19" t="n">
        <v>0</v>
      </c>
      <c r="BM220" s="19" t="n">
        <v>0</v>
      </c>
      <c r="BN220" s="19" t="n">
        <v>0</v>
      </c>
      <c r="BO220" s="19" t="n">
        <v>0</v>
      </c>
      <c r="BP220" s="19" t="n">
        <v>0</v>
      </c>
      <c r="BQ220" s="19" t="n">
        <v>0</v>
      </c>
      <c r="BR220" s="19" t="n">
        <v>3</v>
      </c>
      <c r="BS220" s="19" t="n">
        <v>2</v>
      </c>
      <c r="BT220" s="19" t="n">
        <v>3</v>
      </c>
      <c r="BU220" s="19" t="n">
        <v>4</v>
      </c>
      <c r="BV220" s="19" t="n">
        <v>4</v>
      </c>
      <c r="BW220" s="19" t="n">
        <v>4</v>
      </c>
      <c r="BX220" s="19" t="n">
        <v>5</v>
      </c>
      <c r="BY220" s="19" t="n">
        <v>4</v>
      </c>
      <c r="BZ220" s="19" t="n">
        <v>3</v>
      </c>
      <c r="CA220" s="19" t="n">
        <v>4</v>
      </c>
      <c r="CB220" s="19" t="n">
        <v>4</v>
      </c>
      <c r="CC220" s="19" t="n">
        <v>4</v>
      </c>
      <c r="CD220" s="19" t="n">
        <v>5</v>
      </c>
      <c r="CE220" s="19" t="n">
        <v>5</v>
      </c>
      <c r="CF220" s="19" t="n">
        <v>4</v>
      </c>
      <c r="CG220" s="19" t="n">
        <v>5</v>
      </c>
      <c r="CH220" s="19" t="n">
        <v>4</v>
      </c>
      <c r="CI220" s="19" t="n">
        <v>4</v>
      </c>
      <c r="CJ220" s="19" t="n">
        <v>4</v>
      </c>
      <c r="CK220" s="19" t="n">
        <v>8</v>
      </c>
      <c r="CL220" s="0" t="s">
        <v>196</v>
      </c>
      <c r="CM220" s="0" t="n">
        <v>39.5</v>
      </c>
      <c r="CN220" s="16" t="n">
        <v>89.8</v>
      </c>
      <c r="CO220" s="16" t="n">
        <v>80.4</v>
      </c>
      <c r="CP220" s="16" t="n">
        <v>5.1</v>
      </c>
      <c r="CQ220" s="0" t="n">
        <v>100</v>
      </c>
      <c r="CR220" s="17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50.37</v>
      </c>
      <c r="DD220" s="0" t="n">
        <v>16.55</v>
      </c>
      <c r="DE220" s="0" t="n">
        <v>0.4</v>
      </c>
      <c r="DF220" s="0" t="n">
        <v>0</v>
      </c>
      <c r="DG220" s="0" t="n">
        <v>27.4</v>
      </c>
      <c r="DH220" s="0" t="n">
        <v>1</v>
      </c>
      <c r="DI220" s="0" t="n">
        <v>3</v>
      </c>
      <c r="DK220" s="0" t="n">
        <v>4</v>
      </c>
      <c r="DO220" s="0" t="n">
        <v>3</v>
      </c>
      <c r="DQ220" s="0" t="n">
        <v>4</v>
      </c>
      <c r="DU220" s="0" t="n">
        <v>0.1</v>
      </c>
      <c r="DV220" s="0" t="n">
        <v>1</v>
      </c>
      <c r="DW220" s="0" t="n">
        <v>34</v>
      </c>
      <c r="DX220" s="0" t="n">
        <v>9</v>
      </c>
      <c r="DY220" s="0" t="n">
        <f aca="false">(1.71*3)+(0.2*2)</f>
        <v>5.53</v>
      </c>
      <c r="DZ220" s="0" t="n">
        <v>1</v>
      </c>
      <c r="EA220" s="0" t="n">
        <v>35</v>
      </c>
      <c r="EB220" s="0" t="n">
        <v>1</v>
      </c>
      <c r="EC220" s="16" t="n">
        <v>0.02</v>
      </c>
      <c r="ED220" s="0" t="n">
        <v>3</v>
      </c>
      <c r="EG220" s="20"/>
      <c r="EY220" s="0" t="n">
        <v>0</v>
      </c>
      <c r="GJ220" s="16" t="n">
        <v>1.49</v>
      </c>
      <c r="GK220" s="16" t="n">
        <v>1</v>
      </c>
      <c r="GL220" s="16" t="n">
        <v>1</v>
      </c>
      <c r="GM220" s="16"/>
      <c r="GN220" s="16" t="n">
        <f aca="false">2.11+2.11+0.56+0.56</f>
        <v>5.34</v>
      </c>
      <c r="GO220" s="16"/>
      <c r="GP220" s="16"/>
      <c r="GQ220" s="16"/>
      <c r="GR220" s="16"/>
      <c r="GS220" s="16"/>
      <c r="GT220" s="16"/>
      <c r="GU220" s="16" t="n">
        <v>5.01</v>
      </c>
      <c r="GV220" s="16" t="n">
        <v>5.13</v>
      </c>
      <c r="GW220" s="16" t="n">
        <v>0</v>
      </c>
      <c r="GX220" s="16" t="n">
        <v>0</v>
      </c>
      <c r="GY220" s="16" t="n">
        <v>0</v>
      </c>
      <c r="GZ220" s="16" t="n">
        <v>0</v>
      </c>
      <c r="HA220" s="16" t="n">
        <v>0</v>
      </c>
      <c r="HB220" s="0" t="n">
        <v>0</v>
      </c>
      <c r="HC220" s="0" t="s">
        <v>197</v>
      </c>
      <c r="HD220" s="0" t="n">
        <v>49.5</v>
      </c>
      <c r="HE220" s="16" t="n">
        <v>90.1</v>
      </c>
      <c r="HF220" s="16" t="n">
        <v>80.4</v>
      </c>
      <c r="HG220" s="16" t="n">
        <v>9.9</v>
      </c>
      <c r="HH220" s="0" t="n">
        <v>94.62</v>
      </c>
      <c r="HI220" s="17" t="n">
        <v>0</v>
      </c>
      <c r="HJ220" s="0" t="n">
        <v>0.32</v>
      </c>
      <c r="HK220" s="0" t="n">
        <v>0</v>
      </c>
      <c r="HL220" s="0" t="n">
        <v>5.05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0</v>
      </c>
      <c r="HR220" s="0" t="n">
        <v>0</v>
      </c>
      <c r="HS220" s="0" t="n">
        <v>3.42</v>
      </c>
      <c r="HT220" s="0" t="n">
        <v>32.25</v>
      </c>
      <c r="HU220" s="0" t="n">
        <v>29.89</v>
      </c>
      <c r="HV220" s="0" t="n">
        <v>8.28</v>
      </c>
      <c r="HW220" s="0" t="n">
        <v>0</v>
      </c>
      <c r="HX220" s="0" t="n">
        <v>12.9</v>
      </c>
      <c r="HY220" s="0" t="n">
        <v>1</v>
      </c>
      <c r="HZ220" s="0" t="n">
        <v>7</v>
      </c>
      <c r="IB220" s="0" t="n">
        <v>5</v>
      </c>
      <c r="IC220" s="0" t="n">
        <v>3</v>
      </c>
      <c r="IE220" s="0" t="n">
        <v>3</v>
      </c>
      <c r="IF220" s="0" t="n">
        <v>7</v>
      </c>
      <c r="IH220" s="0" t="n">
        <v>5</v>
      </c>
      <c r="II220" s="0" t="n">
        <v>3</v>
      </c>
      <c r="IK220" s="0" t="n">
        <v>3</v>
      </c>
      <c r="IL220" s="0" t="n">
        <v>16.6</v>
      </c>
      <c r="IM220" s="0" t="n">
        <v>1</v>
      </c>
      <c r="IN220" s="0" t="n">
        <v>68</v>
      </c>
      <c r="IO220" s="0" t="n">
        <v>6</v>
      </c>
      <c r="IP220" s="0" t="n">
        <v>0.21</v>
      </c>
      <c r="IQ220" s="0" t="n">
        <v>1</v>
      </c>
      <c r="IR220" s="0" t="n">
        <v>35</v>
      </c>
      <c r="IS220" s="0" t="n">
        <v>3</v>
      </c>
      <c r="IT220" s="0" t="n">
        <v>0.51</v>
      </c>
      <c r="IU220" s="0" t="n">
        <v>3</v>
      </c>
      <c r="IV220" s="0" t="n">
        <v>47</v>
      </c>
      <c r="IW220" s="0" t="n">
        <v>22</v>
      </c>
      <c r="IX220" s="20" t="n">
        <f aca="false">(0.43*3)+(0.07*4)+0.22</f>
        <v>1.79</v>
      </c>
      <c r="IY220" s="0" t="n">
        <v>3</v>
      </c>
      <c r="JP220" s="0" t="n">
        <v>1</v>
      </c>
      <c r="JQ220" s="0" t="n">
        <v>60</v>
      </c>
      <c r="JR220" s="0" t="n">
        <v>17</v>
      </c>
      <c r="JS220" s="0" t="n">
        <f aca="false">0.22+0.04+0.11+0.08+0.08+0.05</f>
        <v>0.58</v>
      </c>
      <c r="JT220" s="0" t="n">
        <v>3</v>
      </c>
      <c r="JU220" s="0" t="n">
        <v>60</v>
      </c>
      <c r="JV220" s="0" t="n">
        <v>12</v>
      </c>
      <c r="JW220" s="0" t="n">
        <f aca="false">0.87+0.43+0.15+0.07</f>
        <v>1.52</v>
      </c>
      <c r="JX220" s="0" t="n">
        <v>1</v>
      </c>
      <c r="LA220" s="16" t="n">
        <v>2.49</v>
      </c>
      <c r="LB220" s="16" t="n">
        <v>1</v>
      </c>
      <c r="LC220" s="16" t="n">
        <v>1</v>
      </c>
      <c r="LD220" s="16"/>
      <c r="LE220" s="16" t="n">
        <v>10.89</v>
      </c>
      <c r="LF220" s="16"/>
      <c r="LG220" s="16"/>
      <c r="LH220" s="16"/>
      <c r="LI220" s="16"/>
      <c r="LJ220" s="16"/>
      <c r="LK220" s="16"/>
      <c r="LL220" s="16" t="n">
        <v>4.17</v>
      </c>
      <c r="LM220" s="16" t="n">
        <v>3.7</v>
      </c>
      <c r="LN220" s="16" t="n">
        <v>0</v>
      </c>
      <c r="LO220" s="16" t="n">
        <v>0</v>
      </c>
      <c r="LP220" s="16" t="n">
        <v>0</v>
      </c>
      <c r="LQ220" s="16" t="n">
        <v>0</v>
      </c>
      <c r="LR220" s="16" t="n">
        <v>0</v>
      </c>
      <c r="LS220" s="0" t="n">
        <v>0</v>
      </c>
      <c r="LT220" s="0" t="s">
        <v>198</v>
      </c>
      <c r="LU220" s="0" t="n">
        <v>28.5</v>
      </c>
      <c r="LV220" s="16" t="n">
        <v>78.4</v>
      </c>
      <c r="LW220" s="16" t="n">
        <v>80.4</v>
      </c>
      <c r="LX220" s="16" t="n">
        <v>16</v>
      </c>
      <c r="LY220" s="0" t="n">
        <v>95.22</v>
      </c>
      <c r="LZ220" s="17" t="n">
        <v>0</v>
      </c>
      <c r="MA220" s="0" t="n">
        <v>4.23</v>
      </c>
      <c r="MB220" s="0" t="n">
        <v>0</v>
      </c>
      <c r="MC220" s="0" t="n">
        <v>0</v>
      </c>
      <c r="MD220" s="0" t="n">
        <v>0</v>
      </c>
      <c r="ME220" s="0" t="n">
        <v>0</v>
      </c>
      <c r="MF220" s="0" t="n">
        <v>0</v>
      </c>
      <c r="MG220" s="0" t="n">
        <v>0</v>
      </c>
      <c r="MH220" s="0" t="n">
        <v>0</v>
      </c>
      <c r="MI220" s="0" t="n">
        <v>0</v>
      </c>
      <c r="MJ220" s="0" t="n">
        <v>9.77</v>
      </c>
      <c r="MK220" s="0" t="n">
        <v>2.18</v>
      </c>
      <c r="ML220" s="0" t="n">
        <v>46.81</v>
      </c>
      <c r="MM220" s="0" t="n">
        <v>10.57</v>
      </c>
      <c r="MN220" s="0" t="n">
        <v>0</v>
      </c>
      <c r="MO220" s="0" t="n">
        <v>0</v>
      </c>
      <c r="MP220" s="0" t="n">
        <v>0</v>
      </c>
      <c r="NC220" s="0" t="n">
        <v>0</v>
      </c>
      <c r="ND220" s="0" t="n">
        <v>0</v>
      </c>
      <c r="NO220" s="20"/>
      <c r="OG220" s="0" t="n">
        <v>0</v>
      </c>
      <c r="PR220" s="16" t="n">
        <v>4.23</v>
      </c>
      <c r="PS220" s="16" t="n">
        <v>1</v>
      </c>
      <c r="PT220" s="16" t="n">
        <v>2</v>
      </c>
      <c r="PU220" s="16"/>
      <c r="PV220" s="16" t="n">
        <v>6.34</v>
      </c>
      <c r="PW220" s="16" t="n">
        <v>1</v>
      </c>
      <c r="PX220" s="16" t="n">
        <v>1</v>
      </c>
      <c r="PY220" s="16" t="n">
        <f aca="false">9.52+3.17+3.17+3.17+1.12+1.12+1.12</f>
        <v>22.39</v>
      </c>
      <c r="PZ220" s="16"/>
      <c r="QA220" s="16"/>
      <c r="QB220" s="16"/>
      <c r="QC220" s="16" t="n">
        <v>5.41</v>
      </c>
      <c r="QD220" s="16" t="n">
        <v>8.96</v>
      </c>
      <c r="QE220" s="16" t="n">
        <v>0</v>
      </c>
      <c r="QF220" s="16" t="n">
        <v>0</v>
      </c>
      <c r="QG220" s="16" t="n">
        <v>0</v>
      </c>
      <c r="QH220" s="16" t="n">
        <v>0</v>
      </c>
      <c r="QI220" s="16" t="n">
        <v>0</v>
      </c>
      <c r="QJ220" s="0" t="n">
        <v>0</v>
      </c>
      <c r="QK220" s="0" t="s">
        <v>202</v>
      </c>
      <c r="QL220" s="0" t="n">
        <v>60</v>
      </c>
      <c r="QM220" s="16" t="n">
        <v>55.4</v>
      </c>
      <c r="QN220" s="16" t="n">
        <v>80.4</v>
      </c>
      <c r="QO220" s="16" t="n">
        <v>29.6</v>
      </c>
      <c r="QP220" s="0" t="n">
        <v>76.8</v>
      </c>
      <c r="QQ220" s="17" t="n">
        <v>0</v>
      </c>
      <c r="QR220" s="0" t="n">
        <v>0</v>
      </c>
      <c r="QS220" s="0" t="n">
        <v>0</v>
      </c>
      <c r="QT220" s="0" t="n">
        <v>0</v>
      </c>
      <c r="QV220" s="0" t="n">
        <v>4.83</v>
      </c>
      <c r="QW220" s="0" t="n">
        <v>1.71</v>
      </c>
      <c r="QX220" s="0" t="n">
        <v>0</v>
      </c>
      <c r="QY220" s="0" t="n">
        <v>0</v>
      </c>
      <c r="QZ220" s="0" t="n">
        <v>0</v>
      </c>
      <c r="RA220" s="0" t="n">
        <v>1.51</v>
      </c>
      <c r="RB220" s="0" t="n">
        <v>1.85</v>
      </c>
      <c r="RC220" s="0" t="n">
        <v>2.31</v>
      </c>
      <c r="RD220" s="0" t="n">
        <v>19.08</v>
      </c>
      <c r="RE220" s="0" t="n">
        <v>18.37</v>
      </c>
      <c r="RF220" s="0" t="n">
        <v>0</v>
      </c>
      <c r="RG220" s="0" t="n">
        <v>0</v>
      </c>
      <c r="RH220" s="0" t="n">
        <v>0</v>
      </c>
      <c r="RN220" s="0" t="n">
        <v>0</v>
      </c>
      <c r="RT220" s="0" t="n">
        <v>22.9</v>
      </c>
      <c r="RU220" s="0" t="n">
        <v>1</v>
      </c>
      <c r="RV220" s="0" t="n">
        <v>34</v>
      </c>
      <c r="RW220" s="0" t="n">
        <v>1</v>
      </c>
      <c r="RX220" s="0" t="n">
        <v>1.19</v>
      </c>
      <c r="RY220" s="0" t="n">
        <v>1</v>
      </c>
      <c r="RZ220" s="0" t="n">
        <v>47</v>
      </c>
      <c r="SA220" s="0" t="n">
        <f aca="false">7+3+1+2+3+5+7+1+7+2+7+5+5</f>
        <v>55</v>
      </c>
      <c r="SB220" s="0" t="n">
        <f aca="false">(0.3*7)+0.15+0.3+0.9+0.6+0.45+0.6+(0.3*3)+(0.3*5)+(0.3*7)+0.9+(0.3*7)+(0.4)+(0.3*7)+(0.3*5)+(0.3*5)</f>
        <v>18.1</v>
      </c>
      <c r="SC220" s="0" t="n">
        <v>2</v>
      </c>
      <c r="SF220" s="20"/>
      <c r="SX220" s="0" t="n">
        <v>0</v>
      </c>
      <c r="UI220" s="16" t="n">
        <v>0.06</v>
      </c>
      <c r="UJ220" s="16" t="n">
        <v>1</v>
      </c>
      <c r="UK220" s="16" t="n">
        <v>1</v>
      </c>
      <c r="UL220" s="16"/>
      <c r="UM220" s="16" t="n">
        <v>0.1</v>
      </c>
      <c r="UN220" s="16"/>
      <c r="UO220" s="16"/>
      <c r="UP220" s="16"/>
      <c r="UQ220" s="16"/>
      <c r="UR220" s="16"/>
      <c r="US220" s="16"/>
      <c r="UT220" s="16" t="n">
        <v>5.42</v>
      </c>
      <c r="UU220" s="16" t="n">
        <v>8.83</v>
      </c>
      <c r="UV220" s="16" t="n">
        <v>0</v>
      </c>
      <c r="UW220" s="16" t="n">
        <v>0</v>
      </c>
      <c r="UX220" s="16" t="n">
        <v>1.99</v>
      </c>
      <c r="UY220" s="16" t="n">
        <v>0</v>
      </c>
      <c r="UZ220" s="16" t="n">
        <v>0</v>
      </c>
      <c r="VA220" s="0" t="n">
        <v>2</v>
      </c>
      <c r="VB220" s="0" t="s">
        <v>202</v>
      </c>
      <c r="VC220" s="0" t="n">
        <v>60</v>
      </c>
      <c r="VD220" s="16" t="n">
        <v>55.4</v>
      </c>
      <c r="VE220" s="16" t="n">
        <v>80.4</v>
      </c>
      <c r="VF220" s="16" t="n">
        <v>29.6</v>
      </c>
      <c r="VG220" s="0" t="n">
        <v>76.8</v>
      </c>
      <c r="VH220" s="17" t="n">
        <v>0</v>
      </c>
      <c r="VI220" s="0" t="n">
        <v>0</v>
      </c>
      <c r="VJ220" s="0" t="n">
        <v>0</v>
      </c>
      <c r="VK220" s="0" t="n">
        <v>0</v>
      </c>
      <c r="VM220" s="0" t="n">
        <v>4.83</v>
      </c>
      <c r="VN220" s="0" t="n">
        <v>1.71</v>
      </c>
      <c r="VO220" s="0" t="n">
        <v>0</v>
      </c>
      <c r="VP220" s="0" t="n">
        <v>0</v>
      </c>
      <c r="VQ220" s="0" t="n">
        <v>0</v>
      </c>
      <c r="VR220" s="0" t="n">
        <v>1.51</v>
      </c>
      <c r="VS220" s="0" t="n">
        <v>1.85</v>
      </c>
      <c r="VT220" s="0" t="n">
        <v>2.31</v>
      </c>
      <c r="VU220" s="0" t="n">
        <v>19.08</v>
      </c>
      <c r="VV220" s="0" t="n">
        <v>18.37</v>
      </c>
      <c r="VW220" s="0" t="n">
        <v>0</v>
      </c>
      <c r="VX220" s="0" t="n">
        <v>0</v>
      </c>
      <c r="VY220" s="0" t="n">
        <v>0</v>
      </c>
      <c r="WE220" s="0" t="n">
        <v>0</v>
      </c>
      <c r="WK220" s="0" t="n">
        <v>22.9</v>
      </c>
      <c r="WL220" s="0" t="n">
        <v>1</v>
      </c>
      <c r="WM220" s="0" t="n">
        <v>34</v>
      </c>
      <c r="WN220" s="0" t="n">
        <v>1</v>
      </c>
      <c r="WO220" s="0" t="n">
        <v>1.19</v>
      </c>
      <c r="WP220" s="0" t="n">
        <v>1</v>
      </c>
      <c r="WQ220" s="0" t="n">
        <v>47</v>
      </c>
      <c r="WR220" s="0" t="n">
        <f aca="false">7+3+1+2+3+5+7+1+7+2+7+5+5</f>
        <v>55</v>
      </c>
      <c r="WS220" s="0" t="n">
        <f aca="false">(0.3*7)+0.15+0.3+0.9+0.6+0.45+0.6+(0.3*3)+(0.3*5)+(0.3*7)+0.9+(0.3*7)+(0.4)+(0.3*7)+(0.3*5)+(0.3*5)</f>
        <v>18.1</v>
      </c>
      <c r="WT220" s="0" t="n">
        <v>2</v>
      </c>
      <c r="WW220" s="20"/>
      <c r="XO220" s="0" t="n">
        <v>0</v>
      </c>
      <c r="YZ220" s="16" t="n">
        <v>0.06</v>
      </c>
      <c r="ZA220" s="16" t="n">
        <v>1</v>
      </c>
      <c r="ZB220" s="16" t="n">
        <v>1</v>
      </c>
      <c r="ZC220" s="16"/>
      <c r="ZD220" s="16" t="n">
        <v>0.1</v>
      </c>
      <c r="ZE220" s="16"/>
      <c r="ZF220" s="16"/>
      <c r="ZG220" s="16"/>
      <c r="ZH220" s="16"/>
      <c r="ZI220" s="16"/>
      <c r="ZJ220" s="16"/>
      <c r="ZK220" s="16" t="n">
        <v>5.42</v>
      </c>
      <c r="ZL220" s="16" t="n">
        <v>8.83</v>
      </c>
      <c r="ZM220" s="16" t="n">
        <v>0</v>
      </c>
      <c r="ZN220" s="16" t="n">
        <v>0</v>
      </c>
      <c r="ZO220" s="16" t="n">
        <v>1.99</v>
      </c>
      <c r="ZP220" s="16" t="n">
        <v>0</v>
      </c>
      <c r="ZQ220" s="16" t="n">
        <v>0</v>
      </c>
      <c r="ZR220" s="0" t="n">
        <v>2</v>
      </c>
      <c r="ZS220" s="0" t="s">
        <v>727</v>
      </c>
      <c r="ZT220" s="0" t="n">
        <v>47.5</v>
      </c>
      <c r="ZU220" s="16" t="n">
        <v>58.6</v>
      </c>
      <c r="ZV220" s="16" t="n">
        <v>80.4</v>
      </c>
      <c r="ZW220" s="16" t="n">
        <v>19.5</v>
      </c>
      <c r="ZX220" s="0" t="n">
        <v>76.23</v>
      </c>
      <c r="ZY220" s="17" t="n">
        <v>0</v>
      </c>
      <c r="ZZ220" s="0" t="n">
        <v>7.5</v>
      </c>
      <c r="AAA220" s="0" t="n">
        <v>0</v>
      </c>
      <c r="AAB220" s="0" t="n">
        <v>16.26</v>
      </c>
      <c r="AAC220" s="0" t="n">
        <v>0</v>
      </c>
      <c r="AAD220" s="0" t="n">
        <v>0</v>
      </c>
      <c r="AAE220" s="0" t="n">
        <v>0</v>
      </c>
      <c r="AAF220" s="0" t="n">
        <v>0</v>
      </c>
      <c r="AAG220" s="0" t="n">
        <v>0</v>
      </c>
      <c r="AAH220" s="0" t="n">
        <v>0</v>
      </c>
      <c r="AAI220" s="0" t="n">
        <v>0</v>
      </c>
      <c r="AAJ220" s="0" t="n">
        <v>22.34</v>
      </c>
      <c r="AAK220" s="0" t="n">
        <v>19.22</v>
      </c>
      <c r="AAL220" s="0" t="n">
        <v>9.8</v>
      </c>
      <c r="AAM220" s="0" t="n">
        <v>0.28</v>
      </c>
      <c r="AAN220" s="0" t="n">
        <v>0</v>
      </c>
      <c r="ABB220" s="0" t="n">
        <v>24.1</v>
      </c>
      <c r="ABC220" s="0" t="n">
        <v>1</v>
      </c>
      <c r="ABD220" s="0" t="n">
        <v>47</v>
      </c>
      <c r="ABE220" s="0" t="n">
        <v>6</v>
      </c>
      <c r="ABF220" s="0" t="n">
        <f aca="false">2.28+0.81</f>
        <v>3.09</v>
      </c>
      <c r="ABG220" s="0" t="n">
        <v>3</v>
      </c>
      <c r="ABH220" s="0" t="n">
        <v>23</v>
      </c>
      <c r="ABI220" s="0" t="n">
        <v>2</v>
      </c>
      <c r="ABJ220" s="0" t="n">
        <v>0.54</v>
      </c>
      <c r="ABK220" s="0" t="n">
        <v>3</v>
      </c>
      <c r="ABN220" s="20"/>
      <c r="ACF220" s="0" t="n">
        <v>0</v>
      </c>
      <c r="ADQ220" s="16" t="n">
        <v>0</v>
      </c>
      <c r="ADR220" s="16" t="n">
        <v>0</v>
      </c>
      <c r="ADS220" s="16"/>
      <c r="ADT220" s="16"/>
      <c r="ADU220" s="16"/>
      <c r="ADV220" s="16"/>
      <c r="ADW220" s="16"/>
      <c r="ADX220" s="16"/>
      <c r="ADY220" s="16"/>
      <c r="ADZ220" s="16"/>
      <c r="AEA220" s="16"/>
      <c r="AEB220" s="16" t="n">
        <v>2.97</v>
      </c>
      <c r="AEC220" s="16" t="n">
        <v>2.96</v>
      </c>
      <c r="AED220" s="16" t="n">
        <v>0</v>
      </c>
      <c r="AEE220" s="16" t="n">
        <v>0</v>
      </c>
      <c r="AEF220" s="16" t="n">
        <v>0</v>
      </c>
      <c r="AEG220" s="16" t="n">
        <v>0</v>
      </c>
      <c r="AEH220" s="16" t="n">
        <v>0</v>
      </c>
      <c r="AEI220" s="0" t="n">
        <v>0</v>
      </c>
      <c r="AEJ220" s="0" t="s">
        <v>213</v>
      </c>
      <c r="AEK220" s="0" t="n">
        <v>49.5</v>
      </c>
      <c r="AEL220" s="16" t="n">
        <v>78.9</v>
      </c>
      <c r="AEM220" s="16" t="n">
        <v>80.4</v>
      </c>
      <c r="AEN220" s="16" t="n">
        <v>31.1</v>
      </c>
      <c r="AEO220" s="0" t="n">
        <v>22.13</v>
      </c>
      <c r="AEP220" s="17" t="n">
        <v>0</v>
      </c>
      <c r="AEQ220" s="0" t="n">
        <v>0</v>
      </c>
      <c r="AER220" s="0" t="n">
        <v>0</v>
      </c>
      <c r="AES220" s="0" t="n">
        <v>3.8</v>
      </c>
      <c r="AET220" s="0" t="n">
        <v>0</v>
      </c>
      <c r="AEU220" s="0" t="n">
        <v>74.07</v>
      </c>
      <c r="AEV220" s="0" t="n">
        <v>28.31</v>
      </c>
      <c r="AEW220" s="0" t="n">
        <v>0</v>
      </c>
      <c r="AEX220" s="0" t="n">
        <v>0</v>
      </c>
      <c r="AEY220" s="0" t="n">
        <v>0</v>
      </c>
      <c r="AEZ220" s="0" t="n">
        <v>8.07</v>
      </c>
      <c r="AFA220" s="0" t="n">
        <v>1.71</v>
      </c>
      <c r="AFB220" s="0" t="n">
        <v>33.85</v>
      </c>
      <c r="AFC220" s="0" t="n">
        <v>17.12</v>
      </c>
      <c r="AFD220" s="0" t="n">
        <v>0</v>
      </c>
      <c r="AFE220" s="0" t="n">
        <v>0</v>
      </c>
      <c r="AFF220" s="0" t="n">
        <v>0</v>
      </c>
      <c r="AFS220" s="0" t="n">
        <v>3.4</v>
      </c>
      <c r="AFT220" s="0" t="n">
        <v>1</v>
      </c>
      <c r="AFU220" s="0" t="n">
        <v>34</v>
      </c>
      <c r="AFV220" s="0" t="n">
        <v>1</v>
      </c>
      <c r="AFW220" s="0" t="n">
        <v>1.6</v>
      </c>
      <c r="AFX220" s="0" t="n">
        <v>1</v>
      </c>
      <c r="AFY220" s="0" t="n">
        <v>68</v>
      </c>
      <c r="AFZ220" s="0" t="n">
        <v>2</v>
      </c>
      <c r="AGA220" s="0" t="n">
        <f aca="false">0.65+0.11</f>
        <v>0.76</v>
      </c>
      <c r="AGB220" s="0" t="n">
        <v>1</v>
      </c>
      <c r="AGC220" s="0" t="n">
        <v>52</v>
      </c>
      <c r="AGD220" s="0" t="n">
        <v>2</v>
      </c>
      <c r="AGE220" s="20" t="n">
        <f aca="false">1.33+0.34</f>
        <v>1.67</v>
      </c>
      <c r="AGF220" s="0" t="n">
        <v>2</v>
      </c>
      <c r="AGW220" s="0" t="n">
        <v>0</v>
      </c>
      <c r="AIH220" s="16" t="n">
        <v>0</v>
      </c>
      <c r="AII220" s="16" t="n">
        <v>0</v>
      </c>
      <c r="AIJ220" s="16"/>
      <c r="AIK220" s="16"/>
      <c r="AIL220" s="16"/>
      <c r="AIM220" s="16"/>
      <c r="AIN220" s="16"/>
      <c r="AIO220" s="16"/>
      <c r="AIP220" s="16"/>
      <c r="AIQ220" s="16"/>
      <c r="AIR220" s="16"/>
      <c r="AIS220" s="16" t="n">
        <v>5.13</v>
      </c>
      <c r="AIT220" s="16" t="n">
        <v>6.28</v>
      </c>
      <c r="AIU220" s="16" t="n">
        <v>0</v>
      </c>
      <c r="AIV220" s="16" t="n">
        <v>0</v>
      </c>
      <c r="AIW220" s="16" t="n">
        <v>6.72</v>
      </c>
      <c r="AIX220" s="16" t="n">
        <v>0</v>
      </c>
      <c r="AIY220" s="16" t="n">
        <v>2.54</v>
      </c>
      <c r="AIZ220" s="0" t="n">
        <v>2</v>
      </c>
      <c r="AJA220" s="15"/>
      <c r="AJB220" s="15"/>
      <c r="AJI220" s="15"/>
      <c r="AJJ220" s="15"/>
      <c r="AJQ220" s="15"/>
      <c r="AJR220" s="15"/>
      <c r="AJY220" s="15"/>
      <c r="AJZ220" s="15"/>
      <c r="AKG220" s="15"/>
      <c r="AKH220" s="15"/>
      <c r="AKO220" s="15"/>
      <c r="AKP220" s="15"/>
      <c r="AKW220" s="15"/>
      <c r="AKX220" s="15"/>
      <c r="ALE220" s="15"/>
      <c r="ALF220" s="15"/>
      <c r="ALM220" s="15"/>
      <c r="ALN220" s="15"/>
      <c r="ALU220" s="15"/>
      <c r="ALV220" s="15"/>
      <c r="AMC220" s="15"/>
      <c r="AMD220" s="15"/>
    </row>
    <row r="221" customFormat="false" ht="13.8" hidden="false" customHeight="false" outlineLevel="0" collapsed="false">
      <c r="A221" s="1" t="s">
        <v>734</v>
      </c>
      <c r="B221" s="12" t="n">
        <v>42905</v>
      </c>
      <c r="C221" s="0" t="n">
        <v>2</v>
      </c>
      <c r="D221" s="13" t="n">
        <v>38930</v>
      </c>
      <c r="E221" s="12" t="n">
        <v>30160</v>
      </c>
      <c r="F221" s="14" t="n">
        <f aca="false">(B221-E221)/365.25</f>
        <v>34.8939082819986</v>
      </c>
      <c r="G221" s="14" t="n">
        <f aca="false">(B221-D221)/365.25</f>
        <v>10.8829568788501</v>
      </c>
      <c r="H221" s="15" t="s">
        <v>181</v>
      </c>
      <c r="I221" s="15" t="s">
        <v>194</v>
      </c>
      <c r="J221" s="21" t="s">
        <v>183</v>
      </c>
      <c r="K221" s="21" t="n">
        <v>4</v>
      </c>
      <c r="L221" s="19" t="n">
        <v>90</v>
      </c>
      <c r="M221" s="0" t="n">
        <v>1.72</v>
      </c>
      <c r="N221" s="16" t="n">
        <f aca="false">L221/(M221*M221)</f>
        <v>30.4218496484586</v>
      </c>
      <c r="O221" s="19" t="n">
        <v>0</v>
      </c>
      <c r="P221" s="19" t="n">
        <v>0</v>
      </c>
      <c r="Q221" s="19" t="n">
        <v>0</v>
      </c>
      <c r="R221" s="26" t="n">
        <v>0</v>
      </c>
      <c r="S221" s="26" t="n">
        <v>0</v>
      </c>
      <c r="T221" s="26" t="n">
        <v>0</v>
      </c>
      <c r="U221" s="19" t="n">
        <v>0</v>
      </c>
      <c r="V221" s="19" t="n">
        <v>0</v>
      </c>
      <c r="W221" s="19" t="n">
        <v>1</v>
      </c>
      <c r="X221" s="19" t="n">
        <v>0</v>
      </c>
      <c r="Y221" s="19" t="n">
        <v>0</v>
      </c>
      <c r="Z221" s="19" t="n">
        <v>0</v>
      </c>
      <c r="AA221" s="19" t="n">
        <v>0</v>
      </c>
      <c r="AB221" s="19" t="n">
        <v>0</v>
      </c>
      <c r="AC221" s="19" t="n">
        <v>1</v>
      </c>
      <c r="AD221" s="19" t="n">
        <v>10</v>
      </c>
      <c r="AE221" s="19" t="n">
        <v>1</v>
      </c>
      <c r="AF221" s="19" t="n">
        <v>1</v>
      </c>
      <c r="AG221" s="19" t="n">
        <v>1</v>
      </c>
      <c r="AH221" s="19" t="n">
        <v>5</v>
      </c>
      <c r="AI221" s="19" t="n">
        <v>3</v>
      </c>
      <c r="AJ221" s="19" t="n">
        <v>3</v>
      </c>
      <c r="AK221" s="19" t="n">
        <v>0</v>
      </c>
      <c r="AL221" s="19" t="n">
        <v>0</v>
      </c>
      <c r="AM221" s="19" t="n">
        <v>0</v>
      </c>
      <c r="AN221" s="19" t="n">
        <v>0</v>
      </c>
      <c r="AO221" s="19" t="n">
        <v>0</v>
      </c>
      <c r="AP221" s="19" t="n">
        <v>0</v>
      </c>
      <c r="AQ221" s="19" t="n">
        <v>0</v>
      </c>
      <c r="AR221" s="19" t="n">
        <v>0</v>
      </c>
      <c r="AS221" s="19" t="n">
        <v>3</v>
      </c>
      <c r="AT221" s="19" t="n">
        <v>3</v>
      </c>
      <c r="AU221" s="19" t="n">
        <v>3</v>
      </c>
      <c r="AV221" s="19" t="n">
        <v>6</v>
      </c>
      <c r="AW221" s="19" t="n">
        <v>6</v>
      </c>
      <c r="AX221" s="19" t="n">
        <v>0</v>
      </c>
      <c r="AY221" s="19" t="n">
        <v>0</v>
      </c>
      <c r="AZ221" s="19" t="n">
        <v>0</v>
      </c>
      <c r="BA221" s="19" t="n">
        <v>0</v>
      </c>
      <c r="BB221" s="19" t="n">
        <v>1</v>
      </c>
      <c r="BC221" s="19" t="n">
        <v>0</v>
      </c>
      <c r="BD221" s="19" t="n">
        <v>0</v>
      </c>
      <c r="BE221" s="19" t="n">
        <v>0</v>
      </c>
      <c r="BF221" s="19" t="n">
        <v>0</v>
      </c>
      <c r="BG221" s="19" t="n">
        <v>0</v>
      </c>
      <c r="BH221" s="19" t="n">
        <v>0</v>
      </c>
      <c r="BI221" s="19" t="n">
        <v>0</v>
      </c>
      <c r="BJ221" s="19" t="n">
        <v>0</v>
      </c>
      <c r="BK221" s="19" t="n">
        <v>0</v>
      </c>
      <c r="BL221" s="19" t="n">
        <v>0</v>
      </c>
      <c r="BM221" s="19" t="n">
        <v>0</v>
      </c>
      <c r="BN221" s="19" t="n">
        <v>0</v>
      </c>
      <c r="BO221" s="19" t="n">
        <v>0</v>
      </c>
      <c r="BP221" s="19" t="n">
        <v>0</v>
      </c>
      <c r="BQ221" s="19" t="n">
        <v>0</v>
      </c>
      <c r="BR221" s="19" t="n">
        <v>5</v>
      </c>
      <c r="BS221" s="19" t="n">
        <v>4</v>
      </c>
      <c r="BT221" s="19" t="n">
        <v>5</v>
      </c>
      <c r="BU221" s="19" t="n">
        <v>5</v>
      </c>
      <c r="BV221" s="19" t="n">
        <v>5</v>
      </c>
      <c r="BW221" s="19" t="n">
        <v>4</v>
      </c>
      <c r="BX221" s="19" t="n">
        <v>4</v>
      </c>
      <c r="BY221" s="19" t="n">
        <v>1</v>
      </c>
      <c r="BZ221" s="19" t="n">
        <v>1</v>
      </c>
      <c r="CA221" s="19" t="n">
        <v>3</v>
      </c>
      <c r="CB221" s="19" t="n">
        <v>5</v>
      </c>
      <c r="CC221" s="19" t="n">
        <v>5</v>
      </c>
      <c r="CD221" s="19" t="n">
        <v>5</v>
      </c>
      <c r="CE221" s="19" t="n">
        <v>3</v>
      </c>
      <c r="CF221" s="19" t="n">
        <v>5</v>
      </c>
      <c r="CG221" s="19" t="n">
        <v>3</v>
      </c>
      <c r="CH221" s="19" t="n">
        <v>4</v>
      </c>
      <c r="CI221" s="19" t="n">
        <v>5</v>
      </c>
      <c r="CJ221" s="19" t="n">
        <v>1</v>
      </c>
      <c r="CK221" s="19" t="n">
        <v>10</v>
      </c>
      <c r="CL221" s="0" t="s">
        <v>195</v>
      </c>
      <c r="CM221" s="0" t="n">
        <v>37.5</v>
      </c>
      <c r="CN221" s="16" t="n">
        <v>87.4</v>
      </c>
      <c r="CO221" s="16" t="n">
        <v>80.4</v>
      </c>
      <c r="CP221" s="16" t="n">
        <v>18.5</v>
      </c>
      <c r="CQ221" s="0" t="n">
        <v>84.21</v>
      </c>
      <c r="CR221" s="17" t="n">
        <v>0</v>
      </c>
      <c r="CS221" s="0" t="n">
        <v>0</v>
      </c>
      <c r="CT221" s="0" t="n">
        <v>0</v>
      </c>
      <c r="CU221" s="0" t="n">
        <v>15.79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26.71</v>
      </c>
      <c r="DC221" s="0" t="n">
        <v>13.13</v>
      </c>
      <c r="DD221" s="0" t="n">
        <v>49.12</v>
      </c>
      <c r="DE221" s="0" t="n">
        <v>14.67</v>
      </c>
      <c r="DF221" s="0" t="n">
        <v>0</v>
      </c>
      <c r="DG221" s="0" t="n">
        <v>0</v>
      </c>
      <c r="DH221" s="0" t="n">
        <v>0</v>
      </c>
      <c r="DU221" s="0" t="n">
        <v>1.1</v>
      </c>
      <c r="DV221" s="0" t="n">
        <v>1</v>
      </c>
      <c r="DW221" s="0" t="n">
        <v>52</v>
      </c>
      <c r="DX221" s="0" t="n">
        <v>1</v>
      </c>
      <c r="DY221" s="0" t="n">
        <v>0.22</v>
      </c>
      <c r="DZ221" s="0" t="n">
        <v>2</v>
      </c>
      <c r="EA221" s="0" t="n">
        <v>35</v>
      </c>
      <c r="EB221" s="0" t="n">
        <v>2</v>
      </c>
      <c r="EC221" s="0" t="n">
        <v>0.16</v>
      </c>
      <c r="ED221" s="0" t="n">
        <v>3</v>
      </c>
      <c r="EG221" s="20"/>
      <c r="EY221" s="0" t="n">
        <v>0</v>
      </c>
      <c r="GJ221" s="16" t="n">
        <v>4.3</v>
      </c>
      <c r="GK221" s="16" t="n">
        <v>1</v>
      </c>
      <c r="GL221" s="16" t="n">
        <v>1</v>
      </c>
      <c r="GM221" s="16"/>
      <c r="GN221" s="16" t="n">
        <f aca="false">(2.11*6)+0.9+0.9+0.62+0.62+0.93+0.3+0.3+0.22+0.22+0.23+0.22+0.22+0.22</f>
        <v>18.56</v>
      </c>
      <c r="GO221" s="16"/>
      <c r="GP221" s="16"/>
      <c r="GQ221" s="16"/>
      <c r="GR221" s="16"/>
      <c r="GS221" s="16"/>
      <c r="GT221" s="16"/>
      <c r="GU221" s="16" t="n">
        <v>10.31</v>
      </c>
      <c r="GV221" s="16" t="n">
        <v>34.85</v>
      </c>
      <c r="GW221" s="16" t="n">
        <v>0</v>
      </c>
      <c r="GX221" s="16" t="n">
        <v>0</v>
      </c>
      <c r="GY221" s="16" t="n">
        <v>0</v>
      </c>
      <c r="GZ221" s="16" t="n">
        <v>0</v>
      </c>
      <c r="HA221" s="16" t="n">
        <v>0</v>
      </c>
      <c r="HB221" s="0" t="n">
        <v>0</v>
      </c>
      <c r="HC221" s="0" t="s">
        <v>196</v>
      </c>
      <c r="HD221" s="0" t="n">
        <v>39.5</v>
      </c>
      <c r="HE221" s="16" t="n">
        <v>89.8</v>
      </c>
      <c r="HF221" s="16" t="n">
        <v>80.4</v>
      </c>
      <c r="HG221" s="16" t="n">
        <v>5.1</v>
      </c>
      <c r="HH221" s="0" t="n">
        <v>100</v>
      </c>
      <c r="HI221" s="17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0</v>
      </c>
      <c r="HR221" s="0" t="n">
        <v>0</v>
      </c>
      <c r="HS221" s="0" t="n">
        <v>0</v>
      </c>
      <c r="HT221" s="0" t="n">
        <v>50.37</v>
      </c>
      <c r="HU221" s="0" t="n">
        <v>16.55</v>
      </c>
      <c r="HV221" s="0" t="n">
        <v>0.4</v>
      </c>
      <c r="HW221" s="0" t="n">
        <v>0</v>
      </c>
      <c r="HX221" s="0" t="n">
        <v>27.4</v>
      </c>
      <c r="HY221" s="0" t="n">
        <v>1</v>
      </c>
      <c r="HZ221" s="0" t="n">
        <v>3</v>
      </c>
      <c r="IB221" s="0" t="n">
        <v>4</v>
      </c>
      <c r="IF221" s="0" t="n">
        <v>3</v>
      </c>
      <c r="IH221" s="0" t="n">
        <v>4</v>
      </c>
      <c r="IL221" s="0" t="n">
        <v>0.1</v>
      </c>
      <c r="IM221" s="0" t="n">
        <v>1</v>
      </c>
      <c r="IN221" s="0" t="n">
        <v>34</v>
      </c>
      <c r="IO221" s="0" t="n">
        <v>9</v>
      </c>
      <c r="IP221" s="0" t="n">
        <f aca="false">(1.71*3)+(0.2*2)</f>
        <v>5.53</v>
      </c>
      <c r="IQ221" s="0" t="n">
        <v>1</v>
      </c>
      <c r="IR221" s="0" t="n">
        <v>35</v>
      </c>
      <c r="IS221" s="0" t="n">
        <v>1</v>
      </c>
      <c r="IT221" s="16" t="n">
        <v>0.02</v>
      </c>
      <c r="IU221" s="0" t="n">
        <v>3</v>
      </c>
      <c r="IX221" s="20"/>
      <c r="JP221" s="0" t="n">
        <v>0</v>
      </c>
      <c r="LA221" s="16" t="n">
        <v>1.49</v>
      </c>
      <c r="LB221" s="16" t="n">
        <v>1</v>
      </c>
      <c r="LC221" s="16" t="n">
        <v>1</v>
      </c>
      <c r="LD221" s="16"/>
      <c r="LE221" s="16" t="n">
        <f aca="false">2.11+2.11+0.56+0.56</f>
        <v>5.34</v>
      </c>
      <c r="LF221" s="16"/>
      <c r="LG221" s="16"/>
      <c r="LH221" s="16"/>
      <c r="LI221" s="16"/>
      <c r="LJ221" s="16"/>
      <c r="LK221" s="16"/>
      <c r="LL221" s="16" t="n">
        <v>5.01</v>
      </c>
      <c r="LM221" s="16" t="n">
        <v>5.13</v>
      </c>
      <c r="LN221" s="16" t="n">
        <v>0</v>
      </c>
      <c r="LO221" s="16" t="n">
        <v>0</v>
      </c>
      <c r="LP221" s="16" t="n">
        <v>0</v>
      </c>
      <c r="LQ221" s="16" t="n">
        <v>0</v>
      </c>
      <c r="LR221" s="16" t="n">
        <v>0</v>
      </c>
      <c r="LS221" s="0" t="n">
        <v>0</v>
      </c>
      <c r="LT221" s="0" t="s">
        <v>197</v>
      </c>
      <c r="LU221" s="0" t="n">
        <v>49.5</v>
      </c>
      <c r="LV221" s="16" t="n">
        <v>90.1</v>
      </c>
      <c r="LW221" s="16" t="n">
        <v>80.4</v>
      </c>
      <c r="LX221" s="16" t="n">
        <v>9.9</v>
      </c>
      <c r="LY221" s="0" t="n">
        <v>94.62</v>
      </c>
      <c r="LZ221" s="17" t="n">
        <v>0</v>
      </c>
      <c r="MA221" s="0" t="n">
        <v>0.32</v>
      </c>
      <c r="MB221" s="0" t="n">
        <v>0</v>
      </c>
      <c r="MC221" s="0" t="n">
        <v>5.05</v>
      </c>
      <c r="MD221" s="0" t="n">
        <v>0</v>
      </c>
      <c r="ME221" s="0" t="n">
        <v>0</v>
      </c>
      <c r="MF221" s="0" t="n">
        <v>0</v>
      </c>
      <c r="MG221" s="0" t="n">
        <v>0</v>
      </c>
      <c r="MH221" s="0" t="n">
        <v>0</v>
      </c>
      <c r="MI221" s="0" t="n">
        <v>0</v>
      </c>
      <c r="MJ221" s="0" t="n">
        <v>3.42</v>
      </c>
      <c r="MK221" s="0" t="n">
        <v>32.25</v>
      </c>
      <c r="ML221" s="0" t="n">
        <v>29.89</v>
      </c>
      <c r="MM221" s="0" t="n">
        <v>8.28</v>
      </c>
      <c r="MN221" s="0" t="n">
        <v>0</v>
      </c>
      <c r="MO221" s="0" t="n">
        <v>12.9</v>
      </c>
      <c r="MP221" s="0" t="n">
        <v>1</v>
      </c>
      <c r="MQ221" s="0" t="n">
        <v>7</v>
      </c>
      <c r="MS221" s="0" t="n">
        <v>5</v>
      </c>
      <c r="MT221" s="0" t="n">
        <v>3</v>
      </c>
      <c r="MV221" s="0" t="n">
        <v>3</v>
      </c>
      <c r="MW221" s="0" t="n">
        <v>7</v>
      </c>
      <c r="MY221" s="0" t="n">
        <v>5</v>
      </c>
      <c r="MZ221" s="0" t="n">
        <v>3</v>
      </c>
      <c r="NB221" s="0" t="n">
        <v>3</v>
      </c>
      <c r="NC221" s="0" t="n">
        <v>16.6</v>
      </c>
      <c r="ND221" s="0" t="n">
        <v>1</v>
      </c>
      <c r="NE221" s="0" t="n">
        <v>68</v>
      </c>
      <c r="NF221" s="0" t="n">
        <v>6</v>
      </c>
      <c r="NG221" s="0" t="n">
        <v>0.21</v>
      </c>
      <c r="NH221" s="0" t="n">
        <v>1</v>
      </c>
      <c r="NI221" s="0" t="n">
        <v>35</v>
      </c>
      <c r="NJ221" s="0" t="n">
        <v>3</v>
      </c>
      <c r="NK221" s="0" t="n">
        <v>0.51</v>
      </c>
      <c r="NL221" s="0" t="n">
        <v>3</v>
      </c>
      <c r="NM221" s="0" t="n">
        <v>47</v>
      </c>
      <c r="NN221" s="0" t="n">
        <v>22</v>
      </c>
      <c r="NO221" s="20" t="n">
        <f aca="false">(0.43*3)+(0.07*4)+0.22</f>
        <v>1.79</v>
      </c>
      <c r="NP221" s="0" t="n">
        <v>3</v>
      </c>
      <c r="OG221" s="0" t="n">
        <v>1</v>
      </c>
      <c r="OH221" s="0" t="n">
        <v>60</v>
      </c>
      <c r="OI221" s="0" t="n">
        <v>17</v>
      </c>
      <c r="OJ221" s="0" t="n">
        <f aca="false">0.22+0.04+0.11+0.08+0.08+0.05</f>
        <v>0.58</v>
      </c>
      <c r="OK221" s="0" t="n">
        <v>3</v>
      </c>
      <c r="OL221" s="0" t="n">
        <v>60</v>
      </c>
      <c r="OM221" s="0" t="n">
        <v>12</v>
      </c>
      <c r="ON221" s="0" t="n">
        <f aca="false">0.87+0.43+0.15+0.07</f>
        <v>1.52</v>
      </c>
      <c r="OO221" s="0" t="n">
        <v>1</v>
      </c>
      <c r="PR221" s="16" t="n">
        <v>2.49</v>
      </c>
      <c r="PS221" s="16" t="n">
        <v>1</v>
      </c>
      <c r="PT221" s="16" t="n">
        <v>1</v>
      </c>
      <c r="PU221" s="16"/>
      <c r="PV221" s="16" t="n">
        <v>10.89</v>
      </c>
      <c r="PW221" s="16"/>
      <c r="PX221" s="16"/>
      <c r="PY221" s="16"/>
      <c r="PZ221" s="16"/>
      <c r="QA221" s="16"/>
      <c r="QB221" s="16"/>
      <c r="QC221" s="16" t="n">
        <v>4.17</v>
      </c>
      <c r="QD221" s="16" t="n">
        <v>3.7</v>
      </c>
      <c r="QE221" s="16" t="n">
        <v>0</v>
      </c>
      <c r="QF221" s="16" t="n">
        <v>0</v>
      </c>
      <c r="QG221" s="16" t="n">
        <v>0</v>
      </c>
      <c r="QH221" s="16" t="n">
        <v>0</v>
      </c>
      <c r="QI221" s="16" t="n">
        <v>0</v>
      </c>
      <c r="QJ221" s="0" t="n">
        <v>0</v>
      </c>
      <c r="QK221" s="0" t="s">
        <v>198</v>
      </c>
      <c r="QL221" s="0" t="n">
        <v>28.5</v>
      </c>
      <c r="QM221" s="16" t="n">
        <v>78.4</v>
      </c>
      <c r="QN221" s="16" t="n">
        <v>80.4</v>
      </c>
      <c r="QO221" s="16" t="n">
        <v>16</v>
      </c>
      <c r="QP221" s="0" t="n">
        <v>95.22</v>
      </c>
      <c r="QQ221" s="17" t="n">
        <v>0</v>
      </c>
      <c r="QR221" s="0" t="n">
        <v>4.23</v>
      </c>
      <c r="QS221" s="0" t="n">
        <v>0</v>
      </c>
      <c r="QT221" s="0" t="n">
        <v>0</v>
      </c>
      <c r="QU221" s="0" t="n">
        <v>0</v>
      </c>
      <c r="QV221" s="0" t="n">
        <v>0</v>
      </c>
      <c r="QW221" s="0" t="n">
        <v>0</v>
      </c>
      <c r="QX221" s="0" t="n">
        <v>0</v>
      </c>
      <c r="QY221" s="0" t="n">
        <v>0</v>
      </c>
      <c r="QZ221" s="0" t="n">
        <v>0</v>
      </c>
      <c r="RA221" s="0" t="n">
        <v>9.77</v>
      </c>
      <c r="RB221" s="0" t="n">
        <v>2.18</v>
      </c>
      <c r="RC221" s="0" t="n">
        <v>46.81</v>
      </c>
      <c r="RD221" s="0" t="n">
        <v>10.57</v>
      </c>
      <c r="RE221" s="0" t="n">
        <v>0</v>
      </c>
      <c r="RF221" s="0" t="n">
        <v>0</v>
      </c>
      <c r="RG221" s="0" t="n">
        <v>0</v>
      </c>
      <c r="RT221" s="0" t="n">
        <v>0</v>
      </c>
      <c r="RU221" s="0" t="n">
        <v>0</v>
      </c>
      <c r="SF221" s="20"/>
      <c r="SX221" s="0" t="n">
        <v>0</v>
      </c>
      <c r="UI221" s="16" t="n">
        <v>4.23</v>
      </c>
      <c r="UJ221" s="16" t="n">
        <v>1</v>
      </c>
      <c r="UK221" s="16" t="n">
        <v>2</v>
      </c>
      <c r="UL221" s="16"/>
      <c r="UM221" s="16" t="n">
        <v>6.34</v>
      </c>
      <c r="UN221" s="16" t="n">
        <v>1</v>
      </c>
      <c r="UO221" s="16" t="n">
        <v>1</v>
      </c>
      <c r="UP221" s="16" t="n">
        <f aca="false">9.52+3.17+3.17+3.17+1.12+1.12+1.12</f>
        <v>22.39</v>
      </c>
      <c r="UQ221" s="16"/>
      <c r="UR221" s="16"/>
      <c r="US221" s="16"/>
      <c r="UT221" s="16" t="n">
        <v>5.41</v>
      </c>
      <c r="UU221" s="16" t="n">
        <v>8.96</v>
      </c>
      <c r="UV221" s="16" t="n">
        <v>0</v>
      </c>
      <c r="UW221" s="16" t="n">
        <v>0</v>
      </c>
      <c r="UX221" s="16" t="n">
        <v>0</v>
      </c>
      <c r="UY221" s="16" t="n">
        <v>0</v>
      </c>
      <c r="UZ221" s="16" t="n">
        <v>0</v>
      </c>
      <c r="VA221" s="0" t="n">
        <v>0</v>
      </c>
      <c r="VB221" s="0" t="s">
        <v>199</v>
      </c>
      <c r="VC221" s="0" t="n">
        <v>56.5</v>
      </c>
      <c r="VD221" s="16" t="n">
        <v>88.4</v>
      </c>
      <c r="VE221" s="16" t="n">
        <v>80.4</v>
      </c>
      <c r="VF221" s="16" t="n">
        <v>24.8</v>
      </c>
      <c r="VG221" s="0" t="n">
        <v>77.37</v>
      </c>
      <c r="VH221" s="17" t="n">
        <v>0</v>
      </c>
      <c r="VI221" s="0" t="n">
        <v>7.99</v>
      </c>
      <c r="VJ221" s="0" t="n">
        <v>0</v>
      </c>
      <c r="VK221" s="0" t="n">
        <v>14.63</v>
      </c>
      <c r="VL221" s="0" t="n">
        <v>0</v>
      </c>
      <c r="VM221" s="0" t="n">
        <v>0</v>
      </c>
      <c r="VN221" s="0" t="n">
        <v>0</v>
      </c>
      <c r="VO221" s="0" t="n">
        <v>0</v>
      </c>
      <c r="VP221" s="0" t="n">
        <v>0</v>
      </c>
      <c r="VQ221" s="0" t="n">
        <v>0</v>
      </c>
      <c r="VR221" s="0" t="n">
        <v>8.04</v>
      </c>
      <c r="VS221" s="0" t="n">
        <v>23.21</v>
      </c>
      <c r="VT221" s="0" t="n">
        <v>37.03</v>
      </c>
      <c r="VU221" s="0" t="n">
        <v>14.79</v>
      </c>
      <c r="VV221" s="0" t="n">
        <v>0</v>
      </c>
      <c r="VW221" s="0" t="n">
        <v>0</v>
      </c>
      <c r="VX221" s="0" t="n">
        <v>0</v>
      </c>
      <c r="WK221" s="0" t="n">
        <v>25.5</v>
      </c>
      <c r="WL221" s="0" t="n">
        <v>1</v>
      </c>
      <c r="WM221" s="0" t="n">
        <v>52</v>
      </c>
      <c r="WN221" s="0" t="n">
        <v>13</v>
      </c>
      <c r="WO221" s="0" t="n">
        <f aca="false">0.27+1.07+0.13+0.27</f>
        <v>1.74</v>
      </c>
      <c r="WP221" s="0" t="n">
        <v>2</v>
      </c>
      <c r="WQ221" s="0" t="n">
        <v>35</v>
      </c>
      <c r="WR221" s="0" t="n">
        <v>3</v>
      </c>
      <c r="WS221" s="0" t="n">
        <f aca="false">0.13+0.08+0.24</f>
        <v>0.45</v>
      </c>
      <c r="WT221" s="0" t="n">
        <v>3</v>
      </c>
      <c r="WU221" s="0" t="n">
        <v>47</v>
      </c>
      <c r="WV221" s="0" t="n">
        <v>5</v>
      </c>
      <c r="WW221" s="20" t="n">
        <f aca="false">0.76+1.14+0.76+0.13+0.08</f>
        <v>2.87</v>
      </c>
      <c r="WX221" s="0" t="n">
        <v>3</v>
      </c>
      <c r="XO221" s="0" t="n">
        <v>0</v>
      </c>
      <c r="YZ221" s="16" t="n">
        <v>2.59</v>
      </c>
      <c r="ZA221" s="16" t="n">
        <v>1</v>
      </c>
      <c r="ZB221" s="16" t="n">
        <v>1</v>
      </c>
      <c r="ZC221" s="16"/>
      <c r="ZD221" s="16" t="n">
        <f aca="false">(2.11*4)+0.37</f>
        <v>8.81</v>
      </c>
      <c r="ZE221" s="16"/>
      <c r="ZF221" s="16"/>
      <c r="ZG221" s="16"/>
      <c r="ZH221" s="16"/>
      <c r="ZI221" s="16"/>
      <c r="ZJ221" s="16"/>
      <c r="ZK221" s="16" t="n">
        <v>1.33</v>
      </c>
      <c r="ZL221" s="16" t="n">
        <v>0.89</v>
      </c>
      <c r="ZM221" s="16" t="n">
        <v>0</v>
      </c>
      <c r="ZN221" s="16" t="n">
        <v>0</v>
      </c>
      <c r="ZO221" s="16" t="n">
        <v>0</v>
      </c>
      <c r="ZP221" s="16" t="n">
        <v>0</v>
      </c>
      <c r="ZQ221" s="16" t="n">
        <v>0</v>
      </c>
      <c r="ZR221" s="0" t="n">
        <v>0</v>
      </c>
      <c r="ZS221" s="0" t="s">
        <v>200</v>
      </c>
      <c r="ZT221" s="0" t="n">
        <v>28.5</v>
      </c>
      <c r="ZU221" s="16" t="n">
        <v>69.4</v>
      </c>
      <c r="ZV221" s="16" t="n">
        <v>80.4</v>
      </c>
      <c r="ZW221" s="16" t="n">
        <v>9.8</v>
      </c>
      <c r="ZX221" s="0" t="n">
        <v>96.02</v>
      </c>
      <c r="ZY221" s="17" t="n">
        <v>0</v>
      </c>
      <c r="ZZ221" s="0" t="n">
        <v>3.98</v>
      </c>
      <c r="AAA221" s="0" t="n">
        <v>0</v>
      </c>
      <c r="AAB221" s="0" t="n">
        <v>0</v>
      </c>
      <c r="AAC221" s="0" t="n">
        <v>0</v>
      </c>
      <c r="AAD221" s="0" t="n">
        <v>0</v>
      </c>
      <c r="AAE221" s="0" t="n">
        <v>0</v>
      </c>
      <c r="AAF221" s="0" t="n">
        <v>0</v>
      </c>
      <c r="AAG221" s="0" t="n">
        <v>0</v>
      </c>
      <c r="AAH221" s="0" t="n">
        <v>0</v>
      </c>
      <c r="AAI221" s="0" t="n">
        <v>0</v>
      </c>
      <c r="AAJ221" s="0" t="n">
        <v>16.55</v>
      </c>
      <c r="AAK221" s="0" t="n">
        <v>26.49</v>
      </c>
      <c r="AAL221" s="0" t="n">
        <v>6.34</v>
      </c>
      <c r="AAM221" s="0" t="n">
        <v>0</v>
      </c>
      <c r="AAN221" s="0" t="n">
        <v>0</v>
      </c>
      <c r="AAO221" s="0" t="n">
        <v>0</v>
      </c>
      <c r="ABB221" s="0" t="n">
        <v>10.2</v>
      </c>
      <c r="ABC221" s="0" t="n">
        <v>1</v>
      </c>
      <c r="ABD221" s="0" t="n">
        <v>35</v>
      </c>
      <c r="ABE221" s="0" t="n">
        <v>1</v>
      </c>
      <c r="ABF221" s="0" t="n">
        <v>0.02</v>
      </c>
      <c r="ABG221" s="0" t="n">
        <v>3</v>
      </c>
      <c r="ABH221" s="0" t="n">
        <v>70</v>
      </c>
      <c r="ABI221" s="0" t="n">
        <v>2</v>
      </c>
      <c r="ABJ221" s="0" t="n">
        <v>0.27</v>
      </c>
      <c r="ABK221" s="0" t="n">
        <v>3</v>
      </c>
      <c r="ABN221" s="20"/>
      <c r="ACF221" s="0" t="n">
        <v>1</v>
      </c>
      <c r="ACG221" s="0" t="n">
        <v>50</v>
      </c>
      <c r="ACH221" s="0" t="n">
        <v>5</v>
      </c>
      <c r="ACI221" s="0" t="n">
        <f aca="false">1.52+0.5+0.19+0.12</f>
        <v>2.33</v>
      </c>
      <c r="ACJ221" s="0" t="n">
        <v>3</v>
      </c>
      <c r="ADQ221" s="16" t="n">
        <v>2.63</v>
      </c>
      <c r="ADR221" s="16" t="n">
        <v>1</v>
      </c>
      <c r="ADS221" s="16" t="n">
        <v>1</v>
      </c>
      <c r="ADT221" s="16"/>
      <c r="ADU221" s="16" t="n">
        <f aca="false">0.04+2.11+3.17+0.37+0.56</f>
        <v>6.25</v>
      </c>
      <c r="ADV221" s="16" t="n">
        <v>2</v>
      </c>
      <c r="ADW221" s="16"/>
      <c r="ADX221" s="16" t="n">
        <f aca="false">0.53+0.53+0.11+0.07+0.15</f>
        <v>1.39</v>
      </c>
      <c r="ADY221" s="16"/>
      <c r="ADZ221" s="16"/>
      <c r="AEA221" s="16"/>
      <c r="AEB221" s="16" t="n">
        <v>3.33</v>
      </c>
      <c r="AEC221" s="16" t="n">
        <v>2.06</v>
      </c>
      <c r="AED221" s="16" t="n">
        <v>0</v>
      </c>
      <c r="AEE221" s="16" t="n">
        <v>0</v>
      </c>
      <c r="AEF221" s="16" t="n">
        <v>0</v>
      </c>
      <c r="AEG221" s="16" t="n">
        <v>0</v>
      </c>
      <c r="AEH221" s="16" t="n">
        <v>0</v>
      </c>
      <c r="AEI221" s="0" t="n">
        <v>0</v>
      </c>
      <c r="AEJ221" s="0" t="s">
        <v>201</v>
      </c>
      <c r="AEK221" s="0" t="n">
        <v>48.5</v>
      </c>
      <c r="AEL221" s="16" t="n">
        <v>89.7</v>
      </c>
      <c r="AEM221" s="16" t="n">
        <v>80.4</v>
      </c>
      <c r="AEN221" s="16" t="n">
        <v>9.3</v>
      </c>
      <c r="AEO221" s="0" t="n">
        <v>100</v>
      </c>
      <c r="AEP221" s="17" t="n">
        <v>0</v>
      </c>
      <c r="AEQ221" s="0" t="n">
        <v>0</v>
      </c>
      <c r="AER221" s="0" t="n">
        <v>0</v>
      </c>
      <c r="AES221" s="0" t="n">
        <v>0</v>
      </c>
      <c r="AET221" s="0" t="n">
        <v>0</v>
      </c>
      <c r="AEU221" s="0" t="n">
        <v>0</v>
      </c>
      <c r="AEV221" s="0" t="n">
        <v>0</v>
      </c>
      <c r="AEW221" s="0" t="n">
        <v>0</v>
      </c>
      <c r="AEX221" s="0" t="n">
        <v>0</v>
      </c>
      <c r="AEY221" s="0" t="n">
        <v>0</v>
      </c>
      <c r="AEZ221" s="0" t="n">
        <v>1.65</v>
      </c>
      <c r="AFA221" s="0" t="n">
        <v>2.69</v>
      </c>
      <c r="AFB221" s="0" t="n">
        <v>54.55</v>
      </c>
      <c r="AFC221" s="0" t="n">
        <v>11.29</v>
      </c>
      <c r="AFD221" s="0" t="n">
        <v>0</v>
      </c>
      <c r="AFE221" s="0" t="n">
        <v>0</v>
      </c>
      <c r="AFF221" s="0" t="n">
        <v>0</v>
      </c>
      <c r="AFS221" s="0" t="n">
        <v>30.6</v>
      </c>
      <c r="AFT221" s="0" t="n">
        <v>1</v>
      </c>
      <c r="AFU221" s="0" t="n">
        <v>35</v>
      </c>
      <c r="AFV221" s="0" t="n">
        <v>14</v>
      </c>
      <c r="AFW221" s="0" t="n">
        <f aca="false">3.05+1.52+1.52+0.27+0.03+0.07</f>
        <v>6.46</v>
      </c>
      <c r="AFX221" s="0" t="n">
        <v>3</v>
      </c>
      <c r="AFY221" s="0" t="n">
        <v>47</v>
      </c>
      <c r="AFZ221" s="0" t="n">
        <v>6</v>
      </c>
      <c r="AGA221" s="0" t="n">
        <f aca="false">1.52+0.27*2</f>
        <v>2.06</v>
      </c>
      <c r="AGB221" s="0" t="n">
        <v>3</v>
      </c>
      <c r="AGE221" s="20"/>
      <c r="AGW221" s="0" t="n">
        <v>0</v>
      </c>
      <c r="AIH221" s="16" t="n">
        <v>3.34</v>
      </c>
      <c r="AII221" s="16" t="n">
        <v>1</v>
      </c>
      <c r="AIJ221" s="16" t="n">
        <v>1</v>
      </c>
      <c r="AIK221" s="16"/>
      <c r="AIL221" s="16" t="n">
        <f aca="false">4.23+1.14+2.11+4.23+1.37+0.02+2.03+0.75+0.37+0.13</f>
        <v>16.38</v>
      </c>
      <c r="AIM221" s="16"/>
      <c r="AIN221" s="16"/>
      <c r="AIO221" s="16"/>
      <c r="AIP221" s="16"/>
      <c r="AIQ221" s="16"/>
      <c r="AIR221" s="16"/>
      <c r="AIS221" s="16" t="n">
        <v>1.45</v>
      </c>
      <c r="AIT221" s="16" t="n">
        <v>1.46</v>
      </c>
      <c r="AIU221" s="16" t="n">
        <v>0</v>
      </c>
      <c r="AIV221" s="16" t="n">
        <v>0</v>
      </c>
      <c r="AIW221" s="16" t="n">
        <v>0</v>
      </c>
      <c r="AIX221" s="16" t="n">
        <v>0</v>
      </c>
      <c r="AIY221" s="16" t="n">
        <v>0</v>
      </c>
      <c r="AIZ221" s="0" t="n">
        <v>0</v>
      </c>
      <c r="AJA221" s="0" t="s">
        <v>202</v>
      </c>
      <c r="AJB221" s="0" t="n">
        <v>60</v>
      </c>
      <c r="AJC221" s="16" t="n">
        <v>55.4</v>
      </c>
      <c r="AJD221" s="16" t="n">
        <v>80.4</v>
      </c>
      <c r="AJE221" s="16" t="n">
        <v>29.6</v>
      </c>
      <c r="AJF221" s="0" t="n">
        <v>76.8</v>
      </c>
      <c r="AJG221" s="17" t="n">
        <v>0</v>
      </c>
      <c r="AJH221" s="0" t="n">
        <v>0</v>
      </c>
      <c r="AJI221" s="0" t="n">
        <v>0</v>
      </c>
      <c r="AJJ221" s="0" t="n">
        <v>0</v>
      </c>
      <c r="AJL221" s="0" t="n">
        <v>4.83</v>
      </c>
      <c r="AJM221" s="0" t="n">
        <v>1.71</v>
      </c>
      <c r="AJN221" s="0" t="n">
        <v>0</v>
      </c>
      <c r="AJO221" s="0" t="n">
        <v>0</v>
      </c>
      <c r="AJP221" s="0" t="n">
        <v>0</v>
      </c>
      <c r="AJQ221" s="0" t="n">
        <v>1.51</v>
      </c>
      <c r="AJR221" s="0" t="n">
        <v>1.85</v>
      </c>
      <c r="AJS221" s="0" t="n">
        <v>2.31</v>
      </c>
      <c r="AJT221" s="0" t="n">
        <v>19.08</v>
      </c>
      <c r="AJU221" s="0" t="n">
        <v>18.37</v>
      </c>
      <c r="AJV221" s="0" t="n">
        <v>0</v>
      </c>
      <c r="AJW221" s="0" t="n">
        <v>0</v>
      </c>
      <c r="AJX221" s="0" t="n">
        <v>0</v>
      </c>
      <c r="AKD221" s="0" t="n">
        <v>0</v>
      </c>
      <c r="AKJ221" s="0" t="n">
        <v>22.9</v>
      </c>
      <c r="AKK221" s="0" t="n">
        <v>1</v>
      </c>
      <c r="AKL221" s="0" t="n">
        <v>34</v>
      </c>
      <c r="AKM221" s="0" t="n">
        <v>1</v>
      </c>
      <c r="AKN221" s="0" t="n">
        <v>1.19</v>
      </c>
      <c r="AKO221" s="0" t="n">
        <v>1</v>
      </c>
      <c r="AKP221" s="0" t="n">
        <v>47</v>
      </c>
      <c r="AKQ221" s="0" t="n">
        <f aca="false">7+3+1+2+3+5+7+1+7+2+7+5+5</f>
        <v>55</v>
      </c>
      <c r="AKR221" s="0" t="n">
        <f aca="false">(0.3*7)+0.15+0.3+0.9+0.6+0.45+0.6+(0.3*3)+(0.3*5)+(0.3*7)+0.9+(0.3*7)+(0.4)+(0.3*7)+(0.3*5)+(0.3*5)</f>
        <v>18.1</v>
      </c>
      <c r="AKS221" s="0" t="n">
        <v>2</v>
      </c>
      <c r="AKV221" s="20"/>
      <c r="ALN221" s="0" t="n">
        <v>0</v>
      </c>
    </row>
    <row r="222" customFormat="false" ht="13.8" hidden="false" customHeight="false" outlineLevel="0" collapsed="false">
      <c r="A222" s="1" t="s">
        <v>735</v>
      </c>
      <c r="B222" s="12" t="n">
        <v>42905</v>
      </c>
      <c r="C222" s="0" t="n">
        <v>1</v>
      </c>
      <c r="D222" s="13" t="n">
        <v>41080</v>
      </c>
      <c r="E222" s="12" t="n">
        <v>33103</v>
      </c>
      <c r="F222" s="14" t="n">
        <f aca="false">(B222-E222)/365.25</f>
        <v>26.8364134154689</v>
      </c>
      <c r="G222" s="14" t="n">
        <f aca="false">(B222-D222)/365.25</f>
        <v>4.99657768651609</v>
      </c>
      <c r="H222" s="15" t="s">
        <v>181</v>
      </c>
      <c r="I222" s="15" t="s">
        <v>194</v>
      </c>
      <c r="J222" s="21" t="s">
        <v>183</v>
      </c>
      <c r="K222" s="21" t="n">
        <v>4</v>
      </c>
      <c r="L222" s="19" t="n">
        <v>58</v>
      </c>
      <c r="M222" s="0" t="n">
        <v>1.56</v>
      </c>
      <c r="N222" s="16" t="n">
        <f aca="false">L222/(M222*M222)</f>
        <v>23.8330046022354</v>
      </c>
      <c r="O222" s="19" t="n">
        <v>0</v>
      </c>
      <c r="P222" s="19" t="n">
        <v>0</v>
      </c>
      <c r="Q222" s="19" t="n">
        <v>0</v>
      </c>
      <c r="R222" s="26" t="n">
        <v>0</v>
      </c>
      <c r="S222" s="26" t="n">
        <v>0</v>
      </c>
      <c r="T222" s="26" t="n">
        <v>0</v>
      </c>
      <c r="U222" s="19" t="n">
        <v>0</v>
      </c>
      <c r="V222" s="19" t="n">
        <v>0</v>
      </c>
      <c r="W222" s="19" t="n">
        <v>0</v>
      </c>
      <c r="X222" s="19" t="n">
        <v>0</v>
      </c>
      <c r="Y222" s="19" t="n">
        <v>0</v>
      </c>
      <c r="Z222" s="19" t="n">
        <v>0</v>
      </c>
      <c r="AA222" s="19" t="n">
        <v>0</v>
      </c>
      <c r="AB222" s="19" t="n">
        <v>0</v>
      </c>
      <c r="AC222" s="19" t="n">
        <v>0</v>
      </c>
      <c r="AD222" s="19" t="n">
        <v>0</v>
      </c>
      <c r="AE222" s="19" t="n">
        <v>0</v>
      </c>
      <c r="AF222" s="19" t="n">
        <v>0</v>
      </c>
      <c r="AG222" s="19" t="n">
        <v>0</v>
      </c>
      <c r="AH222" s="19" t="n">
        <v>0</v>
      </c>
      <c r="AI222" s="19" t="n">
        <v>0</v>
      </c>
      <c r="AJ222" s="19" t="n">
        <v>0</v>
      </c>
      <c r="AK222" s="19" t="n">
        <v>0</v>
      </c>
      <c r="AL222" s="19" t="n">
        <v>0</v>
      </c>
      <c r="AM222" s="19" t="n">
        <v>0</v>
      </c>
      <c r="AN222" s="19" t="n">
        <v>0</v>
      </c>
      <c r="AO222" s="19" t="n">
        <v>0</v>
      </c>
      <c r="AP222" s="19" t="n">
        <v>0</v>
      </c>
      <c r="AQ222" s="19" t="n">
        <v>0</v>
      </c>
      <c r="AR222" s="19" t="n">
        <v>0</v>
      </c>
      <c r="AS222" s="19" t="n">
        <v>0</v>
      </c>
      <c r="AT222" s="19" t="n">
        <v>0</v>
      </c>
      <c r="AU222" s="19" t="n">
        <v>0</v>
      </c>
      <c r="AV222" s="19" t="n">
        <v>0</v>
      </c>
      <c r="AW222" s="19" t="n">
        <v>0</v>
      </c>
      <c r="AX222" s="19" t="n">
        <v>0</v>
      </c>
      <c r="AY222" s="19" t="n">
        <v>0</v>
      </c>
      <c r="AZ222" s="19" t="n">
        <v>0</v>
      </c>
      <c r="BA222" s="19" t="n">
        <v>0</v>
      </c>
      <c r="BB222" s="19" t="n">
        <v>0</v>
      </c>
      <c r="BC222" s="19" t="n">
        <v>0</v>
      </c>
      <c r="BD222" s="19" t="n">
        <v>0</v>
      </c>
      <c r="BE222" s="19" t="n">
        <v>0</v>
      </c>
      <c r="BF222" s="19" t="n">
        <v>1</v>
      </c>
      <c r="BG222" s="19" t="n">
        <v>0</v>
      </c>
      <c r="BH222" s="19" t="n">
        <v>0</v>
      </c>
      <c r="BI222" s="19" t="n">
        <v>0</v>
      </c>
      <c r="BJ222" s="19" t="n">
        <v>0</v>
      </c>
      <c r="BK222" s="19" t="n">
        <v>0</v>
      </c>
      <c r="BL222" s="19" t="n">
        <v>0</v>
      </c>
      <c r="BM222" s="19" t="n">
        <v>0</v>
      </c>
      <c r="BN222" s="19" t="n">
        <v>0</v>
      </c>
      <c r="BO222" s="19" t="n">
        <v>0</v>
      </c>
      <c r="BP222" s="19" t="n">
        <v>0</v>
      </c>
      <c r="BQ222" s="19" t="n">
        <v>0</v>
      </c>
      <c r="BR222" s="19" t="n">
        <v>1</v>
      </c>
      <c r="BS222" s="19" t="n">
        <v>1</v>
      </c>
      <c r="BT222" s="19" t="n">
        <v>4</v>
      </c>
      <c r="BU222" s="19" t="n">
        <v>5</v>
      </c>
      <c r="BV222" s="19" t="n">
        <v>2</v>
      </c>
      <c r="BW222" s="19" t="n">
        <v>3</v>
      </c>
      <c r="BX222" s="19" t="n">
        <v>1</v>
      </c>
      <c r="BY222" s="19" t="n">
        <v>3</v>
      </c>
      <c r="BZ222" s="19" t="n">
        <v>3</v>
      </c>
      <c r="CA222" s="19" t="n">
        <v>3</v>
      </c>
      <c r="CB222" s="19" t="n">
        <v>4</v>
      </c>
      <c r="CC222" s="19" t="n">
        <v>5</v>
      </c>
      <c r="CD222" s="19" t="n">
        <v>3</v>
      </c>
      <c r="CE222" s="19" t="n">
        <v>3</v>
      </c>
      <c r="CF222" s="19" t="n">
        <v>4</v>
      </c>
      <c r="CG222" s="19" t="n">
        <v>4</v>
      </c>
      <c r="CH222" s="19" t="n">
        <v>3</v>
      </c>
      <c r="CI222" s="19" t="n">
        <v>3</v>
      </c>
      <c r="CJ222" s="19" t="n">
        <v>4</v>
      </c>
      <c r="CK222" s="19" t="n">
        <v>9</v>
      </c>
      <c r="CL222" s="0" t="s">
        <v>197</v>
      </c>
      <c r="CM222" s="0" t="n">
        <v>49.5</v>
      </c>
      <c r="CN222" s="16" t="n">
        <v>90.1</v>
      </c>
      <c r="CO222" s="16" t="n">
        <v>80.4</v>
      </c>
      <c r="CP222" s="16" t="n">
        <v>9.9</v>
      </c>
      <c r="CQ222" s="0" t="n">
        <v>94.62</v>
      </c>
      <c r="CR222" s="17" t="n">
        <v>0</v>
      </c>
      <c r="CS222" s="0" t="n">
        <v>0.32</v>
      </c>
      <c r="CT222" s="0" t="n">
        <v>0</v>
      </c>
      <c r="CU222" s="0" t="n">
        <v>5.05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3.42</v>
      </c>
      <c r="DC222" s="0" t="n">
        <v>32.25</v>
      </c>
      <c r="DD222" s="0" t="n">
        <v>29.89</v>
      </c>
      <c r="DE222" s="0" t="n">
        <v>8.28</v>
      </c>
      <c r="DF222" s="0" t="n">
        <v>0</v>
      </c>
      <c r="DG222" s="0" t="n">
        <v>12.9</v>
      </c>
      <c r="DH222" s="0" t="n">
        <v>1</v>
      </c>
      <c r="DI222" s="0" t="n">
        <v>7</v>
      </c>
      <c r="DK222" s="0" t="n">
        <v>5</v>
      </c>
      <c r="DL222" s="0" t="n">
        <v>3</v>
      </c>
      <c r="DN222" s="0" t="n">
        <v>3</v>
      </c>
      <c r="DO222" s="0" t="n">
        <v>7</v>
      </c>
      <c r="DQ222" s="0" t="n">
        <v>5</v>
      </c>
      <c r="DR222" s="0" t="n">
        <v>3</v>
      </c>
      <c r="DT222" s="0" t="n">
        <v>3</v>
      </c>
      <c r="DU222" s="0" t="n">
        <v>16.6</v>
      </c>
      <c r="DV222" s="0" t="n">
        <v>1</v>
      </c>
      <c r="DW222" s="0" t="n">
        <v>68</v>
      </c>
      <c r="DX222" s="0" t="n">
        <v>6</v>
      </c>
      <c r="DY222" s="0" t="n">
        <v>0.21</v>
      </c>
      <c r="DZ222" s="0" t="n">
        <v>1</v>
      </c>
      <c r="EA222" s="0" t="n">
        <v>35</v>
      </c>
      <c r="EB222" s="0" t="n">
        <v>3</v>
      </c>
      <c r="EC222" s="0" t="n">
        <v>0.51</v>
      </c>
      <c r="ED222" s="0" t="n">
        <v>3</v>
      </c>
      <c r="EE222" s="0" t="n">
        <v>47</v>
      </c>
      <c r="EF222" s="0" t="n">
        <v>22</v>
      </c>
      <c r="EG222" s="20" t="n">
        <f aca="false">(0.43*3)+(0.07*4)+0.22</f>
        <v>1.79</v>
      </c>
      <c r="EH222" s="0" t="n">
        <v>3</v>
      </c>
      <c r="EY222" s="0" t="n">
        <v>1</v>
      </c>
      <c r="EZ222" s="0" t="n">
        <v>60</v>
      </c>
      <c r="FA222" s="0" t="n">
        <v>17</v>
      </c>
      <c r="FB222" s="0" t="n">
        <f aca="false">0.22+0.04+0.11+0.08+0.08+0.05</f>
        <v>0.58</v>
      </c>
      <c r="FC222" s="0" t="n">
        <v>3</v>
      </c>
      <c r="FD222" s="0" t="n">
        <v>60</v>
      </c>
      <c r="FE222" s="0" t="n">
        <v>12</v>
      </c>
      <c r="FF222" s="0" t="n">
        <f aca="false">0.87+0.43+0.15+0.07</f>
        <v>1.52</v>
      </c>
      <c r="FG222" s="0" t="n">
        <v>1</v>
      </c>
      <c r="GJ222" s="16" t="n">
        <v>2.49</v>
      </c>
      <c r="GK222" s="16" t="n">
        <v>1</v>
      </c>
      <c r="GL222" s="16" t="n">
        <v>1</v>
      </c>
      <c r="GM222" s="16"/>
      <c r="GN222" s="16" t="n">
        <v>10.89</v>
      </c>
      <c r="GO222" s="16"/>
      <c r="GP222" s="16"/>
      <c r="GQ222" s="16"/>
      <c r="GR222" s="16"/>
      <c r="GS222" s="16"/>
      <c r="GT222" s="16"/>
      <c r="GU222" s="16" t="n">
        <v>4.17</v>
      </c>
      <c r="GV222" s="16" t="n">
        <v>3.7</v>
      </c>
      <c r="GW222" s="16" t="n">
        <v>0</v>
      </c>
      <c r="GX222" s="16" t="n">
        <v>0</v>
      </c>
      <c r="GY222" s="16" t="n">
        <v>0</v>
      </c>
      <c r="GZ222" s="16" t="n">
        <v>0</v>
      </c>
      <c r="HA222" s="16" t="n">
        <v>0</v>
      </c>
      <c r="HB222" s="0" t="n">
        <v>0</v>
      </c>
      <c r="HC222" s="0" t="s">
        <v>198</v>
      </c>
      <c r="HD222" s="0" t="n">
        <v>28.5</v>
      </c>
      <c r="HE222" s="16" t="n">
        <v>78.4</v>
      </c>
      <c r="HF222" s="16" t="n">
        <v>80.4</v>
      </c>
      <c r="HG222" s="16" t="n">
        <v>16</v>
      </c>
      <c r="HH222" s="0" t="n">
        <v>95.22</v>
      </c>
      <c r="HI222" s="17" t="n">
        <v>0</v>
      </c>
      <c r="HJ222" s="0" t="n">
        <v>4.23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0</v>
      </c>
      <c r="HR222" s="0" t="n">
        <v>0</v>
      </c>
      <c r="HS222" s="0" t="n">
        <v>9.77</v>
      </c>
      <c r="HT222" s="0" t="n">
        <v>2.18</v>
      </c>
      <c r="HU222" s="0" t="n">
        <v>46.81</v>
      </c>
      <c r="HV222" s="0" t="n">
        <v>10.57</v>
      </c>
      <c r="HW222" s="0" t="n">
        <v>0</v>
      </c>
      <c r="HX222" s="0" t="n">
        <v>0</v>
      </c>
      <c r="HY222" s="0" t="n">
        <v>0</v>
      </c>
      <c r="IL222" s="0" t="n">
        <v>0</v>
      </c>
      <c r="IM222" s="0" t="n">
        <v>0</v>
      </c>
      <c r="IX222" s="20"/>
      <c r="JP222" s="0" t="n">
        <v>0</v>
      </c>
      <c r="LA222" s="16" t="n">
        <v>4.23</v>
      </c>
      <c r="LB222" s="16" t="n">
        <v>1</v>
      </c>
      <c r="LC222" s="16" t="n">
        <v>2</v>
      </c>
      <c r="LD222" s="16"/>
      <c r="LE222" s="16" t="n">
        <v>6.34</v>
      </c>
      <c r="LF222" s="16" t="n">
        <v>1</v>
      </c>
      <c r="LG222" s="16" t="n">
        <v>1</v>
      </c>
      <c r="LH222" s="16" t="n">
        <f aca="false">9.52+3.17+3.17+3.17+1.12+1.12+1.12</f>
        <v>22.39</v>
      </c>
      <c r="LI222" s="16"/>
      <c r="LJ222" s="16"/>
      <c r="LK222" s="16"/>
      <c r="LL222" s="16" t="n">
        <v>5.41</v>
      </c>
      <c r="LM222" s="16" t="n">
        <v>8.96</v>
      </c>
      <c r="LN222" s="16" t="n">
        <v>0</v>
      </c>
      <c r="LO222" s="16" t="n">
        <v>0</v>
      </c>
      <c r="LP222" s="16" t="n">
        <v>0</v>
      </c>
      <c r="LQ222" s="16" t="n">
        <v>0</v>
      </c>
      <c r="LR222" s="16" t="n">
        <v>0</v>
      </c>
      <c r="LS222" s="0" t="n">
        <v>0</v>
      </c>
      <c r="LT222" s="0" t="s">
        <v>199</v>
      </c>
      <c r="LU222" s="0" t="n">
        <v>56.5</v>
      </c>
      <c r="LV222" s="16" t="n">
        <v>88.4</v>
      </c>
      <c r="LW222" s="16" t="n">
        <v>80.4</v>
      </c>
      <c r="LX222" s="16" t="n">
        <v>24.8</v>
      </c>
      <c r="LY222" s="0" t="n">
        <v>77.37</v>
      </c>
      <c r="LZ222" s="17" t="n">
        <v>0</v>
      </c>
      <c r="MA222" s="0" t="n">
        <v>7.99</v>
      </c>
      <c r="MB222" s="0" t="n">
        <v>0</v>
      </c>
      <c r="MC222" s="0" t="n">
        <v>14.63</v>
      </c>
      <c r="MD222" s="0" t="n">
        <v>0</v>
      </c>
      <c r="ME222" s="0" t="n">
        <v>0</v>
      </c>
      <c r="MF222" s="0" t="n">
        <v>0</v>
      </c>
      <c r="MG222" s="0" t="n">
        <v>0</v>
      </c>
      <c r="MH222" s="0" t="n">
        <v>0</v>
      </c>
      <c r="MI222" s="0" t="n">
        <v>0</v>
      </c>
      <c r="MJ222" s="0" t="n">
        <v>8.04</v>
      </c>
      <c r="MK222" s="0" t="n">
        <v>23.21</v>
      </c>
      <c r="ML222" s="0" t="n">
        <v>37.03</v>
      </c>
      <c r="MM222" s="0" t="n">
        <v>14.79</v>
      </c>
      <c r="MN222" s="0" t="n">
        <v>0</v>
      </c>
      <c r="MO222" s="0" t="n">
        <v>0</v>
      </c>
      <c r="MP222" s="0" t="n">
        <v>0</v>
      </c>
      <c r="NC222" s="0" t="n">
        <v>25.5</v>
      </c>
      <c r="ND222" s="0" t="n">
        <v>1</v>
      </c>
      <c r="NE222" s="0" t="n">
        <v>52</v>
      </c>
      <c r="NF222" s="0" t="n">
        <v>13</v>
      </c>
      <c r="NG222" s="0" t="n">
        <f aca="false">0.27+1.07+0.13+0.27</f>
        <v>1.74</v>
      </c>
      <c r="NH222" s="0" t="n">
        <v>2</v>
      </c>
      <c r="NI222" s="0" t="n">
        <v>35</v>
      </c>
      <c r="NJ222" s="0" t="n">
        <v>3</v>
      </c>
      <c r="NK222" s="0" t="n">
        <f aca="false">0.13+0.08+0.24</f>
        <v>0.45</v>
      </c>
      <c r="NL222" s="0" t="n">
        <v>3</v>
      </c>
      <c r="NM222" s="0" t="n">
        <v>47</v>
      </c>
      <c r="NN222" s="0" t="n">
        <v>5</v>
      </c>
      <c r="NO222" s="20" t="n">
        <f aca="false">0.76+1.14+0.76+0.13+0.08</f>
        <v>2.87</v>
      </c>
      <c r="NP222" s="0" t="n">
        <v>3</v>
      </c>
      <c r="OG222" s="0" t="n">
        <v>0</v>
      </c>
      <c r="PR222" s="16" t="n">
        <v>2.59</v>
      </c>
      <c r="PS222" s="16" t="n">
        <v>1</v>
      </c>
      <c r="PT222" s="16" t="n">
        <v>1</v>
      </c>
      <c r="PU222" s="16"/>
      <c r="PV222" s="16" t="n">
        <f aca="false">(2.11*4)+0.37</f>
        <v>8.81</v>
      </c>
      <c r="PW222" s="16"/>
      <c r="PX222" s="16"/>
      <c r="PY222" s="16"/>
      <c r="PZ222" s="16"/>
      <c r="QA222" s="16"/>
      <c r="QB222" s="16"/>
      <c r="QC222" s="16" t="n">
        <v>1.33</v>
      </c>
      <c r="QD222" s="16" t="n">
        <v>0.89</v>
      </c>
      <c r="QE222" s="16" t="n">
        <v>0</v>
      </c>
      <c r="QF222" s="16" t="n">
        <v>0</v>
      </c>
      <c r="QG222" s="16" t="n">
        <v>0</v>
      </c>
      <c r="QH222" s="16" t="n">
        <v>0</v>
      </c>
      <c r="QI222" s="16" t="n">
        <v>0</v>
      </c>
      <c r="QJ222" s="0" t="n">
        <v>0</v>
      </c>
      <c r="QK222" s="0" t="s">
        <v>200</v>
      </c>
      <c r="QL222" s="0" t="n">
        <v>28.5</v>
      </c>
      <c r="QM222" s="16" t="n">
        <v>69.4</v>
      </c>
      <c r="QN222" s="16" t="n">
        <v>80.4</v>
      </c>
      <c r="QO222" s="16" t="n">
        <v>9.8</v>
      </c>
      <c r="QP222" s="0" t="n">
        <v>96.02</v>
      </c>
      <c r="QQ222" s="17" t="n">
        <v>0</v>
      </c>
      <c r="QR222" s="0" t="n">
        <v>3.98</v>
      </c>
      <c r="QS222" s="0" t="n">
        <v>0</v>
      </c>
      <c r="QT222" s="0" t="n">
        <v>0</v>
      </c>
      <c r="QU222" s="0" t="n">
        <v>0</v>
      </c>
      <c r="QV222" s="0" t="n">
        <v>0</v>
      </c>
      <c r="QW222" s="0" t="n">
        <v>0</v>
      </c>
      <c r="QX222" s="0" t="n">
        <v>0</v>
      </c>
      <c r="QY222" s="0" t="n">
        <v>0</v>
      </c>
      <c r="QZ222" s="0" t="n">
        <v>0</v>
      </c>
      <c r="RA222" s="0" t="n">
        <v>0</v>
      </c>
      <c r="RB222" s="0" t="n">
        <v>16.55</v>
      </c>
      <c r="RC222" s="0" t="n">
        <v>26.49</v>
      </c>
      <c r="RD222" s="0" t="n">
        <v>6.34</v>
      </c>
      <c r="RE222" s="0" t="n">
        <v>0</v>
      </c>
      <c r="RF222" s="0" t="n">
        <v>0</v>
      </c>
      <c r="RG222" s="0" t="n">
        <v>0</v>
      </c>
      <c r="RT222" s="0" t="n">
        <v>10.2</v>
      </c>
      <c r="RU222" s="0" t="n">
        <v>1</v>
      </c>
      <c r="RV222" s="0" t="n">
        <v>35</v>
      </c>
      <c r="RW222" s="0" t="n">
        <v>1</v>
      </c>
      <c r="RX222" s="0" t="n">
        <v>0.02</v>
      </c>
      <c r="RY222" s="0" t="n">
        <v>3</v>
      </c>
      <c r="RZ222" s="0" t="n">
        <v>70</v>
      </c>
      <c r="SA222" s="0" t="n">
        <v>2</v>
      </c>
      <c r="SB222" s="0" t="n">
        <v>0.27</v>
      </c>
      <c r="SC222" s="0" t="n">
        <v>3</v>
      </c>
      <c r="SF222" s="20"/>
      <c r="SX222" s="0" t="n">
        <v>1</v>
      </c>
      <c r="SY222" s="0" t="n">
        <v>50</v>
      </c>
      <c r="SZ222" s="0" t="n">
        <v>5</v>
      </c>
      <c r="TA222" s="0" t="n">
        <f aca="false">1.52+0.5+0.19+0.12</f>
        <v>2.33</v>
      </c>
      <c r="TB222" s="0" t="n">
        <v>3</v>
      </c>
      <c r="UI222" s="16" t="n">
        <v>2.63</v>
      </c>
      <c r="UJ222" s="16" t="n">
        <v>1</v>
      </c>
      <c r="UK222" s="16" t="n">
        <v>1</v>
      </c>
      <c r="UL222" s="16"/>
      <c r="UM222" s="16" t="n">
        <f aca="false">0.04+2.11+3.17+0.37+0.56</f>
        <v>6.25</v>
      </c>
      <c r="UN222" s="16" t="n">
        <v>2</v>
      </c>
      <c r="UO222" s="16"/>
      <c r="UP222" s="16" t="n">
        <f aca="false">0.53+0.53+0.11+0.07+0.15</f>
        <v>1.39</v>
      </c>
      <c r="UQ222" s="16"/>
      <c r="UR222" s="16"/>
      <c r="US222" s="16"/>
      <c r="UT222" s="16" t="n">
        <v>3.33</v>
      </c>
      <c r="UU222" s="16" t="n">
        <v>2.06</v>
      </c>
      <c r="UV222" s="16" t="n">
        <v>0</v>
      </c>
      <c r="UW222" s="16" t="n">
        <v>0</v>
      </c>
      <c r="UX222" s="16" t="n">
        <v>0</v>
      </c>
      <c r="UY222" s="16" t="n">
        <v>0</v>
      </c>
      <c r="UZ222" s="16" t="n">
        <v>0</v>
      </c>
      <c r="VA222" s="0" t="n">
        <v>0</v>
      </c>
      <c r="VB222" s="0" t="s">
        <v>201</v>
      </c>
      <c r="VC222" s="0" t="n">
        <v>48.5</v>
      </c>
      <c r="VD222" s="16" t="n">
        <v>89.7</v>
      </c>
      <c r="VE222" s="16" t="n">
        <v>80.4</v>
      </c>
      <c r="VF222" s="16" t="n">
        <v>9.3</v>
      </c>
      <c r="VG222" s="0" t="n">
        <v>100</v>
      </c>
      <c r="VH222" s="17" t="n">
        <v>0</v>
      </c>
      <c r="VI222" s="0" t="n">
        <v>0</v>
      </c>
      <c r="VJ222" s="0" t="n">
        <v>0</v>
      </c>
      <c r="VK222" s="0" t="n">
        <v>0</v>
      </c>
      <c r="VL222" s="0" t="n">
        <v>0</v>
      </c>
      <c r="VM222" s="0" t="n">
        <v>0</v>
      </c>
      <c r="VN222" s="0" t="n">
        <v>0</v>
      </c>
      <c r="VO222" s="0" t="n">
        <v>0</v>
      </c>
      <c r="VP222" s="0" t="n">
        <v>0</v>
      </c>
      <c r="VQ222" s="0" t="n">
        <v>0</v>
      </c>
      <c r="VR222" s="0" t="n">
        <v>1.65</v>
      </c>
      <c r="VS222" s="0" t="n">
        <v>2.69</v>
      </c>
      <c r="VT222" s="0" t="n">
        <v>54.55</v>
      </c>
      <c r="VU222" s="0" t="n">
        <v>11.29</v>
      </c>
      <c r="VV222" s="0" t="n">
        <v>0</v>
      </c>
      <c r="VW222" s="0" t="n">
        <v>0</v>
      </c>
      <c r="VX222" s="0" t="n">
        <v>0</v>
      </c>
      <c r="WK222" s="0" t="n">
        <v>30.6</v>
      </c>
      <c r="WL222" s="0" t="n">
        <v>1</v>
      </c>
      <c r="WM222" s="0" t="n">
        <v>35</v>
      </c>
      <c r="WN222" s="0" t="n">
        <v>14</v>
      </c>
      <c r="WO222" s="0" t="n">
        <f aca="false">3.05+1.52+1.52+0.27+0.03+0.07</f>
        <v>6.46</v>
      </c>
      <c r="WP222" s="0" t="n">
        <v>3</v>
      </c>
      <c r="WQ222" s="0" t="n">
        <v>47</v>
      </c>
      <c r="WR222" s="0" t="n">
        <v>6</v>
      </c>
      <c r="WS222" s="0" t="n">
        <f aca="false">1.52+0.27*2</f>
        <v>2.06</v>
      </c>
      <c r="WT222" s="0" t="n">
        <v>3</v>
      </c>
      <c r="WW222" s="20"/>
      <c r="XO222" s="0" t="n">
        <v>0</v>
      </c>
      <c r="YZ222" s="16" t="n">
        <v>3.34</v>
      </c>
      <c r="ZA222" s="16" t="n">
        <v>1</v>
      </c>
      <c r="ZB222" s="16" t="n">
        <v>1</v>
      </c>
      <c r="ZC222" s="16"/>
      <c r="ZD222" s="16" t="n">
        <f aca="false">4.23+1.14+2.11+4.23+1.37+0.02+2.03+0.75+0.37+0.13</f>
        <v>16.38</v>
      </c>
      <c r="ZE222" s="16"/>
      <c r="ZF222" s="16"/>
      <c r="ZG222" s="16"/>
      <c r="ZH222" s="16"/>
      <c r="ZI222" s="16"/>
      <c r="ZJ222" s="16"/>
      <c r="ZK222" s="16" t="n">
        <v>1.45</v>
      </c>
      <c r="ZL222" s="16" t="n">
        <v>1.46</v>
      </c>
      <c r="ZM222" s="16" t="n">
        <v>0</v>
      </c>
      <c r="ZN222" s="16" t="n">
        <v>0</v>
      </c>
      <c r="ZO222" s="16" t="n">
        <v>0</v>
      </c>
      <c r="ZP222" s="16" t="n">
        <v>0</v>
      </c>
      <c r="ZQ222" s="16" t="n">
        <v>0</v>
      </c>
      <c r="ZR222" s="0" t="n">
        <v>0</v>
      </c>
      <c r="ZS222" s="0" t="s">
        <v>202</v>
      </c>
      <c r="ZT222" s="0" t="n">
        <v>60</v>
      </c>
      <c r="ZU222" s="16" t="n">
        <v>55.4</v>
      </c>
      <c r="ZV222" s="16" t="n">
        <v>80.4</v>
      </c>
      <c r="ZW222" s="16" t="n">
        <v>29.6</v>
      </c>
      <c r="ZX222" s="0" t="n">
        <v>76.8</v>
      </c>
      <c r="ZY222" s="17" t="n">
        <v>0</v>
      </c>
      <c r="ZZ222" s="0" t="n">
        <v>0</v>
      </c>
      <c r="AAA222" s="0" t="n">
        <v>0</v>
      </c>
      <c r="AAB222" s="0" t="n">
        <v>0</v>
      </c>
      <c r="AAD222" s="0" t="n">
        <v>4.83</v>
      </c>
      <c r="AAE222" s="0" t="n">
        <v>1.71</v>
      </c>
      <c r="AAF222" s="0" t="n">
        <v>0</v>
      </c>
      <c r="AAG222" s="0" t="n">
        <v>0</v>
      </c>
      <c r="AAH222" s="0" t="n">
        <v>0</v>
      </c>
      <c r="AAI222" s="0" t="n">
        <v>1.51</v>
      </c>
      <c r="AAJ222" s="0" t="n">
        <v>1.85</v>
      </c>
      <c r="AAK222" s="0" t="n">
        <v>2.31</v>
      </c>
      <c r="AAL222" s="0" t="n">
        <v>19.08</v>
      </c>
      <c r="AAM222" s="0" t="n">
        <v>18.37</v>
      </c>
      <c r="AAN222" s="0" t="n">
        <v>0</v>
      </c>
      <c r="AAO222" s="0" t="n">
        <v>0</v>
      </c>
      <c r="AAP222" s="0" t="n">
        <v>0</v>
      </c>
      <c r="AAV222" s="0" t="n">
        <v>0</v>
      </c>
      <c r="ABB222" s="0" t="n">
        <v>22.9</v>
      </c>
      <c r="ABC222" s="0" t="n">
        <v>1</v>
      </c>
      <c r="ABD222" s="0" t="n">
        <v>34</v>
      </c>
      <c r="ABE222" s="0" t="n">
        <v>1</v>
      </c>
      <c r="ABF222" s="0" t="n">
        <v>1.19</v>
      </c>
      <c r="ABG222" s="0" t="n">
        <v>1</v>
      </c>
      <c r="ABH222" s="0" t="n">
        <v>47</v>
      </c>
      <c r="ABI222" s="0" t="n">
        <f aca="false">7+3+1+2+3+5+7+1+7+2+7+5+5</f>
        <v>55</v>
      </c>
      <c r="ABJ222" s="0" t="n">
        <f aca="false">(0.3*7)+0.15+0.3+0.9+0.6+0.45+0.6+(0.3*3)+(0.3*5)+(0.3*7)+0.9+(0.3*7)+(0.4)+(0.3*7)+(0.3*5)+(0.3*5)</f>
        <v>18.1</v>
      </c>
      <c r="ABK222" s="0" t="n">
        <v>2</v>
      </c>
      <c r="ABN222" s="20"/>
      <c r="ACF222" s="0" t="n">
        <v>0</v>
      </c>
      <c r="ADQ222" s="16" t="n">
        <v>0.06</v>
      </c>
      <c r="ADR222" s="16" t="n">
        <v>1</v>
      </c>
      <c r="ADS222" s="16" t="n">
        <v>1</v>
      </c>
      <c r="ADT222" s="16"/>
      <c r="ADU222" s="16" t="n">
        <v>0.1</v>
      </c>
      <c r="ADV222" s="16"/>
      <c r="ADW222" s="16"/>
      <c r="ADX222" s="16"/>
      <c r="ADY222" s="16"/>
      <c r="ADZ222" s="16"/>
      <c r="AEA222" s="16"/>
      <c r="AEB222" s="16" t="n">
        <v>5.42</v>
      </c>
      <c r="AEC222" s="16" t="n">
        <v>8.83</v>
      </c>
      <c r="AED222" s="16" t="n">
        <v>0</v>
      </c>
      <c r="AEE222" s="16" t="n">
        <v>0</v>
      </c>
      <c r="AEF222" s="16" t="n">
        <v>1.99</v>
      </c>
      <c r="AEG222" s="16" t="n">
        <v>0</v>
      </c>
      <c r="AEH222" s="16" t="n">
        <v>0</v>
      </c>
      <c r="AEI222" s="0" t="n">
        <v>2</v>
      </c>
      <c r="AEJ222" s="0" t="s">
        <v>727</v>
      </c>
      <c r="AEK222" s="0" t="n">
        <v>47.5</v>
      </c>
      <c r="AEL222" s="16" t="n">
        <v>58.6</v>
      </c>
      <c r="AEM222" s="16" t="n">
        <v>80.4</v>
      </c>
      <c r="AEN222" s="16" t="n">
        <v>19.5</v>
      </c>
      <c r="AEO222" s="0" t="n">
        <v>76.23</v>
      </c>
      <c r="AEP222" s="17" t="n">
        <v>0</v>
      </c>
      <c r="AEQ222" s="0" t="n">
        <v>7.5</v>
      </c>
      <c r="AER222" s="0" t="n">
        <v>0</v>
      </c>
      <c r="AES222" s="0" t="n">
        <v>16.26</v>
      </c>
      <c r="AET222" s="0" t="n">
        <v>0</v>
      </c>
      <c r="AEU222" s="0" t="n">
        <v>0</v>
      </c>
      <c r="AEV222" s="0" t="n">
        <v>0</v>
      </c>
      <c r="AEW222" s="0" t="n">
        <v>0</v>
      </c>
      <c r="AEX222" s="0" t="n">
        <v>0</v>
      </c>
      <c r="AEY222" s="0" t="n">
        <v>0</v>
      </c>
      <c r="AEZ222" s="0" t="n">
        <v>0</v>
      </c>
      <c r="AFA222" s="0" t="n">
        <v>22.34</v>
      </c>
      <c r="AFB222" s="0" t="n">
        <v>19.22</v>
      </c>
      <c r="AFC222" s="0" t="n">
        <v>9.8</v>
      </c>
      <c r="AFD222" s="0" t="n">
        <v>0.28</v>
      </c>
      <c r="AFE222" s="0" t="n">
        <v>0</v>
      </c>
      <c r="AFS222" s="0" t="n">
        <v>24.1</v>
      </c>
      <c r="AFT222" s="0" t="n">
        <v>1</v>
      </c>
      <c r="AFU222" s="0" t="n">
        <v>47</v>
      </c>
      <c r="AFV222" s="0" t="n">
        <v>6</v>
      </c>
      <c r="AFW222" s="0" t="n">
        <f aca="false">2.28+0.81</f>
        <v>3.09</v>
      </c>
      <c r="AFX222" s="0" t="n">
        <v>3</v>
      </c>
      <c r="AFY222" s="0" t="n">
        <v>23</v>
      </c>
      <c r="AFZ222" s="0" t="n">
        <v>2</v>
      </c>
      <c r="AGA222" s="0" t="n">
        <v>0.54</v>
      </c>
      <c r="AGB222" s="0" t="n">
        <v>3</v>
      </c>
      <c r="AGE222" s="20"/>
      <c r="AGW222" s="0" t="n">
        <v>0</v>
      </c>
      <c r="AIH222" s="16" t="n">
        <v>0</v>
      </c>
      <c r="AII222" s="16" t="n">
        <v>0</v>
      </c>
      <c r="AIJ222" s="16"/>
      <c r="AIK222" s="16"/>
      <c r="AIL222" s="16"/>
      <c r="AIM222" s="16"/>
      <c r="AIN222" s="16"/>
      <c r="AIO222" s="16"/>
      <c r="AIP222" s="16"/>
      <c r="AIQ222" s="16"/>
      <c r="AIR222" s="16"/>
      <c r="AIS222" s="16" t="n">
        <v>2.97</v>
      </c>
      <c r="AIT222" s="16" t="n">
        <v>2.96</v>
      </c>
      <c r="AIU222" s="16" t="n">
        <v>0</v>
      </c>
      <c r="AIV222" s="16" t="n">
        <v>0</v>
      </c>
      <c r="AIW222" s="16" t="n">
        <v>0</v>
      </c>
      <c r="AIX222" s="16" t="n">
        <v>0</v>
      </c>
      <c r="AIY222" s="16" t="n">
        <v>0</v>
      </c>
      <c r="AIZ222" s="0" t="n">
        <v>0</v>
      </c>
      <c r="AJA222" s="0" t="s">
        <v>213</v>
      </c>
      <c r="AJB222" s="0" t="n">
        <v>49.5</v>
      </c>
      <c r="AJC222" s="16" t="n">
        <v>78.9</v>
      </c>
      <c r="AJD222" s="16" t="n">
        <v>80.4</v>
      </c>
      <c r="AJE222" s="16" t="n">
        <v>31.1</v>
      </c>
      <c r="AJF222" s="0" t="n">
        <v>22.13</v>
      </c>
      <c r="AJG222" s="17" t="n">
        <v>0</v>
      </c>
      <c r="AJH222" s="0" t="n">
        <v>0</v>
      </c>
      <c r="AJI222" s="0" t="n">
        <v>0</v>
      </c>
      <c r="AJJ222" s="0" t="n">
        <v>3.8</v>
      </c>
      <c r="AJK222" s="0" t="n">
        <v>0</v>
      </c>
      <c r="AJL222" s="0" t="n">
        <v>74.07</v>
      </c>
      <c r="AJM222" s="0" t="n">
        <v>28.31</v>
      </c>
      <c r="AJN222" s="0" t="n">
        <v>0</v>
      </c>
      <c r="AJO222" s="0" t="n">
        <v>0</v>
      </c>
      <c r="AJP222" s="0" t="n">
        <v>0</v>
      </c>
      <c r="AJQ222" s="0" t="n">
        <v>8.07</v>
      </c>
      <c r="AJR222" s="0" t="n">
        <v>1.71</v>
      </c>
      <c r="AJS222" s="0" t="n">
        <v>33.85</v>
      </c>
      <c r="AJT222" s="0" t="n">
        <v>17.12</v>
      </c>
      <c r="AJU222" s="0" t="n">
        <v>0</v>
      </c>
      <c r="AJV222" s="0" t="n">
        <v>0</v>
      </c>
      <c r="AJW222" s="0" t="n">
        <v>0</v>
      </c>
      <c r="AKJ222" s="0" t="n">
        <v>3.4</v>
      </c>
      <c r="AKK222" s="0" t="n">
        <v>1</v>
      </c>
      <c r="AKL222" s="0" t="n">
        <v>34</v>
      </c>
      <c r="AKM222" s="0" t="n">
        <v>1</v>
      </c>
      <c r="AKN222" s="0" t="n">
        <v>1.6</v>
      </c>
      <c r="AKO222" s="0" t="n">
        <v>1</v>
      </c>
      <c r="AKP222" s="0" t="n">
        <v>68</v>
      </c>
      <c r="AKQ222" s="0" t="n">
        <v>2</v>
      </c>
      <c r="AKR222" s="0" t="n">
        <f aca="false">0.65+0.11</f>
        <v>0.76</v>
      </c>
      <c r="AKS222" s="0" t="n">
        <v>1</v>
      </c>
      <c r="AKT222" s="0" t="n">
        <v>52</v>
      </c>
      <c r="AKU222" s="0" t="n">
        <v>2</v>
      </c>
      <c r="AKV222" s="20" t="n">
        <f aca="false">1.33+0.34</f>
        <v>1.67</v>
      </c>
      <c r="AKW222" s="0" t="n">
        <v>2</v>
      </c>
      <c r="ALN222" s="0" t="n">
        <v>0</v>
      </c>
    </row>
    <row r="223" customFormat="false" ht="13.8" hidden="false" customHeight="false" outlineLevel="0" collapsed="false">
      <c r="A223" s="1" t="s">
        <v>736</v>
      </c>
      <c r="B223" s="12" t="n">
        <v>42905</v>
      </c>
      <c r="C223" s="0" t="n">
        <v>2</v>
      </c>
      <c r="D223" s="13" t="n">
        <v>42807</v>
      </c>
      <c r="E223" s="12" t="n">
        <v>27614</v>
      </c>
      <c r="F223" s="14" t="n">
        <f aca="false">(B223-E223)/365.25</f>
        <v>41.864476386037</v>
      </c>
      <c r="G223" s="14" t="n">
        <f aca="false">(B223-D223)/365.25</f>
        <v>0.268309377138946</v>
      </c>
      <c r="H223" s="15" t="s">
        <v>181</v>
      </c>
      <c r="I223" s="15" t="s">
        <v>194</v>
      </c>
      <c r="J223" s="21" t="s">
        <v>183</v>
      </c>
      <c r="K223" s="21" t="n">
        <v>4</v>
      </c>
      <c r="L223" s="19" t="n">
        <v>93</v>
      </c>
      <c r="M223" s="0" t="n">
        <v>1.8</v>
      </c>
      <c r="N223" s="16" t="n">
        <f aca="false">L223/(M223*M223)</f>
        <v>28.7037037037037</v>
      </c>
      <c r="O223" s="19" t="n">
        <v>1</v>
      </c>
      <c r="P223" s="19" t="n">
        <v>0</v>
      </c>
      <c r="Q223" s="19" t="n">
        <v>0</v>
      </c>
      <c r="R223" s="26" t="n">
        <v>0</v>
      </c>
      <c r="S223" s="26" t="n">
        <v>0</v>
      </c>
      <c r="T223" s="26" t="n">
        <v>0</v>
      </c>
      <c r="U223" s="19" t="n">
        <v>0</v>
      </c>
      <c r="V223" s="19" t="n">
        <v>0</v>
      </c>
      <c r="W223" s="19" t="n">
        <v>0</v>
      </c>
      <c r="X223" s="19" t="n">
        <v>0</v>
      </c>
      <c r="Y223" s="19" t="n">
        <v>0</v>
      </c>
      <c r="Z223" s="19" t="n">
        <v>0</v>
      </c>
      <c r="AA223" s="19" t="n">
        <v>0</v>
      </c>
      <c r="AB223" s="19" t="n">
        <v>0</v>
      </c>
      <c r="AC223" s="19" t="n">
        <v>1</v>
      </c>
      <c r="AD223" s="19" t="n">
        <v>15</v>
      </c>
      <c r="AE223" s="19" t="n">
        <v>0</v>
      </c>
      <c r="AF223" s="19" t="n">
        <v>0</v>
      </c>
      <c r="AG223" s="19" t="n">
        <v>0</v>
      </c>
      <c r="AH223" s="19" t="n">
        <v>0</v>
      </c>
      <c r="AI223" s="19" t="n">
        <v>0</v>
      </c>
      <c r="AJ223" s="19" t="n">
        <v>0</v>
      </c>
      <c r="AK223" s="19" t="n">
        <v>0</v>
      </c>
      <c r="AL223" s="19" t="n">
        <v>0</v>
      </c>
      <c r="AM223" s="19" t="n">
        <v>0</v>
      </c>
      <c r="AN223" s="19" t="n">
        <v>0</v>
      </c>
      <c r="AO223" s="19" t="n">
        <v>0</v>
      </c>
      <c r="AP223" s="19" t="n">
        <v>0</v>
      </c>
      <c r="AQ223" s="19" t="n">
        <v>0</v>
      </c>
      <c r="AR223" s="19" t="n">
        <v>0</v>
      </c>
      <c r="AS223" s="19" t="n">
        <v>1</v>
      </c>
      <c r="AT223" s="19" t="n">
        <v>1</v>
      </c>
      <c r="AU223" s="19" t="n">
        <v>1</v>
      </c>
      <c r="AV223" s="19" t="n">
        <v>3</v>
      </c>
      <c r="AW223" s="19" t="n">
        <v>0</v>
      </c>
      <c r="AX223" s="19" t="n">
        <v>0</v>
      </c>
      <c r="AY223" s="19" t="n">
        <v>0</v>
      </c>
      <c r="AZ223" s="19" t="n">
        <v>0</v>
      </c>
      <c r="BA223" s="19" t="n">
        <v>0</v>
      </c>
      <c r="BB223" s="19" t="n">
        <v>0</v>
      </c>
      <c r="BC223" s="19" t="n">
        <v>0</v>
      </c>
      <c r="BD223" s="19" t="n">
        <v>0</v>
      </c>
      <c r="BE223" s="19" t="n">
        <v>0</v>
      </c>
      <c r="BF223" s="19" t="n">
        <v>0</v>
      </c>
      <c r="BG223" s="19" t="n">
        <v>0</v>
      </c>
      <c r="BH223" s="19" t="n">
        <v>0</v>
      </c>
      <c r="BI223" s="19" t="n">
        <v>0</v>
      </c>
      <c r="BJ223" s="19" t="n">
        <v>0</v>
      </c>
      <c r="BK223" s="19" t="n">
        <v>0</v>
      </c>
      <c r="BL223" s="19" t="n">
        <v>0</v>
      </c>
      <c r="BM223" s="19" t="n">
        <v>0</v>
      </c>
      <c r="BN223" s="19" t="n">
        <v>0</v>
      </c>
      <c r="BO223" s="19" t="n">
        <v>0</v>
      </c>
      <c r="BP223" s="19" t="n">
        <v>0</v>
      </c>
      <c r="BQ223" s="19" t="n">
        <v>0</v>
      </c>
      <c r="BR223" s="19" t="n">
        <v>2</v>
      </c>
      <c r="BS223" s="19" t="n">
        <v>3</v>
      </c>
      <c r="BT223" s="19" t="n">
        <v>4</v>
      </c>
      <c r="BU223" s="19" t="n">
        <v>4</v>
      </c>
      <c r="BV223" s="19" t="n">
        <v>2</v>
      </c>
      <c r="BW223" s="19" t="n">
        <v>3</v>
      </c>
      <c r="BX223" s="19" t="n">
        <v>2</v>
      </c>
      <c r="BY223" s="19" t="n">
        <v>2</v>
      </c>
      <c r="BZ223" s="19" t="n">
        <v>2</v>
      </c>
      <c r="CA223" s="19" t="n">
        <v>3</v>
      </c>
      <c r="CB223" s="19" t="n">
        <v>2</v>
      </c>
      <c r="CC223" s="19" t="n">
        <v>5</v>
      </c>
      <c r="CD223" s="19" t="n">
        <v>3</v>
      </c>
      <c r="CE223" s="19"/>
      <c r="CF223" s="19" t="n">
        <v>4</v>
      </c>
      <c r="CG223" s="19" t="n">
        <v>4</v>
      </c>
      <c r="CH223" s="19" t="n">
        <v>4</v>
      </c>
      <c r="CI223" s="19" t="n">
        <v>4</v>
      </c>
      <c r="CJ223" s="19" t="n">
        <v>3</v>
      </c>
      <c r="CK223" s="19" t="n">
        <v>7</v>
      </c>
      <c r="CL223" s="0" t="s">
        <v>198</v>
      </c>
      <c r="CM223" s="0" t="n">
        <v>28.5</v>
      </c>
      <c r="CN223" s="16" t="n">
        <v>78.4</v>
      </c>
      <c r="CO223" s="16" t="n">
        <v>80.4</v>
      </c>
      <c r="CP223" s="16" t="n">
        <v>16</v>
      </c>
      <c r="CQ223" s="0" t="n">
        <v>95.22</v>
      </c>
      <c r="CR223" s="17" t="n">
        <v>0</v>
      </c>
      <c r="CS223" s="0" t="n">
        <v>4.23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9.77</v>
      </c>
      <c r="DC223" s="0" t="n">
        <v>2.18</v>
      </c>
      <c r="DD223" s="0" t="n">
        <v>46.81</v>
      </c>
      <c r="DE223" s="0" t="n">
        <v>10.57</v>
      </c>
      <c r="DF223" s="0" t="n">
        <v>0</v>
      </c>
      <c r="DG223" s="0" t="n">
        <v>0</v>
      </c>
      <c r="DH223" s="0" t="n">
        <v>0</v>
      </c>
      <c r="DU223" s="0" t="n">
        <v>0</v>
      </c>
      <c r="DV223" s="0" t="n">
        <v>0</v>
      </c>
      <c r="EG223" s="20"/>
      <c r="EY223" s="0" t="n">
        <v>0</v>
      </c>
      <c r="GJ223" s="16" t="n">
        <v>4.23</v>
      </c>
      <c r="GK223" s="16" t="n">
        <v>1</v>
      </c>
      <c r="GL223" s="16" t="n">
        <v>2</v>
      </c>
      <c r="GM223" s="16"/>
      <c r="GN223" s="16" t="n">
        <v>6.34</v>
      </c>
      <c r="GO223" s="16" t="n">
        <v>1</v>
      </c>
      <c r="GP223" s="16" t="n">
        <v>1</v>
      </c>
      <c r="GQ223" s="16" t="n">
        <f aca="false">9.52+3.17+3.17+3.17+1.12+1.12+1.12</f>
        <v>22.39</v>
      </c>
      <c r="GR223" s="16"/>
      <c r="GS223" s="16"/>
      <c r="GT223" s="16"/>
      <c r="GU223" s="16" t="n">
        <v>5.41</v>
      </c>
      <c r="GV223" s="16" t="n">
        <v>8.96</v>
      </c>
      <c r="GW223" s="16" t="n">
        <v>0</v>
      </c>
      <c r="GX223" s="16" t="n">
        <v>0</v>
      </c>
      <c r="GY223" s="16" t="n">
        <v>0</v>
      </c>
      <c r="GZ223" s="16" t="n">
        <v>0</v>
      </c>
      <c r="HA223" s="16" t="n">
        <v>0</v>
      </c>
      <c r="HB223" s="0" t="n">
        <v>0</v>
      </c>
      <c r="HC223" s="0" t="s">
        <v>199</v>
      </c>
      <c r="HD223" s="0" t="n">
        <v>56.5</v>
      </c>
      <c r="HE223" s="16" t="n">
        <v>88.4</v>
      </c>
      <c r="HF223" s="16" t="n">
        <v>80.4</v>
      </c>
      <c r="HG223" s="16" t="n">
        <v>24.8</v>
      </c>
      <c r="HH223" s="0" t="n">
        <v>77.37</v>
      </c>
      <c r="HI223" s="17" t="n">
        <v>0</v>
      </c>
      <c r="HJ223" s="0" t="n">
        <v>7.99</v>
      </c>
      <c r="HK223" s="0" t="n">
        <v>0</v>
      </c>
      <c r="HL223" s="0" t="n">
        <v>14.63</v>
      </c>
      <c r="HM223" s="0" t="n">
        <v>0</v>
      </c>
      <c r="HN223" s="0" t="n">
        <v>0</v>
      </c>
      <c r="HO223" s="0" t="n">
        <v>0</v>
      </c>
      <c r="HP223" s="0" t="n">
        <v>0</v>
      </c>
      <c r="HQ223" s="0" t="n">
        <v>0</v>
      </c>
      <c r="HR223" s="0" t="n">
        <v>0</v>
      </c>
      <c r="HS223" s="0" t="n">
        <v>8.04</v>
      </c>
      <c r="HT223" s="0" t="n">
        <v>23.21</v>
      </c>
      <c r="HU223" s="0" t="n">
        <v>37.03</v>
      </c>
      <c r="HV223" s="0" t="n">
        <v>14.79</v>
      </c>
      <c r="HW223" s="0" t="n">
        <v>0</v>
      </c>
      <c r="HX223" s="0" t="n">
        <v>0</v>
      </c>
      <c r="HY223" s="0" t="n">
        <v>0</v>
      </c>
      <c r="IL223" s="0" t="n">
        <v>25.5</v>
      </c>
      <c r="IM223" s="0" t="n">
        <v>1</v>
      </c>
      <c r="IN223" s="0" t="n">
        <v>52</v>
      </c>
      <c r="IO223" s="0" t="n">
        <v>13</v>
      </c>
      <c r="IP223" s="0" t="n">
        <f aca="false">0.27+1.07+0.13+0.27</f>
        <v>1.74</v>
      </c>
      <c r="IQ223" s="0" t="n">
        <v>2</v>
      </c>
      <c r="IR223" s="0" t="n">
        <v>35</v>
      </c>
      <c r="IS223" s="0" t="n">
        <v>3</v>
      </c>
      <c r="IT223" s="0" t="n">
        <f aca="false">0.13+0.08+0.24</f>
        <v>0.45</v>
      </c>
      <c r="IU223" s="0" t="n">
        <v>3</v>
      </c>
      <c r="IV223" s="0" t="n">
        <v>47</v>
      </c>
      <c r="IW223" s="0" t="n">
        <v>5</v>
      </c>
      <c r="IX223" s="20" t="n">
        <f aca="false">0.76+1.14+0.76+0.13+0.08</f>
        <v>2.87</v>
      </c>
      <c r="IY223" s="0" t="n">
        <v>3</v>
      </c>
      <c r="JP223" s="0" t="n">
        <v>0</v>
      </c>
      <c r="LA223" s="16" t="n">
        <v>2.59</v>
      </c>
      <c r="LB223" s="16" t="n">
        <v>1</v>
      </c>
      <c r="LC223" s="16" t="n">
        <v>1</v>
      </c>
      <c r="LD223" s="16"/>
      <c r="LE223" s="16" t="n">
        <f aca="false">(2.11*4)+0.37</f>
        <v>8.81</v>
      </c>
      <c r="LF223" s="16"/>
      <c r="LG223" s="16"/>
      <c r="LH223" s="16"/>
      <c r="LI223" s="16"/>
      <c r="LJ223" s="16"/>
      <c r="LK223" s="16"/>
      <c r="LL223" s="16" t="n">
        <v>1.33</v>
      </c>
      <c r="LM223" s="16" t="n">
        <v>0.89</v>
      </c>
      <c r="LN223" s="16" t="n">
        <v>0</v>
      </c>
      <c r="LO223" s="16" t="n">
        <v>0</v>
      </c>
      <c r="LP223" s="16" t="n">
        <v>0</v>
      </c>
      <c r="LQ223" s="16" t="n">
        <v>0</v>
      </c>
      <c r="LR223" s="16" t="n">
        <v>0</v>
      </c>
      <c r="LS223" s="0" t="n">
        <v>0</v>
      </c>
      <c r="LT223" s="0" t="s">
        <v>201</v>
      </c>
      <c r="LU223" s="0" t="n">
        <v>48.5</v>
      </c>
      <c r="LV223" s="16" t="n">
        <v>89.7</v>
      </c>
      <c r="LW223" s="16" t="n">
        <v>80.4</v>
      </c>
      <c r="LX223" s="16" t="n">
        <v>9.3</v>
      </c>
      <c r="LY223" s="0" t="n">
        <v>100</v>
      </c>
      <c r="LZ223" s="17" t="n">
        <v>0</v>
      </c>
      <c r="MA223" s="0" t="n">
        <v>0</v>
      </c>
      <c r="MB223" s="0" t="n">
        <v>0</v>
      </c>
      <c r="MC223" s="0" t="n">
        <v>0</v>
      </c>
      <c r="MD223" s="0" t="n">
        <v>0</v>
      </c>
      <c r="ME223" s="0" t="n">
        <v>0</v>
      </c>
      <c r="MF223" s="0" t="n">
        <v>0</v>
      </c>
      <c r="MG223" s="0" t="n">
        <v>0</v>
      </c>
      <c r="MH223" s="0" t="n">
        <v>0</v>
      </c>
      <c r="MI223" s="0" t="n">
        <v>0</v>
      </c>
      <c r="MJ223" s="0" t="n">
        <v>1.65</v>
      </c>
      <c r="MK223" s="0" t="n">
        <v>2.69</v>
      </c>
      <c r="ML223" s="0" t="n">
        <v>54.55</v>
      </c>
      <c r="MM223" s="0" t="n">
        <v>11.29</v>
      </c>
      <c r="MN223" s="0" t="n">
        <v>0</v>
      </c>
      <c r="MO223" s="0" t="n">
        <v>0</v>
      </c>
      <c r="MP223" s="0" t="n">
        <v>0</v>
      </c>
      <c r="NC223" s="0" t="n">
        <v>30.6</v>
      </c>
      <c r="ND223" s="0" t="n">
        <v>1</v>
      </c>
      <c r="NE223" s="0" t="n">
        <v>35</v>
      </c>
      <c r="NF223" s="0" t="n">
        <v>14</v>
      </c>
      <c r="NG223" s="0" t="n">
        <f aca="false">3.05+1.52+1.52+0.27+0.03+0.07</f>
        <v>6.46</v>
      </c>
      <c r="NH223" s="0" t="n">
        <v>3</v>
      </c>
      <c r="NI223" s="0" t="n">
        <v>47</v>
      </c>
      <c r="NJ223" s="0" t="n">
        <v>6</v>
      </c>
      <c r="NK223" s="0" t="n">
        <f aca="false">1.52+0.27*2</f>
        <v>2.06</v>
      </c>
      <c r="NL223" s="0" t="n">
        <v>3</v>
      </c>
      <c r="NO223" s="20"/>
      <c r="OG223" s="0" t="n">
        <v>0</v>
      </c>
      <c r="PR223" s="16" t="n">
        <v>3.34</v>
      </c>
      <c r="PS223" s="16" t="n">
        <v>1</v>
      </c>
      <c r="PT223" s="16" t="n">
        <v>1</v>
      </c>
      <c r="PU223" s="16"/>
      <c r="PV223" s="16" t="n">
        <f aca="false">4.23+1.14+2.11+4.23+1.37+0.02+2.03+0.75+0.37+0.13</f>
        <v>16.38</v>
      </c>
      <c r="PW223" s="16"/>
      <c r="PX223" s="16"/>
      <c r="PY223" s="16"/>
      <c r="PZ223" s="16"/>
      <c r="QA223" s="16"/>
      <c r="QB223" s="16"/>
      <c r="QC223" s="16" t="n">
        <v>1.45</v>
      </c>
      <c r="QD223" s="16" t="n">
        <v>1.46</v>
      </c>
      <c r="QE223" s="16" t="n">
        <v>0</v>
      </c>
      <c r="QF223" s="16" t="n">
        <v>0</v>
      </c>
      <c r="QG223" s="16" t="n">
        <v>0</v>
      </c>
      <c r="QH223" s="16" t="n">
        <v>0</v>
      </c>
      <c r="QI223" s="16" t="n">
        <v>0</v>
      </c>
      <c r="QJ223" s="0" t="n">
        <v>0</v>
      </c>
      <c r="QK223" s="0" t="s">
        <v>213</v>
      </c>
      <c r="QL223" s="0" t="n">
        <v>49.5</v>
      </c>
      <c r="QM223" s="16" t="n">
        <v>78.9</v>
      </c>
      <c r="QN223" s="16" t="n">
        <v>80.4</v>
      </c>
      <c r="QO223" s="16" t="n">
        <v>31.1</v>
      </c>
      <c r="QP223" s="0" t="n">
        <v>22.13</v>
      </c>
      <c r="QQ223" s="17" t="n">
        <v>0</v>
      </c>
      <c r="QR223" s="0" t="n">
        <v>0</v>
      </c>
      <c r="QS223" s="0" t="n">
        <v>0</v>
      </c>
      <c r="QT223" s="0" t="n">
        <v>3.8</v>
      </c>
      <c r="QU223" s="0" t="n">
        <v>0</v>
      </c>
      <c r="QV223" s="0" t="n">
        <v>74.07</v>
      </c>
      <c r="QW223" s="0" t="n">
        <v>28.31</v>
      </c>
      <c r="QX223" s="0" t="n">
        <v>0</v>
      </c>
      <c r="QY223" s="0" t="n">
        <v>0</v>
      </c>
      <c r="QZ223" s="0" t="n">
        <v>0</v>
      </c>
      <c r="RA223" s="0" t="n">
        <v>8.07</v>
      </c>
      <c r="RB223" s="0" t="n">
        <v>1.71</v>
      </c>
      <c r="RC223" s="0" t="n">
        <v>33.85</v>
      </c>
      <c r="RD223" s="0" t="n">
        <v>17.12</v>
      </c>
      <c r="RE223" s="0" t="n">
        <v>0</v>
      </c>
      <c r="RF223" s="0" t="n">
        <v>0</v>
      </c>
      <c r="RG223" s="0" t="n">
        <v>0</v>
      </c>
      <c r="RT223" s="0" t="n">
        <v>3.4</v>
      </c>
      <c r="RU223" s="0" t="n">
        <v>1</v>
      </c>
      <c r="RV223" s="0" t="n">
        <v>34</v>
      </c>
      <c r="RW223" s="0" t="n">
        <v>1</v>
      </c>
      <c r="RX223" s="0" t="n">
        <v>1.6</v>
      </c>
      <c r="RY223" s="0" t="n">
        <v>1</v>
      </c>
      <c r="RZ223" s="0" t="n">
        <v>68</v>
      </c>
      <c r="SA223" s="0" t="n">
        <v>2</v>
      </c>
      <c r="SB223" s="0" t="n">
        <f aca="false">0.65+0.11</f>
        <v>0.76</v>
      </c>
      <c r="SC223" s="0" t="n">
        <v>1</v>
      </c>
      <c r="SD223" s="0" t="n">
        <v>52</v>
      </c>
      <c r="SE223" s="0" t="n">
        <v>2</v>
      </c>
      <c r="SF223" s="20" t="n">
        <f aca="false">1.33+0.34</f>
        <v>1.67</v>
      </c>
      <c r="SG223" s="0" t="n">
        <v>2</v>
      </c>
      <c r="SX223" s="0" t="n">
        <v>0</v>
      </c>
      <c r="UI223" s="16" t="n">
        <v>0</v>
      </c>
      <c r="UJ223" s="16" t="n">
        <v>0</v>
      </c>
      <c r="UK223" s="16"/>
      <c r="UL223" s="16"/>
      <c r="UM223" s="16"/>
      <c r="UN223" s="16"/>
      <c r="UO223" s="16"/>
      <c r="UP223" s="16"/>
      <c r="UQ223" s="16"/>
      <c r="UR223" s="16"/>
      <c r="US223" s="16"/>
      <c r="UT223" s="16" t="n">
        <v>5.13</v>
      </c>
      <c r="UU223" s="16" t="n">
        <v>6.28</v>
      </c>
      <c r="UV223" s="16" t="n">
        <v>0</v>
      </c>
      <c r="UW223" s="16" t="n">
        <v>0</v>
      </c>
      <c r="UX223" s="16" t="n">
        <v>6.72</v>
      </c>
      <c r="UY223" s="16" t="n">
        <v>0</v>
      </c>
      <c r="UZ223" s="16" t="n">
        <v>2.54</v>
      </c>
      <c r="VA223" s="0" t="n">
        <v>2</v>
      </c>
      <c r="VE223" s="15"/>
      <c r="VF223" s="15"/>
      <c r="VM223" s="15"/>
      <c r="VN223" s="15"/>
      <c r="VU223" s="15"/>
      <c r="VV223" s="15"/>
      <c r="WC223" s="15"/>
      <c r="WD223" s="15"/>
      <c r="WK223" s="15"/>
      <c r="WL223" s="15"/>
      <c r="WS223" s="15"/>
      <c r="WT223" s="15"/>
      <c r="XA223" s="15"/>
      <c r="XB223" s="15"/>
      <c r="XI223" s="15"/>
      <c r="XJ223" s="15"/>
      <c r="XQ223" s="15"/>
      <c r="XR223" s="15"/>
      <c r="XY223" s="15"/>
      <c r="XZ223" s="15"/>
      <c r="YG223" s="15"/>
      <c r="YH223" s="15"/>
      <c r="YO223" s="15"/>
      <c r="YP223" s="15"/>
      <c r="YW223" s="15"/>
      <c r="YX223" s="15"/>
      <c r="ZE223" s="15"/>
      <c r="ZF223" s="15"/>
      <c r="ZM223" s="15"/>
      <c r="ZN223" s="15"/>
      <c r="ZU223" s="15"/>
      <c r="ZV223" s="15"/>
      <c r="AAC223" s="15"/>
      <c r="AAD223" s="15"/>
      <c r="AAK223" s="15"/>
      <c r="AAL223" s="15"/>
      <c r="AAS223" s="15"/>
      <c r="AAT223" s="15"/>
      <c r="ABA223" s="15"/>
      <c r="ABB223" s="15"/>
      <c r="ABI223" s="15"/>
      <c r="ABJ223" s="15"/>
      <c r="ABQ223" s="15"/>
      <c r="ABR223" s="15"/>
      <c r="ABY223" s="15"/>
      <c r="ABZ223" s="15"/>
      <c r="ACG223" s="15"/>
      <c r="ACH223" s="15"/>
      <c r="ACO223" s="15"/>
      <c r="ACP223" s="15"/>
      <c r="ACW223" s="15"/>
      <c r="ACX223" s="15"/>
      <c r="ADE223" s="15"/>
      <c r="ADF223" s="15"/>
      <c r="ADM223" s="15"/>
      <c r="ADN223" s="15"/>
      <c r="ADU223" s="15"/>
      <c r="ADV223" s="15"/>
      <c r="AEC223" s="15"/>
      <c r="AED223" s="15"/>
      <c r="AEK223" s="15"/>
      <c r="AEL223" s="15"/>
      <c r="AES223" s="15"/>
      <c r="AET223" s="15"/>
      <c r="AFA223" s="15"/>
      <c r="AFB223" s="15"/>
      <c r="AFI223" s="15"/>
      <c r="AFJ223" s="15"/>
      <c r="AFQ223" s="15"/>
      <c r="AFR223" s="15"/>
      <c r="AFY223" s="15"/>
      <c r="AFZ223" s="15"/>
      <c r="AGG223" s="15"/>
      <c r="AGH223" s="15"/>
      <c r="AGO223" s="15"/>
      <c r="AGP223" s="15"/>
      <c r="AGW223" s="15"/>
      <c r="AGX223" s="15"/>
      <c r="AHE223" s="15"/>
      <c r="AHF223" s="15"/>
      <c r="AHM223" s="15"/>
      <c r="AHN223" s="15"/>
      <c r="AHU223" s="15"/>
      <c r="AHV223" s="15"/>
      <c r="AIC223" s="15"/>
      <c r="AID223" s="15"/>
      <c r="AIK223" s="15"/>
      <c r="AIL223" s="15"/>
      <c r="AIS223" s="15"/>
      <c r="AIT223" s="15"/>
      <c r="AJA223" s="15"/>
      <c r="AJB223" s="15"/>
      <c r="AJI223" s="15"/>
      <c r="AJJ223" s="15"/>
      <c r="AJQ223" s="15"/>
      <c r="AJR223" s="15"/>
      <c r="AJY223" s="15"/>
      <c r="AJZ223" s="15"/>
      <c r="AKG223" s="15"/>
      <c r="AKH223" s="15"/>
      <c r="AKO223" s="15"/>
      <c r="AKP223" s="15"/>
      <c r="AKW223" s="15"/>
      <c r="AKX223" s="15"/>
      <c r="ALE223" s="15"/>
      <c r="ALF223" s="15"/>
      <c r="ALM223" s="15"/>
      <c r="ALN223" s="15"/>
      <c r="ALU223" s="15"/>
      <c r="ALV223" s="15"/>
      <c r="AMC223" s="15"/>
      <c r="AMD223" s="15"/>
    </row>
    <row r="224" customFormat="false" ht="13.8" hidden="false" customHeight="false" outlineLevel="0" collapsed="false">
      <c r="A224" s="1" t="s">
        <v>737</v>
      </c>
      <c r="B224" s="12" t="n">
        <v>42905</v>
      </c>
      <c r="C224" s="0" t="n">
        <v>2</v>
      </c>
      <c r="D224" s="13" t="n">
        <v>42821</v>
      </c>
      <c r="E224" s="12" t="n">
        <v>29428</v>
      </c>
      <c r="F224" s="14" t="n">
        <f aca="false">(B224-E224)/365.25</f>
        <v>36.8980150581793</v>
      </c>
      <c r="G224" s="14" t="n">
        <f aca="false">(B224-D224)/365.25</f>
        <v>0.229979466119096</v>
      </c>
      <c r="H224" s="19" t="s">
        <v>181</v>
      </c>
      <c r="I224" s="0" t="s">
        <v>194</v>
      </c>
      <c r="J224" s="21" t="s">
        <v>183</v>
      </c>
      <c r="K224" s="21" t="n">
        <v>4</v>
      </c>
      <c r="L224" s="19"/>
      <c r="M224" s="0" t="n">
        <v>1.76</v>
      </c>
      <c r="N224" s="16" t="n">
        <f aca="false">L224/(M224*M224)</f>
        <v>0</v>
      </c>
      <c r="O224" s="19" t="n">
        <v>0</v>
      </c>
      <c r="P224" s="19" t="n">
        <v>0</v>
      </c>
      <c r="Q224" s="19" t="n">
        <v>0</v>
      </c>
      <c r="R224" s="26" t="n">
        <v>0</v>
      </c>
      <c r="S224" s="26" t="n">
        <v>0</v>
      </c>
      <c r="T224" s="26" t="n">
        <v>0</v>
      </c>
      <c r="U224" s="19" t="n">
        <v>1</v>
      </c>
      <c r="V224" s="19" t="n">
        <v>5</v>
      </c>
      <c r="W224" s="19" t="n">
        <v>0</v>
      </c>
      <c r="X224" s="19" t="n">
        <v>0</v>
      </c>
      <c r="Y224" s="19" t="n">
        <v>1</v>
      </c>
      <c r="Z224" s="19" t="n">
        <v>1</v>
      </c>
      <c r="AA224" s="19" t="n">
        <v>90</v>
      </c>
      <c r="AB224" s="19" t="s">
        <v>349</v>
      </c>
      <c r="AC224" s="19" t="n">
        <v>0</v>
      </c>
      <c r="AD224" s="19" t="n">
        <v>0</v>
      </c>
      <c r="AE224" s="19"/>
      <c r="AF224" s="19"/>
      <c r="AG224" s="19"/>
      <c r="AH224" s="19"/>
      <c r="AI224" s="19" t="n">
        <v>0</v>
      </c>
      <c r="AJ224" s="19" t="n">
        <v>0</v>
      </c>
      <c r="AK224" s="19" t="n">
        <v>0</v>
      </c>
      <c r="AL224" s="19" t="n">
        <v>0</v>
      </c>
      <c r="AM224" s="19" t="n">
        <v>0</v>
      </c>
      <c r="AN224" s="19" t="n">
        <v>0</v>
      </c>
      <c r="AO224" s="19" t="n">
        <v>0</v>
      </c>
      <c r="AP224" s="19" t="n">
        <v>0</v>
      </c>
      <c r="AQ224" s="19" t="n">
        <v>0</v>
      </c>
      <c r="AR224" s="19" t="n">
        <v>0</v>
      </c>
      <c r="AS224" s="19" t="n">
        <v>0</v>
      </c>
      <c r="AT224" s="19" t="n">
        <v>0</v>
      </c>
      <c r="AU224" s="19" t="n">
        <v>0</v>
      </c>
      <c r="AV224" s="19" t="n">
        <v>0</v>
      </c>
      <c r="AW224" s="19" t="n">
        <v>0</v>
      </c>
      <c r="AX224" s="19" t="n">
        <v>0</v>
      </c>
      <c r="AY224" s="19" t="n">
        <v>0</v>
      </c>
      <c r="AZ224" s="19" t="n">
        <v>0</v>
      </c>
      <c r="BA224" s="19" t="n">
        <v>0</v>
      </c>
      <c r="BB224" s="19" t="n">
        <v>0</v>
      </c>
      <c r="BC224" s="19" t="n">
        <v>0</v>
      </c>
      <c r="BD224" s="19" t="n">
        <v>0</v>
      </c>
      <c r="BE224" s="19" t="n">
        <v>0</v>
      </c>
      <c r="BF224" s="19" t="n">
        <v>0</v>
      </c>
      <c r="BG224" s="19" t="n">
        <v>0</v>
      </c>
      <c r="BH224" s="19" t="n">
        <v>0</v>
      </c>
      <c r="BI224" s="19" t="n">
        <v>0</v>
      </c>
      <c r="BJ224" s="19" t="n">
        <v>0</v>
      </c>
      <c r="BK224" s="19" t="n">
        <v>0</v>
      </c>
      <c r="BL224" s="19" t="n">
        <v>0</v>
      </c>
      <c r="BM224" s="19" t="n">
        <v>0</v>
      </c>
      <c r="BN224" s="19" t="n">
        <v>0</v>
      </c>
      <c r="BO224" s="19" t="n">
        <v>0</v>
      </c>
      <c r="BP224" s="19" t="n">
        <v>0</v>
      </c>
      <c r="BQ224" s="19" t="n">
        <v>0</v>
      </c>
      <c r="BR224" s="19" t="n">
        <v>3</v>
      </c>
      <c r="BS224" s="19" t="n">
        <v>3</v>
      </c>
      <c r="BT224" s="19" t="n">
        <v>4</v>
      </c>
      <c r="BU224" s="19" t="n">
        <v>4</v>
      </c>
      <c r="BV224" s="19" t="n">
        <v>3</v>
      </c>
      <c r="BW224" s="19" t="n">
        <v>2</v>
      </c>
      <c r="BX224" s="19" t="n">
        <v>3</v>
      </c>
      <c r="BY224" s="19" t="n">
        <v>3</v>
      </c>
      <c r="BZ224" s="19" t="n">
        <v>5</v>
      </c>
      <c r="CA224" s="19" t="n">
        <v>4</v>
      </c>
      <c r="CB224" s="19" t="n">
        <v>4</v>
      </c>
      <c r="CC224" s="19" t="n">
        <v>5</v>
      </c>
      <c r="CD224" s="19" t="n">
        <v>3</v>
      </c>
      <c r="CE224" s="19" t="n">
        <v>4</v>
      </c>
      <c r="CF224" s="19" t="n">
        <v>4</v>
      </c>
      <c r="CG224" s="19" t="n">
        <v>4</v>
      </c>
      <c r="CH224" s="19" t="n">
        <v>4</v>
      </c>
      <c r="CI224" s="19" t="n">
        <v>4</v>
      </c>
      <c r="CJ224" s="19" t="n">
        <v>4</v>
      </c>
      <c r="CK224" s="19" t="n">
        <v>8</v>
      </c>
      <c r="CL224" s="0" t="s">
        <v>196</v>
      </c>
      <c r="CM224" s="0" t="n">
        <v>39.5</v>
      </c>
      <c r="CN224" s="16" t="n">
        <v>89.8</v>
      </c>
      <c r="CO224" s="16" t="n">
        <v>80.4</v>
      </c>
      <c r="CP224" s="16" t="n">
        <v>5.1</v>
      </c>
      <c r="CQ224" s="0" t="n">
        <v>100</v>
      </c>
      <c r="CR224" s="17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50.37</v>
      </c>
      <c r="DD224" s="0" t="n">
        <v>16.55</v>
      </c>
      <c r="DE224" s="0" t="n">
        <v>0.4</v>
      </c>
      <c r="DF224" s="0" t="n">
        <v>0</v>
      </c>
      <c r="DG224" s="0" t="n">
        <v>27.4</v>
      </c>
      <c r="DH224" s="0" t="n">
        <v>1</v>
      </c>
      <c r="DI224" s="0" t="n">
        <v>3</v>
      </c>
      <c r="DK224" s="0" t="n">
        <v>4</v>
      </c>
      <c r="DO224" s="0" t="n">
        <v>3</v>
      </c>
      <c r="DQ224" s="0" t="n">
        <v>4</v>
      </c>
      <c r="DU224" s="0" t="n">
        <v>0.1</v>
      </c>
      <c r="DV224" s="0" t="n">
        <v>1</v>
      </c>
      <c r="DW224" s="0" t="n">
        <v>34</v>
      </c>
      <c r="DX224" s="0" t="n">
        <v>9</v>
      </c>
      <c r="DY224" s="0" t="n">
        <f aca="false">(1.71*3)+(0.2*2)</f>
        <v>5.53</v>
      </c>
      <c r="DZ224" s="0" t="n">
        <v>1</v>
      </c>
      <c r="EA224" s="0" t="n">
        <v>35</v>
      </c>
      <c r="EB224" s="0" t="n">
        <v>1</v>
      </c>
      <c r="EC224" s="16" t="n">
        <v>0.02</v>
      </c>
      <c r="ED224" s="0" t="n">
        <v>3</v>
      </c>
      <c r="EG224" s="20"/>
      <c r="EY224" s="0" t="n">
        <v>0</v>
      </c>
      <c r="GJ224" s="16" t="n">
        <v>1.49</v>
      </c>
      <c r="GK224" s="16" t="n">
        <v>1</v>
      </c>
      <c r="GL224" s="16" t="n">
        <v>1</v>
      </c>
      <c r="GM224" s="16"/>
      <c r="GN224" s="16" t="n">
        <f aca="false">2.11+2.11+0.56+0.56</f>
        <v>5.34</v>
      </c>
      <c r="GO224" s="16"/>
      <c r="GP224" s="16"/>
      <c r="GQ224" s="16"/>
      <c r="GR224" s="16"/>
      <c r="GS224" s="16"/>
      <c r="GT224" s="16"/>
      <c r="GU224" s="16" t="n">
        <v>5.01</v>
      </c>
      <c r="GV224" s="16" t="n">
        <v>5.13</v>
      </c>
      <c r="GW224" s="16" t="n">
        <v>0</v>
      </c>
      <c r="GX224" s="16" t="n">
        <v>0</v>
      </c>
      <c r="GY224" s="16" t="n">
        <v>0</v>
      </c>
      <c r="GZ224" s="16" t="n">
        <v>0</v>
      </c>
      <c r="HA224" s="16" t="n">
        <v>0</v>
      </c>
      <c r="HB224" s="0" t="n">
        <v>0</v>
      </c>
      <c r="HC224" s="0" t="s">
        <v>197</v>
      </c>
      <c r="HD224" s="0" t="n">
        <v>49.5</v>
      </c>
      <c r="HE224" s="16" t="n">
        <v>90.1</v>
      </c>
      <c r="HF224" s="16" t="n">
        <v>80.4</v>
      </c>
      <c r="HG224" s="16" t="n">
        <v>9.9</v>
      </c>
      <c r="HH224" s="0" t="n">
        <v>94.62</v>
      </c>
      <c r="HI224" s="17" t="n">
        <v>0</v>
      </c>
      <c r="HJ224" s="0" t="n">
        <v>0.32</v>
      </c>
      <c r="HK224" s="0" t="n">
        <v>0</v>
      </c>
      <c r="HL224" s="0" t="n">
        <v>5.05</v>
      </c>
      <c r="HM224" s="0" t="n">
        <v>0</v>
      </c>
      <c r="HN224" s="0" t="n">
        <v>0</v>
      </c>
      <c r="HO224" s="0" t="n">
        <v>0</v>
      </c>
      <c r="HP224" s="0" t="n">
        <v>0</v>
      </c>
      <c r="HQ224" s="0" t="n">
        <v>0</v>
      </c>
      <c r="HR224" s="0" t="n">
        <v>0</v>
      </c>
      <c r="HS224" s="0" t="n">
        <v>3.42</v>
      </c>
      <c r="HT224" s="0" t="n">
        <v>32.25</v>
      </c>
      <c r="HU224" s="0" t="n">
        <v>29.89</v>
      </c>
      <c r="HV224" s="0" t="n">
        <v>8.28</v>
      </c>
      <c r="HW224" s="0" t="n">
        <v>0</v>
      </c>
      <c r="HX224" s="0" t="n">
        <v>12.9</v>
      </c>
      <c r="HY224" s="0" t="n">
        <v>1</v>
      </c>
      <c r="HZ224" s="0" t="n">
        <v>7</v>
      </c>
      <c r="IB224" s="0" t="n">
        <v>5</v>
      </c>
      <c r="IC224" s="0" t="n">
        <v>3</v>
      </c>
      <c r="IE224" s="0" t="n">
        <v>3</v>
      </c>
      <c r="IF224" s="0" t="n">
        <v>7</v>
      </c>
      <c r="IH224" s="0" t="n">
        <v>5</v>
      </c>
      <c r="II224" s="0" t="n">
        <v>3</v>
      </c>
      <c r="IK224" s="0" t="n">
        <v>3</v>
      </c>
      <c r="IL224" s="0" t="n">
        <v>16.6</v>
      </c>
      <c r="IM224" s="0" t="n">
        <v>1</v>
      </c>
      <c r="IN224" s="0" t="n">
        <v>68</v>
      </c>
      <c r="IO224" s="0" t="n">
        <v>6</v>
      </c>
      <c r="IP224" s="0" t="n">
        <v>0.21</v>
      </c>
      <c r="IQ224" s="0" t="n">
        <v>1</v>
      </c>
      <c r="IR224" s="0" t="n">
        <v>35</v>
      </c>
      <c r="IS224" s="0" t="n">
        <v>3</v>
      </c>
      <c r="IT224" s="0" t="n">
        <v>0.51</v>
      </c>
      <c r="IU224" s="0" t="n">
        <v>3</v>
      </c>
      <c r="IV224" s="0" t="n">
        <v>47</v>
      </c>
      <c r="IW224" s="0" t="n">
        <v>22</v>
      </c>
      <c r="IX224" s="20" t="n">
        <f aca="false">(0.43*3)+(0.07*4)+0.22</f>
        <v>1.79</v>
      </c>
      <c r="IY224" s="0" t="n">
        <v>3</v>
      </c>
      <c r="JP224" s="0" t="n">
        <v>1</v>
      </c>
      <c r="JQ224" s="0" t="n">
        <v>60</v>
      </c>
      <c r="JR224" s="0" t="n">
        <v>17</v>
      </c>
      <c r="JS224" s="0" t="n">
        <f aca="false">0.22+0.04+0.11+0.08+0.08+0.05</f>
        <v>0.58</v>
      </c>
      <c r="JT224" s="0" t="n">
        <v>3</v>
      </c>
      <c r="JU224" s="0" t="n">
        <v>60</v>
      </c>
      <c r="JV224" s="0" t="n">
        <v>12</v>
      </c>
      <c r="JW224" s="0" t="n">
        <f aca="false">0.87+0.43+0.15+0.07</f>
        <v>1.52</v>
      </c>
      <c r="JX224" s="0" t="n">
        <v>1</v>
      </c>
      <c r="LA224" s="16" t="n">
        <v>2.49</v>
      </c>
      <c r="LB224" s="16" t="n">
        <v>1</v>
      </c>
      <c r="LC224" s="16" t="n">
        <v>1</v>
      </c>
      <c r="LD224" s="16"/>
      <c r="LE224" s="16" t="n">
        <v>10.89</v>
      </c>
      <c r="LF224" s="16"/>
      <c r="LG224" s="16"/>
      <c r="LH224" s="16"/>
      <c r="LI224" s="16"/>
      <c r="LJ224" s="16"/>
      <c r="LK224" s="16"/>
      <c r="LL224" s="16" t="n">
        <v>4.17</v>
      </c>
      <c r="LM224" s="16" t="n">
        <v>3.7</v>
      </c>
      <c r="LN224" s="16" t="n">
        <v>0</v>
      </c>
      <c r="LO224" s="16" t="n">
        <v>0</v>
      </c>
      <c r="LP224" s="16" t="n">
        <v>0</v>
      </c>
      <c r="LQ224" s="16" t="n">
        <v>0</v>
      </c>
      <c r="LR224" s="16" t="n">
        <v>0</v>
      </c>
      <c r="LS224" s="0" t="n">
        <v>0</v>
      </c>
      <c r="LT224" s="0" t="s">
        <v>198</v>
      </c>
      <c r="LU224" s="0" t="n">
        <v>28.5</v>
      </c>
      <c r="LV224" s="16" t="n">
        <v>78.4</v>
      </c>
      <c r="LW224" s="16" t="n">
        <v>80.4</v>
      </c>
      <c r="LX224" s="16" t="n">
        <v>16</v>
      </c>
      <c r="LY224" s="0" t="n">
        <v>95.22</v>
      </c>
      <c r="LZ224" s="17" t="n">
        <v>0</v>
      </c>
      <c r="MA224" s="0" t="n">
        <v>4.23</v>
      </c>
      <c r="MB224" s="0" t="n">
        <v>0</v>
      </c>
      <c r="MC224" s="0" t="n">
        <v>0</v>
      </c>
      <c r="MD224" s="0" t="n">
        <v>0</v>
      </c>
      <c r="ME224" s="0" t="n">
        <v>0</v>
      </c>
      <c r="MF224" s="0" t="n">
        <v>0</v>
      </c>
      <c r="MG224" s="0" t="n">
        <v>0</v>
      </c>
      <c r="MH224" s="0" t="n">
        <v>0</v>
      </c>
      <c r="MI224" s="0" t="n">
        <v>0</v>
      </c>
      <c r="MJ224" s="0" t="n">
        <v>9.77</v>
      </c>
      <c r="MK224" s="0" t="n">
        <v>2.18</v>
      </c>
      <c r="ML224" s="0" t="n">
        <v>46.81</v>
      </c>
      <c r="MM224" s="0" t="n">
        <v>10.57</v>
      </c>
      <c r="MN224" s="0" t="n">
        <v>0</v>
      </c>
      <c r="MO224" s="0" t="n">
        <v>0</v>
      </c>
      <c r="MP224" s="0" t="n">
        <v>0</v>
      </c>
      <c r="NC224" s="0" t="n">
        <v>0</v>
      </c>
      <c r="ND224" s="0" t="n">
        <v>0</v>
      </c>
      <c r="NO224" s="20"/>
      <c r="OG224" s="0" t="n">
        <v>0</v>
      </c>
      <c r="PR224" s="16" t="n">
        <v>4.23</v>
      </c>
      <c r="PS224" s="16" t="n">
        <v>1</v>
      </c>
      <c r="PT224" s="16" t="n">
        <v>2</v>
      </c>
      <c r="PU224" s="16"/>
      <c r="PV224" s="16" t="n">
        <v>6.34</v>
      </c>
      <c r="PW224" s="16" t="n">
        <v>1</v>
      </c>
      <c r="PX224" s="16" t="n">
        <v>1</v>
      </c>
      <c r="PY224" s="16" t="n">
        <f aca="false">9.52+3.17+3.17+3.17+1.12+1.12+1.12</f>
        <v>22.39</v>
      </c>
      <c r="PZ224" s="16"/>
      <c r="QA224" s="16"/>
      <c r="QB224" s="16"/>
      <c r="QC224" s="16" t="n">
        <v>5.41</v>
      </c>
      <c r="QD224" s="16" t="n">
        <v>8.96</v>
      </c>
      <c r="QE224" s="16" t="n">
        <v>0</v>
      </c>
      <c r="QF224" s="16" t="n">
        <v>0</v>
      </c>
      <c r="QG224" s="16" t="n">
        <v>0</v>
      </c>
      <c r="QH224" s="16" t="n">
        <v>0</v>
      </c>
      <c r="QI224" s="16" t="n">
        <v>0</v>
      </c>
      <c r="QJ224" s="0" t="n">
        <v>0</v>
      </c>
      <c r="QK224" s="0" t="s">
        <v>199</v>
      </c>
      <c r="QL224" s="0" t="n">
        <v>56.5</v>
      </c>
      <c r="QM224" s="16" t="n">
        <v>88.4</v>
      </c>
      <c r="QN224" s="16" t="n">
        <v>80.4</v>
      </c>
      <c r="QO224" s="16" t="n">
        <v>24.8</v>
      </c>
      <c r="QP224" s="0" t="n">
        <v>77.37</v>
      </c>
      <c r="QQ224" s="17" t="n">
        <v>0</v>
      </c>
      <c r="QR224" s="0" t="n">
        <v>7.99</v>
      </c>
      <c r="QS224" s="0" t="n">
        <v>0</v>
      </c>
      <c r="QT224" s="0" t="n">
        <v>14.63</v>
      </c>
      <c r="QU224" s="0" t="n">
        <v>0</v>
      </c>
      <c r="QV224" s="0" t="n">
        <v>0</v>
      </c>
      <c r="QW224" s="0" t="n">
        <v>0</v>
      </c>
      <c r="QX224" s="0" t="n">
        <v>0</v>
      </c>
      <c r="QY224" s="0" t="n">
        <v>0</v>
      </c>
      <c r="QZ224" s="0" t="n">
        <v>0</v>
      </c>
      <c r="RA224" s="0" t="n">
        <v>8.04</v>
      </c>
      <c r="RB224" s="0" t="n">
        <v>23.21</v>
      </c>
      <c r="RC224" s="0" t="n">
        <v>37.03</v>
      </c>
      <c r="RD224" s="0" t="n">
        <v>14.79</v>
      </c>
      <c r="RE224" s="0" t="n">
        <v>0</v>
      </c>
      <c r="RF224" s="0" t="n">
        <v>0</v>
      </c>
      <c r="RG224" s="0" t="n">
        <v>0</v>
      </c>
      <c r="RT224" s="0" t="n">
        <v>25.5</v>
      </c>
      <c r="RU224" s="0" t="n">
        <v>1</v>
      </c>
      <c r="RV224" s="0" t="n">
        <v>52</v>
      </c>
      <c r="RW224" s="0" t="n">
        <v>13</v>
      </c>
      <c r="RX224" s="0" t="n">
        <f aca="false">0.27+1.07+0.13+0.27</f>
        <v>1.74</v>
      </c>
      <c r="RY224" s="0" t="n">
        <v>2</v>
      </c>
      <c r="RZ224" s="0" t="n">
        <v>35</v>
      </c>
      <c r="SA224" s="0" t="n">
        <v>3</v>
      </c>
      <c r="SB224" s="0" t="n">
        <f aca="false">0.13+0.08+0.24</f>
        <v>0.45</v>
      </c>
      <c r="SC224" s="0" t="n">
        <v>3</v>
      </c>
      <c r="SD224" s="0" t="n">
        <v>47</v>
      </c>
      <c r="SE224" s="0" t="n">
        <v>5</v>
      </c>
      <c r="SF224" s="20" t="n">
        <f aca="false">0.76+1.14+0.76+0.13+0.08</f>
        <v>2.87</v>
      </c>
      <c r="SG224" s="0" t="n">
        <v>3</v>
      </c>
      <c r="SX224" s="0" t="n">
        <v>0</v>
      </c>
      <c r="UI224" s="16" t="n">
        <v>2.59</v>
      </c>
      <c r="UJ224" s="16" t="n">
        <v>1</v>
      </c>
      <c r="UK224" s="16" t="n">
        <v>1</v>
      </c>
      <c r="UL224" s="16"/>
      <c r="UM224" s="16" t="n">
        <f aca="false">(2.11*4)+0.37</f>
        <v>8.81</v>
      </c>
      <c r="UN224" s="16"/>
      <c r="UO224" s="16"/>
      <c r="UP224" s="16"/>
      <c r="UQ224" s="16"/>
      <c r="UR224" s="16"/>
      <c r="US224" s="16"/>
      <c r="UT224" s="16" t="n">
        <v>1.33</v>
      </c>
      <c r="UU224" s="16" t="n">
        <v>0.89</v>
      </c>
      <c r="UV224" s="16" t="n">
        <v>0</v>
      </c>
      <c r="UW224" s="16" t="n">
        <v>0</v>
      </c>
      <c r="UX224" s="16" t="n">
        <v>0</v>
      </c>
      <c r="UY224" s="16" t="n">
        <v>0</v>
      </c>
      <c r="UZ224" s="16" t="n">
        <v>0</v>
      </c>
      <c r="VA224" s="0" t="n">
        <v>0</v>
      </c>
      <c r="VB224" s="0" t="s">
        <v>201</v>
      </c>
      <c r="VC224" s="0" t="n">
        <v>48.5</v>
      </c>
      <c r="VD224" s="16" t="n">
        <v>89.7</v>
      </c>
      <c r="VE224" s="16" t="n">
        <v>80.4</v>
      </c>
      <c r="VF224" s="16" t="n">
        <v>9.3</v>
      </c>
      <c r="VG224" s="0" t="n">
        <v>100</v>
      </c>
      <c r="VH224" s="17" t="n">
        <v>0</v>
      </c>
      <c r="VI224" s="0" t="n">
        <v>0</v>
      </c>
      <c r="VJ224" s="0" t="n">
        <v>0</v>
      </c>
      <c r="VK224" s="0" t="n">
        <v>0</v>
      </c>
      <c r="VL224" s="0" t="n">
        <v>0</v>
      </c>
      <c r="VM224" s="0" t="n">
        <v>0</v>
      </c>
      <c r="VN224" s="0" t="n">
        <v>0</v>
      </c>
      <c r="VO224" s="0" t="n">
        <v>0</v>
      </c>
      <c r="VP224" s="0" t="n">
        <v>0</v>
      </c>
      <c r="VQ224" s="0" t="n">
        <v>0</v>
      </c>
      <c r="VR224" s="0" t="n">
        <v>1.65</v>
      </c>
      <c r="VS224" s="0" t="n">
        <v>2.69</v>
      </c>
      <c r="VT224" s="0" t="n">
        <v>54.55</v>
      </c>
      <c r="VU224" s="0" t="n">
        <v>11.29</v>
      </c>
      <c r="VV224" s="0" t="n">
        <v>0</v>
      </c>
      <c r="VW224" s="0" t="n">
        <v>0</v>
      </c>
      <c r="VX224" s="0" t="n">
        <v>0</v>
      </c>
      <c r="WK224" s="0" t="n">
        <v>30.6</v>
      </c>
      <c r="WL224" s="0" t="n">
        <v>1</v>
      </c>
      <c r="WM224" s="0" t="n">
        <v>35</v>
      </c>
      <c r="WN224" s="0" t="n">
        <v>14</v>
      </c>
      <c r="WO224" s="0" t="n">
        <f aca="false">3.05+1.52+1.52+0.27+0.03+0.07</f>
        <v>6.46</v>
      </c>
      <c r="WP224" s="0" t="n">
        <v>3</v>
      </c>
      <c r="WQ224" s="0" t="n">
        <v>47</v>
      </c>
      <c r="WR224" s="0" t="n">
        <v>6</v>
      </c>
      <c r="WS224" s="0" t="n">
        <f aca="false">1.52+0.27*2</f>
        <v>2.06</v>
      </c>
      <c r="WT224" s="0" t="n">
        <v>3</v>
      </c>
      <c r="WW224" s="20"/>
      <c r="XO224" s="0" t="n">
        <v>0</v>
      </c>
      <c r="YZ224" s="16" t="n">
        <v>3.34</v>
      </c>
      <c r="ZA224" s="16" t="n">
        <v>1</v>
      </c>
      <c r="ZB224" s="16" t="n">
        <v>1</v>
      </c>
      <c r="ZC224" s="16"/>
      <c r="ZD224" s="16" t="n">
        <f aca="false">4.23+1.14+2.11+4.23+1.37+0.02+2.03+0.75+0.37+0.13</f>
        <v>16.38</v>
      </c>
      <c r="ZE224" s="16"/>
      <c r="ZF224" s="16"/>
      <c r="ZG224" s="16"/>
      <c r="ZH224" s="16"/>
      <c r="ZI224" s="16"/>
      <c r="ZJ224" s="16"/>
      <c r="ZK224" s="16" t="n">
        <v>1.45</v>
      </c>
      <c r="ZL224" s="16" t="n">
        <v>1.46</v>
      </c>
      <c r="ZM224" s="16" t="n">
        <v>0</v>
      </c>
      <c r="ZN224" s="16" t="n">
        <v>0</v>
      </c>
      <c r="ZO224" s="16" t="n">
        <v>0</v>
      </c>
      <c r="ZP224" s="16" t="n">
        <v>0</v>
      </c>
      <c r="ZQ224" s="16" t="n">
        <v>0</v>
      </c>
      <c r="ZR224" s="0" t="n">
        <v>0</v>
      </c>
      <c r="ZS224" s="0" t="s">
        <v>202</v>
      </c>
      <c r="ZT224" s="0" t="n">
        <v>60</v>
      </c>
      <c r="ZU224" s="16" t="n">
        <v>55.4</v>
      </c>
      <c r="ZV224" s="16" t="n">
        <v>80.4</v>
      </c>
      <c r="ZW224" s="16" t="n">
        <v>29.6</v>
      </c>
      <c r="ZX224" s="0" t="n">
        <v>76.8</v>
      </c>
      <c r="ZY224" s="17" t="n">
        <v>0</v>
      </c>
      <c r="ZZ224" s="0" t="n">
        <v>0</v>
      </c>
      <c r="AAA224" s="0" t="n">
        <v>0</v>
      </c>
      <c r="AAB224" s="0" t="n">
        <v>0</v>
      </c>
      <c r="AAD224" s="0" t="n">
        <v>4.83</v>
      </c>
      <c r="AAE224" s="0" t="n">
        <v>1.71</v>
      </c>
      <c r="AAF224" s="0" t="n">
        <v>0</v>
      </c>
      <c r="AAG224" s="0" t="n">
        <v>0</v>
      </c>
      <c r="AAH224" s="0" t="n">
        <v>0</v>
      </c>
      <c r="AAI224" s="0" t="n">
        <v>1.51</v>
      </c>
      <c r="AAJ224" s="0" t="n">
        <v>1.85</v>
      </c>
      <c r="AAK224" s="0" t="n">
        <v>2.31</v>
      </c>
      <c r="AAL224" s="0" t="n">
        <v>19.08</v>
      </c>
      <c r="AAM224" s="0" t="n">
        <v>18.37</v>
      </c>
      <c r="AAN224" s="0" t="n">
        <v>0</v>
      </c>
      <c r="AAO224" s="0" t="n">
        <v>0</v>
      </c>
      <c r="AAP224" s="0" t="n">
        <v>0</v>
      </c>
      <c r="AAV224" s="0" t="n">
        <v>0</v>
      </c>
      <c r="ABB224" s="0" t="n">
        <v>22.9</v>
      </c>
      <c r="ABC224" s="0" t="n">
        <v>1</v>
      </c>
      <c r="ABD224" s="0" t="n">
        <v>34</v>
      </c>
      <c r="ABE224" s="0" t="n">
        <v>1</v>
      </c>
      <c r="ABF224" s="0" t="n">
        <v>1.19</v>
      </c>
      <c r="ABG224" s="0" t="n">
        <v>1</v>
      </c>
      <c r="ABH224" s="0" t="n">
        <v>47</v>
      </c>
      <c r="ABI224" s="0" t="n">
        <f aca="false">7+3+1+2+3+5+7+1+7+2+7+5+5</f>
        <v>55</v>
      </c>
      <c r="ABJ224" s="0" t="n">
        <f aca="false">(0.3*7)+0.15+0.3+0.9+0.6+0.45+0.6+(0.3*3)+(0.3*5)+(0.3*7)+0.9+(0.3*7)+(0.4)+(0.3*7)+(0.3*5)+(0.3*5)</f>
        <v>18.1</v>
      </c>
      <c r="ABK224" s="0" t="n">
        <v>2</v>
      </c>
      <c r="ABN224" s="20"/>
      <c r="ACF224" s="0" t="n">
        <v>0</v>
      </c>
      <c r="ADQ224" s="16" t="n">
        <v>0.06</v>
      </c>
      <c r="ADR224" s="16" t="n">
        <v>1</v>
      </c>
      <c r="ADS224" s="16" t="n">
        <v>1</v>
      </c>
      <c r="ADT224" s="16"/>
      <c r="ADU224" s="16" t="n">
        <v>0.1</v>
      </c>
      <c r="ADV224" s="16"/>
      <c r="ADW224" s="16"/>
      <c r="ADX224" s="16"/>
      <c r="ADY224" s="16"/>
      <c r="ADZ224" s="16"/>
      <c r="AEA224" s="16"/>
      <c r="AEB224" s="16" t="n">
        <v>5.42</v>
      </c>
      <c r="AEC224" s="16" t="n">
        <v>8.83</v>
      </c>
      <c r="AED224" s="16" t="n">
        <v>0</v>
      </c>
      <c r="AEE224" s="16" t="n">
        <v>0</v>
      </c>
      <c r="AEF224" s="16" t="n">
        <v>1.99</v>
      </c>
      <c r="AEG224" s="16" t="n">
        <v>0</v>
      </c>
      <c r="AEH224" s="16" t="n">
        <v>0</v>
      </c>
      <c r="AEI224" s="0" t="n">
        <v>2</v>
      </c>
      <c r="AEJ224" s="0" t="s">
        <v>727</v>
      </c>
      <c r="AEK224" s="0" t="n">
        <v>47.5</v>
      </c>
      <c r="AEL224" s="16" t="n">
        <v>58.6</v>
      </c>
      <c r="AEM224" s="16" t="n">
        <v>80.4</v>
      </c>
      <c r="AEN224" s="16" t="n">
        <v>19.5</v>
      </c>
      <c r="AEO224" s="0" t="n">
        <v>76.23</v>
      </c>
      <c r="AEP224" s="17" t="n">
        <v>0</v>
      </c>
      <c r="AEQ224" s="0" t="n">
        <v>7.5</v>
      </c>
      <c r="AER224" s="0" t="n">
        <v>0</v>
      </c>
      <c r="AES224" s="0" t="n">
        <v>16.26</v>
      </c>
      <c r="AET224" s="0" t="n">
        <v>0</v>
      </c>
      <c r="AEU224" s="0" t="n">
        <v>0</v>
      </c>
      <c r="AEV224" s="0" t="n">
        <v>0</v>
      </c>
      <c r="AEW224" s="0" t="n">
        <v>0</v>
      </c>
      <c r="AEX224" s="0" t="n">
        <v>0</v>
      </c>
      <c r="AEY224" s="0" t="n">
        <v>0</v>
      </c>
      <c r="AEZ224" s="0" t="n">
        <v>0</v>
      </c>
      <c r="AFA224" s="0" t="n">
        <v>22.34</v>
      </c>
      <c r="AFB224" s="0" t="n">
        <v>19.22</v>
      </c>
      <c r="AFC224" s="0" t="n">
        <v>9.8</v>
      </c>
      <c r="AFD224" s="0" t="n">
        <v>0.28</v>
      </c>
      <c r="AFE224" s="0" t="n">
        <v>0</v>
      </c>
      <c r="AFS224" s="0" t="n">
        <v>24.1</v>
      </c>
      <c r="AFT224" s="0" t="n">
        <v>1</v>
      </c>
      <c r="AFU224" s="0" t="n">
        <v>47</v>
      </c>
      <c r="AFV224" s="0" t="n">
        <v>6</v>
      </c>
      <c r="AFW224" s="0" t="n">
        <f aca="false">2.28+0.81</f>
        <v>3.09</v>
      </c>
      <c r="AFX224" s="0" t="n">
        <v>3</v>
      </c>
      <c r="AFY224" s="0" t="n">
        <v>23</v>
      </c>
      <c r="AFZ224" s="0" t="n">
        <v>2</v>
      </c>
      <c r="AGA224" s="0" t="n">
        <v>0.54</v>
      </c>
      <c r="AGB224" s="0" t="n">
        <v>3</v>
      </c>
      <c r="AGE224" s="20"/>
      <c r="AGW224" s="0" t="n">
        <v>0</v>
      </c>
      <c r="AIH224" s="16" t="n">
        <v>0</v>
      </c>
      <c r="AII224" s="16" t="n">
        <v>0</v>
      </c>
      <c r="AIJ224" s="16"/>
      <c r="AIK224" s="16"/>
      <c r="AIL224" s="16"/>
      <c r="AIM224" s="16"/>
      <c r="AIN224" s="16"/>
      <c r="AIO224" s="16"/>
      <c r="AIP224" s="16"/>
      <c r="AIQ224" s="16"/>
      <c r="AIR224" s="16"/>
      <c r="AIS224" s="16" t="n">
        <v>2.97</v>
      </c>
      <c r="AIT224" s="16" t="n">
        <v>2.96</v>
      </c>
      <c r="AIU224" s="16" t="n">
        <v>0</v>
      </c>
      <c r="AIV224" s="16" t="n">
        <v>0</v>
      </c>
      <c r="AIW224" s="16" t="n">
        <v>0</v>
      </c>
      <c r="AIX224" s="16" t="n">
        <v>0</v>
      </c>
      <c r="AIY224" s="16" t="n">
        <v>0</v>
      </c>
      <c r="AIZ224" s="0" t="n">
        <v>0</v>
      </c>
      <c r="AJA224" s="0" t="s">
        <v>213</v>
      </c>
      <c r="AJB224" s="0" t="n">
        <v>49.5</v>
      </c>
      <c r="AJC224" s="16" t="n">
        <v>78.9</v>
      </c>
      <c r="AJD224" s="16" t="n">
        <v>80.4</v>
      </c>
      <c r="AJE224" s="16" t="n">
        <v>31.1</v>
      </c>
      <c r="AJF224" s="0" t="n">
        <v>22.13</v>
      </c>
      <c r="AJG224" s="17" t="n">
        <v>0</v>
      </c>
      <c r="AJH224" s="0" t="n">
        <v>0</v>
      </c>
      <c r="AJI224" s="0" t="n">
        <v>0</v>
      </c>
      <c r="AJJ224" s="0" t="n">
        <v>3.8</v>
      </c>
      <c r="AJK224" s="0" t="n">
        <v>0</v>
      </c>
      <c r="AJL224" s="0" t="n">
        <v>74.07</v>
      </c>
      <c r="AJM224" s="0" t="n">
        <v>28.31</v>
      </c>
      <c r="AJN224" s="0" t="n">
        <v>0</v>
      </c>
      <c r="AJO224" s="0" t="n">
        <v>0</v>
      </c>
      <c r="AJP224" s="0" t="n">
        <v>0</v>
      </c>
      <c r="AJQ224" s="0" t="n">
        <v>8.07</v>
      </c>
      <c r="AJR224" s="0" t="n">
        <v>1.71</v>
      </c>
      <c r="AJS224" s="0" t="n">
        <v>33.85</v>
      </c>
      <c r="AJT224" s="0" t="n">
        <v>17.12</v>
      </c>
      <c r="AJU224" s="0" t="n">
        <v>0</v>
      </c>
      <c r="AJV224" s="0" t="n">
        <v>0</v>
      </c>
      <c r="AJW224" s="0" t="n">
        <v>0</v>
      </c>
      <c r="AKJ224" s="0" t="n">
        <v>3.4</v>
      </c>
      <c r="AKK224" s="0" t="n">
        <v>1</v>
      </c>
      <c r="AKL224" s="0" t="n">
        <v>34</v>
      </c>
      <c r="AKM224" s="0" t="n">
        <v>1</v>
      </c>
      <c r="AKN224" s="0" t="n">
        <v>1.6</v>
      </c>
      <c r="AKO224" s="0" t="n">
        <v>1</v>
      </c>
      <c r="AKP224" s="0" t="n">
        <v>68</v>
      </c>
      <c r="AKQ224" s="0" t="n">
        <v>2</v>
      </c>
      <c r="AKR224" s="0" t="n">
        <f aca="false">0.65+0.11</f>
        <v>0.76</v>
      </c>
      <c r="AKS224" s="0" t="n">
        <v>1</v>
      </c>
      <c r="AKT224" s="0" t="n">
        <v>52</v>
      </c>
      <c r="AKU224" s="0" t="n">
        <v>2</v>
      </c>
      <c r="AKV224" s="20" t="n">
        <f aca="false">1.33+0.34</f>
        <v>1.67</v>
      </c>
      <c r="AKW224" s="0" t="n">
        <v>2</v>
      </c>
      <c r="ALN224" s="0" t="n">
        <v>0</v>
      </c>
    </row>
    <row r="225" customFormat="false" ht="13.8" hidden="false" customHeight="false" outlineLevel="0" collapsed="false">
      <c r="A225" s="1" t="s">
        <v>738</v>
      </c>
      <c r="B225" s="12" t="n">
        <v>42904</v>
      </c>
      <c r="C225" s="0" t="n">
        <v>1</v>
      </c>
      <c r="D225" s="13" t="n">
        <v>42786</v>
      </c>
      <c r="E225" s="12" t="n">
        <v>35739</v>
      </c>
      <c r="F225" s="14" t="n">
        <f aca="false">(B225-E225)/365.25</f>
        <v>19.6167008898015</v>
      </c>
      <c r="G225" s="14" t="n">
        <f aca="false">(B225-D225)/365.25</f>
        <v>0.323066392881588</v>
      </c>
      <c r="H225" s="19" t="s">
        <v>181</v>
      </c>
      <c r="I225" s="0" t="s">
        <v>194</v>
      </c>
      <c r="J225" s="21" t="s">
        <v>183</v>
      </c>
      <c r="K225" s="21" t="n">
        <v>4</v>
      </c>
      <c r="L225" s="19" t="n">
        <v>60</v>
      </c>
      <c r="M225" s="0" t="n">
        <v>1.6</v>
      </c>
      <c r="N225" s="16" t="n">
        <f aca="false">L225/(M225*M225)</f>
        <v>23.4375</v>
      </c>
      <c r="O225" s="19" t="n">
        <v>0</v>
      </c>
      <c r="P225" s="19" t="n">
        <v>0</v>
      </c>
      <c r="Q225" s="19" t="n">
        <v>0</v>
      </c>
      <c r="R225" s="26" t="n">
        <v>0</v>
      </c>
      <c r="S225" s="26" t="n">
        <v>0</v>
      </c>
      <c r="T225" s="26" t="n">
        <v>0</v>
      </c>
      <c r="U225" s="19" t="n">
        <v>0</v>
      </c>
      <c r="V225" s="19" t="n">
        <v>0</v>
      </c>
      <c r="W225" s="19" t="n">
        <v>0</v>
      </c>
      <c r="X225" s="19" t="n">
        <v>0</v>
      </c>
      <c r="Y225" s="19" t="n">
        <v>0</v>
      </c>
      <c r="Z225" s="19" t="n">
        <v>0</v>
      </c>
      <c r="AA225" s="19" t="n">
        <v>0</v>
      </c>
      <c r="AB225" s="19" t="n">
        <v>0</v>
      </c>
      <c r="AC225" s="19" t="n">
        <v>0</v>
      </c>
      <c r="AD225" s="19" t="n">
        <v>0</v>
      </c>
      <c r="AE225" s="19" t="n">
        <v>0</v>
      </c>
      <c r="AF225" s="19" t="n">
        <v>0</v>
      </c>
      <c r="AG225" s="19" t="n">
        <v>0</v>
      </c>
      <c r="AH225" s="19" t="n">
        <v>0</v>
      </c>
      <c r="AI225" s="19" t="n">
        <v>0</v>
      </c>
      <c r="AJ225" s="19" t="n">
        <v>0</v>
      </c>
      <c r="AK225" s="19" t="n">
        <v>0</v>
      </c>
      <c r="AL225" s="19" t="n">
        <v>0</v>
      </c>
      <c r="AM225" s="19" t="n">
        <v>0</v>
      </c>
      <c r="AN225" s="19" t="n">
        <v>0</v>
      </c>
      <c r="AO225" s="19" t="n">
        <v>0</v>
      </c>
      <c r="AP225" s="19" t="n">
        <v>0</v>
      </c>
      <c r="AQ225" s="19" t="n">
        <v>0</v>
      </c>
      <c r="AR225" s="19" t="n">
        <v>0</v>
      </c>
      <c r="AS225" s="19" t="n">
        <v>0</v>
      </c>
      <c r="AT225" s="19" t="n">
        <v>0</v>
      </c>
      <c r="AU225" s="19" t="n">
        <v>0</v>
      </c>
      <c r="AV225" s="19" t="n">
        <v>0</v>
      </c>
      <c r="AW225" s="19" t="n">
        <v>0</v>
      </c>
      <c r="AX225" s="19" t="n">
        <v>0</v>
      </c>
      <c r="AY225" s="19" t="n">
        <v>0</v>
      </c>
      <c r="AZ225" s="19" t="n">
        <v>0</v>
      </c>
      <c r="BA225" s="19" t="n">
        <v>0</v>
      </c>
      <c r="BB225" s="19" t="n">
        <v>0</v>
      </c>
      <c r="BC225" s="19" t="n">
        <v>0</v>
      </c>
      <c r="BD225" s="19" t="n">
        <v>0</v>
      </c>
      <c r="BE225" s="19" t="n">
        <v>0</v>
      </c>
      <c r="BF225" s="19" t="n">
        <v>0</v>
      </c>
      <c r="BG225" s="19" t="n">
        <v>0</v>
      </c>
      <c r="BH225" s="19" t="n">
        <v>0</v>
      </c>
      <c r="BI225" s="19" t="n">
        <v>0</v>
      </c>
      <c r="BJ225" s="19" t="n">
        <v>0</v>
      </c>
      <c r="BK225" s="19" t="n">
        <v>0</v>
      </c>
      <c r="BL225" s="19" t="n">
        <v>0</v>
      </c>
      <c r="BM225" s="19" t="n">
        <v>0</v>
      </c>
      <c r="BN225" s="19" t="n">
        <v>0</v>
      </c>
      <c r="BO225" s="19" t="n">
        <v>0</v>
      </c>
      <c r="BP225" s="19" t="n">
        <v>0</v>
      </c>
      <c r="BQ225" s="19" t="n">
        <v>0</v>
      </c>
      <c r="BR225" s="19" t="n">
        <v>3</v>
      </c>
      <c r="BS225" s="19" t="n">
        <v>1</v>
      </c>
      <c r="BT225" s="19" t="n">
        <v>2</v>
      </c>
      <c r="BU225" s="19" t="n">
        <v>3</v>
      </c>
      <c r="BV225" s="19" t="n">
        <v>1</v>
      </c>
      <c r="BW225" s="19" t="n">
        <v>1</v>
      </c>
      <c r="BX225" s="19" t="n">
        <v>4</v>
      </c>
      <c r="BY225" s="19" t="n">
        <v>5</v>
      </c>
      <c r="BZ225" s="19" t="n">
        <v>5</v>
      </c>
      <c r="CA225" s="19" t="n">
        <v>5</v>
      </c>
      <c r="CB225" s="19" t="n">
        <v>5</v>
      </c>
      <c r="CC225" s="19" t="n">
        <v>5</v>
      </c>
      <c r="CD225" s="19" t="n">
        <v>5</v>
      </c>
      <c r="CE225" s="19" t="n">
        <v>5</v>
      </c>
      <c r="CF225" s="19" t="n">
        <v>5</v>
      </c>
      <c r="CG225" s="19" t="n">
        <v>5</v>
      </c>
      <c r="CH225" s="19" t="n">
        <v>5</v>
      </c>
      <c r="CI225" s="19" t="n">
        <v>5</v>
      </c>
      <c r="CJ225" s="19" t="n">
        <v>5</v>
      </c>
      <c r="CK225" s="19" t="n">
        <v>10</v>
      </c>
      <c r="CL225" s="0" t="s">
        <v>198</v>
      </c>
      <c r="CM225" s="0" t="n">
        <v>28.5</v>
      </c>
      <c r="CN225" s="16" t="n">
        <v>78.4</v>
      </c>
      <c r="CO225" s="16" t="n">
        <v>80.4</v>
      </c>
      <c r="CP225" s="16" t="n">
        <v>16</v>
      </c>
      <c r="CQ225" s="0" t="n">
        <v>95.22</v>
      </c>
      <c r="CR225" s="17" t="n">
        <v>0</v>
      </c>
      <c r="CS225" s="0" t="n">
        <v>4.23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9.77</v>
      </c>
      <c r="DC225" s="0" t="n">
        <v>2.18</v>
      </c>
      <c r="DD225" s="0" t="n">
        <v>46.81</v>
      </c>
      <c r="DE225" s="0" t="n">
        <v>10.57</v>
      </c>
      <c r="DF225" s="0" t="n">
        <v>0</v>
      </c>
      <c r="DG225" s="0" t="n">
        <v>0</v>
      </c>
      <c r="DH225" s="0" t="n">
        <v>0</v>
      </c>
      <c r="DU225" s="0" t="n">
        <v>0</v>
      </c>
      <c r="DV225" s="0" t="n">
        <v>0</v>
      </c>
      <c r="EG225" s="20"/>
      <c r="EY225" s="0" t="n">
        <v>0</v>
      </c>
      <c r="GJ225" s="16" t="n">
        <v>4.23</v>
      </c>
      <c r="GK225" s="16" t="n">
        <v>1</v>
      </c>
      <c r="GL225" s="16" t="n">
        <v>2</v>
      </c>
      <c r="GM225" s="16"/>
      <c r="GN225" s="16" t="n">
        <v>6.34</v>
      </c>
      <c r="GO225" s="16" t="n">
        <v>1</v>
      </c>
      <c r="GP225" s="16" t="n">
        <v>1</v>
      </c>
      <c r="GQ225" s="16" t="n">
        <f aca="false">9.52+3.17+3.17+3.17+1.12+1.12+1.12</f>
        <v>22.39</v>
      </c>
      <c r="GR225" s="16"/>
      <c r="GS225" s="16"/>
      <c r="GT225" s="16"/>
      <c r="GU225" s="16" t="n">
        <v>5.41</v>
      </c>
      <c r="GV225" s="16" t="n">
        <v>8.96</v>
      </c>
      <c r="GW225" s="16" t="n">
        <v>0</v>
      </c>
      <c r="GX225" s="16" t="n">
        <v>0</v>
      </c>
      <c r="GY225" s="16" t="n">
        <v>0</v>
      </c>
      <c r="GZ225" s="16" t="n">
        <v>0</v>
      </c>
      <c r="HA225" s="16" t="n">
        <v>0</v>
      </c>
      <c r="HB225" s="0" t="n">
        <v>0</v>
      </c>
      <c r="HC225" s="0" t="s">
        <v>200</v>
      </c>
      <c r="HD225" s="0" t="n">
        <v>28.5</v>
      </c>
      <c r="HE225" s="16" t="n">
        <v>69.4</v>
      </c>
      <c r="HF225" s="16" t="n">
        <v>80.4</v>
      </c>
      <c r="HG225" s="16" t="n">
        <v>9.8</v>
      </c>
      <c r="HH225" s="0" t="n">
        <v>96.02</v>
      </c>
      <c r="HI225" s="17" t="n">
        <v>0</v>
      </c>
      <c r="HJ225" s="0" t="n">
        <v>3.98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0</v>
      </c>
      <c r="HQ225" s="0" t="n">
        <v>0</v>
      </c>
      <c r="HR225" s="0" t="n">
        <v>0</v>
      </c>
      <c r="HS225" s="0" t="n">
        <v>0</v>
      </c>
      <c r="HT225" s="0" t="n">
        <v>16.55</v>
      </c>
      <c r="HU225" s="0" t="n">
        <v>26.49</v>
      </c>
      <c r="HV225" s="0" t="n">
        <v>6.34</v>
      </c>
      <c r="HW225" s="0" t="n">
        <v>0</v>
      </c>
      <c r="HX225" s="0" t="n">
        <v>0</v>
      </c>
      <c r="HY225" s="0" t="n">
        <v>0</v>
      </c>
      <c r="IL225" s="0" t="n">
        <v>10.2</v>
      </c>
      <c r="IM225" s="0" t="n">
        <v>1</v>
      </c>
      <c r="IN225" s="0" t="n">
        <v>35</v>
      </c>
      <c r="IO225" s="0" t="n">
        <v>1</v>
      </c>
      <c r="IP225" s="0" t="n">
        <v>0.02</v>
      </c>
      <c r="IQ225" s="0" t="n">
        <v>3</v>
      </c>
      <c r="IR225" s="0" t="n">
        <v>70</v>
      </c>
      <c r="IS225" s="0" t="n">
        <v>2</v>
      </c>
      <c r="IT225" s="0" t="n">
        <v>0.27</v>
      </c>
      <c r="IU225" s="0" t="n">
        <v>3</v>
      </c>
      <c r="IX225" s="20"/>
      <c r="JP225" s="0" t="n">
        <v>1</v>
      </c>
      <c r="JQ225" s="0" t="n">
        <v>50</v>
      </c>
      <c r="JR225" s="0" t="n">
        <v>5</v>
      </c>
      <c r="JS225" s="0" t="n">
        <f aca="false">1.52+0.5+0.19+0.12</f>
        <v>2.33</v>
      </c>
      <c r="JT225" s="0" t="n">
        <v>3</v>
      </c>
      <c r="LA225" s="16" t="n">
        <v>2.63</v>
      </c>
      <c r="LB225" s="16" t="n">
        <v>1</v>
      </c>
      <c r="LC225" s="16" t="n">
        <v>1</v>
      </c>
      <c r="LD225" s="16"/>
      <c r="LE225" s="16" t="n">
        <f aca="false">0.04+2.11+3.17+0.37+0.56</f>
        <v>6.25</v>
      </c>
      <c r="LF225" s="16" t="n">
        <v>2</v>
      </c>
      <c r="LG225" s="16"/>
      <c r="LH225" s="16" t="n">
        <f aca="false">0.53+0.53+0.11+0.07+0.15</f>
        <v>1.39</v>
      </c>
      <c r="LI225" s="16"/>
      <c r="LJ225" s="16"/>
      <c r="LK225" s="16"/>
      <c r="LL225" s="16" t="n">
        <v>3.33</v>
      </c>
      <c r="LM225" s="16" t="n">
        <v>2.06</v>
      </c>
      <c r="LN225" s="16" t="n">
        <v>0</v>
      </c>
      <c r="LO225" s="16" t="n">
        <v>0</v>
      </c>
      <c r="LP225" s="16" t="n">
        <v>0</v>
      </c>
      <c r="LQ225" s="16" t="n">
        <v>0</v>
      </c>
      <c r="LR225" s="16" t="n">
        <v>0</v>
      </c>
      <c r="LS225" s="0" t="n">
        <v>0</v>
      </c>
      <c r="LT225" s="0" t="s">
        <v>201</v>
      </c>
      <c r="LU225" s="0" t="n">
        <v>48.5</v>
      </c>
      <c r="LV225" s="16" t="n">
        <v>89.7</v>
      </c>
      <c r="LW225" s="16" t="n">
        <v>80.4</v>
      </c>
      <c r="LX225" s="16" t="n">
        <v>9.3</v>
      </c>
      <c r="LY225" s="0" t="n">
        <v>100</v>
      </c>
      <c r="LZ225" s="17" t="n">
        <v>0</v>
      </c>
      <c r="MA225" s="0" t="n">
        <v>0</v>
      </c>
      <c r="MB225" s="0" t="n">
        <v>0</v>
      </c>
      <c r="MC225" s="0" t="n">
        <v>0</v>
      </c>
      <c r="MD225" s="0" t="n">
        <v>0</v>
      </c>
      <c r="ME225" s="0" t="n">
        <v>0</v>
      </c>
      <c r="MF225" s="0" t="n">
        <v>0</v>
      </c>
      <c r="MG225" s="0" t="n">
        <v>0</v>
      </c>
      <c r="MH225" s="0" t="n">
        <v>0</v>
      </c>
      <c r="MI225" s="0" t="n">
        <v>0</v>
      </c>
      <c r="MJ225" s="0" t="n">
        <v>1.65</v>
      </c>
      <c r="MK225" s="0" t="n">
        <v>2.69</v>
      </c>
      <c r="ML225" s="0" t="n">
        <v>54.55</v>
      </c>
      <c r="MM225" s="0" t="n">
        <v>11.29</v>
      </c>
      <c r="MN225" s="0" t="n">
        <v>0</v>
      </c>
      <c r="MO225" s="0" t="n">
        <v>0</v>
      </c>
      <c r="MP225" s="0" t="n">
        <v>0</v>
      </c>
      <c r="NC225" s="0" t="n">
        <v>30.6</v>
      </c>
      <c r="ND225" s="0" t="n">
        <v>1</v>
      </c>
      <c r="NE225" s="0" t="n">
        <v>35</v>
      </c>
      <c r="NF225" s="0" t="n">
        <v>14</v>
      </c>
      <c r="NG225" s="0" t="n">
        <f aca="false">3.05+1.52+1.52+0.27+0.03+0.07</f>
        <v>6.46</v>
      </c>
      <c r="NH225" s="0" t="n">
        <v>3</v>
      </c>
      <c r="NI225" s="0" t="n">
        <v>47</v>
      </c>
      <c r="NJ225" s="0" t="n">
        <v>6</v>
      </c>
      <c r="NK225" s="0" t="n">
        <f aca="false">1.52+0.27*2</f>
        <v>2.06</v>
      </c>
      <c r="NL225" s="0" t="n">
        <v>3</v>
      </c>
      <c r="NO225" s="20"/>
      <c r="OG225" s="0" t="n">
        <v>0</v>
      </c>
      <c r="PR225" s="16" t="n">
        <v>3.34</v>
      </c>
      <c r="PS225" s="16" t="n">
        <v>1</v>
      </c>
      <c r="PT225" s="16" t="n">
        <v>1</v>
      </c>
      <c r="PU225" s="16"/>
      <c r="PV225" s="16" t="n">
        <f aca="false">4.23+1.14+2.11+4.23+1.37+0.02+2.03+0.75+0.37+0.13</f>
        <v>16.38</v>
      </c>
      <c r="PW225" s="16"/>
      <c r="PX225" s="16"/>
      <c r="PY225" s="16"/>
      <c r="PZ225" s="16"/>
      <c r="QA225" s="16"/>
      <c r="QB225" s="16"/>
      <c r="QC225" s="16" t="n">
        <v>1.45</v>
      </c>
      <c r="QD225" s="16" t="n">
        <v>1.46</v>
      </c>
      <c r="QE225" s="16" t="n">
        <v>0</v>
      </c>
      <c r="QF225" s="16" t="n">
        <v>0</v>
      </c>
      <c r="QG225" s="16" t="n">
        <v>0</v>
      </c>
      <c r="QH225" s="16" t="n">
        <v>0</v>
      </c>
      <c r="QI225" s="16" t="n">
        <v>0</v>
      </c>
      <c r="QJ225" s="0" t="n">
        <v>0</v>
      </c>
      <c r="QK225" s="0" t="s">
        <v>202</v>
      </c>
      <c r="QL225" s="0" t="n">
        <v>60</v>
      </c>
      <c r="QM225" s="16" t="n">
        <v>55.4</v>
      </c>
      <c r="QN225" s="16" t="n">
        <v>80.4</v>
      </c>
      <c r="QO225" s="16" t="n">
        <v>29.6</v>
      </c>
      <c r="QP225" s="0" t="n">
        <v>76.8</v>
      </c>
      <c r="QQ225" s="17" t="n">
        <v>0</v>
      </c>
      <c r="QR225" s="0" t="n">
        <v>0</v>
      </c>
      <c r="QS225" s="0" t="n">
        <v>0</v>
      </c>
      <c r="QT225" s="0" t="n">
        <v>0</v>
      </c>
      <c r="QV225" s="0" t="n">
        <v>4.83</v>
      </c>
      <c r="QW225" s="0" t="n">
        <v>1.71</v>
      </c>
      <c r="QX225" s="0" t="n">
        <v>0</v>
      </c>
      <c r="QY225" s="0" t="n">
        <v>0</v>
      </c>
      <c r="QZ225" s="0" t="n">
        <v>0</v>
      </c>
      <c r="RA225" s="0" t="n">
        <v>1.51</v>
      </c>
      <c r="RB225" s="0" t="n">
        <v>1.85</v>
      </c>
      <c r="RC225" s="0" t="n">
        <v>2.31</v>
      </c>
      <c r="RD225" s="0" t="n">
        <v>19.08</v>
      </c>
      <c r="RE225" s="0" t="n">
        <v>18.37</v>
      </c>
      <c r="RF225" s="0" t="n">
        <v>0</v>
      </c>
      <c r="RG225" s="0" t="n">
        <v>0</v>
      </c>
      <c r="RH225" s="0" t="n">
        <v>0</v>
      </c>
      <c r="RN225" s="0" t="n">
        <v>0</v>
      </c>
      <c r="RT225" s="0" t="n">
        <v>22.9</v>
      </c>
      <c r="RU225" s="0" t="n">
        <v>1</v>
      </c>
      <c r="RV225" s="0" t="n">
        <v>34</v>
      </c>
      <c r="RW225" s="0" t="n">
        <v>1</v>
      </c>
      <c r="RX225" s="0" t="n">
        <v>1.19</v>
      </c>
      <c r="RY225" s="0" t="n">
        <v>1</v>
      </c>
      <c r="RZ225" s="0" t="n">
        <v>47</v>
      </c>
      <c r="SA225" s="0" t="n">
        <f aca="false">7+3+1+2+3+5+7+1+7+2+7+5+5</f>
        <v>55</v>
      </c>
      <c r="SB225" s="0" t="n">
        <f aca="false">(0.3*7)+0.15+0.3+0.9+0.6+0.45+0.6+(0.3*3)+(0.3*5)+(0.3*7)+0.9+(0.3*7)+(0.4)+(0.3*7)+(0.3*5)+(0.3*5)</f>
        <v>18.1</v>
      </c>
      <c r="SC225" s="0" t="n">
        <v>2</v>
      </c>
      <c r="SF225" s="20"/>
      <c r="SX225" s="0" t="n">
        <v>0</v>
      </c>
      <c r="UI225" s="16" t="n">
        <v>0.06</v>
      </c>
      <c r="UJ225" s="16" t="n">
        <v>1</v>
      </c>
      <c r="UK225" s="16" t="n">
        <v>1</v>
      </c>
      <c r="UL225" s="16"/>
      <c r="UM225" s="16" t="n">
        <v>0.1</v>
      </c>
      <c r="UN225" s="16"/>
      <c r="UO225" s="16"/>
      <c r="UP225" s="16"/>
      <c r="UQ225" s="16"/>
      <c r="UR225" s="16"/>
      <c r="US225" s="16"/>
      <c r="UT225" s="16" t="n">
        <v>5.42</v>
      </c>
      <c r="UU225" s="16" t="n">
        <v>8.83</v>
      </c>
      <c r="UV225" s="16" t="n">
        <v>0</v>
      </c>
      <c r="UW225" s="16" t="n">
        <v>0</v>
      </c>
      <c r="UX225" s="16" t="n">
        <v>1.99</v>
      </c>
      <c r="UY225" s="16" t="n">
        <v>0</v>
      </c>
      <c r="UZ225" s="16" t="n">
        <v>0</v>
      </c>
      <c r="VA225" s="0" t="n">
        <v>2</v>
      </c>
      <c r="VE225" s="15"/>
      <c r="VF225" s="15"/>
      <c r="VM225" s="15"/>
      <c r="VN225" s="15"/>
      <c r="VU225" s="15"/>
      <c r="VV225" s="15"/>
      <c r="WC225" s="15"/>
      <c r="WD225" s="15"/>
      <c r="WK225" s="15"/>
      <c r="WL225" s="15"/>
      <c r="WS225" s="15"/>
      <c r="WT225" s="15"/>
      <c r="XA225" s="15"/>
      <c r="XB225" s="15"/>
      <c r="XI225" s="15"/>
      <c r="XJ225" s="15"/>
      <c r="XQ225" s="15"/>
      <c r="XR225" s="15"/>
      <c r="XY225" s="15"/>
      <c r="XZ225" s="15"/>
      <c r="YG225" s="15"/>
      <c r="YH225" s="15"/>
      <c r="YO225" s="15"/>
      <c r="YP225" s="15"/>
      <c r="YW225" s="15"/>
      <c r="YX225" s="15"/>
      <c r="ZE225" s="15"/>
      <c r="ZF225" s="15"/>
      <c r="ZM225" s="15"/>
      <c r="ZN225" s="15"/>
      <c r="ZU225" s="15"/>
      <c r="ZV225" s="15"/>
      <c r="AAC225" s="15"/>
      <c r="AAD225" s="15"/>
      <c r="AAK225" s="15"/>
      <c r="AAL225" s="15"/>
      <c r="AAS225" s="15"/>
      <c r="AAT225" s="15"/>
      <c r="ABA225" s="15"/>
      <c r="ABB225" s="15"/>
      <c r="ABI225" s="15"/>
      <c r="ABJ225" s="15"/>
      <c r="ABQ225" s="15"/>
      <c r="ABR225" s="15"/>
      <c r="ABY225" s="15"/>
      <c r="ABZ225" s="15"/>
      <c r="ACG225" s="15"/>
      <c r="ACH225" s="15"/>
      <c r="ACO225" s="15"/>
      <c r="ACP225" s="15"/>
      <c r="ACW225" s="15"/>
      <c r="ACX225" s="15"/>
      <c r="ADE225" s="15"/>
      <c r="ADF225" s="15"/>
      <c r="ADM225" s="15"/>
      <c r="ADN225" s="15"/>
      <c r="ADU225" s="15"/>
      <c r="ADV225" s="15"/>
      <c r="AEC225" s="15"/>
      <c r="AED225" s="15"/>
      <c r="AEK225" s="15"/>
      <c r="AEL225" s="15"/>
      <c r="AES225" s="15"/>
      <c r="AET225" s="15"/>
      <c r="AFA225" s="15"/>
      <c r="AFB225" s="15"/>
      <c r="AFI225" s="15"/>
      <c r="AFJ225" s="15"/>
      <c r="AFQ225" s="15"/>
      <c r="AFR225" s="15"/>
      <c r="AFY225" s="15"/>
      <c r="AFZ225" s="15"/>
      <c r="AGG225" s="15"/>
      <c r="AGH225" s="15"/>
      <c r="AGO225" s="15"/>
      <c r="AGP225" s="15"/>
      <c r="AGW225" s="15"/>
      <c r="AGX225" s="15"/>
      <c r="AHE225" s="15"/>
      <c r="AHF225" s="15"/>
      <c r="AHM225" s="15"/>
      <c r="AHN225" s="15"/>
      <c r="AHU225" s="15"/>
      <c r="AHV225" s="15"/>
      <c r="AIC225" s="15"/>
      <c r="AID225" s="15"/>
      <c r="AIK225" s="15"/>
      <c r="AIL225" s="15"/>
      <c r="AIS225" s="15"/>
      <c r="AIT225" s="15"/>
      <c r="AJA225" s="15"/>
      <c r="AJB225" s="15"/>
      <c r="AJI225" s="15"/>
      <c r="AJJ225" s="15"/>
      <c r="AJQ225" s="15"/>
      <c r="AJR225" s="15"/>
      <c r="AJY225" s="15"/>
      <c r="AJZ225" s="15"/>
      <c r="AKG225" s="15"/>
      <c r="AKH225" s="15"/>
      <c r="AKO225" s="15"/>
      <c r="AKP225" s="15"/>
      <c r="AKW225" s="15"/>
      <c r="AKX225" s="15"/>
      <c r="ALE225" s="15"/>
      <c r="ALF225" s="15"/>
      <c r="ALM225" s="15"/>
      <c r="ALN225" s="15"/>
      <c r="ALU225" s="15"/>
      <c r="ALV225" s="15"/>
      <c r="AMC225" s="15"/>
      <c r="AMD225" s="15"/>
    </row>
    <row r="226" customFormat="false" ht="13.8" hidden="false" customHeight="false" outlineLevel="0" collapsed="false">
      <c r="A226" s="1" t="s">
        <v>739</v>
      </c>
      <c r="B226" s="12" t="n">
        <v>42905</v>
      </c>
      <c r="C226" s="0" t="n">
        <v>2</v>
      </c>
      <c r="D226" s="13" t="n">
        <v>34960</v>
      </c>
      <c r="E226" s="12" t="n">
        <v>27808</v>
      </c>
      <c r="F226" s="14" t="n">
        <f aca="false">(B226-E226)/365.25</f>
        <v>41.3333333333333</v>
      </c>
      <c r="G226" s="14" t="n">
        <f aca="false">(B226-D226)/365.25</f>
        <v>21.7522245037645</v>
      </c>
      <c r="H226" s="19" t="s">
        <v>181</v>
      </c>
      <c r="I226" s="0" t="s">
        <v>194</v>
      </c>
      <c r="J226" s="21" t="s">
        <v>183</v>
      </c>
      <c r="K226" s="21" t="n">
        <v>4</v>
      </c>
      <c r="L226" s="19" t="n">
        <v>82</v>
      </c>
      <c r="M226" s="0" t="n">
        <v>1.81</v>
      </c>
      <c r="N226" s="16" t="n">
        <f aca="false">L226/(M226*M226)</f>
        <v>25.0297609963066</v>
      </c>
      <c r="O226" s="19" t="n">
        <v>0</v>
      </c>
      <c r="P226" s="19" t="n">
        <v>0</v>
      </c>
      <c r="Q226" s="19" t="n">
        <v>0</v>
      </c>
      <c r="R226" s="26" t="n">
        <v>0</v>
      </c>
      <c r="S226" s="26" t="n">
        <v>0</v>
      </c>
      <c r="T226" s="26" t="n">
        <v>0</v>
      </c>
      <c r="U226" s="19" t="n">
        <v>1</v>
      </c>
      <c r="V226" s="19" t="n">
        <v>1</v>
      </c>
      <c r="W226" s="19" t="n">
        <v>1</v>
      </c>
      <c r="X226" s="19" t="n">
        <v>0</v>
      </c>
      <c r="Y226" s="19" t="n">
        <v>1</v>
      </c>
      <c r="Z226" s="19" t="n">
        <v>2</v>
      </c>
      <c r="AA226" s="19" t="n">
        <v>10</v>
      </c>
      <c r="AB226" s="19" t="s">
        <v>740</v>
      </c>
      <c r="AC226" s="19" t="n">
        <v>0</v>
      </c>
      <c r="AD226" s="19" t="n">
        <v>0</v>
      </c>
      <c r="AE226" s="19" t="n">
        <v>1</v>
      </c>
      <c r="AF226" s="19"/>
      <c r="AG226" s="19"/>
      <c r="AH226" s="19"/>
      <c r="AI226" s="19" t="n">
        <v>3</v>
      </c>
      <c r="AJ226" s="19"/>
      <c r="AK226" s="19" t="n">
        <v>1</v>
      </c>
      <c r="AL226" s="19" t="n">
        <v>3</v>
      </c>
      <c r="AM226" s="19" t="n">
        <v>0</v>
      </c>
      <c r="AN226" s="19"/>
      <c r="AO226" s="19"/>
      <c r="AP226" s="19"/>
      <c r="AQ226" s="19"/>
      <c r="AR226" s="19"/>
      <c r="AS226" s="19" t="n">
        <v>1</v>
      </c>
      <c r="AT226" s="19" t="n">
        <v>1</v>
      </c>
      <c r="AU226" s="19"/>
      <c r="AV226" s="19"/>
      <c r="AW226" s="19"/>
      <c r="AX226" s="19"/>
      <c r="AY226" s="19"/>
      <c r="AZ226" s="19"/>
      <c r="BA226" s="19"/>
      <c r="BB226" s="19" t="n">
        <v>1</v>
      </c>
      <c r="BC226" s="19" t="n">
        <v>1</v>
      </c>
      <c r="BD226" s="19"/>
      <c r="BE226" s="19"/>
      <c r="BF226" s="19" t="n">
        <v>1</v>
      </c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 t="n">
        <v>4</v>
      </c>
      <c r="BS226" s="19" t="n">
        <v>4</v>
      </c>
      <c r="BT226" s="19" t="n">
        <v>4</v>
      </c>
      <c r="BU226" s="19" t="n">
        <v>5</v>
      </c>
      <c r="BV226" s="19" t="n">
        <v>5</v>
      </c>
      <c r="BW226" s="19" t="n">
        <v>5</v>
      </c>
      <c r="BX226" s="19" t="n">
        <v>4</v>
      </c>
      <c r="BY226" s="19" t="n">
        <v>5</v>
      </c>
      <c r="BZ226" s="19" t="n">
        <v>1</v>
      </c>
      <c r="CA226" s="19" t="n">
        <v>4</v>
      </c>
      <c r="CB226" s="19" t="n">
        <v>3</v>
      </c>
      <c r="CC226" s="19" t="n">
        <v>5</v>
      </c>
      <c r="CD226" s="19" t="n">
        <v>1</v>
      </c>
      <c r="CE226" s="19" t="n">
        <v>1</v>
      </c>
      <c r="CF226" s="19" t="n">
        <v>3</v>
      </c>
      <c r="CG226" s="19" t="n">
        <v>3</v>
      </c>
      <c r="CH226" s="19" t="n">
        <v>5</v>
      </c>
      <c r="CI226" s="19" t="n">
        <v>3</v>
      </c>
      <c r="CJ226" s="19" t="n">
        <v>1</v>
      </c>
      <c r="CK226" s="19" t="n">
        <v>4</v>
      </c>
      <c r="CL226" s="0" t="s">
        <v>195</v>
      </c>
      <c r="CM226" s="0" t="n">
        <v>37.5</v>
      </c>
      <c r="CN226" s="16" t="n">
        <v>87.4</v>
      </c>
      <c r="CO226" s="16" t="n">
        <v>80.4</v>
      </c>
      <c r="CP226" s="16" t="n">
        <v>18.5</v>
      </c>
      <c r="CQ226" s="0" t="n">
        <v>84.21</v>
      </c>
      <c r="CR226" s="17" t="n">
        <v>0</v>
      </c>
      <c r="CS226" s="0" t="n">
        <v>0</v>
      </c>
      <c r="CT226" s="0" t="n">
        <v>0</v>
      </c>
      <c r="CU226" s="0" t="n">
        <v>15.79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26.71</v>
      </c>
      <c r="DC226" s="0" t="n">
        <v>13.13</v>
      </c>
      <c r="DD226" s="0" t="n">
        <v>49.12</v>
      </c>
      <c r="DE226" s="0" t="n">
        <v>14.67</v>
      </c>
      <c r="DF226" s="0" t="n">
        <v>0</v>
      </c>
      <c r="DG226" s="0" t="n">
        <v>0</v>
      </c>
      <c r="DH226" s="0" t="n">
        <v>0</v>
      </c>
      <c r="DU226" s="0" t="n">
        <v>1.1</v>
      </c>
      <c r="DV226" s="0" t="n">
        <v>1</v>
      </c>
      <c r="DW226" s="0" t="n">
        <v>52</v>
      </c>
      <c r="DX226" s="0" t="n">
        <v>1</v>
      </c>
      <c r="DY226" s="0" t="n">
        <v>0.22</v>
      </c>
      <c r="DZ226" s="0" t="n">
        <v>2</v>
      </c>
      <c r="EA226" s="0" t="n">
        <v>35</v>
      </c>
      <c r="EB226" s="0" t="n">
        <v>2</v>
      </c>
      <c r="EC226" s="0" t="n">
        <v>0.16</v>
      </c>
      <c r="ED226" s="0" t="n">
        <v>3</v>
      </c>
      <c r="EG226" s="20"/>
      <c r="EY226" s="0" t="n">
        <v>0</v>
      </c>
      <c r="GJ226" s="16" t="n">
        <v>4.3</v>
      </c>
      <c r="GK226" s="16" t="n">
        <v>1</v>
      </c>
      <c r="GL226" s="16" t="n">
        <v>1</v>
      </c>
      <c r="GM226" s="16"/>
      <c r="GN226" s="16" t="n">
        <f aca="false">(2.11*6)+0.9+0.9+0.62+0.62+0.93+0.3+0.3+0.22+0.22+0.23+0.22+0.22+0.22</f>
        <v>18.56</v>
      </c>
      <c r="GO226" s="16"/>
      <c r="GP226" s="16"/>
      <c r="GQ226" s="16"/>
      <c r="GR226" s="16"/>
      <c r="GS226" s="16"/>
      <c r="GT226" s="16"/>
      <c r="GU226" s="16" t="n">
        <v>10.31</v>
      </c>
      <c r="GV226" s="16" t="n">
        <v>34.85</v>
      </c>
      <c r="GW226" s="16" t="n">
        <v>0</v>
      </c>
      <c r="GX226" s="16" t="n">
        <v>0</v>
      </c>
      <c r="GY226" s="16" t="n">
        <v>0</v>
      </c>
      <c r="GZ226" s="16" t="n">
        <v>0</v>
      </c>
      <c r="HA226" s="16" t="n">
        <v>0</v>
      </c>
      <c r="HB226" s="0" t="n">
        <v>0</v>
      </c>
      <c r="HC226" s="0" t="s">
        <v>196</v>
      </c>
      <c r="HD226" s="0" t="n">
        <v>39.5</v>
      </c>
      <c r="HE226" s="16" t="n">
        <v>89.8</v>
      </c>
      <c r="HF226" s="16" t="n">
        <v>80.4</v>
      </c>
      <c r="HG226" s="16" t="n">
        <v>5.1</v>
      </c>
      <c r="HH226" s="0" t="n">
        <v>100</v>
      </c>
      <c r="HI226" s="17" t="n">
        <v>0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0</v>
      </c>
      <c r="HS226" s="0" t="n">
        <v>0</v>
      </c>
      <c r="HT226" s="0" t="n">
        <v>50.37</v>
      </c>
      <c r="HU226" s="0" t="n">
        <v>16.55</v>
      </c>
      <c r="HV226" s="0" t="n">
        <v>0.4</v>
      </c>
      <c r="HW226" s="0" t="n">
        <v>0</v>
      </c>
      <c r="HX226" s="0" t="n">
        <v>27.4</v>
      </c>
      <c r="HY226" s="0" t="n">
        <v>1</v>
      </c>
      <c r="HZ226" s="0" t="n">
        <v>3</v>
      </c>
      <c r="IB226" s="0" t="n">
        <v>4</v>
      </c>
      <c r="IF226" s="0" t="n">
        <v>3</v>
      </c>
      <c r="IH226" s="0" t="n">
        <v>4</v>
      </c>
      <c r="IL226" s="0" t="n">
        <v>0.1</v>
      </c>
      <c r="IM226" s="0" t="n">
        <v>1</v>
      </c>
      <c r="IN226" s="0" t="n">
        <v>34</v>
      </c>
      <c r="IO226" s="0" t="n">
        <v>9</v>
      </c>
      <c r="IP226" s="0" t="n">
        <f aca="false">(1.71*3)+(0.2*2)</f>
        <v>5.53</v>
      </c>
      <c r="IQ226" s="0" t="n">
        <v>1</v>
      </c>
      <c r="IR226" s="0" t="n">
        <v>35</v>
      </c>
      <c r="IS226" s="0" t="n">
        <v>1</v>
      </c>
      <c r="IT226" s="16" t="n">
        <v>0.02</v>
      </c>
      <c r="IU226" s="0" t="n">
        <v>3</v>
      </c>
      <c r="IX226" s="20"/>
      <c r="JP226" s="0" t="n">
        <v>0</v>
      </c>
      <c r="LA226" s="16" t="n">
        <v>1.49</v>
      </c>
      <c r="LB226" s="16" t="n">
        <v>1</v>
      </c>
      <c r="LC226" s="16" t="n">
        <v>1</v>
      </c>
      <c r="LD226" s="16"/>
      <c r="LE226" s="16" t="n">
        <f aca="false">2.11+2.11+0.56+0.56</f>
        <v>5.34</v>
      </c>
      <c r="LF226" s="16"/>
      <c r="LG226" s="16"/>
      <c r="LH226" s="16"/>
      <c r="LI226" s="16"/>
      <c r="LJ226" s="16"/>
      <c r="LK226" s="16"/>
      <c r="LL226" s="16" t="n">
        <v>5.01</v>
      </c>
      <c r="LM226" s="16" t="n">
        <v>5.13</v>
      </c>
      <c r="LN226" s="16" t="n">
        <v>0</v>
      </c>
      <c r="LO226" s="16" t="n">
        <v>0</v>
      </c>
      <c r="LP226" s="16" t="n">
        <v>0</v>
      </c>
      <c r="LQ226" s="16" t="n">
        <v>0</v>
      </c>
      <c r="LR226" s="16" t="n">
        <v>0</v>
      </c>
      <c r="LS226" s="0" t="n">
        <v>0</v>
      </c>
      <c r="LT226" s="0" t="s">
        <v>197</v>
      </c>
      <c r="LU226" s="0" t="n">
        <v>49.5</v>
      </c>
      <c r="LV226" s="16" t="n">
        <v>90.1</v>
      </c>
      <c r="LW226" s="16" t="n">
        <v>80.4</v>
      </c>
      <c r="LX226" s="16" t="n">
        <v>9.9</v>
      </c>
      <c r="LY226" s="0" t="n">
        <v>94.62</v>
      </c>
      <c r="LZ226" s="17" t="n">
        <v>0</v>
      </c>
      <c r="MA226" s="0" t="n">
        <v>0.32</v>
      </c>
      <c r="MB226" s="0" t="n">
        <v>0</v>
      </c>
      <c r="MC226" s="0" t="n">
        <v>5.05</v>
      </c>
      <c r="MD226" s="0" t="n">
        <v>0</v>
      </c>
      <c r="ME226" s="0" t="n">
        <v>0</v>
      </c>
      <c r="MF226" s="0" t="n">
        <v>0</v>
      </c>
      <c r="MG226" s="0" t="n">
        <v>0</v>
      </c>
      <c r="MH226" s="0" t="n">
        <v>0</v>
      </c>
      <c r="MI226" s="0" t="n">
        <v>0</v>
      </c>
      <c r="MJ226" s="0" t="n">
        <v>3.42</v>
      </c>
      <c r="MK226" s="0" t="n">
        <v>32.25</v>
      </c>
      <c r="ML226" s="0" t="n">
        <v>29.89</v>
      </c>
      <c r="MM226" s="0" t="n">
        <v>8.28</v>
      </c>
      <c r="MN226" s="0" t="n">
        <v>0</v>
      </c>
      <c r="MO226" s="0" t="n">
        <v>12.9</v>
      </c>
      <c r="MP226" s="0" t="n">
        <v>1</v>
      </c>
      <c r="MQ226" s="0" t="n">
        <v>7</v>
      </c>
      <c r="MS226" s="0" t="n">
        <v>5</v>
      </c>
      <c r="MT226" s="0" t="n">
        <v>3</v>
      </c>
      <c r="MV226" s="0" t="n">
        <v>3</v>
      </c>
      <c r="MW226" s="0" t="n">
        <v>7</v>
      </c>
      <c r="MY226" s="0" t="n">
        <v>5</v>
      </c>
      <c r="MZ226" s="0" t="n">
        <v>3</v>
      </c>
      <c r="NB226" s="0" t="n">
        <v>3</v>
      </c>
      <c r="NC226" s="0" t="n">
        <v>16.6</v>
      </c>
      <c r="ND226" s="0" t="n">
        <v>1</v>
      </c>
      <c r="NE226" s="0" t="n">
        <v>68</v>
      </c>
      <c r="NF226" s="0" t="n">
        <v>6</v>
      </c>
      <c r="NG226" s="0" t="n">
        <v>0.21</v>
      </c>
      <c r="NH226" s="0" t="n">
        <v>1</v>
      </c>
      <c r="NI226" s="0" t="n">
        <v>35</v>
      </c>
      <c r="NJ226" s="0" t="n">
        <v>3</v>
      </c>
      <c r="NK226" s="0" t="n">
        <v>0.51</v>
      </c>
      <c r="NL226" s="0" t="n">
        <v>3</v>
      </c>
      <c r="NM226" s="0" t="n">
        <v>47</v>
      </c>
      <c r="NN226" s="0" t="n">
        <v>22</v>
      </c>
      <c r="NO226" s="20" t="n">
        <f aca="false">(0.43*3)+(0.07*4)+0.22</f>
        <v>1.79</v>
      </c>
      <c r="NP226" s="0" t="n">
        <v>3</v>
      </c>
      <c r="OG226" s="0" t="n">
        <v>1</v>
      </c>
      <c r="OH226" s="0" t="n">
        <v>60</v>
      </c>
      <c r="OI226" s="0" t="n">
        <v>17</v>
      </c>
      <c r="OJ226" s="0" t="n">
        <f aca="false">0.22+0.04+0.11+0.08+0.08+0.05</f>
        <v>0.58</v>
      </c>
      <c r="OK226" s="0" t="n">
        <v>3</v>
      </c>
      <c r="OL226" s="0" t="n">
        <v>60</v>
      </c>
      <c r="OM226" s="0" t="n">
        <v>12</v>
      </c>
      <c r="ON226" s="0" t="n">
        <f aca="false">0.87+0.43+0.15+0.07</f>
        <v>1.52</v>
      </c>
      <c r="OO226" s="0" t="n">
        <v>1</v>
      </c>
      <c r="PR226" s="16" t="n">
        <v>2.49</v>
      </c>
      <c r="PS226" s="16" t="n">
        <v>1</v>
      </c>
      <c r="PT226" s="16" t="n">
        <v>1</v>
      </c>
      <c r="PU226" s="16"/>
      <c r="PV226" s="16" t="n">
        <v>10.89</v>
      </c>
      <c r="PW226" s="16"/>
      <c r="PX226" s="16"/>
      <c r="PY226" s="16"/>
      <c r="PZ226" s="16"/>
      <c r="QA226" s="16"/>
      <c r="QB226" s="16"/>
      <c r="QC226" s="16" t="n">
        <v>4.17</v>
      </c>
      <c r="QD226" s="16" t="n">
        <v>3.7</v>
      </c>
      <c r="QE226" s="16" t="n">
        <v>0</v>
      </c>
      <c r="QF226" s="16" t="n">
        <v>0</v>
      </c>
      <c r="QG226" s="16" t="n">
        <v>0</v>
      </c>
      <c r="QH226" s="16" t="n">
        <v>0</v>
      </c>
      <c r="QI226" s="16" t="n">
        <v>0</v>
      </c>
      <c r="QJ226" s="0" t="n">
        <v>0</v>
      </c>
      <c r="QK226" s="0" t="s">
        <v>198</v>
      </c>
      <c r="QL226" s="0" t="n">
        <v>28.5</v>
      </c>
      <c r="QM226" s="16" t="n">
        <v>78.4</v>
      </c>
      <c r="QN226" s="16" t="n">
        <v>80.4</v>
      </c>
      <c r="QO226" s="16" t="n">
        <v>16</v>
      </c>
      <c r="QP226" s="0" t="n">
        <v>95.22</v>
      </c>
      <c r="QQ226" s="17" t="n">
        <v>0</v>
      </c>
      <c r="QR226" s="0" t="n">
        <v>4.23</v>
      </c>
      <c r="QS226" s="0" t="n">
        <v>0</v>
      </c>
      <c r="QT226" s="0" t="n">
        <v>0</v>
      </c>
      <c r="QU226" s="0" t="n">
        <v>0</v>
      </c>
      <c r="QV226" s="0" t="n">
        <v>0</v>
      </c>
      <c r="QW226" s="0" t="n">
        <v>0</v>
      </c>
      <c r="QX226" s="0" t="n">
        <v>0</v>
      </c>
      <c r="QY226" s="0" t="n">
        <v>0</v>
      </c>
      <c r="QZ226" s="0" t="n">
        <v>0</v>
      </c>
      <c r="RA226" s="0" t="n">
        <v>9.77</v>
      </c>
      <c r="RB226" s="0" t="n">
        <v>2.18</v>
      </c>
      <c r="RC226" s="0" t="n">
        <v>46.81</v>
      </c>
      <c r="RD226" s="0" t="n">
        <v>10.57</v>
      </c>
      <c r="RE226" s="0" t="n">
        <v>0</v>
      </c>
      <c r="RF226" s="0" t="n">
        <v>0</v>
      </c>
      <c r="RG226" s="0" t="n">
        <v>0</v>
      </c>
      <c r="RT226" s="0" t="n">
        <v>0</v>
      </c>
      <c r="RU226" s="0" t="n">
        <v>0</v>
      </c>
      <c r="SF226" s="20"/>
      <c r="SX226" s="0" t="n">
        <v>0</v>
      </c>
      <c r="UI226" s="16" t="n">
        <v>4.23</v>
      </c>
      <c r="UJ226" s="16" t="n">
        <v>1</v>
      </c>
      <c r="UK226" s="16" t="n">
        <v>2</v>
      </c>
      <c r="UL226" s="16"/>
      <c r="UM226" s="16" t="n">
        <v>6.34</v>
      </c>
      <c r="UN226" s="16" t="n">
        <v>1</v>
      </c>
      <c r="UO226" s="16" t="n">
        <v>1</v>
      </c>
      <c r="UP226" s="16" t="n">
        <f aca="false">9.52+3.17+3.17+3.17+1.12+1.12+1.12</f>
        <v>22.39</v>
      </c>
      <c r="UQ226" s="16"/>
      <c r="UR226" s="16"/>
      <c r="US226" s="16"/>
      <c r="UT226" s="16" t="n">
        <v>5.41</v>
      </c>
      <c r="UU226" s="16" t="n">
        <v>8.96</v>
      </c>
      <c r="UV226" s="16" t="n">
        <v>0</v>
      </c>
      <c r="UW226" s="16" t="n">
        <v>0</v>
      </c>
      <c r="UX226" s="16" t="n">
        <v>0</v>
      </c>
      <c r="UY226" s="16" t="n">
        <v>0</v>
      </c>
      <c r="UZ226" s="16" t="n">
        <v>0</v>
      </c>
      <c r="VA226" s="0" t="n">
        <v>0</v>
      </c>
      <c r="VB226" s="0" t="s">
        <v>199</v>
      </c>
      <c r="VC226" s="0" t="n">
        <v>56.5</v>
      </c>
      <c r="VD226" s="16" t="n">
        <v>88.4</v>
      </c>
      <c r="VE226" s="16" t="n">
        <v>80.4</v>
      </c>
      <c r="VF226" s="16" t="n">
        <v>24.8</v>
      </c>
      <c r="VG226" s="0" t="n">
        <v>77.37</v>
      </c>
      <c r="VH226" s="17" t="n">
        <v>0</v>
      </c>
      <c r="VI226" s="0" t="n">
        <v>7.99</v>
      </c>
      <c r="VJ226" s="0" t="n">
        <v>0</v>
      </c>
      <c r="VK226" s="0" t="n">
        <v>14.63</v>
      </c>
      <c r="VL226" s="0" t="n">
        <v>0</v>
      </c>
      <c r="VM226" s="0" t="n">
        <v>0</v>
      </c>
      <c r="VN226" s="0" t="n">
        <v>0</v>
      </c>
      <c r="VO226" s="0" t="n">
        <v>0</v>
      </c>
      <c r="VP226" s="0" t="n">
        <v>0</v>
      </c>
      <c r="VQ226" s="0" t="n">
        <v>0</v>
      </c>
      <c r="VR226" s="0" t="n">
        <v>8.04</v>
      </c>
      <c r="VS226" s="0" t="n">
        <v>23.21</v>
      </c>
      <c r="VT226" s="0" t="n">
        <v>37.03</v>
      </c>
      <c r="VU226" s="0" t="n">
        <v>14.79</v>
      </c>
      <c r="VV226" s="0" t="n">
        <v>0</v>
      </c>
      <c r="VW226" s="0" t="n">
        <v>0</v>
      </c>
      <c r="VX226" s="0" t="n">
        <v>0</v>
      </c>
      <c r="WK226" s="0" t="n">
        <v>25.5</v>
      </c>
      <c r="WL226" s="0" t="n">
        <v>1</v>
      </c>
      <c r="WM226" s="0" t="n">
        <v>52</v>
      </c>
      <c r="WN226" s="0" t="n">
        <v>13</v>
      </c>
      <c r="WO226" s="0" t="n">
        <f aca="false">0.27+1.07+0.13+0.27</f>
        <v>1.74</v>
      </c>
      <c r="WP226" s="0" t="n">
        <v>2</v>
      </c>
      <c r="WQ226" s="0" t="n">
        <v>35</v>
      </c>
      <c r="WR226" s="0" t="n">
        <v>3</v>
      </c>
      <c r="WS226" s="0" t="n">
        <f aca="false">0.13+0.08+0.24</f>
        <v>0.45</v>
      </c>
      <c r="WT226" s="0" t="n">
        <v>3</v>
      </c>
      <c r="WU226" s="0" t="n">
        <v>47</v>
      </c>
      <c r="WV226" s="0" t="n">
        <v>5</v>
      </c>
      <c r="WW226" s="20" t="n">
        <f aca="false">0.76+1.14+0.76+0.13+0.08</f>
        <v>2.87</v>
      </c>
      <c r="WX226" s="0" t="n">
        <v>3</v>
      </c>
      <c r="XO226" s="0" t="n">
        <v>0</v>
      </c>
      <c r="YZ226" s="16" t="n">
        <v>2.59</v>
      </c>
      <c r="ZA226" s="16" t="n">
        <v>1</v>
      </c>
      <c r="ZB226" s="16" t="n">
        <v>1</v>
      </c>
      <c r="ZC226" s="16"/>
      <c r="ZD226" s="16" t="n">
        <f aca="false">(2.11*4)+0.37</f>
        <v>8.81</v>
      </c>
      <c r="ZE226" s="16"/>
      <c r="ZF226" s="16"/>
      <c r="ZG226" s="16"/>
      <c r="ZH226" s="16"/>
      <c r="ZI226" s="16"/>
      <c r="ZJ226" s="16"/>
      <c r="ZK226" s="16" t="n">
        <v>1.33</v>
      </c>
      <c r="ZL226" s="16" t="n">
        <v>0.89</v>
      </c>
      <c r="ZM226" s="16" t="n">
        <v>0</v>
      </c>
      <c r="ZN226" s="16" t="n">
        <v>0</v>
      </c>
      <c r="ZO226" s="16" t="n">
        <v>0</v>
      </c>
      <c r="ZP226" s="16" t="n">
        <v>0</v>
      </c>
      <c r="ZQ226" s="16" t="n">
        <v>0</v>
      </c>
      <c r="ZR226" s="0" t="n">
        <v>0</v>
      </c>
      <c r="ZS226" s="0" t="s">
        <v>200</v>
      </c>
      <c r="ZT226" s="0" t="n">
        <v>28.5</v>
      </c>
      <c r="ZU226" s="16" t="n">
        <v>69.4</v>
      </c>
      <c r="ZV226" s="16" t="n">
        <v>80.4</v>
      </c>
      <c r="ZW226" s="16" t="n">
        <v>9.8</v>
      </c>
      <c r="ZX226" s="0" t="n">
        <v>96.02</v>
      </c>
      <c r="ZY226" s="17" t="n">
        <v>0</v>
      </c>
      <c r="ZZ226" s="0" t="n">
        <v>3.98</v>
      </c>
      <c r="AAA226" s="0" t="n">
        <v>0</v>
      </c>
      <c r="AAB226" s="0" t="n">
        <v>0</v>
      </c>
      <c r="AAC226" s="0" t="n">
        <v>0</v>
      </c>
      <c r="AAD226" s="0" t="n">
        <v>0</v>
      </c>
      <c r="AAE226" s="0" t="n">
        <v>0</v>
      </c>
      <c r="AAF226" s="0" t="n">
        <v>0</v>
      </c>
      <c r="AAG226" s="0" t="n">
        <v>0</v>
      </c>
      <c r="AAH226" s="0" t="n">
        <v>0</v>
      </c>
      <c r="AAI226" s="0" t="n">
        <v>0</v>
      </c>
      <c r="AAJ226" s="0" t="n">
        <v>16.55</v>
      </c>
      <c r="AAK226" s="0" t="n">
        <v>26.49</v>
      </c>
      <c r="AAL226" s="0" t="n">
        <v>6.34</v>
      </c>
      <c r="AAM226" s="0" t="n">
        <v>0</v>
      </c>
      <c r="AAN226" s="0" t="n">
        <v>0</v>
      </c>
      <c r="AAO226" s="0" t="n">
        <v>0</v>
      </c>
      <c r="ABB226" s="0" t="n">
        <v>10.2</v>
      </c>
      <c r="ABC226" s="0" t="n">
        <v>1</v>
      </c>
      <c r="ABD226" s="0" t="n">
        <v>35</v>
      </c>
      <c r="ABE226" s="0" t="n">
        <v>1</v>
      </c>
      <c r="ABF226" s="0" t="n">
        <v>0.02</v>
      </c>
      <c r="ABG226" s="0" t="n">
        <v>3</v>
      </c>
      <c r="ABH226" s="0" t="n">
        <v>70</v>
      </c>
      <c r="ABI226" s="0" t="n">
        <v>2</v>
      </c>
      <c r="ABJ226" s="0" t="n">
        <v>0.27</v>
      </c>
      <c r="ABK226" s="0" t="n">
        <v>3</v>
      </c>
      <c r="ABN226" s="20"/>
      <c r="ACF226" s="0" t="n">
        <v>1</v>
      </c>
      <c r="ACG226" s="0" t="n">
        <v>50</v>
      </c>
      <c r="ACH226" s="0" t="n">
        <v>5</v>
      </c>
      <c r="ACI226" s="0" t="n">
        <f aca="false">1.52+0.5+0.19+0.12</f>
        <v>2.33</v>
      </c>
      <c r="ACJ226" s="0" t="n">
        <v>3</v>
      </c>
      <c r="ADQ226" s="16" t="n">
        <v>2.63</v>
      </c>
      <c r="ADR226" s="16" t="n">
        <v>1</v>
      </c>
      <c r="ADS226" s="16" t="n">
        <v>1</v>
      </c>
      <c r="ADT226" s="16"/>
      <c r="ADU226" s="16" t="n">
        <f aca="false">0.04+2.11+3.17+0.37+0.56</f>
        <v>6.25</v>
      </c>
      <c r="ADV226" s="16" t="n">
        <v>2</v>
      </c>
      <c r="ADW226" s="16"/>
      <c r="ADX226" s="16" t="n">
        <f aca="false">0.53+0.53+0.11+0.07+0.15</f>
        <v>1.39</v>
      </c>
      <c r="ADY226" s="16"/>
      <c r="ADZ226" s="16"/>
      <c r="AEA226" s="16"/>
      <c r="AEB226" s="16" t="n">
        <v>3.33</v>
      </c>
      <c r="AEC226" s="16" t="n">
        <v>2.06</v>
      </c>
      <c r="AED226" s="16" t="n">
        <v>0</v>
      </c>
      <c r="AEE226" s="16" t="n">
        <v>0</v>
      </c>
      <c r="AEF226" s="16" t="n">
        <v>0</v>
      </c>
      <c r="AEG226" s="16" t="n">
        <v>0</v>
      </c>
      <c r="AEH226" s="16" t="n">
        <v>0</v>
      </c>
      <c r="AEI226" s="0" t="n">
        <v>0</v>
      </c>
      <c r="AEJ226" s="0" t="s">
        <v>201</v>
      </c>
      <c r="AEK226" s="0" t="n">
        <v>48.5</v>
      </c>
      <c r="AEL226" s="16" t="n">
        <v>89.7</v>
      </c>
      <c r="AEM226" s="16" t="n">
        <v>80.4</v>
      </c>
      <c r="AEN226" s="16" t="n">
        <v>9.3</v>
      </c>
      <c r="AEO226" s="0" t="n">
        <v>100</v>
      </c>
      <c r="AEP226" s="17" t="n">
        <v>0</v>
      </c>
      <c r="AEQ226" s="0" t="n">
        <v>0</v>
      </c>
      <c r="AER226" s="0" t="n">
        <v>0</v>
      </c>
      <c r="AES226" s="0" t="n">
        <v>0</v>
      </c>
      <c r="AET226" s="0" t="n">
        <v>0</v>
      </c>
      <c r="AEU226" s="0" t="n">
        <v>0</v>
      </c>
      <c r="AEV226" s="0" t="n">
        <v>0</v>
      </c>
      <c r="AEW226" s="0" t="n">
        <v>0</v>
      </c>
      <c r="AEX226" s="0" t="n">
        <v>0</v>
      </c>
      <c r="AEY226" s="0" t="n">
        <v>0</v>
      </c>
      <c r="AEZ226" s="0" t="n">
        <v>1.65</v>
      </c>
      <c r="AFA226" s="0" t="n">
        <v>2.69</v>
      </c>
      <c r="AFB226" s="0" t="n">
        <v>54.55</v>
      </c>
      <c r="AFC226" s="0" t="n">
        <v>11.29</v>
      </c>
      <c r="AFD226" s="0" t="n">
        <v>0</v>
      </c>
      <c r="AFE226" s="0" t="n">
        <v>0</v>
      </c>
      <c r="AFF226" s="0" t="n">
        <v>0</v>
      </c>
      <c r="AFS226" s="0" t="n">
        <v>30.6</v>
      </c>
      <c r="AFT226" s="0" t="n">
        <v>1</v>
      </c>
      <c r="AFU226" s="0" t="n">
        <v>35</v>
      </c>
      <c r="AFV226" s="0" t="n">
        <v>14</v>
      </c>
      <c r="AFW226" s="0" t="n">
        <f aca="false">3.05+1.52+1.52+0.27+0.03+0.07</f>
        <v>6.46</v>
      </c>
      <c r="AFX226" s="0" t="n">
        <v>3</v>
      </c>
      <c r="AFY226" s="0" t="n">
        <v>47</v>
      </c>
      <c r="AFZ226" s="0" t="n">
        <v>6</v>
      </c>
      <c r="AGA226" s="0" t="n">
        <f aca="false">1.52+0.27*2</f>
        <v>2.06</v>
      </c>
      <c r="AGB226" s="0" t="n">
        <v>3</v>
      </c>
      <c r="AGE226" s="20"/>
      <c r="AGW226" s="0" t="n">
        <v>0</v>
      </c>
      <c r="AIH226" s="16" t="n">
        <v>3.34</v>
      </c>
      <c r="AII226" s="16" t="n">
        <v>1</v>
      </c>
      <c r="AIJ226" s="16" t="n">
        <v>1</v>
      </c>
      <c r="AIK226" s="16"/>
      <c r="AIL226" s="16" t="n">
        <f aca="false">4.23+1.14+2.11+4.23+1.37+0.02+2.03+0.75+0.37+0.13</f>
        <v>16.38</v>
      </c>
      <c r="AIM226" s="16"/>
      <c r="AIN226" s="16"/>
      <c r="AIO226" s="16"/>
      <c r="AIP226" s="16"/>
      <c r="AIQ226" s="16"/>
      <c r="AIR226" s="16"/>
      <c r="AIS226" s="16" t="n">
        <v>1.45</v>
      </c>
      <c r="AIT226" s="16" t="n">
        <v>1.46</v>
      </c>
      <c r="AIU226" s="16" t="n">
        <v>0</v>
      </c>
      <c r="AIV226" s="16" t="n">
        <v>0</v>
      </c>
      <c r="AIW226" s="16" t="n">
        <v>0</v>
      </c>
      <c r="AIX226" s="16" t="n">
        <v>0</v>
      </c>
      <c r="AIY226" s="16" t="n">
        <v>0</v>
      </c>
      <c r="AIZ226" s="0" t="n">
        <v>0</v>
      </c>
      <c r="AJA226" s="0" t="s">
        <v>202</v>
      </c>
      <c r="AJB226" s="0" t="n">
        <v>60</v>
      </c>
      <c r="AJC226" s="16" t="n">
        <v>55.4</v>
      </c>
      <c r="AJD226" s="16" t="n">
        <v>80.4</v>
      </c>
      <c r="AJE226" s="16" t="n">
        <v>29.6</v>
      </c>
      <c r="AJF226" s="0" t="n">
        <v>76.8</v>
      </c>
      <c r="AJG226" s="17" t="n">
        <v>0</v>
      </c>
      <c r="AJH226" s="0" t="n">
        <v>0</v>
      </c>
      <c r="AJI226" s="0" t="n">
        <v>0</v>
      </c>
      <c r="AJJ226" s="0" t="n">
        <v>0</v>
      </c>
      <c r="AJL226" s="0" t="n">
        <v>4.83</v>
      </c>
      <c r="AJM226" s="0" t="n">
        <v>1.71</v>
      </c>
      <c r="AJN226" s="0" t="n">
        <v>0</v>
      </c>
      <c r="AJO226" s="0" t="n">
        <v>0</v>
      </c>
      <c r="AJP226" s="0" t="n">
        <v>0</v>
      </c>
      <c r="AJQ226" s="0" t="n">
        <v>1.51</v>
      </c>
      <c r="AJR226" s="0" t="n">
        <v>1.85</v>
      </c>
      <c r="AJS226" s="0" t="n">
        <v>2.31</v>
      </c>
      <c r="AJT226" s="0" t="n">
        <v>19.08</v>
      </c>
      <c r="AJU226" s="0" t="n">
        <v>18.37</v>
      </c>
      <c r="AJV226" s="0" t="n">
        <v>0</v>
      </c>
      <c r="AJW226" s="0" t="n">
        <v>0</v>
      </c>
      <c r="AJX226" s="0" t="n">
        <v>0</v>
      </c>
      <c r="AKD226" s="0" t="n">
        <v>0</v>
      </c>
      <c r="AKJ226" s="0" t="n">
        <v>22.9</v>
      </c>
      <c r="AKK226" s="0" t="n">
        <v>1</v>
      </c>
      <c r="AKL226" s="0" t="n">
        <v>34</v>
      </c>
      <c r="AKM226" s="0" t="n">
        <v>1</v>
      </c>
      <c r="AKN226" s="0" t="n">
        <v>1.19</v>
      </c>
      <c r="AKO226" s="0" t="n">
        <v>1</v>
      </c>
      <c r="AKP226" s="0" t="n">
        <v>47</v>
      </c>
      <c r="AKQ226" s="0" t="n">
        <f aca="false">7+3+1+2+3+5+7+1+7+2+7+5+5</f>
        <v>55</v>
      </c>
      <c r="AKR226" s="0" t="n">
        <f aca="false">(0.3*7)+0.15+0.3+0.9+0.6+0.45+0.6+(0.3*3)+(0.3*5)+(0.3*7)+0.9+(0.3*7)+(0.4)+(0.3*7)+(0.3*5)+(0.3*5)</f>
        <v>18.1</v>
      </c>
      <c r="AKS226" s="0" t="n">
        <v>2</v>
      </c>
      <c r="AKV226" s="20"/>
      <c r="ALN226" s="0" t="n">
        <v>0</v>
      </c>
    </row>
    <row r="227" customFormat="false" ht="13.8" hidden="false" customHeight="false" outlineLevel="0" collapsed="false">
      <c r="A227" s="36" t="s">
        <v>741</v>
      </c>
      <c r="B227" s="12" t="n">
        <v>42905</v>
      </c>
      <c r="C227" s="0" t="n">
        <v>2</v>
      </c>
      <c r="D227" s="13" t="n">
        <v>42865</v>
      </c>
      <c r="E227" s="12" t="n">
        <v>33452</v>
      </c>
      <c r="F227" s="14" t="n">
        <f aca="false">(B227-E227)/365.25</f>
        <v>25.8809034907598</v>
      </c>
      <c r="G227" s="14" t="n">
        <f aca="false">(B227-D227)/365.25</f>
        <v>0.109514031485284</v>
      </c>
      <c r="H227" s="19" t="s">
        <v>181</v>
      </c>
      <c r="I227" s="0" t="s">
        <v>194</v>
      </c>
      <c r="J227" s="21" t="s">
        <v>183</v>
      </c>
      <c r="K227" s="21" t="n">
        <v>4</v>
      </c>
      <c r="L227" s="19" t="n">
        <v>68</v>
      </c>
      <c r="M227" s="0" t="n">
        <v>1.75</v>
      </c>
      <c r="N227" s="16" t="n">
        <f aca="false">L227/(M227*M227)</f>
        <v>22.2040816326531</v>
      </c>
      <c r="O227" s="19" t="n">
        <v>0</v>
      </c>
      <c r="P227" s="19" t="n">
        <v>0</v>
      </c>
      <c r="Q227" s="19" t="n">
        <v>0</v>
      </c>
      <c r="R227" s="26" t="n">
        <v>0</v>
      </c>
      <c r="S227" s="26" t="n">
        <v>0</v>
      </c>
      <c r="T227" s="26" t="n">
        <v>0</v>
      </c>
      <c r="U227" s="19" t="n">
        <v>0</v>
      </c>
      <c r="V227" s="19" t="n">
        <v>0</v>
      </c>
      <c r="W227" s="19" t="n">
        <v>0</v>
      </c>
      <c r="X227" s="19" t="n">
        <v>0</v>
      </c>
      <c r="Y227" s="19" t="n">
        <v>0</v>
      </c>
      <c r="Z227" s="19" t="n">
        <v>0</v>
      </c>
      <c r="AA227" s="19" t="n">
        <v>0</v>
      </c>
      <c r="AB227" s="19" t="n">
        <v>0</v>
      </c>
      <c r="AC227" s="19" t="n">
        <v>0</v>
      </c>
      <c r="AD227" s="19" t="n">
        <v>0</v>
      </c>
      <c r="AE227" s="19" t="n">
        <v>0</v>
      </c>
      <c r="AF227" s="19" t="n">
        <v>0</v>
      </c>
      <c r="AG227" s="19" t="n">
        <v>0</v>
      </c>
      <c r="AH227" s="19" t="n">
        <v>0</v>
      </c>
      <c r="AI227" s="19" t="n">
        <v>0</v>
      </c>
      <c r="AJ227" s="19" t="n">
        <v>0</v>
      </c>
      <c r="AK227" s="19" t="n">
        <v>0</v>
      </c>
      <c r="AL227" s="19" t="n">
        <v>0</v>
      </c>
      <c r="AM227" s="19" t="n">
        <v>0</v>
      </c>
      <c r="AN227" s="19" t="n">
        <v>0</v>
      </c>
      <c r="AO227" s="19" t="n">
        <v>0</v>
      </c>
      <c r="AP227" s="19" t="n">
        <v>0</v>
      </c>
      <c r="AQ227" s="19" t="n">
        <v>0</v>
      </c>
      <c r="AR227" s="19" t="n">
        <v>0</v>
      </c>
      <c r="AS227" s="19" t="n">
        <v>0</v>
      </c>
      <c r="AT227" s="19" t="n">
        <v>0</v>
      </c>
      <c r="AU227" s="19" t="n">
        <v>0</v>
      </c>
      <c r="AV227" s="19" t="n">
        <v>0</v>
      </c>
      <c r="AW227" s="19" t="n">
        <v>0</v>
      </c>
      <c r="AX227" s="19" t="n">
        <v>0</v>
      </c>
      <c r="AY227" s="19" t="n">
        <v>0</v>
      </c>
      <c r="AZ227" s="19" t="n">
        <v>0</v>
      </c>
      <c r="BA227" s="19" t="n">
        <v>0</v>
      </c>
      <c r="BB227" s="19" t="n">
        <v>0</v>
      </c>
      <c r="BC227" s="19" t="n">
        <v>0</v>
      </c>
      <c r="BD227" s="19" t="n">
        <v>0</v>
      </c>
      <c r="BE227" s="19" t="n">
        <v>0</v>
      </c>
      <c r="BF227" s="19" t="n">
        <v>0</v>
      </c>
      <c r="BG227" s="19" t="n">
        <v>0</v>
      </c>
      <c r="BH227" s="19" t="n">
        <v>0</v>
      </c>
      <c r="BI227" s="19" t="n">
        <v>0</v>
      </c>
      <c r="BJ227" s="19" t="n">
        <v>0</v>
      </c>
      <c r="BK227" s="19" t="n">
        <v>0</v>
      </c>
      <c r="BL227" s="19" t="n">
        <v>0</v>
      </c>
      <c r="BM227" s="19" t="n">
        <v>0</v>
      </c>
      <c r="BN227" s="19" t="n">
        <v>0</v>
      </c>
      <c r="BO227" s="19" t="n">
        <v>0</v>
      </c>
      <c r="BP227" s="19" t="n">
        <v>0</v>
      </c>
      <c r="BQ227" s="19" t="n">
        <v>0</v>
      </c>
      <c r="BR227" s="19" t="n">
        <v>1</v>
      </c>
      <c r="BS227" s="19" t="n">
        <v>1</v>
      </c>
      <c r="BT227" s="19" t="n">
        <v>5</v>
      </c>
      <c r="BU227" s="19" t="n">
        <v>5</v>
      </c>
      <c r="BV227" s="19" t="n">
        <v>3</v>
      </c>
      <c r="BW227" s="19" t="n">
        <v>1</v>
      </c>
      <c r="BX227" s="19" t="n">
        <v>4</v>
      </c>
      <c r="BY227" s="19" t="n">
        <v>5</v>
      </c>
      <c r="BZ227" s="19" t="n">
        <v>2</v>
      </c>
      <c r="CA227" s="19" t="n">
        <v>5</v>
      </c>
      <c r="CB227" s="19" t="n">
        <v>3</v>
      </c>
      <c r="CC227" s="19" t="n">
        <v>5</v>
      </c>
      <c r="CD227" s="19" t="n">
        <v>5</v>
      </c>
      <c r="CE227" s="19" t="n">
        <v>5</v>
      </c>
      <c r="CF227" s="19" t="n">
        <v>1</v>
      </c>
      <c r="CG227" s="19" t="n">
        <v>5</v>
      </c>
      <c r="CH227" s="19" t="n">
        <v>5</v>
      </c>
      <c r="CI227" s="19" t="n">
        <v>4</v>
      </c>
      <c r="CJ227" s="19" t="n">
        <v>5</v>
      </c>
      <c r="CK227" s="19" t="n">
        <v>10</v>
      </c>
      <c r="CL227" s="0" t="s">
        <v>201</v>
      </c>
      <c r="CM227" s="0" t="n">
        <v>48.5</v>
      </c>
      <c r="CN227" s="16" t="n">
        <v>89.7</v>
      </c>
      <c r="CO227" s="16" t="n">
        <v>80.4</v>
      </c>
      <c r="CP227" s="16" t="n">
        <v>9.3</v>
      </c>
      <c r="CQ227" s="0" t="n">
        <v>100</v>
      </c>
      <c r="CR227" s="17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1.65</v>
      </c>
      <c r="DC227" s="0" t="n">
        <v>2.69</v>
      </c>
      <c r="DD227" s="0" t="n">
        <v>54.55</v>
      </c>
      <c r="DE227" s="0" t="n">
        <v>11.29</v>
      </c>
      <c r="DF227" s="0" t="n">
        <v>0</v>
      </c>
      <c r="DG227" s="0" t="n">
        <v>0</v>
      </c>
      <c r="DH227" s="0" t="n">
        <v>0</v>
      </c>
      <c r="DU227" s="0" t="n">
        <v>30.6</v>
      </c>
      <c r="DV227" s="0" t="n">
        <v>1</v>
      </c>
      <c r="DW227" s="0" t="n">
        <v>35</v>
      </c>
      <c r="DX227" s="0" t="n">
        <v>14</v>
      </c>
      <c r="DY227" s="0" t="n">
        <f aca="false">3.05+1.52+1.52+0.27+0.03+0.07</f>
        <v>6.46</v>
      </c>
      <c r="DZ227" s="0" t="n">
        <v>3</v>
      </c>
      <c r="EA227" s="0" t="n">
        <v>47</v>
      </c>
      <c r="EB227" s="0" t="n">
        <v>6</v>
      </c>
      <c r="EC227" s="0" t="n">
        <f aca="false">1.52+0.27*2</f>
        <v>2.06</v>
      </c>
      <c r="ED227" s="0" t="n">
        <v>3</v>
      </c>
      <c r="EG227" s="20"/>
      <c r="EY227" s="0" t="n">
        <v>0</v>
      </c>
      <c r="GJ227" s="16" t="n">
        <v>3.34</v>
      </c>
      <c r="GK227" s="16" t="n">
        <v>1</v>
      </c>
      <c r="GL227" s="16" t="n">
        <v>1</v>
      </c>
      <c r="GM227" s="16"/>
      <c r="GN227" s="16" t="n">
        <f aca="false">4.23+1.14+2.11+4.23+1.37+0.02+2.03+0.75+0.37+0.13</f>
        <v>16.38</v>
      </c>
      <c r="GO227" s="16"/>
      <c r="GP227" s="16"/>
      <c r="GQ227" s="16"/>
      <c r="GR227" s="16"/>
      <c r="GS227" s="16"/>
      <c r="GT227" s="16"/>
      <c r="GU227" s="16" t="n">
        <v>1.45</v>
      </c>
      <c r="GV227" s="16" t="n">
        <v>1.46</v>
      </c>
      <c r="GW227" s="16" t="n">
        <v>0</v>
      </c>
      <c r="GX227" s="16" t="n">
        <v>0</v>
      </c>
      <c r="GY227" s="16" t="n">
        <v>0</v>
      </c>
      <c r="GZ227" s="16" t="n">
        <v>0</v>
      </c>
      <c r="HA227" s="16" t="n">
        <v>0</v>
      </c>
      <c r="HB227" s="0" t="n">
        <v>0</v>
      </c>
      <c r="HC227" s="0" t="s">
        <v>202</v>
      </c>
      <c r="HD227" s="0" t="n">
        <v>60</v>
      </c>
      <c r="HE227" s="16" t="n">
        <v>55.4</v>
      </c>
      <c r="HF227" s="16" t="n">
        <v>80.4</v>
      </c>
      <c r="HG227" s="16" t="n">
        <v>29.6</v>
      </c>
      <c r="HH227" s="0" t="n">
        <v>76.8</v>
      </c>
      <c r="HI227" s="17" t="n">
        <v>0</v>
      </c>
      <c r="HJ227" s="0" t="n">
        <v>0</v>
      </c>
      <c r="HK227" s="0" t="n">
        <v>0</v>
      </c>
      <c r="HL227" s="0" t="n">
        <v>0</v>
      </c>
      <c r="HN227" s="0" t="n">
        <v>4.83</v>
      </c>
      <c r="HO227" s="0" t="n">
        <v>1.71</v>
      </c>
      <c r="HP227" s="0" t="n">
        <v>0</v>
      </c>
      <c r="HQ227" s="0" t="n">
        <v>0</v>
      </c>
      <c r="HR227" s="0" t="n">
        <v>0</v>
      </c>
      <c r="HS227" s="0" t="n">
        <v>1.51</v>
      </c>
      <c r="HT227" s="0" t="n">
        <v>1.85</v>
      </c>
      <c r="HU227" s="0" t="n">
        <v>2.31</v>
      </c>
      <c r="HV227" s="0" t="n">
        <v>19.08</v>
      </c>
      <c r="HW227" s="0" t="n">
        <v>18.37</v>
      </c>
      <c r="HX227" s="0" t="n">
        <v>0</v>
      </c>
      <c r="HY227" s="0" t="n">
        <v>0</v>
      </c>
      <c r="HZ227" s="0" t="n">
        <v>0</v>
      </c>
      <c r="IF227" s="0" t="n">
        <v>0</v>
      </c>
      <c r="IL227" s="0" t="n">
        <v>22.9</v>
      </c>
      <c r="IM227" s="0" t="n">
        <v>1</v>
      </c>
      <c r="IN227" s="0" t="n">
        <v>34</v>
      </c>
      <c r="IO227" s="0" t="n">
        <v>1</v>
      </c>
      <c r="IP227" s="0" t="n">
        <v>1.19</v>
      </c>
      <c r="IQ227" s="0" t="n">
        <v>1</v>
      </c>
      <c r="IR227" s="0" t="n">
        <v>47</v>
      </c>
      <c r="IS227" s="0" t="n">
        <f aca="false">7+3+1+2+3+5+7+1+7+2+7+5+5</f>
        <v>55</v>
      </c>
      <c r="IT227" s="0" t="n">
        <f aca="false">(0.3*7)+0.15+0.3+0.9+0.6+0.45+0.6+(0.3*3)+(0.3*5)+(0.3*7)+0.9+(0.3*7)+(0.4)+(0.3*7)+(0.3*5)+(0.3*5)</f>
        <v>18.1</v>
      </c>
      <c r="IU227" s="0" t="n">
        <v>2</v>
      </c>
      <c r="IX227" s="20"/>
      <c r="JP227" s="0" t="n">
        <v>0</v>
      </c>
      <c r="LA227" s="16" t="n">
        <v>0.06</v>
      </c>
      <c r="LB227" s="16" t="n">
        <v>1</v>
      </c>
      <c r="LC227" s="16" t="n">
        <v>1</v>
      </c>
      <c r="LD227" s="16"/>
      <c r="LE227" s="16" t="n">
        <v>0.1</v>
      </c>
      <c r="LF227" s="16"/>
      <c r="LG227" s="16"/>
      <c r="LH227" s="16"/>
      <c r="LI227" s="16"/>
      <c r="LJ227" s="16"/>
      <c r="LK227" s="16"/>
      <c r="LL227" s="16" t="n">
        <v>5.42</v>
      </c>
      <c r="LM227" s="16" t="n">
        <v>8.83</v>
      </c>
      <c r="LN227" s="16" t="n">
        <v>0</v>
      </c>
      <c r="LO227" s="16" t="n">
        <v>0</v>
      </c>
      <c r="LP227" s="16" t="n">
        <v>1.99</v>
      </c>
      <c r="LQ227" s="16" t="n">
        <v>0</v>
      </c>
      <c r="LR227" s="16" t="n">
        <v>0</v>
      </c>
      <c r="LS227" s="0" t="n">
        <v>2</v>
      </c>
      <c r="LT227" s="0" t="s">
        <v>727</v>
      </c>
      <c r="LU227" s="0" t="n">
        <v>47.5</v>
      </c>
      <c r="LV227" s="16" t="n">
        <v>58.6</v>
      </c>
      <c r="LW227" s="16" t="n">
        <v>80.4</v>
      </c>
      <c r="LX227" s="16" t="n">
        <v>19.5</v>
      </c>
      <c r="LY227" s="0" t="n">
        <v>76.23</v>
      </c>
      <c r="LZ227" s="17" t="n">
        <v>0</v>
      </c>
      <c r="MA227" s="0" t="n">
        <v>7.5</v>
      </c>
      <c r="MB227" s="0" t="n">
        <v>0</v>
      </c>
      <c r="MC227" s="0" t="n">
        <v>16.26</v>
      </c>
      <c r="MD227" s="0" t="n">
        <v>0</v>
      </c>
      <c r="ME227" s="0" t="n">
        <v>0</v>
      </c>
      <c r="MF227" s="0" t="n">
        <v>0</v>
      </c>
      <c r="MG227" s="0" t="n">
        <v>0</v>
      </c>
      <c r="MH227" s="0" t="n">
        <v>0</v>
      </c>
      <c r="MI227" s="0" t="n">
        <v>0</v>
      </c>
      <c r="MJ227" s="0" t="n">
        <v>0</v>
      </c>
      <c r="MK227" s="0" t="n">
        <v>22.34</v>
      </c>
      <c r="ML227" s="0" t="n">
        <v>19.22</v>
      </c>
      <c r="MM227" s="0" t="n">
        <v>9.8</v>
      </c>
      <c r="MN227" s="0" t="n">
        <v>0.28</v>
      </c>
      <c r="MO227" s="0" t="n">
        <v>0</v>
      </c>
      <c r="NC227" s="0" t="n">
        <v>24.1</v>
      </c>
      <c r="ND227" s="0" t="n">
        <v>1</v>
      </c>
      <c r="NE227" s="0" t="n">
        <v>47</v>
      </c>
      <c r="NF227" s="0" t="n">
        <v>6</v>
      </c>
      <c r="NG227" s="0" t="n">
        <f aca="false">2.28+0.81</f>
        <v>3.09</v>
      </c>
      <c r="NH227" s="0" t="n">
        <v>3</v>
      </c>
      <c r="NI227" s="0" t="n">
        <v>23</v>
      </c>
      <c r="NJ227" s="0" t="n">
        <v>2</v>
      </c>
      <c r="NK227" s="0" t="n">
        <v>0.54</v>
      </c>
      <c r="NL227" s="0" t="n">
        <v>3</v>
      </c>
      <c r="NO227" s="20"/>
      <c r="OG227" s="0" t="n">
        <v>0</v>
      </c>
      <c r="PR227" s="16" t="n">
        <v>0</v>
      </c>
      <c r="PS227" s="16" t="n">
        <v>0</v>
      </c>
      <c r="PT227" s="16"/>
      <c r="PU227" s="16"/>
      <c r="PV227" s="16"/>
      <c r="PW227" s="16"/>
      <c r="PX227" s="16"/>
      <c r="PY227" s="16"/>
      <c r="PZ227" s="16"/>
      <c r="QA227" s="16"/>
      <c r="QB227" s="16"/>
      <c r="QC227" s="16" t="n">
        <v>2.97</v>
      </c>
      <c r="QD227" s="16" t="n">
        <v>2.96</v>
      </c>
      <c r="QE227" s="16" t="n">
        <v>0</v>
      </c>
      <c r="QF227" s="16" t="n">
        <v>0</v>
      </c>
      <c r="QG227" s="16" t="n">
        <v>0</v>
      </c>
      <c r="QH227" s="16" t="n">
        <v>0</v>
      </c>
      <c r="QI227" s="16" t="n">
        <v>0</v>
      </c>
      <c r="QJ227" s="0" t="n">
        <v>0</v>
      </c>
      <c r="QK227" s="0" t="s">
        <v>213</v>
      </c>
      <c r="QL227" s="0" t="n">
        <v>49.5</v>
      </c>
      <c r="QM227" s="16" t="n">
        <v>78.9</v>
      </c>
      <c r="QN227" s="16" t="n">
        <v>80.4</v>
      </c>
      <c r="QO227" s="16" t="n">
        <v>31.1</v>
      </c>
      <c r="QP227" s="0" t="n">
        <v>22.13</v>
      </c>
      <c r="QQ227" s="17" t="n">
        <v>0</v>
      </c>
      <c r="QR227" s="0" t="n">
        <v>0</v>
      </c>
      <c r="QS227" s="0" t="n">
        <v>0</v>
      </c>
      <c r="QT227" s="0" t="n">
        <v>3.8</v>
      </c>
      <c r="QU227" s="0" t="n">
        <v>0</v>
      </c>
      <c r="QV227" s="0" t="n">
        <v>74.07</v>
      </c>
      <c r="QW227" s="0" t="n">
        <v>28.31</v>
      </c>
      <c r="QX227" s="0" t="n">
        <v>0</v>
      </c>
      <c r="QY227" s="0" t="n">
        <v>0</v>
      </c>
      <c r="QZ227" s="0" t="n">
        <v>0</v>
      </c>
      <c r="RA227" s="0" t="n">
        <v>8.07</v>
      </c>
      <c r="RB227" s="0" t="n">
        <v>1.71</v>
      </c>
      <c r="RC227" s="0" t="n">
        <v>33.85</v>
      </c>
      <c r="RD227" s="0" t="n">
        <v>17.12</v>
      </c>
      <c r="RE227" s="0" t="n">
        <v>0</v>
      </c>
      <c r="RF227" s="0" t="n">
        <v>0</v>
      </c>
      <c r="RG227" s="0" t="n">
        <v>0</v>
      </c>
      <c r="RT227" s="0" t="n">
        <v>3.4</v>
      </c>
      <c r="RU227" s="0" t="n">
        <v>1</v>
      </c>
      <c r="RV227" s="0" t="n">
        <v>34</v>
      </c>
      <c r="RW227" s="0" t="n">
        <v>1</v>
      </c>
      <c r="RX227" s="0" t="n">
        <v>1.6</v>
      </c>
      <c r="RY227" s="0" t="n">
        <v>1</v>
      </c>
      <c r="RZ227" s="0" t="n">
        <v>68</v>
      </c>
      <c r="SA227" s="0" t="n">
        <v>2</v>
      </c>
      <c r="SB227" s="0" t="n">
        <f aca="false">0.65+0.11</f>
        <v>0.76</v>
      </c>
      <c r="SC227" s="0" t="n">
        <v>1</v>
      </c>
      <c r="SD227" s="0" t="n">
        <v>52</v>
      </c>
      <c r="SE227" s="0" t="n">
        <v>2</v>
      </c>
      <c r="SF227" s="20" t="n">
        <f aca="false">1.33+0.34</f>
        <v>1.67</v>
      </c>
      <c r="SG227" s="0" t="n">
        <v>2</v>
      </c>
      <c r="SX227" s="0" t="n">
        <v>0</v>
      </c>
      <c r="UI227" s="16" t="n">
        <v>0</v>
      </c>
      <c r="UJ227" s="16" t="n">
        <v>0</v>
      </c>
      <c r="UK227" s="16"/>
      <c r="UL227" s="16"/>
      <c r="UM227" s="16"/>
      <c r="UN227" s="16"/>
      <c r="UO227" s="16"/>
      <c r="UP227" s="16"/>
      <c r="UQ227" s="16"/>
      <c r="UR227" s="16"/>
      <c r="US227" s="16"/>
      <c r="UT227" s="16" t="n">
        <v>5.13</v>
      </c>
      <c r="UU227" s="16" t="n">
        <v>6.28</v>
      </c>
      <c r="UV227" s="16" t="n">
        <v>0</v>
      </c>
      <c r="UW227" s="16" t="n">
        <v>0</v>
      </c>
      <c r="UX227" s="16" t="n">
        <v>6.72</v>
      </c>
      <c r="UY227" s="16" t="n">
        <v>0</v>
      </c>
      <c r="UZ227" s="16" t="n">
        <v>2.54</v>
      </c>
      <c r="VA227" s="0" t="n">
        <v>2</v>
      </c>
      <c r="VE227" s="15"/>
      <c r="VF227" s="15"/>
      <c r="VM227" s="15"/>
      <c r="VN227" s="15"/>
      <c r="VU227" s="15"/>
      <c r="VV227" s="15"/>
      <c r="WC227" s="15"/>
      <c r="WD227" s="15"/>
      <c r="WK227" s="15"/>
      <c r="WL227" s="15"/>
      <c r="WS227" s="15"/>
      <c r="WT227" s="15"/>
      <c r="XA227" s="15"/>
      <c r="XB227" s="15"/>
      <c r="XI227" s="15"/>
      <c r="XJ227" s="15"/>
      <c r="XQ227" s="15"/>
      <c r="XR227" s="15"/>
      <c r="XY227" s="15"/>
      <c r="XZ227" s="15"/>
      <c r="YG227" s="15"/>
      <c r="YH227" s="15"/>
      <c r="YO227" s="15"/>
      <c r="YP227" s="15"/>
      <c r="YW227" s="15"/>
      <c r="YX227" s="15"/>
      <c r="ZE227" s="15"/>
      <c r="ZF227" s="15"/>
      <c r="ZM227" s="15"/>
      <c r="ZN227" s="15"/>
      <c r="ZU227" s="15"/>
      <c r="ZV227" s="15"/>
      <c r="AAC227" s="15"/>
      <c r="AAD227" s="15"/>
      <c r="AAK227" s="15"/>
      <c r="AAL227" s="15"/>
      <c r="AAS227" s="15"/>
      <c r="AAT227" s="15"/>
      <c r="ABA227" s="15"/>
      <c r="ABB227" s="15"/>
      <c r="ABI227" s="15"/>
      <c r="ABJ227" s="15"/>
      <c r="ABQ227" s="15"/>
      <c r="ABR227" s="15"/>
      <c r="ABY227" s="15"/>
      <c r="ABZ227" s="15"/>
      <c r="ACG227" s="15"/>
      <c r="ACH227" s="15"/>
      <c r="ACO227" s="15"/>
      <c r="ACP227" s="15"/>
      <c r="ACW227" s="15"/>
      <c r="ACX227" s="15"/>
      <c r="ADE227" s="15"/>
      <c r="ADF227" s="15"/>
      <c r="ADM227" s="15"/>
      <c r="ADN227" s="15"/>
      <c r="ADU227" s="15"/>
      <c r="ADV227" s="15"/>
      <c r="AEC227" s="15"/>
      <c r="AED227" s="15"/>
      <c r="AEK227" s="15"/>
      <c r="AEL227" s="15"/>
      <c r="AES227" s="15"/>
      <c r="AET227" s="15"/>
      <c r="AFA227" s="15"/>
      <c r="AFB227" s="15"/>
      <c r="AFI227" s="15"/>
      <c r="AFJ227" s="15"/>
      <c r="AFQ227" s="15"/>
      <c r="AFR227" s="15"/>
      <c r="AFY227" s="15"/>
      <c r="AFZ227" s="15"/>
      <c r="AGG227" s="15"/>
      <c r="AGH227" s="15"/>
      <c r="AGO227" s="15"/>
      <c r="AGP227" s="15"/>
      <c r="AGW227" s="15"/>
      <c r="AGX227" s="15"/>
      <c r="AHE227" s="15"/>
      <c r="AHF227" s="15"/>
      <c r="AHM227" s="15"/>
      <c r="AHN227" s="15"/>
      <c r="AHU227" s="15"/>
      <c r="AHV227" s="15"/>
      <c r="AIC227" s="15"/>
      <c r="AID227" s="15"/>
      <c r="AIK227" s="15"/>
      <c r="AIL227" s="15"/>
      <c r="AIS227" s="15"/>
      <c r="AIT227" s="15"/>
      <c r="AJA227" s="15"/>
      <c r="AJB227" s="15"/>
      <c r="AJI227" s="15"/>
      <c r="AJJ227" s="15"/>
      <c r="AJQ227" s="15"/>
      <c r="AJR227" s="15"/>
      <c r="AJY227" s="15"/>
      <c r="AJZ227" s="15"/>
      <c r="AKG227" s="15"/>
      <c r="AKH227" s="15"/>
      <c r="AKO227" s="15"/>
      <c r="AKP227" s="15"/>
      <c r="AKW227" s="15"/>
      <c r="AKX227" s="15"/>
      <c r="ALE227" s="15"/>
      <c r="ALF227" s="15"/>
      <c r="ALM227" s="15"/>
      <c r="ALN227" s="15"/>
      <c r="ALU227" s="15"/>
      <c r="ALV227" s="15"/>
      <c r="AMC227" s="15"/>
      <c r="AMD227" s="15"/>
    </row>
    <row r="228" customFormat="false" ht="13.8" hidden="false" customHeight="false" outlineLevel="0" collapsed="false">
      <c r="A228" s="1" t="s">
        <v>742</v>
      </c>
      <c r="B228" s="12" t="n">
        <v>42902</v>
      </c>
      <c r="C228" s="0" t="n">
        <v>2</v>
      </c>
      <c r="D228" s="13" t="n">
        <v>42786</v>
      </c>
      <c r="E228" s="12" t="n">
        <v>29703</v>
      </c>
      <c r="F228" s="14" t="n">
        <f aca="false">(B228-E228)/365.25</f>
        <v>36.1368925393566</v>
      </c>
      <c r="G228" s="14" t="n">
        <f aca="false">(B228-D228)/365.25</f>
        <v>0.317590691307324</v>
      </c>
      <c r="H228" s="19" t="s">
        <v>181</v>
      </c>
      <c r="I228" s="0" t="s">
        <v>182</v>
      </c>
      <c r="J228" s="21" t="s">
        <v>181</v>
      </c>
      <c r="K228" s="21" t="n">
        <v>4</v>
      </c>
      <c r="L228" s="19" t="n">
        <v>75</v>
      </c>
      <c r="M228" s="0" t="n">
        <v>1.7</v>
      </c>
      <c r="N228" s="16" t="n">
        <f aca="false">L228/(M228*M228)</f>
        <v>25.9515570934256</v>
      </c>
      <c r="O228" s="19" t="n">
        <v>0</v>
      </c>
      <c r="P228" s="19" t="n">
        <v>0</v>
      </c>
      <c r="Q228" s="19" t="n">
        <v>0</v>
      </c>
      <c r="R228" s="26" t="n">
        <v>0</v>
      </c>
      <c r="S228" s="26" t="n">
        <v>0</v>
      </c>
      <c r="T228" s="26" t="n">
        <v>0</v>
      </c>
      <c r="U228" s="19" t="n">
        <v>0</v>
      </c>
      <c r="V228" s="19" t="n">
        <v>0</v>
      </c>
      <c r="W228" s="19" t="n">
        <v>0</v>
      </c>
      <c r="X228" s="19" t="n">
        <v>0</v>
      </c>
      <c r="Y228" s="19" t="n">
        <v>0</v>
      </c>
      <c r="Z228" s="19" t="n">
        <v>0</v>
      </c>
      <c r="AA228" s="19" t="n">
        <v>0</v>
      </c>
      <c r="AB228" s="19" t="n">
        <v>0</v>
      </c>
      <c r="AC228" s="19" t="n">
        <v>1</v>
      </c>
      <c r="AD228" s="19" t="n">
        <v>20</v>
      </c>
      <c r="AE228" s="19" t="n">
        <v>0</v>
      </c>
      <c r="AF228" s="19" t="n">
        <v>0</v>
      </c>
      <c r="AG228" s="19" t="n">
        <v>0</v>
      </c>
      <c r="AH228" s="19" t="n">
        <v>0</v>
      </c>
      <c r="AI228" s="19" t="n">
        <v>0</v>
      </c>
      <c r="AJ228" s="19" t="n">
        <v>0</v>
      </c>
      <c r="AK228" s="19" t="n">
        <v>0</v>
      </c>
      <c r="AL228" s="19" t="n">
        <v>0</v>
      </c>
      <c r="AM228" s="19" t="n">
        <v>0</v>
      </c>
      <c r="AN228" s="19" t="n">
        <v>0</v>
      </c>
      <c r="AO228" s="19" t="n">
        <v>0</v>
      </c>
      <c r="AP228" s="19" t="n">
        <v>0</v>
      </c>
      <c r="AQ228" s="19" t="n">
        <v>0</v>
      </c>
      <c r="AR228" s="19" t="n">
        <v>0</v>
      </c>
      <c r="AS228" s="19" t="n">
        <v>0</v>
      </c>
      <c r="AT228" s="19" t="n">
        <v>0</v>
      </c>
      <c r="AU228" s="19" t="n">
        <v>0</v>
      </c>
      <c r="AV228" s="19" t="n">
        <v>0</v>
      </c>
      <c r="AW228" s="19" t="n">
        <v>0</v>
      </c>
      <c r="AX228" s="19" t="n">
        <v>0</v>
      </c>
      <c r="AY228" s="19" t="n">
        <v>0</v>
      </c>
      <c r="AZ228" s="19" t="n">
        <v>0</v>
      </c>
      <c r="BA228" s="19" t="n">
        <v>0</v>
      </c>
      <c r="BB228" s="19" t="n">
        <v>0</v>
      </c>
      <c r="BC228" s="19" t="n">
        <v>0</v>
      </c>
      <c r="BD228" s="19" t="n">
        <v>0</v>
      </c>
      <c r="BE228" s="19" t="n">
        <v>0</v>
      </c>
      <c r="BF228" s="19" t="n">
        <v>0</v>
      </c>
      <c r="BG228" s="19" t="n">
        <v>0</v>
      </c>
      <c r="BH228" s="19" t="n">
        <v>0</v>
      </c>
      <c r="BI228" s="19" t="n">
        <v>0</v>
      </c>
      <c r="BJ228" s="19" t="n">
        <v>0</v>
      </c>
      <c r="BK228" s="19" t="n">
        <v>0</v>
      </c>
      <c r="BL228" s="19" t="n">
        <v>0</v>
      </c>
      <c r="BM228" s="19" t="n">
        <v>0</v>
      </c>
      <c r="BN228" s="19" t="n">
        <v>0</v>
      </c>
      <c r="BO228" s="19" t="n">
        <v>0</v>
      </c>
      <c r="BP228" s="19" t="n">
        <v>0</v>
      </c>
      <c r="BQ228" s="19" t="n">
        <v>0</v>
      </c>
      <c r="BR228" s="19" t="n">
        <v>2</v>
      </c>
      <c r="BS228" s="19" t="n">
        <v>2</v>
      </c>
      <c r="BT228" s="19" t="n">
        <v>3</v>
      </c>
      <c r="BU228" s="19" t="n">
        <v>5</v>
      </c>
      <c r="BV228" s="19" t="n">
        <v>2</v>
      </c>
      <c r="BW228" s="19" t="n">
        <v>5</v>
      </c>
      <c r="BX228" s="19" t="n">
        <v>5</v>
      </c>
      <c r="BY228" s="19" t="n">
        <v>4</v>
      </c>
      <c r="BZ228" s="19" t="n">
        <v>3</v>
      </c>
      <c r="CA228" s="19" t="n">
        <v>5</v>
      </c>
      <c r="CB228" s="19" t="n">
        <v>5</v>
      </c>
      <c r="CC228" s="19" t="n">
        <v>5</v>
      </c>
      <c r="CD228" s="19" t="n">
        <v>5</v>
      </c>
      <c r="CE228" s="19" t="n">
        <v>5</v>
      </c>
      <c r="CF228" s="19" t="n">
        <v>5</v>
      </c>
      <c r="CG228" s="19" t="n">
        <v>5</v>
      </c>
      <c r="CH228" s="19" t="n">
        <v>5</v>
      </c>
      <c r="CI228" s="19" t="n">
        <v>5</v>
      </c>
      <c r="CJ228" s="19" t="n">
        <v>4</v>
      </c>
      <c r="CK228" s="19" t="n">
        <v>10</v>
      </c>
      <c r="CL228" s="0" t="s">
        <v>186</v>
      </c>
      <c r="CM228" s="0" t="n">
        <v>52.5</v>
      </c>
      <c r="CN228" s="16" t="n">
        <v>78.3</v>
      </c>
      <c r="CO228" s="16" t="n">
        <v>80.4</v>
      </c>
      <c r="CP228" s="16" t="n">
        <v>33.2</v>
      </c>
      <c r="CQ228" s="0" t="n">
        <v>67.5</v>
      </c>
      <c r="CR228" s="17" t="n">
        <v>0</v>
      </c>
      <c r="CS228" s="0" t="n">
        <v>21.37</v>
      </c>
      <c r="CT228" s="0" t="n">
        <v>0</v>
      </c>
      <c r="CU228" s="0" t="n">
        <v>3.99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5.93</v>
      </c>
      <c r="DD228" s="0" t="n">
        <v>42.2</v>
      </c>
      <c r="DE228" s="0" t="n">
        <v>15.97</v>
      </c>
      <c r="DF228" s="0" t="n">
        <v>7.14</v>
      </c>
      <c r="DG228" s="0" t="n">
        <v>0</v>
      </c>
      <c r="DH228" s="0" t="n">
        <v>0</v>
      </c>
      <c r="DU228" s="0" t="n">
        <v>1.7</v>
      </c>
      <c r="DV228" s="0" t="n">
        <v>1</v>
      </c>
      <c r="DW228" s="0" t="n">
        <v>34</v>
      </c>
      <c r="DX228" s="0" t="n">
        <v>5</v>
      </c>
      <c r="DY228" s="0" t="n">
        <v>0.21</v>
      </c>
      <c r="DZ228" s="0" t="n">
        <v>1</v>
      </c>
      <c r="EA228" s="0" t="n">
        <v>68</v>
      </c>
      <c r="EB228" s="0" t="n">
        <v>3</v>
      </c>
      <c r="EC228" s="0" t="n">
        <v>0.3</v>
      </c>
      <c r="ED228" s="0" t="n">
        <v>1</v>
      </c>
      <c r="EE228" s="0" t="n">
        <v>47</v>
      </c>
      <c r="EF228" s="0" t="n">
        <v>4</v>
      </c>
      <c r="EG228" s="18" t="n">
        <v>0.11</v>
      </c>
      <c r="EH228" s="0" t="n">
        <v>1</v>
      </c>
      <c r="EI228" s="0" t="n">
        <v>35</v>
      </c>
      <c r="EJ228" s="0" t="n">
        <v>2</v>
      </c>
      <c r="EK228" s="0" t="n">
        <v>0.1</v>
      </c>
      <c r="EL228" s="0" t="n">
        <v>1</v>
      </c>
      <c r="EY228" s="0" t="n">
        <v>0</v>
      </c>
      <c r="GJ228" s="16" t="n">
        <v>1.04</v>
      </c>
      <c r="GK228" s="16" t="n">
        <v>1</v>
      </c>
      <c r="GL228" s="16" t="n">
        <v>1</v>
      </c>
      <c r="GM228" s="16"/>
      <c r="GN228" s="16" t="n">
        <f aca="false">3.74+3.17+0.1</f>
        <v>7.01</v>
      </c>
      <c r="GO228" s="16"/>
      <c r="GP228" s="16"/>
      <c r="GQ228" s="16"/>
      <c r="GR228" s="16"/>
      <c r="GS228" s="16"/>
      <c r="GT228" s="16"/>
      <c r="GU228" s="16" t="n">
        <v>8.9</v>
      </c>
      <c r="GV228" s="16" t="n">
        <v>9.79</v>
      </c>
      <c r="GW228" s="16"/>
      <c r="GX228" s="16"/>
      <c r="GY228" s="16" t="n">
        <v>2.99</v>
      </c>
      <c r="GZ228" s="16" t="n">
        <v>4</v>
      </c>
      <c r="HA228" s="16" t="n">
        <v>3</v>
      </c>
      <c r="HB228" s="0" t="n">
        <v>0</v>
      </c>
      <c r="HC228" s="0" t="s">
        <v>189</v>
      </c>
      <c r="HD228" s="0" t="n">
        <v>31</v>
      </c>
      <c r="HE228" s="16" t="n">
        <v>80.2</v>
      </c>
      <c r="HF228" s="16" t="n">
        <v>80.4</v>
      </c>
      <c r="HG228" s="16" t="n">
        <v>6.5</v>
      </c>
      <c r="HH228" s="0" t="n">
        <v>99.3</v>
      </c>
      <c r="HI228" s="17" t="n">
        <v>0</v>
      </c>
      <c r="HJ228" s="0" t="n">
        <v>0.7</v>
      </c>
      <c r="HK228" s="0" t="n">
        <v>0</v>
      </c>
      <c r="HL228" s="0" t="n">
        <v>0</v>
      </c>
      <c r="HM228" s="0" t="n">
        <v>0</v>
      </c>
      <c r="HN228" s="0" t="n">
        <v>0</v>
      </c>
      <c r="HO228" s="0" t="n">
        <v>0</v>
      </c>
      <c r="HP228" s="0" t="n">
        <v>0</v>
      </c>
      <c r="HQ228" s="0" t="n">
        <v>0</v>
      </c>
      <c r="HR228" s="0" t="n">
        <v>0</v>
      </c>
      <c r="HS228" s="0" t="n">
        <v>0</v>
      </c>
      <c r="HT228" s="0" t="n">
        <v>31.92</v>
      </c>
      <c r="HU228" s="0" t="n">
        <v>23.7</v>
      </c>
      <c r="HV228" s="0" t="n">
        <v>1.95</v>
      </c>
      <c r="HW228" s="0" t="n">
        <v>0</v>
      </c>
      <c r="HX228" s="0" t="n">
        <v>18.7</v>
      </c>
      <c r="HY228" s="0" t="n">
        <v>4</v>
      </c>
      <c r="HZ228" s="0" t="n">
        <v>49</v>
      </c>
      <c r="IB228" s="0" t="n">
        <v>1</v>
      </c>
      <c r="IF228" s="0" t="n">
        <v>49</v>
      </c>
      <c r="IH228" s="0" t="n">
        <v>1</v>
      </c>
      <c r="IL228" s="0" t="n">
        <v>0</v>
      </c>
      <c r="IM228" s="0" t="n">
        <v>0</v>
      </c>
      <c r="IX228" s="18"/>
      <c r="JP228" s="0" t="n">
        <v>0</v>
      </c>
      <c r="LA228" s="16" t="n">
        <v>0</v>
      </c>
      <c r="LB228" s="16" t="n">
        <v>0</v>
      </c>
      <c r="LC228" s="16"/>
      <c r="LD228" s="16"/>
      <c r="LE228" s="16"/>
      <c r="LF228" s="16"/>
      <c r="LG228" s="16"/>
      <c r="LH228" s="16"/>
      <c r="LI228" s="16"/>
      <c r="LJ228" s="16"/>
      <c r="LK228" s="16"/>
      <c r="LL228" s="16" t="n">
        <v>5.42</v>
      </c>
      <c r="LM228" s="16" t="n">
        <v>6.61</v>
      </c>
      <c r="LN228" s="16"/>
      <c r="LO228" s="16"/>
      <c r="LP228" s="16" t="n">
        <v>0</v>
      </c>
      <c r="LQ228" s="16" t="n">
        <v>0</v>
      </c>
      <c r="LR228" s="16" t="n">
        <v>0</v>
      </c>
      <c r="LS228" s="0" t="n">
        <v>0</v>
      </c>
      <c r="LT228" s="0" t="s">
        <v>190</v>
      </c>
      <c r="LU228" s="0" t="n">
        <v>38.5</v>
      </c>
      <c r="LV228" s="16" t="n">
        <v>92</v>
      </c>
      <c r="LW228" s="16" t="n">
        <v>80.4</v>
      </c>
      <c r="LX228" s="16" t="n">
        <v>11</v>
      </c>
      <c r="LY228" s="0" t="n">
        <v>95.37</v>
      </c>
      <c r="LZ228" s="17" t="n">
        <v>0</v>
      </c>
      <c r="MA228" s="0" t="n">
        <v>4.63</v>
      </c>
      <c r="MB228" s="0" t="n">
        <v>0</v>
      </c>
      <c r="MC228" s="0" t="n">
        <v>0</v>
      </c>
      <c r="MD228" s="0" t="n">
        <v>0</v>
      </c>
      <c r="ME228" s="0" t="n">
        <v>0</v>
      </c>
      <c r="MF228" s="0" t="n">
        <v>0</v>
      </c>
      <c r="MG228" s="0" t="n">
        <v>0</v>
      </c>
      <c r="MH228" s="0" t="n">
        <v>0</v>
      </c>
      <c r="MI228" s="0" t="n">
        <v>0</v>
      </c>
      <c r="MJ228" s="0" t="n">
        <v>2.85</v>
      </c>
      <c r="MK228" s="0" t="n">
        <v>16.15</v>
      </c>
      <c r="ML228" s="0" t="n">
        <v>42.55</v>
      </c>
      <c r="MM228" s="0" t="n">
        <v>4.63</v>
      </c>
      <c r="MN228" s="0" t="n">
        <v>0</v>
      </c>
      <c r="MO228" s="0" t="n">
        <v>5.7</v>
      </c>
      <c r="MP228" s="0" t="n">
        <v>1</v>
      </c>
      <c r="MQ228" s="0" t="n">
        <v>3</v>
      </c>
      <c r="MS228" s="0" t="n">
        <v>1</v>
      </c>
      <c r="MW228" s="0" t="n">
        <v>3</v>
      </c>
      <c r="MY228" s="0" t="n">
        <v>1</v>
      </c>
      <c r="NC228" s="0" t="n">
        <v>4.8</v>
      </c>
      <c r="ND228" s="0" t="n">
        <v>0</v>
      </c>
      <c r="NO228" s="18"/>
      <c r="OG228" s="0" t="n">
        <v>1</v>
      </c>
      <c r="OH228" s="0" t="n">
        <v>70</v>
      </c>
      <c r="OI228" s="0" t="n">
        <v>3</v>
      </c>
      <c r="OJ228" s="0" t="n">
        <f aca="false">14.97+0.86+0.7</f>
        <v>16.53</v>
      </c>
      <c r="OK228" s="0" t="n">
        <v>3</v>
      </c>
      <c r="OL228" s="0" t="n">
        <v>60</v>
      </c>
      <c r="OM228" s="0" t="n">
        <v>3</v>
      </c>
      <c r="ON228" s="0" t="n">
        <f aca="false">3.02+0.97+0.6</f>
        <v>4.59</v>
      </c>
      <c r="OO228" s="0" t="n">
        <v>3</v>
      </c>
      <c r="PR228" s="16" t="n">
        <v>2.82</v>
      </c>
      <c r="PS228" s="16" t="n">
        <v>1</v>
      </c>
      <c r="PT228" s="16" t="n">
        <v>1</v>
      </c>
      <c r="PU228" s="16"/>
      <c r="PV228" s="16" t="n">
        <f aca="false">0.93*2</f>
        <v>1.86</v>
      </c>
      <c r="PW228" s="16" t="n">
        <v>2</v>
      </c>
      <c r="PX228" s="16"/>
      <c r="PY228" s="16" t="n">
        <f aca="false">9.6+1.93</f>
        <v>11.53</v>
      </c>
      <c r="PZ228" s="16"/>
      <c r="QA228" s="16"/>
      <c r="QB228" s="16"/>
      <c r="QC228" s="16" t="n">
        <v>13.91</v>
      </c>
      <c r="QD228" s="16" t="n">
        <v>17.31</v>
      </c>
      <c r="QE228" s="16"/>
      <c r="QF228" s="16"/>
      <c r="QG228" s="16" t="n">
        <v>0</v>
      </c>
      <c r="QH228" s="16" t="n">
        <v>0</v>
      </c>
      <c r="QI228" s="16" t="n">
        <v>0</v>
      </c>
      <c r="QJ228" s="0" t="n">
        <v>0</v>
      </c>
      <c r="QK228" s="0" t="s">
        <v>192</v>
      </c>
      <c r="QL228" s="0" t="n">
        <v>47.5</v>
      </c>
      <c r="QM228" s="16" t="n">
        <v>79.3</v>
      </c>
      <c r="QN228" s="16" t="n">
        <v>80.4</v>
      </c>
      <c r="QO228" s="16" t="n">
        <v>36.3</v>
      </c>
      <c r="QP228" s="0" t="n">
        <v>66.23</v>
      </c>
      <c r="QQ228" s="17" t="n">
        <v>0</v>
      </c>
      <c r="QR228" s="0" t="n">
        <v>33.77</v>
      </c>
      <c r="QS228" s="0" t="n">
        <v>0</v>
      </c>
      <c r="QT228" s="0" t="n">
        <v>0</v>
      </c>
      <c r="QU228" s="0" t="n">
        <v>0</v>
      </c>
      <c r="QV228" s="0" t="n">
        <v>0</v>
      </c>
      <c r="QW228" s="0" t="n">
        <v>0</v>
      </c>
      <c r="QX228" s="0" t="n">
        <v>0</v>
      </c>
      <c r="QY228" s="0" t="n">
        <v>0</v>
      </c>
      <c r="QZ228" s="0" t="n">
        <v>0</v>
      </c>
      <c r="RA228" s="0" t="n">
        <v>0</v>
      </c>
      <c r="RB228" s="0" t="n">
        <v>38.37</v>
      </c>
      <c r="RC228" s="0" t="n">
        <v>20.04</v>
      </c>
      <c r="RD228" s="0" t="n">
        <v>11.21</v>
      </c>
      <c r="RE228" s="0" t="n">
        <v>0</v>
      </c>
      <c r="RF228" s="0" t="n">
        <v>0</v>
      </c>
      <c r="RG228" s="0" t="n">
        <v>0</v>
      </c>
      <c r="RT228" s="0" t="n">
        <v>6.9</v>
      </c>
      <c r="RU228" s="0" t="n">
        <v>1</v>
      </c>
      <c r="RV228" s="0" t="n">
        <v>47</v>
      </c>
      <c r="RW228" s="0" t="n">
        <v>3</v>
      </c>
      <c r="RX228" s="0" t="n">
        <f aca="false">0.11+0.74+0.08</f>
        <v>0.93</v>
      </c>
      <c r="RY228" s="0" t="n">
        <v>3</v>
      </c>
      <c r="RZ228" s="0" t="n">
        <v>68</v>
      </c>
      <c r="SA228" s="0" t="n">
        <v>1</v>
      </c>
      <c r="SB228" s="0" t="n">
        <v>0.76</v>
      </c>
      <c r="SC228" s="0" t="n">
        <v>1</v>
      </c>
      <c r="SF228" s="18"/>
      <c r="SX228" s="0" t="n">
        <v>0</v>
      </c>
      <c r="UI228" s="16" t="n">
        <v>2.61</v>
      </c>
      <c r="UJ228" s="16" t="n">
        <v>1</v>
      </c>
      <c r="UK228" s="16" t="n">
        <v>2</v>
      </c>
      <c r="UL228" s="16"/>
      <c r="UM228" s="16" t="n">
        <f aca="false">5.22+0.29</f>
        <v>5.51</v>
      </c>
      <c r="UN228" s="16" t="n">
        <v>2</v>
      </c>
      <c r="UO228" s="16"/>
      <c r="UP228" s="16" t="n">
        <f aca="false">0.61+3.74</f>
        <v>4.35</v>
      </c>
      <c r="UQ228" s="16"/>
      <c r="UR228" s="16"/>
      <c r="US228" s="16"/>
      <c r="UT228" s="16" t="n">
        <v>0</v>
      </c>
      <c r="UU228" s="16" t="n">
        <v>0</v>
      </c>
      <c r="UV228" s="16"/>
      <c r="UW228" s="16"/>
      <c r="UX228" s="16" t="n">
        <v>0</v>
      </c>
      <c r="UY228" s="16" t="n">
        <v>0</v>
      </c>
      <c r="UZ228" s="16" t="n">
        <v>0</v>
      </c>
      <c r="VA228" s="0" t="n">
        <v>0</v>
      </c>
      <c r="VB228" s="0" t="s">
        <v>636</v>
      </c>
      <c r="VC228" s="0" t="n">
        <v>48</v>
      </c>
      <c r="VD228" s="16" t="n">
        <v>66.2</v>
      </c>
      <c r="VE228" s="16" t="n">
        <v>80.4</v>
      </c>
      <c r="VF228" s="16" t="n">
        <v>40.1</v>
      </c>
      <c r="VG228" s="0" t="n">
        <v>62.33</v>
      </c>
      <c r="VH228" s="17" t="n">
        <v>0</v>
      </c>
      <c r="VI228" s="0" t="n">
        <v>37.67</v>
      </c>
      <c r="VJ228" s="0" t="n">
        <v>0</v>
      </c>
      <c r="VK228" s="0" t="n">
        <v>0</v>
      </c>
      <c r="VL228" s="0" t="n">
        <v>0</v>
      </c>
      <c r="VM228" s="0" t="n">
        <v>0</v>
      </c>
      <c r="VN228" s="0" t="n">
        <v>0</v>
      </c>
      <c r="VO228" s="0" t="n">
        <v>0</v>
      </c>
      <c r="VP228" s="0" t="n">
        <v>0</v>
      </c>
      <c r="VQ228" s="0" t="n">
        <v>0</v>
      </c>
      <c r="VR228" s="0" t="n">
        <v>0</v>
      </c>
      <c r="VS228" s="0" t="n">
        <v>6.02</v>
      </c>
      <c r="VT228" s="0" t="n">
        <v>19.5</v>
      </c>
      <c r="VU228" s="0" t="n">
        <v>10.54</v>
      </c>
      <c r="VV228" s="0" t="n">
        <v>0</v>
      </c>
      <c r="VW228" s="0" t="n">
        <v>0</v>
      </c>
      <c r="VX228" s="0" t="n">
        <v>0</v>
      </c>
      <c r="WK228" s="0" t="n">
        <v>4.6</v>
      </c>
      <c r="WL228" s="0" t="n">
        <v>1</v>
      </c>
      <c r="WM228" s="0" t="n">
        <v>68</v>
      </c>
      <c r="WN228" s="0" t="n">
        <v>2</v>
      </c>
      <c r="WO228" s="0" t="n">
        <v>1.5</v>
      </c>
      <c r="WP228" s="0" t="n">
        <v>1</v>
      </c>
      <c r="WQ228" s="0" t="n">
        <v>35</v>
      </c>
      <c r="WR228" s="0" t="n">
        <v>1</v>
      </c>
      <c r="WS228" s="0" t="n">
        <v>0.45</v>
      </c>
      <c r="WT228" s="0" t="n">
        <v>3</v>
      </c>
      <c r="WW228" s="18"/>
      <c r="XO228" s="0" t="n">
        <v>0</v>
      </c>
      <c r="YZ228" s="16" t="n">
        <v>0</v>
      </c>
      <c r="ZA228" s="16" t="n">
        <v>0</v>
      </c>
      <c r="ZB228" s="16"/>
      <c r="ZC228" s="16"/>
      <c r="ZD228" s="16"/>
      <c r="ZE228" s="16"/>
      <c r="ZF228" s="16"/>
      <c r="ZG228" s="16"/>
      <c r="ZH228" s="16"/>
      <c r="ZI228" s="16"/>
      <c r="ZJ228" s="16"/>
      <c r="ZK228" s="16" t="n">
        <v>1.88</v>
      </c>
      <c r="ZL228" s="16" t="n">
        <v>1.88</v>
      </c>
      <c r="ZM228" s="16"/>
      <c r="ZN228" s="16"/>
      <c r="ZO228" s="16" t="n">
        <v>0</v>
      </c>
      <c r="ZP228" s="16" t="n">
        <v>0</v>
      </c>
      <c r="ZQ228" s="16" t="n">
        <v>0</v>
      </c>
      <c r="ZR228" s="0" t="n">
        <v>0</v>
      </c>
      <c r="ZS228" s="0" t="s">
        <v>192</v>
      </c>
      <c r="ZT228" s="0" t="n">
        <v>47.5</v>
      </c>
      <c r="ZU228" s="16" t="n">
        <v>79.3</v>
      </c>
      <c r="ZV228" s="16" t="n">
        <v>80.4</v>
      </c>
      <c r="ZW228" s="16" t="n">
        <v>36.3</v>
      </c>
      <c r="ZX228" s="0" t="n">
        <v>66.23</v>
      </c>
      <c r="ZY228" s="17" t="n">
        <v>0</v>
      </c>
      <c r="ZZ228" s="0" t="n">
        <v>33.77</v>
      </c>
      <c r="AAA228" s="0" t="n">
        <v>0</v>
      </c>
      <c r="AAB228" s="0" t="n">
        <v>0</v>
      </c>
      <c r="AAC228" s="0" t="n">
        <v>0</v>
      </c>
      <c r="AAD228" s="0" t="n">
        <v>0</v>
      </c>
      <c r="AAE228" s="0" t="n">
        <v>0</v>
      </c>
      <c r="AAF228" s="0" t="n">
        <v>0</v>
      </c>
      <c r="AAG228" s="0" t="n">
        <v>0</v>
      </c>
      <c r="AAH228" s="0" t="n">
        <v>0</v>
      </c>
      <c r="AAI228" s="0" t="n">
        <v>0</v>
      </c>
      <c r="AAJ228" s="0" t="n">
        <v>38.37</v>
      </c>
      <c r="AAK228" s="0" t="n">
        <v>20.04</v>
      </c>
      <c r="AAL228" s="0" t="n">
        <v>11.21</v>
      </c>
      <c r="AAM228" s="0" t="n">
        <v>0</v>
      </c>
      <c r="AAN228" s="0" t="n">
        <v>0</v>
      </c>
      <c r="AAO228" s="0" t="n">
        <v>0</v>
      </c>
      <c r="ABB228" s="0" t="n">
        <v>6.9</v>
      </c>
      <c r="ABC228" s="0" t="n">
        <v>1</v>
      </c>
      <c r="ABD228" s="0" t="n">
        <v>47</v>
      </c>
      <c r="ABE228" s="0" t="n">
        <v>3</v>
      </c>
      <c r="ABF228" s="0" t="n">
        <f aca="false">0.11+0.74+0.08</f>
        <v>0.93</v>
      </c>
      <c r="ABG228" s="0" t="n">
        <v>3</v>
      </c>
      <c r="ABH228" s="0" t="n">
        <v>68</v>
      </c>
      <c r="ABI228" s="0" t="n">
        <v>1</v>
      </c>
      <c r="ABJ228" s="0" t="n">
        <v>0.76</v>
      </c>
      <c r="ABK228" s="0" t="n">
        <v>1</v>
      </c>
      <c r="ABN228" s="18"/>
      <c r="ACF228" s="0" t="n">
        <v>0</v>
      </c>
      <c r="ADQ228" s="16" t="n">
        <v>2.61</v>
      </c>
      <c r="ADR228" s="16" t="n">
        <v>1</v>
      </c>
      <c r="ADS228" s="16" t="n">
        <v>2</v>
      </c>
      <c r="ADT228" s="16"/>
      <c r="ADU228" s="16" t="n">
        <f aca="false">5.22+0.29</f>
        <v>5.51</v>
      </c>
      <c r="ADV228" s="16" t="n">
        <v>2</v>
      </c>
      <c r="ADW228" s="16"/>
      <c r="ADX228" s="16" t="n">
        <f aca="false">0.61+3.74</f>
        <v>4.35</v>
      </c>
      <c r="ADY228" s="16"/>
      <c r="ADZ228" s="16"/>
      <c r="AEA228" s="16"/>
      <c r="AEB228" s="16" t="n">
        <v>0</v>
      </c>
      <c r="AEC228" s="16" t="n">
        <v>0</v>
      </c>
      <c r="AED228" s="16"/>
      <c r="AEE228" s="16"/>
      <c r="AEF228" s="16" t="n">
        <v>0</v>
      </c>
      <c r="AEG228" s="16" t="n">
        <v>0</v>
      </c>
      <c r="AEH228" s="16" t="n">
        <v>0</v>
      </c>
      <c r="AEI228" s="0" t="n">
        <v>0</v>
      </c>
      <c r="AEJ228" s="34"/>
      <c r="AEK228" s="15"/>
      <c r="AEL228" s="15"/>
      <c r="AEN228" s="34"/>
      <c r="AEO228" s="34"/>
      <c r="AER228" s="34"/>
      <c r="AES228" s="15"/>
      <c r="AET228" s="15"/>
      <c r="AEV228" s="34"/>
      <c r="AEW228" s="34"/>
      <c r="AEZ228" s="34"/>
      <c r="AFA228" s="15"/>
      <c r="AFB228" s="15"/>
      <c r="AFD228" s="34"/>
      <c r="AFE228" s="34"/>
      <c r="AFH228" s="34"/>
      <c r="AFI228" s="15"/>
      <c r="AFJ228" s="15"/>
      <c r="AFL228" s="34"/>
      <c r="AFM228" s="34"/>
      <c r="AFP228" s="34"/>
      <c r="AFQ228" s="15"/>
      <c r="AFR228" s="15"/>
      <c r="AFT228" s="34"/>
      <c r="AFU228" s="34"/>
      <c r="AFX228" s="34"/>
      <c r="AFY228" s="15"/>
      <c r="AFZ228" s="15"/>
      <c r="AGB228" s="34"/>
      <c r="AGC228" s="34"/>
      <c r="AGF228" s="34"/>
      <c r="AGG228" s="15"/>
      <c r="AGH228" s="15"/>
      <c r="AGJ228" s="34"/>
      <c r="AGK228" s="34"/>
      <c r="AGN228" s="34"/>
      <c r="AGO228" s="15"/>
      <c r="AGP228" s="15"/>
      <c r="AGR228" s="34"/>
      <c r="AGS228" s="34"/>
      <c r="AGV228" s="34"/>
      <c r="AGW228" s="15"/>
      <c r="AGX228" s="15"/>
      <c r="AGZ228" s="34"/>
      <c r="AHA228" s="34"/>
      <c r="AHD228" s="34"/>
      <c r="AHE228" s="15"/>
      <c r="AHF228" s="15"/>
      <c r="AHH228" s="34"/>
      <c r="AHI228" s="34"/>
      <c r="AHL228" s="34"/>
      <c r="AHM228" s="15"/>
      <c r="AHN228" s="15"/>
      <c r="AHP228" s="34"/>
      <c r="AHQ228" s="34"/>
      <c r="AHT228" s="34"/>
      <c r="AHU228" s="15"/>
      <c r="AHV228" s="15"/>
      <c r="AHX228" s="34"/>
      <c r="AHY228" s="34"/>
      <c r="AIB228" s="34"/>
      <c r="AIC228" s="15"/>
      <c r="AID228" s="15"/>
      <c r="AIF228" s="34"/>
      <c r="AIG228" s="34"/>
      <c r="AIJ228" s="34"/>
      <c r="AIK228" s="15"/>
      <c r="AIL228" s="15"/>
      <c r="AIN228" s="34"/>
      <c r="AIO228" s="34"/>
      <c r="AIR228" s="34"/>
      <c r="AIS228" s="15"/>
      <c r="AIT228" s="15"/>
      <c r="AIV228" s="34"/>
      <c r="AIW228" s="34"/>
      <c r="AIZ228" s="34"/>
      <c r="AJA228" s="15"/>
      <c r="AJB228" s="15"/>
      <c r="AJD228" s="34"/>
      <c r="AJE228" s="34"/>
      <c r="AJH228" s="34"/>
      <c r="AJI228" s="15"/>
      <c r="AJJ228" s="15"/>
      <c r="AJL228" s="34"/>
      <c r="AJM228" s="34"/>
      <c r="AJP228" s="34"/>
      <c r="AJQ228" s="15"/>
      <c r="AJR228" s="15"/>
      <c r="AJT228" s="34"/>
      <c r="AJU228" s="34"/>
      <c r="AJX228" s="34"/>
      <c r="AJY228" s="15"/>
      <c r="AJZ228" s="15"/>
      <c r="AKB228" s="34"/>
      <c r="AKC228" s="34"/>
      <c r="AKF228" s="34"/>
      <c r="AKG228" s="15"/>
      <c r="AKH228" s="15"/>
      <c r="AKJ228" s="34"/>
      <c r="AKK228" s="34"/>
      <c r="AKN228" s="34"/>
      <c r="AKO228" s="15"/>
      <c r="AKP228" s="15"/>
      <c r="AKR228" s="34"/>
      <c r="AKS228" s="34"/>
      <c r="AKV228" s="34"/>
      <c r="AKW228" s="15"/>
      <c r="AKX228" s="15"/>
      <c r="AKZ228" s="34"/>
      <c r="ALA228" s="34"/>
      <c r="ALD228" s="34"/>
      <c r="ALE228" s="15"/>
      <c r="ALF228" s="15"/>
      <c r="ALH228" s="34"/>
      <c r="ALI228" s="34"/>
      <c r="ALL228" s="34"/>
      <c r="ALM228" s="15"/>
      <c r="ALN228" s="15"/>
      <c r="ALP228" s="34"/>
      <c r="ALQ228" s="34"/>
      <c r="ALT228" s="34"/>
      <c r="ALU228" s="15"/>
      <c r="ALV228" s="15"/>
      <c r="ALX228" s="34"/>
      <c r="ALY228" s="34"/>
      <c r="AMB228" s="34"/>
      <c r="AMC228" s="15"/>
      <c r="AMD228" s="15"/>
      <c r="AMF228" s="34"/>
      <c r="AMG228" s="34"/>
      <c r="AMJ228" s="34"/>
    </row>
    <row r="229" customFormat="false" ht="13.8" hidden="false" customHeight="false" outlineLevel="0" collapsed="false">
      <c r="A229" s="1" t="s">
        <v>743</v>
      </c>
      <c r="B229" s="12" t="n">
        <v>42871</v>
      </c>
      <c r="C229" s="0" t="n">
        <v>2</v>
      </c>
      <c r="D229" s="13" t="n">
        <v>42807</v>
      </c>
      <c r="E229" s="12" t="n">
        <v>26883</v>
      </c>
      <c r="F229" s="14" t="n">
        <f aca="false">(B229-E229)/365.25</f>
        <v>43.772758384668</v>
      </c>
      <c r="G229" s="14" t="n">
        <f aca="false">(B229-D229)/365.25</f>
        <v>0.175222450376454</v>
      </c>
      <c r="H229" s="19" t="s">
        <v>181</v>
      </c>
      <c r="I229" s="0" t="s">
        <v>182</v>
      </c>
      <c r="J229" s="21" t="s">
        <v>183</v>
      </c>
      <c r="K229" s="21" t="n">
        <v>4</v>
      </c>
      <c r="L229" s="19" t="n">
        <v>72</v>
      </c>
      <c r="M229" s="0" t="n">
        <v>1.6</v>
      </c>
      <c r="N229" s="16" t="n">
        <f aca="false">L229/(M229*M229)</f>
        <v>28.125</v>
      </c>
      <c r="O229" s="19" t="n">
        <v>0</v>
      </c>
      <c r="P229" s="19" t="n">
        <v>0</v>
      </c>
      <c r="Q229" s="19" t="n">
        <v>0</v>
      </c>
      <c r="R229" s="26" t="n">
        <v>0</v>
      </c>
      <c r="S229" s="26" t="n">
        <v>0</v>
      </c>
      <c r="T229" s="26" t="n">
        <v>0</v>
      </c>
      <c r="U229" s="19" t="n">
        <v>0</v>
      </c>
      <c r="V229" s="19" t="n">
        <v>0</v>
      </c>
      <c r="W229" s="19" t="n">
        <v>0</v>
      </c>
      <c r="X229" s="19" t="n">
        <v>0</v>
      </c>
      <c r="Y229" s="19" t="n">
        <v>1</v>
      </c>
      <c r="Z229" s="19" t="n">
        <v>2</v>
      </c>
      <c r="AA229" s="19" t="n">
        <v>0</v>
      </c>
      <c r="AB229" s="19" t="s">
        <v>349</v>
      </c>
      <c r="AC229" s="19" t="n">
        <v>0</v>
      </c>
      <c r="AD229" s="19" t="n">
        <v>0</v>
      </c>
      <c r="AE229" s="19" t="n">
        <v>0</v>
      </c>
      <c r="AF229" s="19" t="n">
        <v>0</v>
      </c>
      <c r="AG229" s="19" t="n">
        <v>0</v>
      </c>
      <c r="AH229" s="19" t="n">
        <v>0</v>
      </c>
      <c r="AI229" s="19" t="n">
        <v>0</v>
      </c>
      <c r="AJ229" s="19" t="n">
        <v>0</v>
      </c>
      <c r="AK229" s="19" t="n">
        <v>0</v>
      </c>
      <c r="AL229" s="19" t="n">
        <v>0</v>
      </c>
      <c r="AM229" s="19" t="n">
        <v>0</v>
      </c>
      <c r="AN229" s="19" t="n">
        <v>0</v>
      </c>
      <c r="AO229" s="19" t="n">
        <v>0</v>
      </c>
      <c r="AP229" s="19" t="n">
        <v>0</v>
      </c>
      <c r="AQ229" s="19" t="n">
        <v>0</v>
      </c>
      <c r="AR229" s="19" t="n">
        <v>0</v>
      </c>
      <c r="AS229" s="19" t="n">
        <v>0</v>
      </c>
      <c r="AT229" s="19" t="n">
        <v>0</v>
      </c>
      <c r="AU229" s="19" t="n">
        <v>0</v>
      </c>
      <c r="AV229" s="19" t="n">
        <v>0</v>
      </c>
      <c r="AW229" s="19" t="n">
        <v>0</v>
      </c>
      <c r="AX229" s="19" t="n">
        <v>0</v>
      </c>
      <c r="AY229" s="19" t="n">
        <v>0</v>
      </c>
      <c r="AZ229" s="19" t="n">
        <v>0</v>
      </c>
      <c r="BA229" s="19" t="n">
        <v>0</v>
      </c>
      <c r="BB229" s="19" t="n">
        <v>0</v>
      </c>
      <c r="BC229" s="19" t="n">
        <v>0</v>
      </c>
      <c r="BD229" s="19" t="n">
        <v>0</v>
      </c>
      <c r="BE229" s="19" t="n">
        <v>0</v>
      </c>
      <c r="BF229" s="19" t="n">
        <v>0</v>
      </c>
      <c r="BG229" s="19" t="n">
        <v>0</v>
      </c>
      <c r="BH229" s="19" t="n">
        <v>0</v>
      </c>
      <c r="BI229" s="19" t="n">
        <v>0</v>
      </c>
      <c r="BJ229" s="19" t="n">
        <v>0</v>
      </c>
      <c r="BK229" s="19" t="n">
        <v>0</v>
      </c>
      <c r="BL229" s="19" t="n">
        <v>0</v>
      </c>
      <c r="BM229" s="19" t="n">
        <v>0</v>
      </c>
      <c r="BN229" s="19" t="n">
        <v>1</v>
      </c>
      <c r="BO229" s="19" t="n">
        <v>1</v>
      </c>
      <c r="BP229" s="19" t="n">
        <v>1</v>
      </c>
      <c r="BQ229" s="19" t="n">
        <v>3</v>
      </c>
      <c r="BR229" s="19" t="n">
        <v>2</v>
      </c>
      <c r="BS229" s="19" t="n">
        <v>2</v>
      </c>
      <c r="BT229" s="19" t="n">
        <v>2</v>
      </c>
      <c r="BU229" s="19" t="n">
        <v>5</v>
      </c>
      <c r="BV229" s="19" t="n">
        <v>2</v>
      </c>
      <c r="BW229" s="19" t="n">
        <v>2</v>
      </c>
      <c r="BX229" s="19" t="n">
        <v>2</v>
      </c>
      <c r="BY229" s="19" t="n">
        <v>4</v>
      </c>
      <c r="BZ229" s="19" t="n">
        <v>5</v>
      </c>
      <c r="CA229" s="19"/>
      <c r="CB229" s="19" t="n">
        <v>5</v>
      </c>
      <c r="CC229" s="19" t="n">
        <v>5</v>
      </c>
      <c r="CD229" s="19" t="n">
        <v>5</v>
      </c>
      <c r="CE229" s="19" t="n">
        <v>5</v>
      </c>
      <c r="CF229" s="19" t="n">
        <v>5</v>
      </c>
      <c r="CG229" s="19" t="n">
        <v>5</v>
      </c>
      <c r="CH229" s="19" t="n">
        <v>5</v>
      </c>
      <c r="CI229" s="19" t="n">
        <v>5</v>
      </c>
      <c r="CJ229" s="19" t="n">
        <v>5</v>
      </c>
      <c r="CK229" s="19" t="n">
        <v>9</v>
      </c>
      <c r="CL229" s="0" t="s">
        <v>185</v>
      </c>
      <c r="CM229" s="0" t="n">
        <v>21.5</v>
      </c>
      <c r="CN229" s="16" t="n">
        <v>54.9</v>
      </c>
      <c r="CO229" s="16" t="n">
        <v>80.4</v>
      </c>
      <c r="CP229" s="16" t="n">
        <v>17.9</v>
      </c>
      <c r="CQ229" s="0" t="n">
        <v>90.61</v>
      </c>
      <c r="CR229" s="17" t="n">
        <v>0</v>
      </c>
      <c r="CS229" s="0" t="n">
        <v>0</v>
      </c>
      <c r="CT229" s="0" t="n">
        <v>2.45</v>
      </c>
      <c r="CU229" s="0" t="n">
        <v>6.94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12.16</v>
      </c>
      <c r="DC229" s="0" t="n">
        <v>24.45</v>
      </c>
      <c r="DD229" s="0" t="n">
        <v>4.8</v>
      </c>
      <c r="DE229" s="0" t="n">
        <v>5.11</v>
      </c>
      <c r="DF229" s="0" t="n">
        <v>0</v>
      </c>
      <c r="DG229" s="0" t="n">
        <v>0</v>
      </c>
      <c r="DH229" s="0" t="n">
        <v>0</v>
      </c>
      <c r="DU229" s="0" t="n">
        <v>2.9</v>
      </c>
      <c r="DV229" s="0" t="n">
        <v>1</v>
      </c>
      <c r="DW229" s="0" t="n">
        <v>68</v>
      </c>
      <c r="DX229" s="0" t="n">
        <v>2</v>
      </c>
      <c r="DY229" s="0" t="n">
        <f aca="false">0.38+0.07</f>
        <v>0.45</v>
      </c>
      <c r="DZ229" s="0" t="n">
        <v>1</v>
      </c>
      <c r="EG229" s="18"/>
      <c r="EY229" s="0" t="n">
        <v>1</v>
      </c>
      <c r="EZ229" s="0" t="n">
        <v>40</v>
      </c>
      <c r="FA229" s="0" t="n">
        <v>1</v>
      </c>
      <c r="FB229" s="0" t="n">
        <v>0.06</v>
      </c>
      <c r="FC229" s="0" t="n">
        <v>1</v>
      </c>
      <c r="FD229" s="0" t="n">
        <v>60</v>
      </c>
      <c r="FE229" s="0" t="n">
        <v>1</v>
      </c>
      <c r="FF229" s="0" t="n">
        <v>0.11</v>
      </c>
      <c r="FG229" s="0" t="n">
        <v>1</v>
      </c>
      <c r="FH229" s="0" t="n">
        <v>40</v>
      </c>
      <c r="FI229" s="0" t="n">
        <v>1</v>
      </c>
      <c r="FJ229" s="0" t="n">
        <v>0.58</v>
      </c>
      <c r="FK229" s="0" t="n">
        <v>6</v>
      </c>
      <c r="GJ229" s="16" t="n">
        <v>0</v>
      </c>
      <c r="GK229" s="16" t="n">
        <v>0</v>
      </c>
      <c r="GL229" s="16"/>
      <c r="GM229" s="16"/>
      <c r="GN229" s="16"/>
      <c r="GO229" s="16"/>
      <c r="GP229" s="16"/>
      <c r="GQ229" s="16"/>
      <c r="GR229" s="16"/>
      <c r="GS229" s="16"/>
      <c r="GT229" s="16"/>
      <c r="GU229" s="16" t="n">
        <v>0.67</v>
      </c>
      <c r="GV229" s="16" t="n">
        <v>0.65</v>
      </c>
      <c r="GW229" s="16"/>
      <c r="GX229" s="16"/>
      <c r="GY229" s="16" t="n">
        <v>0</v>
      </c>
      <c r="GZ229" s="16" t="n">
        <v>0</v>
      </c>
      <c r="HA229" s="16" t="n">
        <v>0</v>
      </c>
      <c r="HB229" s="0" t="n">
        <v>0</v>
      </c>
      <c r="HC229" s="0" t="s">
        <v>186</v>
      </c>
      <c r="HD229" s="0" t="n">
        <v>52.5</v>
      </c>
      <c r="HE229" s="16" t="n">
        <v>78.3</v>
      </c>
      <c r="HF229" s="16" t="n">
        <v>80.4</v>
      </c>
      <c r="HG229" s="16" t="n">
        <v>33.2</v>
      </c>
      <c r="HH229" s="0" t="n">
        <v>67.5</v>
      </c>
      <c r="HI229" s="17" t="n">
        <v>0</v>
      </c>
      <c r="HJ229" s="0" t="n">
        <v>21.37</v>
      </c>
      <c r="HK229" s="0" t="n">
        <v>0</v>
      </c>
      <c r="HL229" s="0" t="n">
        <v>3.99</v>
      </c>
      <c r="HM229" s="0" t="n">
        <v>0</v>
      </c>
      <c r="HN229" s="0" t="n">
        <v>0</v>
      </c>
      <c r="HO229" s="0" t="n">
        <v>0</v>
      </c>
      <c r="HP229" s="0" t="n">
        <v>0</v>
      </c>
      <c r="HQ229" s="0" t="n">
        <v>0</v>
      </c>
      <c r="HR229" s="0" t="n">
        <v>0</v>
      </c>
      <c r="HS229" s="0" t="n">
        <v>0</v>
      </c>
      <c r="HT229" s="0" t="n">
        <v>5.93</v>
      </c>
      <c r="HU229" s="0" t="n">
        <v>42.2</v>
      </c>
      <c r="HV229" s="0" t="n">
        <v>15.97</v>
      </c>
      <c r="HW229" s="0" t="n">
        <v>7.14</v>
      </c>
      <c r="HX229" s="0" t="n">
        <v>0</v>
      </c>
      <c r="HY229" s="0" t="n">
        <v>0</v>
      </c>
      <c r="IL229" s="0" t="n">
        <v>1.7</v>
      </c>
      <c r="IM229" s="0" t="n">
        <v>1</v>
      </c>
      <c r="IN229" s="0" t="n">
        <v>34</v>
      </c>
      <c r="IO229" s="0" t="n">
        <v>5</v>
      </c>
      <c r="IP229" s="0" t="n">
        <v>0.21</v>
      </c>
      <c r="IQ229" s="0" t="n">
        <v>1</v>
      </c>
      <c r="IR229" s="0" t="n">
        <v>68</v>
      </c>
      <c r="IS229" s="0" t="n">
        <v>3</v>
      </c>
      <c r="IT229" s="0" t="n">
        <v>0.3</v>
      </c>
      <c r="IU229" s="0" t="n">
        <v>1</v>
      </c>
      <c r="IV229" s="0" t="n">
        <v>47</v>
      </c>
      <c r="IW229" s="0" t="n">
        <v>4</v>
      </c>
      <c r="IX229" s="18" t="n">
        <v>0.11</v>
      </c>
      <c r="IY229" s="0" t="n">
        <v>1</v>
      </c>
      <c r="IZ229" s="0" t="n">
        <v>35</v>
      </c>
      <c r="JA229" s="0" t="n">
        <v>2</v>
      </c>
      <c r="JB229" s="0" t="n">
        <v>0.1</v>
      </c>
      <c r="JC229" s="0" t="n">
        <v>1</v>
      </c>
      <c r="JP229" s="0" t="n">
        <v>0</v>
      </c>
      <c r="LA229" s="16" t="n">
        <v>1.04</v>
      </c>
      <c r="LB229" s="16" t="n">
        <v>1</v>
      </c>
      <c r="LC229" s="16" t="n">
        <v>1</v>
      </c>
      <c r="LD229" s="16"/>
      <c r="LE229" s="16" t="n">
        <f aca="false">3.74+3.17+0.1</f>
        <v>7.01</v>
      </c>
      <c r="LF229" s="16"/>
      <c r="LG229" s="16"/>
      <c r="LH229" s="16"/>
      <c r="LI229" s="16"/>
      <c r="LJ229" s="16"/>
      <c r="LK229" s="16"/>
      <c r="LL229" s="16" t="n">
        <v>8.9</v>
      </c>
      <c r="LM229" s="16" t="n">
        <v>9.79</v>
      </c>
      <c r="LN229" s="16"/>
      <c r="LO229" s="16"/>
      <c r="LP229" s="16" t="n">
        <v>2.99</v>
      </c>
      <c r="LQ229" s="16" t="n">
        <v>4</v>
      </c>
      <c r="LR229" s="16" t="n">
        <v>3</v>
      </c>
      <c r="LS229" s="0" t="n">
        <v>0</v>
      </c>
      <c r="LT229" s="0" t="s">
        <v>187</v>
      </c>
      <c r="LU229" s="0" t="n">
        <v>53.5</v>
      </c>
      <c r="LV229" s="16" t="n">
        <v>73.5</v>
      </c>
      <c r="LW229" s="16" t="n">
        <v>80.4</v>
      </c>
      <c r="LX229" s="16" t="n">
        <v>26.1</v>
      </c>
      <c r="LY229" s="0" t="n">
        <v>78.89</v>
      </c>
      <c r="LZ229" s="17" t="n">
        <v>0</v>
      </c>
      <c r="MA229" s="0" t="n">
        <v>2.36</v>
      </c>
      <c r="MB229" s="0" t="n">
        <v>0</v>
      </c>
      <c r="MC229" s="0" t="n">
        <v>11.6</v>
      </c>
      <c r="MD229" s="0" t="n">
        <v>0</v>
      </c>
      <c r="ME229" s="0" t="n">
        <v>0</v>
      </c>
      <c r="MF229" s="0" t="n">
        <v>0</v>
      </c>
      <c r="MG229" s="0" t="n">
        <v>0</v>
      </c>
      <c r="MH229" s="0" t="n">
        <v>0</v>
      </c>
      <c r="MI229" s="0" t="n">
        <v>0</v>
      </c>
      <c r="MJ229" s="0" t="n">
        <v>7.86</v>
      </c>
      <c r="MK229" s="0" t="n">
        <v>12.08</v>
      </c>
      <c r="ML229" s="0" t="n">
        <v>18.1</v>
      </c>
      <c r="MM229" s="0" t="n">
        <v>28.51</v>
      </c>
      <c r="MN229" s="0" t="n">
        <v>7.14</v>
      </c>
      <c r="MO229" s="0" t="n">
        <v>0</v>
      </c>
      <c r="MP229" s="0" t="n">
        <v>0</v>
      </c>
      <c r="NC229" s="0" t="n">
        <v>11.6</v>
      </c>
      <c r="ND229" s="0" t="n">
        <v>1</v>
      </c>
      <c r="NE229" s="0" t="n">
        <v>47</v>
      </c>
      <c r="NF229" s="0" t="n">
        <v>4</v>
      </c>
      <c r="NG229" s="0" t="n">
        <f aca="false">1.15+0.34</f>
        <v>1.49</v>
      </c>
      <c r="NH229" s="0" t="n">
        <v>3</v>
      </c>
      <c r="NO229" s="18"/>
      <c r="OG229" s="0" t="n">
        <v>1</v>
      </c>
      <c r="OH229" s="0" t="n">
        <v>50</v>
      </c>
      <c r="OI229" s="0" t="n">
        <v>1</v>
      </c>
      <c r="OJ229" s="0" t="n">
        <v>0.19</v>
      </c>
      <c r="OK229" s="0" t="n">
        <v>3</v>
      </c>
      <c r="PR229" s="16" t="n">
        <v>7.27</v>
      </c>
      <c r="PS229" s="16" t="n">
        <v>1</v>
      </c>
      <c r="PT229" s="16" t="n">
        <v>1</v>
      </c>
      <c r="PU229" s="16"/>
      <c r="PV229" s="16" t="n">
        <f aca="false">2.11*2+0.37*2</f>
        <v>4.96</v>
      </c>
      <c r="PW229" s="16" t="n">
        <v>3</v>
      </c>
      <c r="PX229" s="16"/>
      <c r="PY229" s="16" t="n">
        <f aca="false">1.44+0.72</f>
        <v>2.16</v>
      </c>
      <c r="PZ229" s="16"/>
      <c r="QA229" s="16"/>
      <c r="QB229" s="16"/>
      <c r="QC229" s="16" t="n">
        <v>5.39</v>
      </c>
      <c r="QD229" s="16" t="n">
        <v>8.11</v>
      </c>
      <c r="QE229" s="16"/>
      <c r="QF229" s="16"/>
      <c r="QG229" s="16" t="n">
        <v>0</v>
      </c>
      <c r="QH229" s="16" t="n">
        <v>0</v>
      </c>
      <c r="QI229" s="16" t="n">
        <v>3</v>
      </c>
      <c r="QJ229" s="0" t="n">
        <v>0</v>
      </c>
      <c r="QK229" s="0" t="s">
        <v>188</v>
      </c>
      <c r="QL229" s="0" t="n">
        <v>40</v>
      </c>
      <c r="QM229" s="16" t="n">
        <v>84.1</v>
      </c>
      <c r="QN229" s="16" t="n">
        <v>80.4</v>
      </c>
      <c r="QO229" s="16" t="n">
        <v>35.1</v>
      </c>
      <c r="QP229" s="0" t="n">
        <v>66.11</v>
      </c>
      <c r="QQ229" s="17" t="n">
        <v>0</v>
      </c>
      <c r="QR229" s="0" t="n">
        <v>13.11</v>
      </c>
      <c r="QS229" s="0" t="n">
        <v>6.27</v>
      </c>
      <c r="QT229" s="0" t="n">
        <v>8.02</v>
      </c>
      <c r="QU229" s="0" t="n">
        <v>0</v>
      </c>
      <c r="QV229" s="0" t="n">
        <v>6.47</v>
      </c>
      <c r="QW229" s="0" t="n">
        <v>2.85</v>
      </c>
      <c r="QX229" s="0" t="n">
        <v>3.1</v>
      </c>
      <c r="QY229" s="0" t="n">
        <v>0</v>
      </c>
      <c r="QZ229" s="0" t="n">
        <v>0</v>
      </c>
      <c r="RA229" s="0" t="n">
        <v>10.49</v>
      </c>
      <c r="RB229" s="0" t="n">
        <v>26.72</v>
      </c>
      <c r="RC229" s="0" t="n">
        <v>13.38</v>
      </c>
      <c r="RD229" s="0" t="n">
        <v>10.67</v>
      </c>
      <c r="RE229" s="0" t="n">
        <v>0</v>
      </c>
      <c r="RF229" s="0" t="n">
        <v>0</v>
      </c>
      <c r="RG229" s="0" t="n">
        <v>0</v>
      </c>
      <c r="RT229" s="0" t="n">
        <v>3.9</v>
      </c>
      <c r="RU229" s="0" t="n">
        <v>1</v>
      </c>
      <c r="RV229" s="0" t="n">
        <v>68</v>
      </c>
      <c r="RW229" s="0" t="n">
        <v>4</v>
      </c>
      <c r="RX229" s="0" t="n">
        <f aca="false">1.9+0.34</f>
        <v>2.24</v>
      </c>
      <c r="RY229" s="0" t="n">
        <v>1</v>
      </c>
      <c r="RZ229" s="0" t="n">
        <v>34</v>
      </c>
      <c r="SA229" s="0" t="n">
        <v>8</v>
      </c>
      <c r="SB229" s="0" t="n">
        <v>0.27</v>
      </c>
      <c r="SC229" s="0" t="n">
        <v>1</v>
      </c>
      <c r="SF229" s="18"/>
      <c r="SX229" s="0" t="n">
        <v>1</v>
      </c>
      <c r="SY229" s="0" t="n">
        <v>50</v>
      </c>
      <c r="SZ229" s="0" t="n">
        <v>4</v>
      </c>
      <c r="TA229" s="0" t="n">
        <f aca="false">1.52*2</f>
        <v>3.04</v>
      </c>
      <c r="TB229" s="0" t="n">
        <v>3</v>
      </c>
      <c r="UI229" s="16" t="n">
        <v>0.04</v>
      </c>
      <c r="UJ229" s="16" t="n">
        <v>1</v>
      </c>
      <c r="UK229" s="16" t="n">
        <v>1</v>
      </c>
      <c r="UL229" s="16"/>
      <c r="UM229" s="16" t="n">
        <f aca="false">0.3</f>
        <v>0.3</v>
      </c>
      <c r="UN229" s="16"/>
      <c r="UO229" s="16"/>
      <c r="UP229" s="16"/>
      <c r="UQ229" s="16"/>
      <c r="UR229" s="16"/>
      <c r="US229" s="16"/>
      <c r="UT229" s="16" t="n">
        <v>0.03</v>
      </c>
      <c r="UU229" s="16" t="n">
        <v>0.03</v>
      </c>
      <c r="UV229" s="16"/>
      <c r="UW229" s="16"/>
      <c r="UX229" s="16" t="n">
        <v>0</v>
      </c>
      <c r="UY229" s="16" t="n">
        <v>0</v>
      </c>
      <c r="UZ229" s="16" t="n">
        <v>0</v>
      </c>
      <c r="VA229" s="0" t="n">
        <v>0</v>
      </c>
      <c r="VB229" s="0" t="s">
        <v>189</v>
      </c>
      <c r="VC229" s="0" t="n">
        <v>31</v>
      </c>
      <c r="VD229" s="16" t="n">
        <v>80.2</v>
      </c>
      <c r="VE229" s="16" t="n">
        <v>80.4</v>
      </c>
      <c r="VF229" s="16" t="n">
        <v>6.5</v>
      </c>
      <c r="VG229" s="0" t="n">
        <v>99.3</v>
      </c>
      <c r="VH229" s="17" t="n">
        <v>0</v>
      </c>
      <c r="VI229" s="0" t="n">
        <v>0.7</v>
      </c>
      <c r="VJ229" s="0" t="n">
        <v>0</v>
      </c>
      <c r="VK229" s="0" t="n">
        <v>0</v>
      </c>
      <c r="VL229" s="0" t="n">
        <v>0</v>
      </c>
      <c r="VM229" s="0" t="n">
        <v>0</v>
      </c>
      <c r="VN229" s="0" t="n">
        <v>0</v>
      </c>
      <c r="VO229" s="0" t="n">
        <v>0</v>
      </c>
      <c r="VP229" s="0" t="n">
        <v>0</v>
      </c>
      <c r="VQ229" s="0" t="n">
        <v>0</v>
      </c>
      <c r="VR229" s="0" t="n">
        <v>0</v>
      </c>
      <c r="VS229" s="0" t="n">
        <v>31.92</v>
      </c>
      <c r="VT229" s="0" t="n">
        <v>23.7</v>
      </c>
      <c r="VU229" s="0" t="n">
        <v>1.95</v>
      </c>
      <c r="VV229" s="0" t="n">
        <v>0</v>
      </c>
      <c r="VW229" s="0" t="n">
        <v>18.7</v>
      </c>
      <c r="VX229" s="0" t="n">
        <v>4</v>
      </c>
      <c r="VY229" s="0" t="n">
        <v>49</v>
      </c>
      <c r="WA229" s="0" t="n">
        <v>1</v>
      </c>
      <c r="WE229" s="0" t="n">
        <v>49</v>
      </c>
      <c r="WG229" s="0" t="n">
        <v>1</v>
      </c>
      <c r="WK229" s="0" t="n">
        <v>0</v>
      </c>
      <c r="WL229" s="0" t="n">
        <v>0</v>
      </c>
      <c r="WW229" s="18"/>
      <c r="XO229" s="0" t="n">
        <v>0</v>
      </c>
      <c r="YZ229" s="16" t="n">
        <v>0</v>
      </c>
      <c r="ZA229" s="16" t="n">
        <v>0</v>
      </c>
      <c r="ZB229" s="16"/>
      <c r="ZC229" s="16"/>
      <c r="ZD229" s="16"/>
      <c r="ZE229" s="16"/>
      <c r="ZF229" s="16"/>
      <c r="ZG229" s="16"/>
      <c r="ZH229" s="16"/>
      <c r="ZI229" s="16"/>
      <c r="ZJ229" s="16"/>
      <c r="ZK229" s="16" t="n">
        <v>5.42</v>
      </c>
      <c r="ZL229" s="16" t="n">
        <v>6.61</v>
      </c>
      <c r="ZM229" s="16"/>
      <c r="ZN229" s="16"/>
      <c r="ZO229" s="16" t="n">
        <v>0</v>
      </c>
      <c r="ZP229" s="16" t="n">
        <v>0</v>
      </c>
      <c r="ZQ229" s="16" t="n">
        <v>0</v>
      </c>
      <c r="ZR229" s="0" t="n">
        <v>0</v>
      </c>
      <c r="ZS229" s="0" t="s">
        <v>190</v>
      </c>
      <c r="ZT229" s="0" t="n">
        <v>38.5</v>
      </c>
      <c r="ZU229" s="16" t="n">
        <v>92</v>
      </c>
      <c r="ZV229" s="16" t="n">
        <v>80.4</v>
      </c>
      <c r="ZW229" s="16" t="n">
        <v>11</v>
      </c>
      <c r="ZX229" s="0" t="n">
        <v>95.37</v>
      </c>
      <c r="ZY229" s="17" t="n">
        <v>0</v>
      </c>
      <c r="ZZ229" s="0" t="n">
        <v>4.63</v>
      </c>
      <c r="AAA229" s="0" t="n">
        <v>0</v>
      </c>
      <c r="AAB229" s="0" t="n">
        <v>0</v>
      </c>
      <c r="AAC229" s="0" t="n">
        <v>0</v>
      </c>
      <c r="AAD229" s="0" t="n">
        <v>0</v>
      </c>
      <c r="AAE229" s="0" t="n">
        <v>0</v>
      </c>
      <c r="AAF229" s="0" t="n">
        <v>0</v>
      </c>
      <c r="AAG229" s="0" t="n">
        <v>0</v>
      </c>
      <c r="AAH229" s="0" t="n">
        <v>0</v>
      </c>
      <c r="AAI229" s="0" t="n">
        <v>2.85</v>
      </c>
      <c r="AAJ229" s="0" t="n">
        <v>16.15</v>
      </c>
      <c r="AAK229" s="0" t="n">
        <v>42.55</v>
      </c>
      <c r="AAL229" s="0" t="n">
        <v>4.63</v>
      </c>
      <c r="AAM229" s="0" t="n">
        <v>0</v>
      </c>
      <c r="AAN229" s="0" t="n">
        <v>5.7</v>
      </c>
      <c r="AAO229" s="0" t="n">
        <v>1</v>
      </c>
      <c r="AAP229" s="0" t="n">
        <v>3</v>
      </c>
      <c r="AAR229" s="0" t="n">
        <v>1</v>
      </c>
      <c r="AAV229" s="0" t="n">
        <v>3</v>
      </c>
      <c r="AAX229" s="0" t="n">
        <v>1</v>
      </c>
      <c r="ABB229" s="0" t="n">
        <v>4.8</v>
      </c>
      <c r="ABC229" s="0" t="n">
        <v>0</v>
      </c>
      <c r="ABN229" s="18"/>
      <c r="ACF229" s="0" t="n">
        <v>1</v>
      </c>
      <c r="ACG229" s="0" t="n">
        <v>70</v>
      </c>
      <c r="ACH229" s="0" t="n">
        <v>3</v>
      </c>
      <c r="ACI229" s="0" t="n">
        <f aca="false">14.97+0.86+0.7</f>
        <v>16.53</v>
      </c>
      <c r="ACJ229" s="0" t="n">
        <v>3</v>
      </c>
      <c r="ACK229" s="0" t="n">
        <v>60</v>
      </c>
      <c r="ACL229" s="0" t="n">
        <v>3</v>
      </c>
      <c r="ACM229" s="0" t="n">
        <f aca="false">3.02+0.97+0.6</f>
        <v>4.59</v>
      </c>
      <c r="ACN229" s="0" t="n">
        <v>3</v>
      </c>
      <c r="ADQ229" s="16" t="n">
        <v>2.82</v>
      </c>
      <c r="ADR229" s="16" t="n">
        <v>1</v>
      </c>
      <c r="ADS229" s="16" t="n">
        <v>1</v>
      </c>
      <c r="ADT229" s="16"/>
      <c r="ADU229" s="16" t="n">
        <f aca="false">0.93*2</f>
        <v>1.86</v>
      </c>
      <c r="ADV229" s="16" t="n">
        <v>2</v>
      </c>
      <c r="ADW229" s="16"/>
      <c r="ADX229" s="16" t="n">
        <f aca="false">9.6+1.93</f>
        <v>11.53</v>
      </c>
      <c r="ADY229" s="16"/>
      <c r="ADZ229" s="16"/>
      <c r="AEA229" s="16"/>
      <c r="AEB229" s="16" t="n">
        <v>13.91</v>
      </c>
      <c r="AEC229" s="16" t="n">
        <v>17.31</v>
      </c>
      <c r="AED229" s="16"/>
      <c r="AEE229" s="16"/>
      <c r="AEF229" s="16" t="n">
        <v>0</v>
      </c>
      <c r="AEG229" s="16" t="n">
        <v>0</v>
      </c>
      <c r="AEH229" s="16" t="n">
        <v>0</v>
      </c>
      <c r="AEI229" s="0" t="n">
        <v>0</v>
      </c>
      <c r="AEJ229" s="0" t="s">
        <v>191</v>
      </c>
      <c r="AEK229" s="0" t="n">
        <v>44</v>
      </c>
      <c r="AEL229" s="16" t="n">
        <v>75.8</v>
      </c>
      <c r="AEM229" s="16" t="n">
        <v>80.4</v>
      </c>
      <c r="AEN229" s="16" t="n">
        <v>12.2</v>
      </c>
      <c r="AEO229" s="0" t="n">
        <v>90.24</v>
      </c>
      <c r="AEP229" s="17" t="n">
        <v>0</v>
      </c>
      <c r="AEQ229" s="0" t="n">
        <v>6.27</v>
      </c>
      <c r="AER229" s="0" t="n">
        <v>0</v>
      </c>
      <c r="AES229" s="0" t="n">
        <v>3.49</v>
      </c>
      <c r="AET229" s="0" t="n">
        <v>0</v>
      </c>
      <c r="AEU229" s="0" t="n">
        <v>0</v>
      </c>
      <c r="AEV229" s="0" t="n">
        <v>0</v>
      </c>
      <c r="AEW229" s="0" t="n">
        <v>0</v>
      </c>
      <c r="AEX229" s="0" t="n">
        <v>0</v>
      </c>
      <c r="AEY229" s="0" t="n">
        <v>0</v>
      </c>
      <c r="AEZ229" s="0" t="n">
        <v>0</v>
      </c>
      <c r="AFA229" s="0" t="n">
        <v>24.37</v>
      </c>
      <c r="AFB229" s="0" t="n">
        <v>32.21</v>
      </c>
      <c r="AFC229" s="0" t="n">
        <v>3.56</v>
      </c>
      <c r="AFD229" s="0" t="n">
        <v>0</v>
      </c>
      <c r="AFE229" s="0" t="n">
        <v>0</v>
      </c>
      <c r="AFF229" s="0" t="n">
        <v>0</v>
      </c>
      <c r="AFS229" s="0" t="n">
        <v>20.3</v>
      </c>
      <c r="AFT229" s="0" t="n">
        <v>1</v>
      </c>
      <c r="AFU229" s="0" t="n">
        <v>30</v>
      </c>
      <c r="AFV229" s="0" t="n">
        <v>4</v>
      </c>
      <c r="AFW229" s="0" t="n">
        <v>3.01</v>
      </c>
      <c r="AFX229" s="0" t="n">
        <v>5</v>
      </c>
      <c r="AFY229" s="0" t="n">
        <v>68</v>
      </c>
      <c r="AFZ229" s="0" t="n">
        <v>2</v>
      </c>
      <c r="AGA229" s="0" t="n">
        <v>1.52</v>
      </c>
      <c r="AGB229" s="0" t="n">
        <v>1</v>
      </c>
      <c r="AGC229" s="0" t="n">
        <v>47</v>
      </c>
      <c r="AGD229" s="0" t="n">
        <v>1</v>
      </c>
      <c r="AGE229" s="18" t="n">
        <v>0.07</v>
      </c>
      <c r="AGF229" s="0" t="n">
        <v>3</v>
      </c>
      <c r="AGW229" s="0" t="n">
        <v>0</v>
      </c>
      <c r="AIH229" s="16" t="n">
        <v>1.88</v>
      </c>
      <c r="AII229" s="16" t="n">
        <v>1</v>
      </c>
      <c r="AIJ229" s="16" t="n">
        <v>2</v>
      </c>
      <c r="AIK229" s="16"/>
      <c r="AIL229" s="16" t="n">
        <v>4.18</v>
      </c>
      <c r="AIM229" s="16"/>
      <c r="AIN229" s="16"/>
      <c r="AIO229" s="16"/>
      <c r="AIP229" s="16"/>
      <c r="AIQ229" s="16"/>
      <c r="AIR229" s="16"/>
      <c r="AIS229" s="16" t="n">
        <v>7.15</v>
      </c>
      <c r="AIT229" s="16" t="n">
        <v>6.06</v>
      </c>
      <c r="AIU229" s="16"/>
      <c r="AIV229" s="16"/>
      <c r="AIW229" s="16" t="n">
        <v>0</v>
      </c>
      <c r="AIX229" s="16" t="n">
        <v>0</v>
      </c>
      <c r="AIY229" s="16" t="n">
        <v>0</v>
      </c>
      <c r="AIZ229" s="0" t="n">
        <v>0</v>
      </c>
      <c r="AJA229" s="15"/>
      <c r="AJB229" s="15"/>
      <c r="AJD229" s="34"/>
      <c r="AJE229" s="34"/>
      <c r="AJH229" s="34"/>
      <c r="AJI229" s="15"/>
      <c r="AJJ229" s="15"/>
      <c r="AJL229" s="34"/>
      <c r="AJM229" s="34"/>
      <c r="AJP229" s="34"/>
      <c r="AJQ229" s="15"/>
      <c r="AJR229" s="15"/>
      <c r="AJT229" s="34"/>
      <c r="AJU229" s="34"/>
      <c r="AJX229" s="34"/>
      <c r="AJY229" s="15"/>
      <c r="AJZ229" s="15"/>
      <c r="AKB229" s="34"/>
      <c r="AKC229" s="34"/>
      <c r="AKF229" s="34"/>
      <c r="AKG229" s="15"/>
      <c r="AKH229" s="15"/>
      <c r="AKJ229" s="34"/>
      <c r="AKK229" s="34"/>
      <c r="AKN229" s="34"/>
      <c r="AKO229" s="15"/>
      <c r="AKP229" s="15"/>
      <c r="AKR229" s="34"/>
      <c r="AKS229" s="34"/>
      <c r="AKV229" s="34"/>
      <c r="AKW229" s="15"/>
      <c r="AKX229" s="15"/>
      <c r="AKZ229" s="34"/>
      <c r="ALA229" s="34"/>
      <c r="ALD229" s="34"/>
      <c r="ALE229" s="15"/>
      <c r="ALF229" s="15"/>
      <c r="ALH229" s="34"/>
      <c r="ALI229" s="34"/>
      <c r="ALL229" s="34"/>
      <c r="ALM229" s="15"/>
      <c r="ALN229" s="15"/>
      <c r="ALP229" s="34"/>
      <c r="ALQ229" s="34"/>
      <c r="ALT229" s="34"/>
      <c r="ALU229" s="15"/>
      <c r="ALV229" s="15"/>
      <c r="ALX229" s="34"/>
      <c r="ALY229" s="34"/>
      <c r="AMB229" s="34"/>
      <c r="AMC229" s="15"/>
      <c r="AMD229" s="15"/>
      <c r="AMF229" s="34"/>
      <c r="AMG229" s="34"/>
      <c r="AMJ229" s="34"/>
    </row>
    <row r="230" customFormat="false" ht="13.8" hidden="false" customHeight="false" outlineLevel="0" collapsed="false">
      <c r="A230" s="1" t="s">
        <v>744</v>
      </c>
      <c r="B230" s="12" t="n">
        <v>42902</v>
      </c>
      <c r="C230" s="0" t="n">
        <v>1</v>
      </c>
      <c r="D230" s="13" t="n">
        <v>42783</v>
      </c>
      <c r="E230" s="12" t="n">
        <v>29175</v>
      </c>
      <c r="F230" s="14" t="n">
        <f aca="false">(B230-E230)/365.25</f>
        <v>37.5824777549624</v>
      </c>
      <c r="G230" s="14" t="n">
        <f aca="false">(B230-D230)/365.25</f>
        <v>0.32580424366872</v>
      </c>
      <c r="H230" s="19" t="s">
        <v>181</v>
      </c>
      <c r="I230" s="0" t="s">
        <v>182</v>
      </c>
      <c r="J230" s="21" t="s">
        <v>183</v>
      </c>
      <c r="K230" s="21" t="n">
        <v>4</v>
      </c>
      <c r="L230" s="19" t="n">
        <v>57</v>
      </c>
      <c r="M230" s="0" t="n">
        <v>1.6</v>
      </c>
      <c r="N230" s="16" t="n">
        <f aca="false">L230/(M230*M230)</f>
        <v>22.265625</v>
      </c>
      <c r="O230" s="19" t="n">
        <v>0</v>
      </c>
      <c r="P230" s="19" t="n">
        <v>0</v>
      </c>
      <c r="Q230" s="19" t="n">
        <v>0</v>
      </c>
      <c r="R230" s="26" t="n">
        <v>0</v>
      </c>
      <c r="S230" s="26" t="n">
        <v>0</v>
      </c>
      <c r="T230" s="26" t="n">
        <v>0</v>
      </c>
      <c r="U230" s="19" t="n">
        <v>0</v>
      </c>
      <c r="V230" s="19" t="n">
        <v>0</v>
      </c>
      <c r="W230" s="19" t="n">
        <v>0</v>
      </c>
      <c r="X230" s="19" t="n">
        <v>0</v>
      </c>
      <c r="Y230" s="19" t="n">
        <v>0</v>
      </c>
      <c r="Z230" s="19" t="n">
        <v>0</v>
      </c>
      <c r="AA230" s="19" t="n">
        <v>0</v>
      </c>
      <c r="AB230" s="19" t="n">
        <v>0</v>
      </c>
      <c r="AC230" s="19" t="n">
        <v>1</v>
      </c>
      <c r="AD230" s="19" t="n">
        <v>11</v>
      </c>
      <c r="AE230" s="19"/>
      <c r="AF230" s="19"/>
      <c r="AG230" s="19"/>
      <c r="AH230" s="19"/>
      <c r="AI230" s="19" t="n">
        <v>0</v>
      </c>
      <c r="AJ230" s="19" t="n">
        <v>0</v>
      </c>
      <c r="AK230" s="19" t="n">
        <v>0</v>
      </c>
      <c r="AL230" s="19" t="n">
        <v>0</v>
      </c>
      <c r="AM230" s="19" t="n">
        <v>0</v>
      </c>
      <c r="AN230" s="19" t="n">
        <v>0</v>
      </c>
      <c r="AO230" s="19" t="n">
        <v>0</v>
      </c>
      <c r="AP230" s="19" t="n">
        <v>0</v>
      </c>
      <c r="AQ230" s="19" t="n">
        <v>0</v>
      </c>
      <c r="AR230" s="19" t="n">
        <v>0</v>
      </c>
      <c r="AS230" s="19" t="n">
        <v>0</v>
      </c>
      <c r="AT230" s="19" t="n">
        <v>0</v>
      </c>
      <c r="AU230" s="19" t="n">
        <v>0</v>
      </c>
      <c r="AV230" s="19" t="n">
        <v>0</v>
      </c>
      <c r="AW230" s="19" t="n">
        <v>0</v>
      </c>
      <c r="AX230" s="19"/>
      <c r="AY230" s="19"/>
      <c r="AZ230" s="19"/>
      <c r="BA230" s="19"/>
      <c r="BB230" s="19"/>
      <c r="BC230" s="19"/>
      <c r="BD230" s="19"/>
      <c r="BE230" s="19"/>
      <c r="BF230" s="19" t="n">
        <v>0</v>
      </c>
      <c r="BG230" s="19" t="n">
        <v>0</v>
      </c>
      <c r="BH230" s="19" t="n">
        <v>0</v>
      </c>
      <c r="BI230" s="19" t="n">
        <v>0</v>
      </c>
      <c r="BJ230" s="19" t="n">
        <v>0</v>
      </c>
      <c r="BK230" s="19" t="n">
        <v>0</v>
      </c>
      <c r="BL230" s="19" t="n">
        <v>0</v>
      </c>
      <c r="BM230" s="19" t="n">
        <v>0</v>
      </c>
      <c r="BN230" s="19" t="n">
        <v>0</v>
      </c>
      <c r="BO230" s="19" t="n">
        <v>0</v>
      </c>
      <c r="BP230" s="19" t="n">
        <v>0</v>
      </c>
      <c r="BQ230" s="19" t="n">
        <v>0</v>
      </c>
      <c r="BR230" s="19" t="n">
        <v>1</v>
      </c>
      <c r="BS230" s="19" t="n">
        <v>1</v>
      </c>
      <c r="BT230" s="19" t="n">
        <v>3</v>
      </c>
      <c r="BU230" s="19" t="n">
        <v>5</v>
      </c>
      <c r="BV230" s="19" t="n">
        <v>1</v>
      </c>
      <c r="BW230" s="19" t="n">
        <v>1</v>
      </c>
      <c r="BX230" s="19" t="n">
        <v>5</v>
      </c>
      <c r="BY230" s="19" t="n">
        <v>5</v>
      </c>
      <c r="BZ230" s="19" t="n">
        <v>5</v>
      </c>
      <c r="CA230" s="19" t="n">
        <v>5</v>
      </c>
      <c r="CB230" s="19" t="n">
        <v>5</v>
      </c>
      <c r="CC230" s="19" t="n">
        <v>5</v>
      </c>
      <c r="CD230" s="19" t="n">
        <v>3</v>
      </c>
      <c r="CE230" s="19" t="n">
        <v>3</v>
      </c>
      <c r="CF230" s="19" t="n">
        <v>5</v>
      </c>
      <c r="CG230" s="19" t="n">
        <v>4</v>
      </c>
      <c r="CH230" s="19" t="n">
        <v>4</v>
      </c>
      <c r="CI230" s="19" t="n">
        <v>5</v>
      </c>
      <c r="CJ230" s="19" t="n">
        <v>5</v>
      </c>
      <c r="CK230" s="19" t="n">
        <v>10</v>
      </c>
      <c r="CL230" s="0" t="s">
        <v>185</v>
      </c>
      <c r="CM230" s="0" t="n">
        <v>21.5</v>
      </c>
      <c r="CN230" s="16" t="n">
        <v>54.9</v>
      </c>
      <c r="CO230" s="16" t="n">
        <v>80.4</v>
      </c>
      <c r="CP230" s="16" t="n">
        <v>17.9</v>
      </c>
      <c r="CQ230" s="0" t="n">
        <v>90.61</v>
      </c>
      <c r="CR230" s="17" t="n">
        <v>0</v>
      </c>
      <c r="CS230" s="0" t="n">
        <v>0</v>
      </c>
      <c r="CT230" s="0" t="n">
        <v>2.45</v>
      </c>
      <c r="CU230" s="0" t="n">
        <v>6.94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12.16</v>
      </c>
      <c r="DC230" s="0" t="n">
        <v>24.45</v>
      </c>
      <c r="DD230" s="0" t="n">
        <v>4.8</v>
      </c>
      <c r="DE230" s="0" t="n">
        <v>5.11</v>
      </c>
      <c r="DF230" s="0" t="n">
        <v>0</v>
      </c>
      <c r="DG230" s="0" t="n">
        <v>0</v>
      </c>
      <c r="DH230" s="0" t="n">
        <v>0</v>
      </c>
      <c r="DU230" s="0" t="n">
        <v>2.9</v>
      </c>
      <c r="DV230" s="0" t="n">
        <v>1</v>
      </c>
      <c r="DW230" s="0" t="n">
        <v>68</v>
      </c>
      <c r="DX230" s="0" t="n">
        <v>2</v>
      </c>
      <c r="DY230" s="0" t="n">
        <f aca="false">0.38+0.07</f>
        <v>0.45</v>
      </c>
      <c r="DZ230" s="0" t="n">
        <v>1</v>
      </c>
      <c r="EG230" s="18"/>
      <c r="EY230" s="0" t="n">
        <v>1</v>
      </c>
      <c r="EZ230" s="0" t="n">
        <v>40</v>
      </c>
      <c r="FA230" s="0" t="n">
        <v>1</v>
      </c>
      <c r="FB230" s="0" t="n">
        <v>0.06</v>
      </c>
      <c r="FC230" s="0" t="n">
        <v>1</v>
      </c>
      <c r="FD230" s="0" t="n">
        <v>60</v>
      </c>
      <c r="FE230" s="0" t="n">
        <v>1</v>
      </c>
      <c r="FF230" s="0" t="n">
        <v>0.11</v>
      </c>
      <c r="FG230" s="0" t="n">
        <v>1</v>
      </c>
      <c r="FH230" s="0" t="n">
        <v>40</v>
      </c>
      <c r="FI230" s="0" t="n">
        <v>1</v>
      </c>
      <c r="FJ230" s="0" t="n">
        <v>0.58</v>
      </c>
      <c r="FK230" s="0" t="n">
        <v>6</v>
      </c>
      <c r="GJ230" s="16" t="n">
        <v>0</v>
      </c>
      <c r="GK230" s="16" t="n">
        <v>0</v>
      </c>
      <c r="GL230" s="16"/>
      <c r="GM230" s="16"/>
      <c r="GN230" s="16"/>
      <c r="GO230" s="16"/>
      <c r="GP230" s="16"/>
      <c r="GQ230" s="16"/>
      <c r="GR230" s="16"/>
      <c r="GS230" s="16"/>
      <c r="GT230" s="16"/>
      <c r="GU230" s="16" t="n">
        <v>0.67</v>
      </c>
      <c r="GV230" s="16" t="n">
        <v>0.65</v>
      </c>
      <c r="GW230" s="16"/>
      <c r="GX230" s="16"/>
      <c r="GY230" s="16" t="n">
        <v>0</v>
      </c>
      <c r="GZ230" s="16" t="n">
        <v>0</v>
      </c>
      <c r="HA230" s="16" t="n">
        <v>0</v>
      </c>
      <c r="HB230" s="0" t="n">
        <v>0</v>
      </c>
      <c r="HC230" s="0" t="s">
        <v>186</v>
      </c>
      <c r="HD230" s="0" t="n">
        <v>52.5</v>
      </c>
      <c r="HE230" s="16" t="n">
        <v>78.3</v>
      </c>
      <c r="HF230" s="16" t="n">
        <v>80.4</v>
      </c>
      <c r="HG230" s="16" t="n">
        <v>33.2</v>
      </c>
      <c r="HH230" s="0" t="n">
        <v>67.5</v>
      </c>
      <c r="HI230" s="17" t="n">
        <v>0</v>
      </c>
      <c r="HJ230" s="0" t="n">
        <v>21.37</v>
      </c>
      <c r="HK230" s="0" t="n">
        <v>0</v>
      </c>
      <c r="HL230" s="0" t="n">
        <v>3.99</v>
      </c>
      <c r="HM230" s="0" t="n">
        <v>0</v>
      </c>
      <c r="HN230" s="0" t="n">
        <v>0</v>
      </c>
      <c r="HO230" s="0" t="n">
        <v>0</v>
      </c>
      <c r="HP230" s="0" t="n">
        <v>0</v>
      </c>
      <c r="HQ230" s="0" t="n">
        <v>0</v>
      </c>
      <c r="HR230" s="0" t="n">
        <v>0</v>
      </c>
      <c r="HS230" s="0" t="n">
        <v>0</v>
      </c>
      <c r="HT230" s="0" t="n">
        <v>5.93</v>
      </c>
      <c r="HU230" s="0" t="n">
        <v>42.2</v>
      </c>
      <c r="HV230" s="0" t="n">
        <v>15.97</v>
      </c>
      <c r="HW230" s="0" t="n">
        <v>7.14</v>
      </c>
      <c r="HX230" s="0" t="n">
        <v>0</v>
      </c>
      <c r="HY230" s="0" t="n">
        <v>0</v>
      </c>
      <c r="IL230" s="0" t="n">
        <v>1.7</v>
      </c>
      <c r="IM230" s="0" t="n">
        <v>1</v>
      </c>
      <c r="IN230" s="0" t="n">
        <v>34</v>
      </c>
      <c r="IO230" s="0" t="n">
        <v>5</v>
      </c>
      <c r="IP230" s="0" t="n">
        <v>0.21</v>
      </c>
      <c r="IQ230" s="0" t="n">
        <v>1</v>
      </c>
      <c r="IR230" s="0" t="n">
        <v>68</v>
      </c>
      <c r="IS230" s="0" t="n">
        <v>3</v>
      </c>
      <c r="IT230" s="0" t="n">
        <v>0.3</v>
      </c>
      <c r="IU230" s="0" t="n">
        <v>1</v>
      </c>
      <c r="IV230" s="0" t="n">
        <v>47</v>
      </c>
      <c r="IW230" s="0" t="n">
        <v>4</v>
      </c>
      <c r="IX230" s="18" t="n">
        <v>0.11</v>
      </c>
      <c r="IY230" s="0" t="n">
        <v>1</v>
      </c>
      <c r="IZ230" s="0" t="n">
        <v>35</v>
      </c>
      <c r="JA230" s="0" t="n">
        <v>2</v>
      </c>
      <c r="JB230" s="0" t="n">
        <v>0.1</v>
      </c>
      <c r="JC230" s="0" t="n">
        <v>1</v>
      </c>
      <c r="JP230" s="0" t="n">
        <v>0</v>
      </c>
      <c r="LA230" s="16" t="n">
        <v>1.04</v>
      </c>
      <c r="LB230" s="16" t="n">
        <v>1</v>
      </c>
      <c r="LC230" s="16" t="n">
        <v>1</v>
      </c>
      <c r="LD230" s="16"/>
      <c r="LE230" s="16" t="n">
        <f aca="false">3.74+3.17+0.1</f>
        <v>7.01</v>
      </c>
      <c r="LF230" s="16"/>
      <c r="LG230" s="16"/>
      <c r="LH230" s="16"/>
      <c r="LI230" s="16"/>
      <c r="LJ230" s="16"/>
      <c r="LK230" s="16"/>
      <c r="LL230" s="16" t="n">
        <v>8.9</v>
      </c>
      <c r="LM230" s="16" t="n">
        <v>9.79</v>
      </c>
      <c r="LN230" s="16"/>
      <c r="LO230" s="16"/>
      <c r="LP230" s="16" t="n">
        <v>2.99</v>
      </c>
      <c r="LQ230" s="16" t="n">
        <v>4</v>
      </c>
      <c r="LR230" s="16" t="n">
        <v>3</v>
      </c>
      <c r="LS230" s="0" t="n">
        <v>0</v>
      </c>
      <c r="LT230" s="0" t="s">
        <v>187</v>
      </c>
      <c r="LU230" s="0" t="n">
        <v>53.5</v>
      </c>
      <c r="LV230" s="16" t="n">
        <v>73.5</v>
      </c>
      <c r="LW230" s="16" t="n">
        <v>80.4</v>
      </c>
      <c r="LX230" s="16" t="n">
        <v>26.1</v>
      </c>
      <c r="LY230" s="0" t="n">
        <v>78.89</v>
      </c>
      <c r="LZ230" s="17" t="n">
        <v>0</v>
      </c>
      <c r="MA230" s="0" t="n">
        <v>2.36</v>
      </c>
      <c r="MB230" s="0" t="n">
        <v>0</v>
      </c>
      <c r="MC230" s="0" t="n">
        <v>11.6</v>
      </c>
      <c r="MD230" s="0" t="n">
        <v>0</v>
      </c>
      <c r="ME230" s="0" t="n">
        <v>0</v>
      </c>
      <c r="MF230" s="0" t="n">
        <v>0</v>
      </c>
      <c r="MG230" s="0" t="n">
        <v>0</v>
      </c>
      <c r="MH230" s="0" t="n">
        <v>0</v>
      </c>
      <c r="MI230" s="0" t="n">
        <v>0</v>
      </c>
      <c r="MJ230" s="0" t="n">
        <v>7.86</v>
      </c>
      <c r="MK230" s="0" t="n">
        <v>12.08</v>
      </c>
      <c r="ML230" s="0" t="n">
        <v>18.1</v>
      </c>
      <c r="MM230" s="0" t="n">
        <v>28.51</v>
      </c>
      <c r="MN230" s="0" t="n">
        <v>7.14</v>
      </c>
      <c r="MO230" s="0" t="n">
        <v>0</v>
      </c>
      <c r="MP230" s="0" t="n">
        <v>0</v>
      </c>
      <c r="NC230" s="0" t="n">
        <v>11.6</v>
      </c>
      <c r="ND230" s="0" t="n">
        <v>1</v>
      </c>
      <c r="NE230" s="0" t="n">
        <v>47</v>
      </c>
      <c r="NF230" s="0" t="n">
        <v>4</v>
      </c>
      <c r="NG230" s="0" t="n">
        <f aca="false">1.15+0.34</f>
        <v>1.49</v>
      </c>
      <c r="NH230" s="0" t="n">
        <v>3</v>
      </c>
      <c r="NO230" s="18"/>
      <c r="OG230" s="0" t="n">
        <v>1</v>
      </c>
      <c r="OH230" s="0" t="n">
        <v>50</v>
      </c>
      <c r="OI230" s="0" t="n">
        <v>1</v>
      </c>
      <c r="OJ230" s="0" t="n">
        <v>0.19</v>
      </c>
      <c r="OK230" s="0" t="n">
        <v>3</v>
      </c>
      <c r="PR230" s="16" t="n">
        <v>7.27</v>
      </c>
      <c r="PS230" s="16" t="n">
        <v>1</v>
      </c>
      <c r="PT230" s="16" t="n">
        <v>1</v>
      </c>
      <c r="PU230" s="16"/>
      <c r="PV230" s="16" t="n">
        <f aca="false">2.11*2+0.37*2</f>
        <v>4.96</v>
      </c>
      <c r="PW230" s="16" t="n">
        <v>3</v>
      </c>
      <c r="PX230" s="16"/>
      <c r="PY230" s="16" t="n">
        <f aca="false">1.44+0.72</f>
        <v>2.16</v>
      </c>
      <c r="PZ230" s="16"/>
      <c r="QA230" s="16"/>
      <c r="QB230" s="16"/>
      <c r="QC230" s="16" t="n">
        <v>5.39</v>
      </c>
      <c r="QD230" s="16" t="n">
        <v>8.11</v>
      </c>
      <c r="QE230" s="16"/>
      <c r="QF230" s="16"/>
      <c r="QG230" s="16" t="n">
        <v>0</v>
      </c>
      <c r="QH230" s="16" t="n">
        <v>0</v>
      </c>
      <c r="QI230" s="16" t="n">
        <v>3</v>
      </c>
      <c r="QJ230" s="0" t="n">
        <v>0</v>
      </c>
      <c r="QK230" s="0" t="s">
        <v>188</v>
      </c>
      <c r="QL230" s="0" t="n">
        <v>40</v>
      </c>
      <c r="QM230" s="16" t="n">
        <v>84.1</v>
      </c>
      <c r="QN230" s="16" t="n">
        <v>80.4</v>
      </c>
      <c r="QO230" s="16" t="n">
        <v>35.1</v>
      </c>
      <c r="QP230" s="0" t="n">
        <v>66.11</v>
      </c>
      <c r="QQ230" s="17" t="n">
        <v>0</v>
      </c>
      <c r="QR230" s="0" t="n">
        <v>13.11</v>
      </c>
      <c r="QS230" s="0" t="n">
        <v>6.27</v>
      </c>
      <c r="QT230" s="0" t="n">
        <v>8.02</v>
      </c>
      <c r="QU230" s="0" t="n">
        <v>0</v>
      </c>
      <c r="QV230" s="0" t="n">
        <v>6.47</v>
      </c>
      <c r="QW230" s="0" t="n">
        <v>2.85</v>
      </c>
      <c r="QX230" s="0" t="n">
        <v>3.1</v>
      </c>
      <c r="QY230" s="0" t="n">
        <v>0</v>
      </c>
      <c r="QZ230" s="0" t="n">
        <v>0</v>
      </c>
      <c r="RA230" s="0" t="n">
        <v>10.49</v>
      </c>
      <c r="RB230" s="0" t="n">
        <v>26.72</v>
      </c>
      <c r="RC230" s="0" t="n">
        <v>13.38</v>
      </c>
      <c r="RD230" s="0" t="n">
        <v>10.67</v>
      </c>
      <c r="RE230" s="0" t="n">
        <v>0</v>
      </c>
      <c r="RF230" s="0" t="n">
        <v>0</v>
      </c>
      <c r="RG230" s="0" t="n">
        <v>0</v>
      </c>
      <c r="RT230" s="0" t="n">
        <v>3.9</v>
      </c>
      <c r="RU230" s="0" t="n">
        <v>1</v>
      </c>
      <c r="RV230" s="0" t="n">
        <v>68</v>
      </c>
      <c r="RW230" s="0" t="n">
        <v>4</v>
      </c>
      <c r="RX230" s="0" t="n">
        <f aca="false">1.9+0.34</f>
        <v>2.24</v>
      </c>
      <c r="RY230" s="0" t="n">
        <v>1</v>
      </c>
      <c r="RZ230" s="0" t="n">
        <v>34</v>
      </c>
      <c r="SA230" s="0" t="n">
        <v>8</v>
      </c>
      <c r="SB230" s="0" t="n">
        <v>0.27</v>
      </c>
      <c r="SC230" s="0" t="n">
        <v>1</v>
      </c>
      <c r="SF230" s="18"/>
      <c r="SX230" s="0" t="n">
        <v>1</v>
      </c>
      <c r="SY230" s="0" t="n">
        <v>50</v>
      </c>
      <c r="SZ230" s="0" t="n">
        <v>4</v>
      </c>
      <c r="TA230" s="0" t="n">
        <f aca="false">1.52*2</f>
        <v>3.04</v>
      </c>
      <c r="TB230" s="0" t="n">
        <v>3</v>
      </c>
      <c r="UI230" s="16" t="n">
        <v>0.04</v>
      </c>
      <c r="UJ230" s="16" t="n">
        <v>1</v>
      </c>
      <c r="UK230" s="16" t="n">
        <v>1</v>
      </c>
      <c r="UL230" s="16"/>
      <c r="UM230" s="16" t="n">
        <f aca="false">0.3</f>
        <v>0.3</v>
      </c>
      <c r="UN230" s="16"/>
      <c r="UO230" s="16"/>
      <c r="UP230" s="16"/>
      <c r="UQ230" s="16"/>
      <c r="UR230" s="16"/>
      <c r="US230" s="16"/>
      <c r="UT230" s="16" t="n">
        <v>0.03</v>
      </c>
      <c r="UU230" s="16" t="n">
        <v>0.03</v>
      </c>
      <c r="UV230" s="16"/>
      <c r="UW230" s="16"/>
      <c r="UX230" s="16" t="n">
        <v>0</v>
      </c>
      <c r="UY230" s="16" t="n">
        <v>0</v>
      </c>
      <c r="UZ230" s="16" t="n">
        <v>0</v>
      </c>
      <c r="VA230" s="0" t="n">
        <v>0</v>
      </c>
      <c r="VB230" s="0" t="s">
        <v>189</v>
      </c>
      <c r="VC230" s="0" t="n">
        <v>31</v>
      </c>
      <c r="VD230" s="16" t="n">
        <v>80.2</v>
      </c>
      <c r="VE230" s="16" t="n">
        <v>80.4</v>
      </c>
      <c r="VF230" s="16" t="n">
        <v>6.5</v>
      </c>
      <c r="VG230" s="0" t="n">
        <v>99.3</v>
      </c>
      <c r="VH230" s="17" t="n">
        <v>0</v>
      </c>
      <c r="VI230" s="0" t="n">
        <v>0.7</v>
      </c>
      <c r="VJ230" s="0" t="n">
        <v>0</v>
      </c>
      <c r="VK230" s="0" t="n">
        <v>0</v>
      </c>
      <c r="VL230" s="0" t="n">
        <v>0</v>
      </c>
      <c r="VM230" s="0" t="n">
        <v>0</v>
      </c>
      <c r="VN230" s="0" t="n">
        <v>0</v>
      </c>
      <c r="VO230" s="0" t="n">
        <v>0</v>
      </c>
      <c r="VP230" s="0" t="n">
        <v>0</v>
      </c>
      <c r="VQ230" s="0" t="n">
        <v>0</v>
      </c>
      <c r="VR230" s="0" t="n">
        <v>0</v>
      </c>
      <c r="VS230" s="0" t="n">
        <v>31.92</v>
      </c>
      <c r="VT230" s="0" t="n">
        <v>23.7</v>
      </c>
      <c r="VU230" s="0" t="n">
        <v>1.95</v>
      </c>
      <c r="VV230" s="0" t="n">
        <v>0</v>
      </c>
      <c r="VW230" s="0" t="n">
        <v>18.7</v>
      </c>
      <c r="VX230" s="0" t="n">
        <v>4</v>
      </c>
      <c r="VY230" s="0" t="n">
        <v>49</v>
      </c>
      <c r="WA230" s="0" t="n">
        <v>1</v>
      </c>
      <c r="WE230" s="0" t="n">
        <v>49</v>
      </c>
      <c r="WG230" s="0" t="n">
        <v>1</v>
      </c>
      <c r="WK230" s="0" t="n">
        <v>0</v>
      </c>
      <c r="WL230" s="0" t="n">
        <v>0</v>
      </c>
      <c r="WW230" s="18"/>
      <c r="XO230" s="0" t="n">
        <v>0</v>
      </c>
      <c r="YZ230" s="16" t="n">
        <v>0</v>
      </c>
      <c r="ZA230" s="16" t="n">
        <v>0</v>
      </c>
      <c r="ZB230" s="16"/>
      <c r="ZC230" s="16"/>
      <c r="ZD230" s="16"/>
      <c r="ZE230" s="16"/>
      <c r="ZF230" s="16"/>
      <c r="ZG230" s="16"/>
      <c r="ZH230" s="16"/>
      <c r="ZI230" s="16"/>
      <c r="ZJ230" s="16"/>
      <c r="ZK230" s="16" t="n">
        <v>5.42</v>
      </c>
      <c r="ZL230" s="16" t="n">
        <v>6.61</v>
      </c>
      <c r="ZM230" s="16"/>
      <c r="ZN230" s="16"/>
      <c r="ZO230" s="16" t="n">
        <v>0</v>
      </c>
      <c r="ZP230" s="16" t="n">
        <v>0</v>
      </c>
      <c r="ZQ230" s="16" t="n">
        <v>0</v>
      </c>
      <c r="ZR230" s="0" t="n">
        <v>0</v>
      </c>
      <c r="ZS230" s="0" t="s">
        <v>190</v>
      </c>
      <c r="ZT230" s="0" t="n">
        <v>38.5</v>
      </c>
      <c r="ZU230" s="16" t="n">
        <v>92</v>
      </c>
      <c r="ZV230" s="16" t="n">
        <v>80.4</v>
      </c>
      <c r="ZW230" s="16" t="n">
        <v>11</v>
      </c>
      <c r="ZX230" s="0" t="n">
        <v>95.37</v>
      </c>
      <c r="ZY230" s="17" t="n">
        <v>0</v>
      </c>
      <c r="ZZ230" s="0" t="n">
        <v>4.63</v>
      </c>
      <c r="AAA230" s="0" t="n">
        <v>0</v>
      </c>
      <c r="AAB230" s="0" t="n">
        <v>0</v>
      </c>
      <c r="AAC230" s="0" t="n">
        <v>0</v>
      </c>
      <c r="AAD230" s="0" t="n">
        <v>0</v>
      </c>
      <c r="AAE230" s="0" t="n">
        <v>0</v>
      </c>
      <c r="AAF230" s="0" t="n">
        <v>0</v>
      </c>
      <c r="AAG230" s="0" t="n">
        <v>0</v>
      </c>
      <c r="AAH230" s="0" t="n">
        <v>0</v>
      </c>
      <c r="AAI230" s="0" t="n">
        <v>2.85</v>
      </c>
      <c r="AAJ230" s="0" t="n">
        <v>16.15</v>
      </c>
      <c r="AAK230" s="0" t="n">
        <v>42.55</v>
      </c>
      <c r="AAL230" s="0" t="n">
        <v>4.63</v>
      </c>
      <c r="AAM230" s="0" t="n">
        <v>0</v>
      </c>
      <c r="AAN230" s="0" t="n">
        <v>5.7</v>
      </c>
      <c r="AAO230" s="0" t="n">
        <v>1</v>
      </c>
      <c r="AAP230" s="0" t="n">
        <v>3</v>
      </c>
      <c r="AAR230" s="0" t="n">
        <v>1</v>
      </c>
      <c r="AAV230" s="0" t="n">
        <v>3</v>
      </c>
      <c r="AAX230" s="0" t="n">
        <v>1</v>
      </c>
      <c r="ABB230" s="0" t="n">
        <v>4.8</v>
      </c>
      <c r="ABC230" s="0" t="n">
        <v>0</v>
      </c>
      <c r="ABN230" s="18"/>
      <c r="ACF230" s="0" t="n">
        <v>1</v>
      </c>
      <c r="ACG230" s="0" t="n">
        <v>70</v>
      </c>
      <c r="ACH230" s="0" t="n">
        <v>3</v>
      </c>
      <c r="ACI230" s="0" t="n">
        <f aca="false">14.97+0.86+0.7</f>
        <v>16.53</v>
      </c>
      <c r="ACJ230" s="0" t="n">
        <v>3</v>
      </c>
      <c r="ACK230" s="0" t="n">
        <v>60</v>
      </c>
      <c r="ACL230" s="0" t="n">
        <v>3</v>
      </c>
      <c r="ACM230" s="0" t="n">
        <f aca="false">3.02+0.97+0.6</f>
        <v>4.59</v>
      </c>
      <c r="ACN230" s="0" t="n">
        <v>3</v>
      </c>
      <c r="ADQ230" s="16" t="n">
        <v>2.82</v>
      </c>
      <c r="ADR230" s="16" t="n">
        <v>1</v>
      </c>
      <c r="ADS230" s="16" t="n">
        <v>1</v>
      </c>
      <c r="ADT230" s="16"/>
      <c r="ADU230" s="16" t="n">
        <f aca="false">0.93*2</f>
        <v>1.86</v>
      </c>
      <c r="ADV230" s="16" t="n">
        <v>2</v>
      </c>
      <c r="ADW230" s="16"/>
      <c r="ADX230" s="16" t="n">
        <f aca="false">9.6+1.93</f>
        <v>11.53</v>
      </c>
      <c r="ADY230" s="16"/>
      <c r="ADZ230" s="16"/>
      <c r="AEA230" s="16"/>
      <c r="AEB230" s="16" t="n">
        <v>13.91</v>
      </c>
      <c r="AEC230" s="16" t="n">
        <v>17.31</v>
      </c>
      <c r="AED230" s="16"/>
      <c r="AEE230" s="16"/>
      <c r="AEF230" s="16" t="n">
        <v>0</v>
      </c>
      <c r="AEG230" s="16" t="n">
        <v>0</v>
      </c>
      <c r="AEH230" s="16" t="n">
        <v>0</v>
      </c>
      <c r="AEI230" s="0" t="n">
        <v>0</v>
      </c>
      <c r="AEJ230" s="0" t="s">
        <v>191</v>
      </c>
      <c r="AEK230" s="0" t="n">
        <v>44</v>
      </c>
      <c r="AEL230" s="16" t="n">
        <v>75.8</v>
      </c>
      <c r="AEM230" s="16" t="n">
        <v>80.4</v>
      </c>
      <c r="AEN230" s="16" t="n">
        <v>12.2</v>
      </c>
      <c r="AEO230" s="0" t="n">
        <v>90.24</v>
      </c>
      <c r="AEP230" s="17" t="n">
        <v>0</v>
      </c>
      <c r="AEQ230" s="0" t="n">
        <v>6.27</v>
      </c>
      <c r="AER230" s="0" t="n">
        <v>0</v>
      </c>
      <c r="AES230" s="0" t="n">
        <v>3.49</v>
      </c>
      <c r="AET230" s="0" t="n">
        <v>0</v>
      </c>
      <c r="AEU230" s="0" t="n">
        <v>0</v>
      </c>
      <c r="AEV230" s="0" t="n">
        <v>0</v>
      </c>
      <c r="AEW230" s="0" t="n">
        <v>0</v>
      </c>
      <c r="AEX230" s="0" t="n">
        <v>0</v>
      </c>
      <c r="AEY230" s="0" t="n">
        <v>0</v>
      </c>
      <c r="AEZ230" s="0" t="n">
        <v>0</v>
      </c>
      <c r="AFA230" s="0" t="n">
        <v>24.37</v>
      </c>
      <c r="AFB230" s="0" t="n">
        <v>32.21</v>
      </c>
      <c r="AFC230" s="0" t="n">
        <v>3.56</v>
      </c>
      <c r="AFD230" s="0" t="n">
        <v>0</v>
      </c>
      <c r="AFE230" s="0" t="n">
        <v>0</v>
      </c>
      <c r="AFF230" s="0" t="n">
        <v>0</v>
      </c>
      <c r="AFS230" s="0" t="n">
        <v>20.3</v>
      </c>
      <c r="AFT230" s="0" t="n">
        <v>1</v>
      </c>
      <c r="AFU230" s="0" t="n">
        <v>30</v>
      </c>
      <c r="AFV230" s="0" t="n">
        <v>4</v>
      </c>
      <c r="AFW230" s="0" t="n">
        <v>3.01</v>
      </c>
      <c r="AFX230" s="0" t="n">
        <v>5</v>
      </c>
      <c r="AFY230" s="0" t="n">
        <v>68</v>
      </c>
      <c r="AFZ230" s="0" t="n">
        <v>2</v>
      </c>
      <c r="AGA230" s="0" t="n">
        <v>1.52</v>
      </c>
      <c r="AGB230" s="0" t="n">
        <v>1</v>
      </c>
      <c r="AGC230" s="0" t="n">
        <v>47</v>
      </c>
      <c r="AGD230" s="0" t="n">
        <v>1</v>
      </c>
      <c r="AGE230" s="18" t="n">
        <v>0.07</v>
      </c>
      <c r="AGF230" s="0" t="n">
        <v>3</v>
      </c>
      <c r="AGW230" s="0" t="n">
        <v>0</v>
      </c>
      <c r="AIH230" s="16" t="n">
        <v>1.88</v>
      </c>
      <c r="AII230" s="16" t="n">
        <v>1</v>
      </c>
      <c r="AIJ230" s="16" t="n">
        <v>2</v>
      </c>
      <c r="AIK230" s="16"/>
      <c r="AIL230" s="16" t="n">
        <v>4.18</v>
      </c>
      <c r="AIM230" s="16"/>
      <c r="AIN230" s="16"/>
      <c r="AIO230" s="16"/>
      <c r="AIP230" s="16"/>
      <c r="AIQ230" s="16"/>
      <c r="AIR230" s="16"/>
      <c r="AIS230" s="16" t="n">
        <v>7.15</v>
      </c>
      <c r="AIT230" s="16" t="n">
        <v>6.06</v>
      </c>
      <c r="AIU230" s="16"/>
      <c r="AIV230" s="16"/>
      <c r="AIW230" s="16" t="n">
        <v>0</v>
      </c>
      <c r="AIX230" s="16" t="n">
        <v>0</v>
      </c>
      <c r="AIY230" s="16" t="n">
        <v>0</v>
      </c>
      <c r="AIZ230" s="0" t="n">
        <v>0</v>
      </c>
      <c r="AJA230" s="0" t="s">
        <v>192</v>
      </c>
      <c r="AJB230" s="0" t="n">
        <v>47.5</v>
      </c>
      <c r="AJC230" s="16" t="n">
        <v>79.3</v>
      </c>
      <c r="AJD230" s="16" t="n">
        <v>80.4</v>
      </c>
      <c r="AJE230" s="16" t="n">
        <v>36.3</v>
      </c>
      <c r="AJF230" s="0" t="n">
        <v>66.23</v>
      </c>
      <c r="AJG230" s="17" t="n">
        <v>0</v>
      </c>
      <c r="AJH230" s="0" t="n">
        <v>33.77</v>
      </c>
      <c r="AJI230" s="0" t="n">
        <v>0</v>
      </c>
      <c r="AJJ230" s="0" t="n">
        <v>0</v>
      </c>
      <c r="AJK230" s="0" t="n">
        <v>0</v>
      </c>
      <c r="AJL230" s="0" t="n">
        <v>0</v>
      </c>
      <c r="AJM230" s="0" t="n">
        <v>0</v>
      </c>
      <c r="AJN230" s="0" t="n">
        <v>0</v>
      </c>
      <c r="AJO230" s="0" t="n">
        <v>0</v>
      </c>
      <c r="AJP230" s="0" t="n">
        <v>0</v>
      </c>
      <c r="AJQ230" s="0" t="n">
        <v>0</v>
      </c>
      <c r="AJR230" s="0" t="n">
        <v>38.37</v>
      </c>
      <c r="AJS230" s="0" t="n">
        <v>20.04</v>
      </c>
      <c r="AJT230" s="0" t="n">
        <v>11.21</v>
      </c>
      <c r="AJU230" s="0" t="n">
        <v>0</v>
      </c>
      <c r="AJV230" s="0" t="n">
        <v>0</v>
      </c>
      <c r="AJW230" s="0" t="n">
        <v>0</v>
      </c>
      <c r="AKJ230" s="0" t="n">
        <v>6.9</v>
      </c>
      <c r="AKK230" s="0" t="n">
        <v>1</v>
      </c>
      <c r="AKL230" s="0" t="n">
        <v>47</v>
      </c>
      <c r="AKM230" s="0" t="n">
        <v>3</v>
      </c>
      <c r="AKN230" s="0" t="n">
        <f aca="false">0.11+0.74+0.08</f>
        <v>0.93</v>
      </c>
      <c r="AKO230" s="0" t="n">
        <v>3</v>
      </c>
      <c r="AKP230" s="0" t="n">
        <v>68</v>
      </c>
      <c r="AKQ230" s="0" t="n">
        <v>1</v>
      </c>
      <c r="AKR230" s="0" t="n">
        <v>0.76</v>
      </c>
      <c r="AKS230" s="0" t="n">
        <v>1</v>
      </c>
      <c r="AKV230" s="18"/>
      <c r="ALN230" s="0" t="n">
        <v>0</v>
      </c>
    </row>
    <row r="231" customFormat="false" ht="13.8" hidden="false" customHeight="false" outlineLevel="0" collapsed="false">
      <c r="A231" s="1" t="s">
        <v>745</v>
      </c>
      <c r="B231" s="12" t="n">
        <v>42902</v>
      </c>
      <c r="C231" s="0" t="n">
        <v>2</v>
      </c>
      <c r="D231" s="13" t="n">
        <v>42790</v>
      </c>
      <c r="E231" s="12" t="n">
        <v>31180</v>
      </c>
      <c r="F231" s="14" t="n">
        <f aca="false">(B231-E231)/365.25</f>
        <v>32.0930869267625</v>
      </c>
      <c r="G231" s="14" t="n">
        <f aca="false">(B231-D231)/365.25</f>
        <v>0.306639288158795</v>
      </c>
      <c r="H231" s="19" t="s">
        <v>181</v>
      </c>
      <c r="I231" s="0" t="s">
        <v>182</v>
      </c>
      <c r="J231" s="21" t="s">
        <v>181</v>
      </c>
      <c r="K231" s="21" t="n">
        <v>4</v>
      </c>
      <c r="L231" s="19" t="n">
        <v>65</v>
      </c>
      <c r="M231" s="0" t="n">
        <v>1.68</v>
      </c>
      <c r="N231" s="16" t="n">
        <f aca="false">L231/(M231*M231)</f>
        <v>23.0300453514739</v>
      </c>
      <c r="O231" s="19" t="n">
        <v>0</v>
      </c>
      <c r="P231" s="19" t="n">
        <v>0</v>
      </c>
      <c r="Q231" s="19" t="n">
        <v>0</v>
      </c>
      <c r="R231" s="26" t="n">
        <v>0</v>
      </c>
      <c r="S231" s="26" t="n">
        <v>0</v>
      </c>
      <c r="T231" s="26" t="n">
        <v>0</v>
      </c>
      <c r="U231" s="19" t="n">
        <v>0</v>
      </c>
      <c r="V231" s="19" t="n">
        <v>0</v>
      </c>
      <c r="W231" s="19" t="n">
        <v>0</v>
      </c>
      <c r="X231" s="19" t="n">
        <v>0</v>
      </c>
      <c r="Y231" s="19" t="n">
        <v>0</v>
      </c>
      <c r="Z231" s="19" t="n">
        <v>0</v>
      </c>
      <c r="AA231" s="19" t="n">
        <v>0</v>
      </c>
      <c r="AB231" s="19" t="n">
        <v>0</v>
      </c>
      <c r="AC231" s="19" t="n">
        <v>1</v>
      </c>
      <c r="AD231" s="19" t="n">
        <v>4</v>
      </c>
      <c r="AE231" s="19" t="n">
        <v>0</v>
      </c>
      <c r="AF231" s="19" t="n">
        <v>0</v>
      </c>
      <c r="AG231" s="19" t="n">
        <v>0</v>
      </c>
      <c r="AH231" s="19" t="n">
        <v>0</v>
      </c>
      <c r="AI231" s="19" t="n">
        <v>0</v>
      </c>
      <c r="AJ231" s="19" t="n">
        <v>0</v>
      </c>
      <c r="AK231" s="19" t="n">
        <v>0</v>
      </c>
      <c r="AL231" s="19" t="n">
        <v>0</v>
      </c>
      <c r="AM231" s="19" t="n">
        <v>0</v>
      </c>
      <c r="AN231" s="19" t="n">
        <v>0</v>
      </c>
      <c r="AO231" s="19" t="n">
        <v>0</v>
      </c>
      <c r="AP231" s="19" t="n">
        <v>0</v>
      </c>
      <c r="AQ231" s="19" t="n">
        <v>0</v>
      </c>
      <c r="AR231" s="19" t="n">
        <v>0</v>
      </c>
      <c r="AS231" s="19" t="n">
        <v>1</v>
      </c>
      <c r="AT231" s="19" t="n">
        <v>0</v>
      </c>
      <c r="AU231" s="19" t="n">
        <v>0</v>
      </c>
      <c r="AV231" s="19" t="n">
        <v>0</v>
      </c>
      <c r="AW231" s="19" t="n">
        <v>0</v>
      </c>
      <c r="AX231" s="19" t="n">
        <v>0</v>
      </c>
      <c r="AY231" s="19" t="n">
        <v>0</v>
      </c>
      <c r="AZ231" s="19" t="n">
        <v>0</v>
      </c>
      <c r="BA231" s="19" t="n">
        <v>0</v>
      </c>
      <c r="BB231" s="19" t="n">
        <v>0</v>
      </c>
      <c r="BC231" s="19" t="n">
        <v>0</v>
      </c>
      <c r="BD231" s="19" t="n">
        <v>0</v>
      </c>
      <c r="BE231" s="19" t="n">
        <v>0</v>
      </c>
      <c r="BF231" s="19" t="n">
        <v>0</v>
      </c>
      <c r="BG231" s="19" t="n">
        <v>0</v>
      </c>
      <c r="BH231" s="19" t="n">
        <v>0</v>
      </c>
      <c r="BI231" s="19" t="n">
        <v>0</v>
      </c>
      <c r="BJ231" s="19" t="n">
        <v>0</v>
      </c>
      <c r="BK231" s="19" t="n">
        <v>0</v>
      </c>
      <c r="BL231" s="19" t="n">
        <v>0</v>
      </c>
      <c r="BM231" s="19" t="n">
        <v>0</v>
      </c>
      <c r="BN231" s="19" t="n">
        <v>0</v>
      </c>
      <c r="BO231" s="19" t="n">
        <v>0</v>
      </c>
      <c r="BP231" s="19" t="n">
        <v>0</v>
      </c>
      <c r="BQ231" s="19" t="n">
        <v>0</v>
      </c>
      <c r="BR231" s="19" t="n">
        <v>1</v>
      </c>
      <c r="BS231" s="19" t="n">
        <v>2</v>
      </c>
      <c r="BT231" s="19" t="n">
        <v>2</v>
      </c>
      <c r="BU231" s="19" t="n">
        <v>4</v>
      </c>
      <c r="BV231" s="19" t="n">
        <v>2</v>
      </c>
      <c r="BW231" s="19" t="n">
        <v>2</v>
      </c>
      <c r="BX231" s="19" t="n">
        <v>4</v>
      </c>
      <c r="BY231" s="19" t="n">
        <v>4</v>
      </c>
      <c r="BZ231" s="19" t="n">
        <v>4</v>
      </c>
      <c r="CA231" s="19" t="n">
        <v>5</v>
      </c>
      <c r="CB231" s="19" t="n">
        <v>5</v>
      </c>
      <c r="CC231" s="19" t="n">
        <v>4</v>
      </c>
      <c r="CD231" s="19" t="n">
        <v>4</v>
      </c>
      <c r="CE231" s="19" t="n">
        <v>5</v>
      </c>
      <c r="CF231" s="19" t="n">
        <v>5</v>
      </c>
      <c r="CG231" s="19" t="n">
        <v>5</v>
      </c>
      <c r="CH231" s="19" t="n">
        <v>5</v>
      </c>
      <c r="CI231" s="19" t="n">
        <v>4</v>
      </c>
      <c r="CJ231" s="19" t="n">
        <v>4</v>
      </c>
      <c r="CK231" s="19" t="n">
        <v>8</v>
      </c>
      <c r="CL231" s="0" t="s">
        <v>185</v>
      </c>
      <c r="CM231" s="0" t="n">
        <v>21.5</v>
      </c>
      <c r="CN231" s="16" t="n">
        <v>54.9</v>
      </c>
      <c r="CO231" s="16" t="n">
        <v>80.4</v>
      </c>
      <c r="CP231" s="16" t="n">
        <v>17.9</v>
      </c>
      <c r="CQ231" s="0" t="n">
        <v>90.61</v>
      </c>
      <c r="CR231" s="17" t="n">
        <v>0</v>
      </c>
      <c r="CS231" s="0" t="n">
        <v>0</v>
      </c>
      <c r="CT231" s="0" t="n">
        <v>2.45</v>
      </c>
      <c r="CU231" s="0" t="n">
        <v>6.94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0</v>
      </c>
      <c r="DB231" s="0" t="n">
        <v>12.16</v>
      </c>
      <c r="DC231" s="0" t="n">
        <v>24.45</v>
      </c>
      <c r="DD231" s="0" t="n">
        <v>4.8</v>
      </c>
      <c r="DE231" s="0" t="n">
        <v>5.11</v>
      </c>
      <c r="DF231" s="0" t="n">
        <v>0</v>
      </c>
      <c r="DG231" s="0" t="n">
        <v>0</v>
      </c>
      <c r="DH231" s="0" t="n">
        <v>0</v>
      </c>
      <c r="DU231" s="0" t="n">
        <v>2.9</v>
      </c>
      <c r="DV231" s="0" t="n">
        <v>1</v>
      </c>
      <c r="DW231" s="0" t="n">
        <v>68</v>
      </c>
      <c r="DX231" s="0" t="n">
        <v>2</v>
      </c>
      <c r="DY231" s="0" t="n">
        <f aca="false">0.38+0.07</f>
        <v>0.45</v>
      </c>
      <c r="DZ231" s="0" t="n">
        <v>1</v>
      </c>
      <c r="EG231" s="18"/>
      <c r="EY231" s="0" t="n">
        <v>1</v>
      </c>
      <c r="EZ231" s="0" t="n">
        <v>40</v>
      </c>
      <c r="FA231" s="0" t="n">
        <v>1</v>
      </c>
      <c r="FB231" s="0" t="n">
        <v>0.06</v>
      </c>
      <c r="FC231" s="0" t="n">
        <v>1</v>
      </c>
      <c r="FD231" s="0" t="n">
        <v>60</v>
      </c>
      <c r="FE231" s="0" t="n">
        <v>1</v>
      </c>
      <c r="FF231" s="0" t="n">
        <v>0.11</v>
      </c>
      <c r="FG231" s="0" t="n">
        <v>1</v>
      </c>
      <c r="FH231" s="0" t="n">
        <v>40</v>
      </c>
      <c r="FI231" s="0" t="n">
        <v>1</v>
      </c>
      <c r="FJ231" s="0" t="n">
        <v>0.58</v>
      </c>
      <c r="FK231" s="0" t="n">
        <v>6</v>
      </c>
      <c r="GJ231" s="16" t="n">
        <v>0</v>
      </c>
      <c r="GK231" s="16" t="n">
        <v>0</v>
      </c>
      <c r="GL231" s="16"/>
      <c r="GM231" s="16"/>
      <c r="GN231" s="16"/>
      <c r="GO231" s="16"/>
      <c r="GP231" s="16"/>
      <c r="GQ231" s="16"/>
      <c r="GR231" s="16"/>
      <c r="GS231" s="16"/>
      <c r="GT231" s="16"/>
      <c r="GU231" s="16" t="n">
        <v>0.67</v>
      </c>
      <c r="GV231" s="16" t="n">
        <v>0.65</v>
      </c>
      <c r="GW231" s="16"/>
      <c r="GX231" s="16"/>
      <c r="GY231" s="16" t="n">
        <v>0</v>
      </c>
      <c r="GZ231" s="16" t="n">
        <v>0</v>
      </c>
      <c r="HA231" s="16" t="n">
        <v>0</v>
      </c>
      <c r="HB231" s="0" t="n">
        <v>0</v>
      </c>
      <c r="HC231" s="0" t="s">
        <v>188</v>
      </c>
      <c r="HD231" s="0" t="n">
        <v>40</v>
      </c>
      <c r="HE231" s="16" t="n">
        <v>84.1</v>
      </c>
      <c r="HF231" s="16" t="n">
        <v>80.4</v>
      </c>
      <c r="HG231" s="16" t="n">
        <v>35.1</v>
      </c>
      <c r="HH231" s="0" t="n">
        <v>66.11</v>
      </c>
      <c r="HI231" s="17" t="n">
        <v>0</v>
      </c>
      <c r="HJ231" s="0" t="n">
        <v>13.11</v>
      </c>
      <c r="HK231" s="0" t="n">
        <v>6.27</v>
      </c>
      <c r="HL231" s="0" t="n">
        <v>8.02</v>
      </c>
      <c r="HM231" s="0" t="n">
        <v>0</v>
      </c>
      <c r="HN231" s="0" t="n">
        <v>6.47</v>
      </c>
      <c r="HO231" s="0" t="n">
        <v>2.85</v>
      </c>
      <c r="HP231" s="0" t="n">
        <v>3.1</v>
      </c>
      <c r="HQ231" s="0" t="n">
        <v>0</v>
      </c>
      <c r="HR231" s="0" t="n">
        <v>0</v>
      </c>
      <c r="HS231" s="0" t="n">
        <v>10.49</v>
      </c>
      <c r="HT231" s="0" t="n">
        <v>26.72</v>
      </c>
      <c r="HU231" s="0" t="n">
        <v>13.38</v>
      </c>
      <c r="HV231" s="0" t="n">
        <v>10.67</v>
      </c>
      <c r="HW231" s="0" t="n">
        <v>0</v>
      </c>
      <c r="HX231" s="0" t="n">
        <v>0</v>
      </c>
      <c r="HY231" s="0" t="n">
        <v>0</v>
      </c>
      <c r="IL231" s="0" t="n">
        <v>3.9</v>
      </c>
      <c r="IM231" s="0" t="n">
        <v>1</v>
      </c>
      <c r="IN231" s="0" t="n">
        <v>68</v>
      </c>
      <c r="IO231" s="0" t="n">
        <v>4</v>
      </c>
      <c r="IP231" s="0" t="n">
        <f aca="false">1.9+0.34</f>
        <v>2.24</v>
      </c>
      <c r="IQ231" s="0" t="n">
        <v>1</v>
      </c>
      <c r="IR231" s="0" t="n">
        <v>34</v>
      </c>
      <c r="IS231" s="0" t="n">
        <v>8</v>
      </c>
      <c r="IT231" s="0" t="n">
        <v>0.27</v>
      </c>
      <c r="IU231" s="0" t="n">
        <v>1</v>
      </c>
      <c r="IX231" s="18"/>
      <c r="JP231" s="0" t="n">
        <v>1</v>
      </c>
      <c r="JQ231" s="0" t="n">
        <v>50</v>
      </c>
      <c r="JR231" s="0" t="n">
        <v>4</v>
      </c>
      <c r="JS231" s="0" t="n">
        <f aca="false">1.52*2</f>
        <v>3.04</v>
      </c>
      <c r="JT231" s="0" t="n">
        <v>3</v>
      </c>
      <c r="LA231" s="16" t="n">
        <v>0.04</v>
      </c>
      <c r="LB231" s="16" t="n">
        <v>1</v>
      </c>
      <c r="LC231" s="16" t="n">
        <v>1</v>
      </c>
      <c r="LD231" s="16"/>
      <c r="LE231" s="16" t="n">
        <f aca="false">0.3</f>
        <v>0.3</v>
      </c>
      <c r="LF231" s="16"/>
      <c r="LG231" s="16"/>
      <c r="LH231" s="16"/>
      <c r="LI231" s="16"/>
      <c r="LJ231" s="16"/>
      <c r="LK231" s="16"/>
      <c r="LL231" s="16" t="n">
        <v>0.03</v>
      </c>
      <c r="LM231" s="16" t="n">
        <v>0.03</v>
      </c>
      <c r="LN231" s="16"/>
      <c r="LO231" s="16"/>
      <c r="LP231" s="16" t="n">
        <v>0</v>
      </c>
      <c r="LQ231" s="16" t="n">
        <v>0</v>
      </c>
      <c r="LR231" s="16" t="n">
        <v>0</v>
      </c>
      <c r="LS231" s="0" t="n">
        <v>0</v>
      </c>
      <c r="LT231" s="0" t="s">
        <v>190</v>
      </c>
      <c r="LU231" s="0" t="n">
        <v>38.5</v>
      </c>
      <c r="LV231" s="16" t="n">
        <v>92</v>
      </c>
      <c r="LW231" s="16" t="n">
        <v>80.4</v>
      </c>
      <c r="LX231" s="16" t="n">
        <v>11</v>
      </c>
      <c r="LY231" s="0" t="n">
        <v>95.37</v>
      </c>
      <c r="LZ231" s="17" t="n">
        <v>0</v>
      </c>
      <c r="MA231" s="0" t="n">
        <v>4.63</v>
      </c>
      <c r="MB231" s="0" t="n">
        <v>0</v>
      </c>
      <c r="MC231" s="0" t="n">
        <v>0</v>
      </c>
      <c r="MD231" s="0" t="n">
        <v>0</v>
      </c>
      <c r="ME231" s="0" t="n">
        <v>0</v>
      </c>
      <c r="MF231" s="0" t="n">
        <v>0</v>
      </c>
      <c r="MG231" s="0" t="n">
        <v>0</v>
      </c>
      <c r="MH231" s="0" t="n">
        <v>0</v>
      </c>
      <c r="MI231" s="0" t="n">
        <v>0</v>
      </c>
      <c r="MJ231" s="0" t="n">
        <v>2.85</v>
      </c>
      <c r="MK231" s="0" t="n">
        <v>16.15</v>
      </c>
      <c r="ML231" s="0" t="n">
        <v>42.55</v>
      </c>
      <c r="MM231" s="0" t="n">
        <v>4.63</v>
      </c>
      <c r="MN231" s="0" t="n">
        <v>0</v>
      </c>
      <c r="MO231" s="0" t="n">
        <v>5.7</v>
      </c>
      <c r="MP231" s="0" t="n">
        <v>1</v>
      </c>
      <c r="MQ231" s="0" t="n">
        <v>3</v>
      </c>
      <c r="MS231" s="0" t="n">
        <v>1</v>
      </c>
      <c r="MW231" s="0" t="n">
        <v>3</v>
      </c>
      <c r="MY231" s="0" t="n">
        <v>1</v>
      </c>
      <c r="NC231" s="0" t="n">
        <v>4.8</v>
      </c>
      <c r="ND231" s="0" t="n">
        <v>0</v>
      </c>
      <c r="NO231" s="18"/>
      <c r="OG231" s="0" t="n">
        <v>1</v>
      </c>
      <c r="OH231" s="0" t="n">
        <v>70</v>
      </c>
      <c r="OI231" s="0" t="n">
        <v>3</v>
      </c>
      <c r="OJ231" s="0" t="n">
        <f aca="false">14.97+0.86+0.7</f>
        <v>16.53</v>
      </c>
      <c r="OK231" s="0" t="n">
        <v>3</v>
      </c>
      <c r="OL231" s="0" t="n">
        <v>60</v>
      </c>
      <c r="OM231" s="0" t="n">
        <v>3</v>
      </c>
      <c r="ON231" s="0" t="n">
        <f aca="false">3.02+0.97+0.6</f>
        <v>4.59</v>
      </c>
      <c r="OO231" s="0" t="n">
        <v>3</v>
      </c>
      <c r="PR231" s="16" t="n">
        <v>2.82</v>
      </c>
      <c r="PS231" s="16" t="n">
        <v>1</v>
      </c>
      <c r="PT231" s="16" t="n">
        <v>1</v>
      </c>
      <c r="PU231" s="16"/>
      <c r="PV231" s="16" t="n">
        <f aca="false">0.93*2</f>
        <v>1.86</v>
      </c>
      <c r="PW231" s="16" t="n">
        <v>2</v>
      </c>
      <c r="PX231" s="16"/>
      <c r="PY231" s="16" t="n">
        <f aca="false">9.6+1.93</f>
        <v>11.53</v>
      </c>
      <c r="PZ231" s="16"/>
      <c r="QA231" s="16"/>
      <c r="QB231" s="16"/>
      <c r="QC231" s="16" t="n">
        <v>13.91</v>
      </c>
      <c r="QD231" s="16" t="n">
        <v>17.31</v>
      </c>
      <c r="QE231" s="16"/>
      <c r="QF231" s="16"/>
      <c r="QG231" s="16" t="n">
        <v>0</v>
      </c>
      <c r="QH231" s="16" t="n">
        <v>0</v>
      </c>
      <c r="QI231" s="16" t="n">
        <v>0</v>
      </c>
      <c r="QJ231" s="0" t="n">
        <v>0</v>
      </c>
      <c r="QK231" s="0" t="s">
        <v>636</v>
      </c>
      <c r="QL231" s="0" t="n">
        <v>48</v>
      </c>
      <c r="QM231" s="16" t="n">
        <v>66.2</v>
      </c>
      <c r="QN231" s="16" t="n">
        <v>80.4</v>
      </c>
      <c r="QO231" s="16" t="n">
        <v>40.1</v>
      </c>
      <c r="QP231" s="0" t="n">
        <v>62.33</v>
      </c>
      <c r="QQ231" s="17" t="n">
        <v>0</v>
      </c>
      <c r="QR231" s="0" t="n">
        <v>37.67</v>
      </c>
      <c r="QS231" s="0" t="n">
        <v>0</v>
      </c>
      <c r="QT231" s="0" t="n">
        <v>0</v>
      </c>
      <c r="QU231" s="0" t="n">
        <v>0</v>
      </c>
      <c r="QV231" s="0" t="n">
        <v>0</v>
      </c>
      <c r="QW231" s="0" t="n">
        <v>0</v>
      </c>
      <c r="QX231" s="0" t="n">
        <v>0</v>
      </c>
      <c r="QY231" s="0" t="n">
        <v>0</v>
      </c>
      <c r="QZ231" s="0" t="n">
        <v>0</v>
      </c>
      <c r="RA231" s="0" t="n">
        <v>0</v>
      </c>
      <c r="RB231" s="0" t="n">
        <v>6.02</v>
      </c>
      <c r="RC231" s="0" t="n">
        <v>19.5</v>
      </c>
      <c r="RD231" s="0" t="n">
        <v>10.54</v>
      </c>
      <c r="RE231" s="0" t="n">
        <v>0</v>
      </c>
      <c r="RF231" s="0" t="n">
        <v>0</v>
      </c>
      <c r="RG231" s="0" t="n">
        <v>0</v>
      </c>
      <c r="RT231" s="0" t="n">
        <v>4.6</v>
      </c>
      <c r="RU231" s="0" t="n">
        <v>1</v>
      </c>
      <c r="RV231" s="0" t="n">
        <v>68</v>
      </c>
      <c r="RW231" s="0" t="n">
        <v>2</v>
      </c>
      <c r="RX231" s="0" t="n">
        <v>1.5</v>
      </c>
      <c r="RY231" s="0" t="n">
        <v>1</v>
      </c>
      <c r="RZ231" s="0" t="n">
        <v>35</v>
      </c>
      <c r="SA231" s="0" t="n">
        <v>1</v>
      </c>
      <c r="SB231" s="0" t="n">
        <v>0.45</v>
      </c>
      <c r="SC231" s="0" t="n">
        <v>3</v>
      </c>
      <c r="SF231" s="18"/>
      <c r="SX231" s="0" t="n">
        <v>0</v>
      </c>
      <c r="UI231" s="16" t="n">
        <v>0</v>
      </c>
      <c r="UJ231" s="16" t="n">
        <v>0</v>
      </c>
      <c r="UK231" s="16"/>
      <c r="UL231" s="16"/>
      <c r="UM231" s="16"/>
      <c r="UN231" s="16"/>
      <c r="UO231" s="16"/>
      <c r="UP231" s="16"/>
      <c r="UQ231" s="16"/>
      <c r="UR231" s="16"/>
      <c r="US231" s="16"/>
      <c r="UT231" s="16" t="n">
        <v>1.88</v>
      </c>
      <c r="UU231" s="16" t="n">
        <v>1.88</v>
      </c>
      <c r="UV231" s="16"/>
      <c r="UW231" s="16"/>
      <c r="UX231" s="16" t="n">
        <v>0</v>
      </c>
      <c r="UY231" s="16" t="n">
        <v>0</v>
      </c>
      <c r="UZ231" s="16" t="n">
        <v>0</v>
      </c>
      <c r="VA231" s="0" t="n">
        <v>0</v>
      </c>
      <c r="VB231" s="0" t="s">
        <v>634</v>
      </c>
      <c r="VC231" s="0" t="n">
        <v>25</v>
      </c>
      <c r="VD231" s="16" t="n">
        <v>67</v>
      </c>
      <c r="VE231" s="16" t="n">
        <v>80.4</v>
      </c>
      <c r="VF231" s="16" t="n">
        <v>7.6</v>
      </c>
      <c r="VG231" s="0" t="n">
        <v>97.19</v>
      </c>
      <c r="VH231" s="17" t="n">
        <v>0</v>
      </c>
      <c r="VI231" s="0" t="n">
        <v>0</v>
      </c>
      <c r="VJ231" s="0" t="n">
        <v>0</v>
      </c>
      <c r="VK231" s="0" t="n">
        <v>2.81</v>
      </c>
      <c r="VL231" s="0" t="n">
        <v>0</v>
      </c>
      <c r="VM231" s="0" t="n">
        <v>0</v>
      </c>
      <c r="VN231" s="0" t="n">
        <v>0</v>
      </c>
      <c r="VO231" s="0" t="n">
        <v>0</v>
      </c>
      <c r="VP231" s="0" t="n">
        <v>0</v>
      </c>
      <c r="VQ231" s="0" t="n">
        <v>0</v>
      </c>
      <c r="VR231" s="0" t="n">
        <v>0</v>
      </c>
      <c r="VS231" s="0" t="n">
        <v>4.69</v>
      </c>
      <c r="VT231" s="0" t="n">
        <v>46.88</v>
      </c>
      <c r="VU231" s="0" t="n">
        <v>0</v>
      </c>
      <c r="VV231" s="0" t="n">
        <v>0</v>
      </c>
      <c r="VW231" s="0" t="n">
        <v>11.6</v>
      </c>
      <c r="VX231" s="0" t="n">
        <v>2</v>
      </c>
      <c r="VY231" s="0" t="n">
        <v>5</v>
      </c>
      <c r="WA231" s="0" t="n">
        <v>1</v>
      </c>
      <c r="WE231" s="0" t="n">
        <v>5</v>
      </c>
      <c r="WG231" s="0" t="n">
        <v>1</v>
      </c>
      <c r="WK231" s="0" t="n">
        <v>0</v>
      </c>
      <c r="WL231" s="0" t="n">
        <v>1</v>
      </c>
      <c r="WM231" s="0" t="n">
        <v>34</v>
      </c>
      <c r="WN231" s="0" t="n">
        <v>4</v>
      </c>
      <c r="WO231" s="0" t="n">
        <v>2.25</v>
      </c>
      <c r="WP231" s="0" t="n">
        <v>1</v>
      </c>
      <c r="WW231" s="18"/>
      <c r="XO231" s="0" t="n">
        <v>0</v>
      </c>
      <c r="YZ231" s="16" t="n">
        <v>0.01</v>
      </c>
      <c r="ZA231" s="16" t="n">
        <v>1</v>
      </c>
      <c r="ZB231" s="16" t="n">
        <v>1</v>
      </c>
      <c r="ZC231" s="16"/>
      <c r="ZD231" s="16" t="n">
        <v>0.14</v>
      </c>
      <c r="ZE231" s="16"/>
      <c r="ZF231" s="16"/>
      <c r="ZG231" s="16"/>
      <c r="ZH231" s="16"/>
      <c r="ZI231" s="16"/>
      <c r="ZJ231" s="16"/>
      <c r="ZK231" s="16" t="n">
        <v>5.7</v>
      </c>
      <c r="ZL231" s="16" t="n">
        <v>0</v>
      </c>
      <c r="ZM231" s="16"/>
      <c r="ZN231" s="16"/>
      <c r="ZO231" s="16" t="n">
        <v>0</v>
      </c>
      <c r="ZP231" s="16" t="n">
        <v>0</v>
      </c>
      <c r="ZQ231" s="16" t="n">
        <v>0</v>
      </c>
      <c r="ZR231" s="0" t="n">
        <v>0</v>
      </c>
      <c r="ZU231" s="15"/>
      <c r="ZV231" s="15"/>
      <c r="AAC231" s="15"/>
      <c r="AAD231" s="15"/>
      <c r="AAK231" s="15"/>
      <c r="AAL231" s="15"/>
      <c r="AAS231" s="15"/>
      <c r="AAT231" s="15"/>
      <c r="ABA231" s="15"/>
      <c r="ABB231" s="15"/>
      <c r="ABI231" s="15"/>
      <c r="ABJ231" s="15"/>
      <c r="ABQ231" s="15"/>
      <c r="ABR231" s="15"/>
      <c r="ABY231" s="15"/>
      <c r="ABZ231" s="15"/>
      <c r="ACG231" s="15"/>
      <c r="ACH231" s="15"/>
      <c r="ACO231" s="15"/>
      <c r="ACP231" s="15"/>
      <c r="ACW231" s="15"/>
      <c r="ACX231" s="15"/>
      <c r="ADE231" s="15"/>
      <c r="ADF231" s="15"/>
      <c r="ADM231" s="15"/>
      <c r="ADN231" s="15"/>
      <c r="ADU231" s="15"/>
      <c r="ADV231" s="15"/>
      <c r="AEC231" s="15"/>
      <c r="AED231" s="15"/>
      <c r="AEK231" s="15"/>
      <c r="AEL231" s="15"/>
      <c r="AES231" s="15"/>
      <c r="AET231" s="15"/>
      <c r="AFA231" s="15"/>
      <c r="AFB231" s="15"/>
      <c r="AFI231" s="15"/>
      <c r="AFJ231" s="15"/>
      <c r="AFQ231" s="15"/>
      <c r="AFR231" s="15"/>
      <c r="AFY231" s="15"/>
      <c r="AFZ231" s="15"/>
      <c r="AGG231" s="15"/>
      <c r="AGH231" s="15"/>
      <c r="AGO231" s="15"/>
      <c r="AGP231" s="15"/>
      <c r="AGW231" s="15"/>
      <c r="AGX231" s="15"/>
      <c r="AHE231" s="15"/>
      <c r="AHF231" s="15"/>
      <c r="AHM231" s="15"/>
      <c r="AHN231" s="15"/>
      <c r="AHU231" s="15"/>
      <c r="AHV231" s="15"/>
      <c r="AIC231" s="15"/>
      <c r="AID231" s="15"/>
      <c r="AIK231" s="15"/>
      <c r="AIL231" s="15"/>
      <c r="AIS231" s="15"/>
      <c r="AIT231" s="15"/>
      <c r="AJA231" s="15"/>
      <c r="AJB231" s="15"/>
      <c r="AJI231" s="15"/>
      <c r="AJJ231" s="15"/>
      <c r="AJQ231" s="15"/>
      <c r="AJR231" s="15"/>
      <c r="AJY231" s="15"/>
      <c r="AJZ231" s="15"/>
      <c r="AKG231" s="15"/>
      <c r="AKH231" s="15"/>
      <c r="AKO231" s="15"/>
      <c r="AKP231" s="15"/>
      <c r="AKW231" s="15"/>
      <c r="AKX231" s="15"/>
      <c r="ALE231" s="15"/>
      <c r="ALF231" s="15"/>
      <c r="ALM231" s="15"/>
      <c r="ALN231" s="15"/>
      <c r="ALU231" s="15"/>
      <c r="ALV231" s="15"/>
      <c r="AMC231" s="15"/>
      <c r="AMD231" s="15"/>
    </row>
    <row r="232" customFormat="false" ht="13.8" hidden="false" customHeight="false" outlineLevel="0" collapsed="false">
      <c r="A232" s="1" t="s">
        <v>746</v>
      </c>
      <c r="B232" s="12" t="n">
        <v>42902</v>
      </c>
      <c r="C232" s="0" t="n">
        <v>2</v>
      </c>
      <c r="D232" s="13" t="n">
        <v>40693</v>
      </c>
      <c r="E232" s="12" t="n">
        <v>32417</v>
      </c>
      <c r="F232" s="14" t="n">
        <f aca="false">(B232-E232)/365.25</f>
        <v>28.7063655030801</v>
      </c>
      <c r="G232" s="14" t="n">
        <f aca="false">(B232-D232)/365.25</f>
        <v>6.04791238877481</v>
      </c>
      <c r="H232" s="19" t="s">
        <v>181</v>
      </c>
      <c r="I232" s="0" t="s">
        <v>182</v>
      </c>
      <c r="J232" s="21" t="s">
        <v>181</v>
      </c>
      <c r="K232" s="21" t="n">
        <v>4</v>
      </c>
      <c r="L232" s="19" t="n">
        <v>87</v>
      </c>
      <c r="M232" s="0" t="n">
        <v>1.74</v>
      </c>
      <c r="N232" s="16" t="n">
        <f aca="false">L232/(M232*M232)</f>
        <v>28.735632183908</v>
      </c>
      <c r="O232" s="19" t="n">
        <v>0</v>
      </c>
      <c r="P232" s="19" t="n">
        <v>0</v>
      </c>
      <c r="Q232" s="19" t="n">
        <v>0</v>
      </c>
      <c r="R232" s="26" t="n">
        <v>0</v>
      </c>
      <c r="S232" s="26" t="n">
        <v>0</v>
      </c>
      <c r="T232" s="26" t="n">
        <v>0</v>
      </c>
      <c r="U232" s="19" t="n">
        <v>0</v>
      </c>
      <c r="V232" s="19" t="n">
        <v>0</v>
      </c>
      <c r="W232" s="19" t="n">
        <v>1</v>
      </c>
      <c r="X232" s="19" t="n">
        <v>1</v>
      </c>
      <c r="Y232" s="19" t="n">
        <v>1</v>
      </c>
      <c r="Z232" s="19" t="n">
        <v>3</v>
      </c>
      <c r="AA232" s="19" t="n">
        <v>120</v>
      </c>
      <c r="AB232" s="19" t="s">
        <v>747</v>
      </c>
      <c r="AC232" s="19" t="n">
        <v>1</v>
      </c>
      <c r="AD232" s="19" t="n">
        <v>10</v>
      </c>
      <c r="AE232" s="19" t="n">
        <v>0</v>
      </c>
      <c r="AF232" s="19" t="n">
        <v>0</v>
      </c>
      <c r="AG232" s="19" t="n">
        <v>0</v>
      </c>
      <c r="AH232" s="19" t="n">
        <v>0</v>
      </c>
      <c r="AI232" s="19" t="n">
        <v>1</v>
      </c>
      <c r="AJ232" s="19" t="n">
        <v>1</v>
      </c>
      <c r="AK232" s="19" t="n">
        <v>1</v>
      </c>
      <c r="AL232" s="19" t="n">
        <v>5</v>
      </c>
      <c r="AM232" s="19" t="n">
        <v>0</v>
      </c>
      <c r="AN232" s="19" t="n">
        <v>0</v>
      </c>
      <c r="AO232" s="19" t="n">
        <v>0</v>
      </c>
      <c r="AP232" s="19" t="n">
        <v>0</v>
      </c>
      <c r="AQ232" s="19" t="n">
        <v>0</v>
      </c>
      <c r="AR232" s="19" t="n">
        <v>0</v>
      </c>
      <c r="AS232" s="19" t="n">
        <v>1</v>
      </c>
      <c r="AT232" s="19" t="n">
        <v>1</v>
      </c>
      <c r="AU232" s="19" t="n">
        <v>1</v>
      </c>
      <c r="AV232" s="19" t="n">
        <v>6</v>
      </c>
      <c r="AW232" s="19" t="n">
        <v>0</v>
      </c>
      <c r="AX232" s="19" t="n">
        <v>0</v>
      </c>
      <c r="AY232" s="19" t="n">
        <v>0</v>
      </c>
      <c r="AZ232" s="19" t="n">
        <v>0</v>
      </c>
      <c r="BA232" s="19" t="n">
        <v>0</v>
      </c>
      <c r="BB232" s="19" t="n">
        <v>0</v>
      </c>
      <c r="BC232" s="19" t="n">
        <v>0</v>
      </c>
      <c r="BD232" s="19" t="n">
        <v>0</v>
      </c>
      <c r="BE232" s="19" t="n">
        <v>0</v>
      </c>
      <c r="BF232" s="19" t="n">
        <v>0</v>
      </c>
      <c r="BG232" s="19" t="n">
        <v>0</v>
      </c>
      <c r="BH232" s="19" t="n">
        <v>0</v>
      </c>
      <c r="BI232" s="19" t="n">
        <v>0</v>
      </c>
      <c r="BJ232" s="19" t="n">
        <v>0</v>
      </c>
      <c r="BK232" s="19" t="n">
        <v>0</v>
      </c>
      <c r="BL232" s="19" t="n">
        <v>0</v>
      </c>
      <c r="BM232" s="19" t="n">
        <v>0</v>
      </c>
      <c r="BN232" s="19" t="n">
        <v>1</v>
      </c>
      <c r="BO232" s="19" t="n">
        <v>1</v>
      </c>
      <c r="BP232" s="19" t="n">
        <v>1</v>
      </c>
      <c r="BQ232" s="19" t="n">
        <v>6</v>
      </c>
      <c r="BR232" s="19" t="n">
        <v>2</v>
      </c>
      <c r="BS232" s="19" t="n">
        <v>2</v>
      </c>
      <c r="BT232" s="19" t="n">
        <v>3</v>
      </c>
      <c r="BU232" s="19" t="n">
        <v>5</v>
      </c>
      <c r="BV232" s="19" t="n">
        <v>4</v>
      </c>
      <c r="BW232" s="19" t="n">
        <v>3</v>
      </c>
      <c r="BX232" s="19" t="n">
        <v>4</v>
      </c>
      <c r="BY232" s="19" t="n">
        <v>4</v>
      </c>
      <c r="BZ232" s="19" t="n">
        <v>5</v>
      </c>
      <c r="CA232" s="19" t="n">
        <v>3</v>
      </c>
      <c r="CB232" s="19" t="n">
        <v>4</v>
      </c>
      <c r="CC232" s="19" t="n">
        <v>4</v>
      </c>
      <c r="CD232" s="19" t="n">
        <v>4</v>
      </c>
      <c r="CE232" s="19" t="n">
        <v>4</v>
      </c>
      <c r="CF232" s="19" t="n">
        <v>5</v>
      </c>
      <c r="CG232" s="19" t="n">
        <v>4</v>
      </c>
      <c r="CH232" s="19" t="n">
        <v>4</v>
      </c>
      <c r="CI232" s="19" t="n">
        <v>4</v>
      </c>
      <c r="CJ232" s="19" t="n">
        <v>3</v>
      </c>
      <c r="CK232" s="19" t="n">
        <v>8</v>
      </c>
      <c r="CL232" s="0" t="s">
        <v>185</v>
      </c>
      <c r="CM232" s="0" t="n">
        <v>21.5</v>
      </c>
      <c r="CN232" s="16" t="n">
        <v>54.9</v>
      </c>
      <c r="CO232" s="16" t="n">
        <v>80.4</v>
      </c>
      <c r="CP232" s="16" t="n">
        <v>17.9</v>
      </c>
      <c r="CQ232" s="0" t="n">
        <v>90.61</v>
      </c>
      <c r="CR232" s="17" t="n">
        <v>0</v>
      </c>
      <c r="CS232" s="0" t="n">
        <v>0</v>
      </c>
      <c r="CT232" s="0" t="n">
        <v>2.45</v>
      </c>
      <c r="CU232" s="0" t="n">
        <v>6.94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12.16</v>
      </c>
      <c r="DC232" s="0" t="n">
        <v>24.45</v>
      </c>
      <c r="DD232" s="0" t="n">
        <v>4.8</v>
      </c>
      <c r="DE232" s="0" t="n">
        <v>5.11</v>
      </c>
      <c r="DF232" s="0" t="n">
        <v>0</v>
      </c>
      <c r="DG232" s="0" t="n">
        <v>0</v>
      </c>
      <c r="DH232" s="0" t="n">
        <v>0</v>
      </c>
      <c r="DU232" s="0" t="n">
        <v>2.9</v>
      </c>
      <c r="DV232" s="0" t="n">
        <v>1</v>
      </c>
      <c r="DW232" s="0" t="n">
        <v>68</v>
      </c>
      <c r="DX232" s="0" t="n">
        <v>2</v>
      </c>
      <c r="DY232" s="0" t="n">
        <f aca="false">0.38+0.07</f>
        <v>0.45</v>
      </c>
      <c r="DZ232" s="0" t="n">
        <v>1</v>
      </c>
      <c r="EG232" s="18"/>
      <c r="EY232" s="0" t="n">
        <v>1</v>
      </c>
      <c r="EZ232" s="0" t="n">
        <v>40</v>
      </c>
      <c r="FA232" s="0" t="n">
        <v>1</v>
      </c>
      <c r="FB232" s="0" t="n">
        <v>0.06</v>
      </c>
      <c r="FC232" s="0" t="n">
        <v>1</v>
      </c>
      <c r="FD232" s="0" t="n">
        <v>60</v>
      </c>
      <c r="FE232" s="0" t="n">
        <v>1</v>
      </c>
      <c r="FF232" s="0" t="n">
        <v>0.11</v>
      </c>
      <c r="FG232" s="0" t="n">
        <v>1</v>
      </c>
      <c r="FH232" s="0" t="n">
        <v>40</v>
      </c>
      <c r="FI232" s="0" t="n">
        <v>1</v>
      </c>
      <c r="FJ232" s="0" t="n">
        <v>0.58</v>
      </c>
      <c r="FK232" s="0" t="n">
        <v>6</v>
      </c>
      <c r="GJ232" s="16" t="n">
        <v>0</v>
      </c>
      <c r="GK232" s="16" t="n">
        <v>0</v>
      </c>
      <c r="GL232" s="16"/>
      <c r="GM232" s="16"/>
      <c r="GN232" s="16"/>
      <c r="GO232" s="16"/>
      <c r="GP232" s="16"/>
      <c r="GQ232" s="16"/>
      <c r="GR232" s="16"/>
      <c r="GS232" s="16"/>
      <c r="GT232" s="16"/>
      <c r="GU232" s="16" t="n">
        <v>0.67</v>
      </c>
      <c r="GV232" s="16" t="n">
        <v>0.65</v>
      </c>
      <c r="GW232" s="16"/>
      <c r="GX232" s="16"/>
      <c r="GY232" s="16" t="n">
        <v>0</v>
      </c>
      <c r="GZ232" s="16" t="n">
        <v>0</v>
      </c>
      <c r="HA232" s="16" t="n">
        <v>0</v>
      </c>
      <c r="HB232" s="0" t="n">
        <v>0</v>
      </c>
      <c r="HC232" s="0" t="s">
        <v>186</v>
      </c>
      <c r="HD232" s="0" t="n">
        <v>52.5</v>
      </c>
      <c r="HE232" s="16" t="n">
        <v>78.3</v>
      </c>
      <c r="HF232" s="16" t="n">
        <v>80.4</v>
      </c>
      <c r="HG232" s="16" t="n">
        <v>33.2</v>
      </c>
      <c r="HH232" s="0" t="n">
        <v>67.5</v>
      </c>
      <c r="HI232" s="17" t="n">
        <v>0</v>
      </c>
      <c r="HJ232" s="0" t="n">
        <v>21.37</v>
      </c>
      <c r="HK232" s="0" t="n">
        <v>0</v>
      </c>
      <c r="HL232" s="0" t="n">
        <v>3.99</v>
      </c>
      <c r="HM232" s="0" t="n">
        <v>0</v>
      </c>
      <c r="HN232" s="0" t="n">
        <v>0</v>
      </c>
      <c r="HO232" s="0" t="n">
        <v>0</v>
      </c>
      <c r="HP232" s="0" t="n">
        <v>0</v>
      </c>
      <c r="HQ232" s="0" t="n">
        <v>0</v>
      </c>
      <c r="HR232" s="0" t="n">
        <v>0</v>
      </c>
      <c r="HS232" s="0" t="n">
        <v>0</v>
      </c>
      <c r="HT232" s="0" t="n">
        <v>5.93</v>
      </c>
      <c r="HU232" s="0" t="n">
        <v>42.2</v>
      </c>
      <c r="HV232" s="0" t="n">
        <v>15.97</v>
      </c>
      <c r="HW232" s="0" t="n">
        <v>7.14</v>
      </c>
      <c r="HX232" s="0" t="n">
        <v>0</v>
      </c>
      <c r="HY232" s="0" t="n">
        <v>0</v>
      </c>
      <c r="IL232" s="0" t="n">
        <v>1.7</v>
      </c>
      <c r="IM232" s="0" t="n">
        <v>1</v>
      </c>
      <c r="IN232" s="0" t="n">
        <v>34</v>
      </c>
      <c r="IO232" s="0" t="n">
        <v>5</v>
      </c>
      <c r="IP232" s="0" t="n">
        <v>0.21</v>
      </c>
      <c r="IQ232" s="0" t="n">
        <v>1</v>
      </c>
      <c r="IR232" s="0" t="n">
        <v>68</v>
      </c>
      <c r="IS232" s="0" t="n">
        <v>3</v>
      </c>
      <c r="IT232" s="0" t="n">
        <v>0.3</v>
      </c>
      <c r="IU232" s="0" t="n">
        <v>1</v>
      </c>
      <c r="IV232" s="0" t="n">
        <v>47</v>
      </c>
      <c r="IW232" s="0" t="n">
        <v>4</v>
      </c>
      <c r="IX232" s="18" t="n">
        <v>0.11</v>
      </c>
      <c r="IY232" s="0" t="n">
        <v>1</v>
      </c>
      <c r="IZ232" s="0" t="n">
        <v>35</v>
      </c>
      <c r="JA232" s="0" t="n">
        <v>2</v>
      </c>
      <c r="JB232" s="0" t="n">
        <v>0.1</v>
      </c>
      <c r="JC232" s="0" t="n">
        <v>1</v>
      </c>
      <c r="JP232" s="0" t="n">
        <v>0</v>
      </c>
      <c r="LA232" s="16" t="n">
        <v>1.04</v>
      </c>
      <c r="LB232" s="16" t="n">
        <v>1</v>
      </c>
      <c r="LC232" s="16" t="n">
        <v>1</v>
      </c>
      <c r="LD232" s="16"/>
      <c r="LE232" s="16" t="n">
        <f aca="false">3.74+3.17+0.1</f>
        <v>7.01</v>
      </c>
      <c r="LF232" s="16"/>
      <c r="LG232" s="16"/>
      <c r="LH232" s="16"/>
      <c r="LI232" s="16"/>
      <c r="LJ232" s="16"/>
      <c r="LK232" s="16"/>
      <c r="LL232" s="16" t="n">
        <v>8.9</v>
      </c>
      <c r="LM232" s="16" t="n">
        <v>9.79</v>
      </c>
      <c r="LN232" s="16"/>
      <c r="LO232" s="16"/>
      <c r="LP232" s="16" t="n">
        <v>2.99</v>
      </c>
      <c r="LQ232" s="16" t="n">
        <v>4</v>
      </c>
      <c r="LR232" s="16" t="n">
        <v>3</v>
      </c>
      <c r="LS232" s="0" t="n">
        <v>0</v>
      </c>
      <c r="LT232" s="0" t="s">
        <v>187</v>
      </c>
      <c r="LU232" s="0" t="n">
        <v>53.5</v>
      </c>
      <c r="LV232" s="16" t="n">
        <v>73.5</v>
      </c>
      <c r="LW232" s="16" t="n">
        <v>80.4</v>
      </c>
      <c r="LX232" s="16" t="n">
        <v>26.1</v>
      </c>
      <c r="LY232" s="0" t="n">
        <v>78.89</v>
      </c>
      <c r="LZ232" s="17" t="n">
        <v>0</v>
      </c>
      <c r="MA232" s="0" t="n">
        <v>2.36</v>
      </c>
      <c r="MB232" s="0" t="n">
        <v>0</v>
      </c>
      <c r="MC232" s="0" t="n">
        <v>11.6</v>
      </c>
      <c r="MD232" s="0" t="n">
        <v>0</v>
      </c>
      <c r="ME232" s="0" t="n">
        <v>0</v>
      </c>
      <c r="MF232" s="0" t="n">
        <v>0</v>
      </c>
      <c r="MG232" s="0" t="n">
        <v>0</v>
      </c>
      <c r="MH232" s="0" t="n">
        <v>0</v>
      </c>
      <c r="MI232" s="0" t="n">
        <v>0</v>
      </c>
      <c r="MJ232" s="0" t="n">
        <v>7.86</v>
      </c>
      <c r="MK232" s="0" t="n">
        <v>12.08</v>
      </c>
      <c r="ML232" s="0" t="n">
        <v>18.1</v>
      </c>
      <c r="MM232" s="0" t="n">
        <v>28.51</v>
      </c>
      <c r="MN232" s="0" t="n">
        <v>7.14</v>
      </c>
      <c r="MO232" s="0" t="n">
        <v>0</v>
      </c>
      <c r="MP232" s="0" t="n">
        <v>0</v>
      </c>
      <c r="NC232" s="0" t="n">
        <v>11.6</v>
      </c>
      <c r="ND232" s="0" t="n">
        <v>1</v>
      </c>
      <c r="NE232" s="0" t="n">
        <v>47</v>
      </c>
      <c r="NF232" s="0" t="n">
        <v>4</v>
      </c>
      <c r="NG232" s="0" t="n">
        <f aca="false">1.15+0.34</f>
        <v>1.49</v>
      </c>
      <c r="NH232" s="0" t="n">
        <v>3</v>
      </c>
      <c r="NO232" s="18"/>
      <c r="OG232" s="0" t="n">
        <v>1</v>
      </c>
      <c r="OH232" s="0" t="n">
        <v>50</v>
      </c>
      <c r="OI232" s="0" t="n">
        <v>1</v>
      </c>
      <c r="OJ232" s="0" t="n">
        <v>0.19</v>
      </c>
      <c r="OK232" s="0" t="n">
        <v>3</v>
      </c>
      <c r="PR232" s="16" t="n">
        <v>7.27</v>
      </c>
      <c r="PS232" s="16" t="n">
        <v>1</v>
      </c>
      <c r="PT232" s="16" t="n">
        <v>1</v>
      </c>
      <c r="PU232" s="16"/>
      <c r="PV232" s="16" t="n">
        <f aca="false">2.11*2+0.37*2</f>
        <v>4.96</v>
      </c>
      <c r="PW232" s="16" t="n">
        <v>3</v>
      </c>
      <c r="PX232" s="16"/>
      <c r="PY232" s="16" t="n">
        <f aca="false">1.44+0.72</f>
        <v>2.16</v>
      </c>
      <c r="PZ232" s="16"/>
      <c r="QA232" s="16"/>
      <c r="QB232" s="16"/>
      <c r="QC232" s="16" t="n">
        <v>5.39</v>
      </c>
      <c r="QD232" s="16" t="n">
        <v>8.11</v>
      </c>
      <c r="QE232" s="16"/>
      <c r="QF232" s="16"/>
      <c r="QG232" s="16" t="n">
        <v>0</v>
      </c>
      <c r="QH232" s="16" t="n">
        <v>0</v>
      </c>
      <c r="QI232" s="16" t="n">
        <v>3</v>
      </c>
      <c r="QJ232" s="0" t="n">
        <v>0</v>
      </c>
      <c r="QK232" s="0" t="s">
        <v>188</v>
      </c>
      <c r="QL232" s="0" t="n">
        <v>40</v>
      </c>
      <c r="QM232" s="16" t="n">
        <v>84.1</v>
      </c>
      <c r="QN232" s="16" t="n">
        <v>80.4</v>
      </c>
      <c r="QO232" s="16" t="n">
        <v>35.1</v>
      </c>
      <c r="QP232" s="0" t="n">
        <v>66.11</v>
      </c>
      <c r="QQ232" s="17" t="n">
        <v>0</v>
      </c>
      <c r="QR232" s="0" t="n">
        <v>13.11</v>
      </c>
      <c r="QS232" s="0" t="n">
        <v>6.27</v>
      </c>
      <c r="QT232" s="0" t="n">
        <v>8.02</v>
      </c>
      <c r="QU232" s="0" t="n">
        <v>0</v>
      </c>
      <c r="QV232" s="0" t="n">
        <v>6.47</v>
      </c>
      <c r="QW232" s="0" t="n">
        <v>2.85</v>
      </c>
      <c r="QX232" s="0" t="n">
        <v>3.1</v>
      </c>
      <c r="QY232" s="0" t="n">
        <v>0</v>
      </c>
      <c r="QZ232" s="0" t="n">
        <v>0</v>
      </c>
      <c r="RA232" s="0" t="n">
        <v>10.49</v>
      </c>
      <c r="RB232" s="0" t="n">
        <v>26.72</v>
      </c>
      <c r="RC232" s="0" t="n">
        <v>13.38</v>
      </c>
      <c r="RD232" s="0" t="n">
        <v>10.67</v>
      </c>
      <c r="RE232" s="0" t="n">
        <v>0</v>
      </c>
      <c r="RF232" s="0" t="n">
        <v>0</v>
      </c>
      <c r="RG232" s="0" t="n">
        <v>0</v>
      </c>
      <c r="RT232" s="0" t="n">
        <v>3.9</v>
      </c>
      <c r="RU232" s="0" t="n">
        <v>1</v>
      </c>
      <c r="RV232" s="0" t="n">
        <v>68</v>
      </c>
      <c r="RW232" s="0" t="n">
        <v>4</v>
      </c>
      <c r="RX232" s="0" t="n">
        <f aca="false">1.9+0.34</f>
        <v>2.24</v>
      </c>
      <c r="RY232" s="0" t="n">
        <v>1</v>
      </c>
      <c r="RZ232" s="0" t="n">
        <v>34</v>
      </c>
      <c r="SA232" s="0" t="n">
        <v>8</v>
      </c>
      <c r="SB232" s="0" t="n">
        <v>0.27</v>
      </c>
      <c r="SC232" s="0" t="n">
        <v>1</v>
      </c>
      <c r="SF232" s="18"/>
      <c r="SX232" s="0" t="n">
        <v>1</v>
      </c>
      <c r="SY232" s="0" t="n">
        <v>50</v>
      </c>
      <c r="SZ232" s="0" t="n">
        <v>4</v>
      </c>
      <c r="TA232" s="0" t="n">
        <f aca="false">1.52*2</f>
        <v>3.04</v>
      </c>
      <c r="TB232" s="0" t="n">
        <v>3</v>
      </c>
      <c r="UI232" s="16" t="n">
        <v>0.04</v>
      </c>
      <c r="UJ232" s="16" t="n">
        <v>1</v>
      </c>
      <c r="UK232" s="16" t="n">
        <v>1</v>
      </c>
      <c r="UL232" s="16"/>
      <c r="UM232" s="16" t="n">
        <f aca="false">0.3</f>
        <v>0.3</v>
      </c>
      <c r="UN232" s="16"/>
      <c r="UO232" s="16"/>
      <c r="UP232" s="16"/>
      <c r="UQ232" s="16"/>
      <c r="UR232" s="16"/>
      <c r="US232" s="16"/>
      <c r="UT232" s="16" t="n">
        <v>0.03</v>
      </c>
      <c r="UU232" s="16" t="n">
        <v>0.03</v>
      </c>
      <c r="UV232" s="16"/>
      <c r="UW232" s="16"/>
      <c r="UX232" s="16" t="n">
        <v>0</v>
      </c>
      <c r="UY232" s="16" t="n">
        <v>0</v>
      </c>
      <c r="UZ232" s="16" t="n">
        <v>0</v>
      </c>
      <c r="VA232" s="0" t="n">
        <v>0</v>
      </c>
      <c r="VB232" s="0" t="s">
        <v>189</v>
      </c>
      <c r="VC232" s="0" t="n">
        <v>31</v>
      </c>
      <c r="VD232" s="16" t="n">
        <v>80.2</v>
      </c>
      <c r="VE232" s="16" t="n">
        <v>80.4</v>
      </c>
      <c r="VF232" s="16" t="n">
        <v>6.5</v>
      </c>
      <c r="VG232" s="0" t="n">
        <v>99.3</v>
      </c>
      <c r="VH232" s="17" t="n">
        <v>0</v>
      </c>
      <c r="VI232" s="0" t="n">
        <v>0.7</v>
      </c>
      <c r="VJ232" s="0" t="n">
        <v>0</v>
      </c>
      <c r="VK232" s="0" t="n">
        <v>0</v>
      </c>
      <c r="VL232" s="0" t="n">
        <v>0</v>
      </c>
      <c r="VM232" s="0" t="n">
        <v>0</v>
      </c>
      <c r="VN232" s="0" t="n">
        <v>0</v>
      </c>
      <c r="VO232" s="0" t="n">
        <v>0</v>
      </c>
      <c r="VP232" s="0" t="n">
        <v>0</v>
      </c>
      <c r="VQ232" s="0" t="n">
        <v>0</v>
      </c>
      <c r="VR232" s="0" t="n">
        <v>0</v>
      </c>
      <c r="VS232" s="0" t="n">
        <v>31.92</v>
      </c>
      <c r="VT232" s="0" t="n">
        <v>23.7</v>
      </c>
      <c r="VU232" s="0" t="n">
        <v>1.95</v>
      </c>
      <c r="VV232" s="0" t="n">
        <v>0</v>
      </c>
      <c r="VW232" s="0" t="n">
        <v>18.7</v>
      </c>
      <c r="VX232" s="0" t="n">
        <v>4</v>
      </c>
      <c r="VY232" s="0" t="n">
        <v>49</v>
      </c>
      <c r="WA232" s="0" t="n">
        <v>1</v>
      </c>
      <c r="WE232" s="0" t="n">
        <v>49</v>
      </c>
      <c r="WG232" s="0" t="n">
        <v>1</v>
      </c>
      <c r="WK232" s="0" t="n">
        <v>0</v>
      </c>
      <c r="WL232" s="0" t="n">
        <v>0</v>
      </c>
      <c r="WW232" s="18"/>
      <c r="XO232" s="0" t="n">
        <v>0</v>
      </c>
      <c r="YZ232" s="16" t="n">
        <v>0</v>
      </c>
      <c r="ZA232" s="16" t="n">
        <v>0</v>
      </c>
      <c r="ZB232" s="16"/>
      <c r="ZC232" s="16"/>
      <c r="ZD232" s="16"/>
      <c r="ZE232" s="16"/>
      <c r="ZF232" s="16"/>
      <c r="ZG232" s="16"/>
      <c r="ZH232" s="16"/>
      <c r="ZI232" s="16"/>
      <c r="ZJ232" s="16"/>
      <c r="ZK232" s="16" t="n">
        <v>5.42</v>
      </c>
      <c r="ZL232" s="16" t="n">
        <v>6.61</v>
      </c>
      <c r="ZM232" s="16"/>
      <c r="ZN232" s="16"/>
      <c r="ZO232" s="16" t="n">
        <v>0</v>
      </c>
      <c r="ZP232" s="16" t="n">
        <v>0</v>
      </c>
      <c r="ZQ232" s="16" t="n">
        <v>0</v>
      </c>
      <c r="ZR232" s="0" t="n">
        <v>0</v>
      </c>
      <c r="ZS232" s="0" t="s">
        <v>190</v>
      </c>
      <c r="ZT232" s="0" t="n">
        <v>38.5</v>
      </c>
      <c r="ZU232" s="16" t="n">
        <v>92</v>
      </c>
      <c r="ZV232" s="16" t="n">
        <v>80.4</v>
      </c>
      <c r="ZW232" s="16" t="n">
        <v>11</v>
      </c>
      <c r="ZX232" s="0" t="n">
        <v>95.37</v>
      </c>
      <c r="ZY232" s="17" t="n">
        <v>0</v>
      </c>
      <c r="ZZ232" s="0" t="n">
        <v>4.63</v>
      </c>
      <c r="AAA232" s="0" t="n">
        <v>0</v>
      </c>
      <c r="AAB232" s="0" t="n">
        <v>0</v>
      </c>
      <c r="AAC232" s="0" t="n">
        <v>0</v>
      </c>
      <c r="AAD232" s="0" t="n">
        <v>0</v>
      </c>
      <c r="AAE232" s="0" t="n">
        <v>0</v>
      </c>
      <c r="AAF232" s="0" t="n">
        <v>0</v>
      </c>
      <c r="AAG232" s="0" t="n">
        <v>0</v>
      </c>
      <c r="AAH232" s="0" t="n">
        <v>0</v>
      </c>
      <c r="AAI232" s="0" t="n">
        <v>2.85</v>
      </c>
      <c r="AAJ232" s="0" t="n">
        <v>16.15</v>
      </c>
      <c r="AAK232" s="0" t="n">
        <v>42.55</v>
      </c>
      <c r="AAL232" s="0" t="n">
        <v>4.63</v>
      </c>
      <c r="AAM232" s="0" t="n">
        <v>0</v>
      </c>
      <c r="AAN232" s="0" t="n">
        <v>5.7</v>
      </c>
      <c r="AAO232" s="0" t="n">
        <v>1</v>
      </c>
      <c r="AAP232" s="0" t="n">
        <v>3</v>
      </c>
      <c r="AAR232" s="0" t="n">
        <v>1</v>
      </c>
      <c r="AAV232" s="0" t="n">
        <v>3</v>
      </c>
      <c r="AAX232" s="0" t="n">
        <v>1</v>
      </c>
      <c r="ABB232" s="0" t="n">
        <v>4.8</v>
      </c>
      <c r="ABC232" s="0" t="n">
        <v>0</v>
      </c>
      <c r="ABN232" s="18"/>
      <c r="ACF232" s="0" t="n">
        <v>1</v>
      </c>
      <c r="ACG232" s="0" t="n">
        <v>70</v>
      </c>
      <c r="ACH232" s="0" t="n">
        <v>3</v>
      </c>
      <c r="ACI232" s="0" t="n">
        <f aca="false">14.97+0.86+0.7</f>
        <v>16.53</v>
      </c>
      <c r="ACJ232" s="0" t="n">
        <v>3</v>
      </c>
      <c r="ACK232" s="0" t="n">
        <v>60</v>
      </c>
      <c r="ACL232" s="0" t="n">
        <v>3</v>
      </c>
      <c r="ACM232" s="0" t="n">
        <f aca="false">3.02+0.97+0.6</f>
        <v>4.59</v>
      </c>
      <c r="ACN232" s="0" t="n">
        <v>3</v>
      </c>
      <c r="ADQ232" s="16" t="n">
        <v>2.82</v>
      </c>
      <c r="ADR232" s="16" t="n">
        <v>1</v>
      </c>
      <c r="ADS232" s="16" t="n">
        <v>1</v>
      </c>
      <c r="ADT232" s="16"/>
      <c r="ADU232" s="16" t="n">
        <f aca="false">0.93*2</f>
        <v>1.86</v>
      </c>
      <c r="ADV232" s="16" t="n">
        <v>2</v>
      </c>
      <c r="ADW232" s="16"/>
      <c r="ADX232" s="16" t="n">
        <f aca="false">9.6+1.93</f>
        <v>11.53</v>
      </c>
      <c r="ADY232" s="16"/>
      <c r="ADZ232" s="16"/>
      <c r="AEA232" s="16"/>
      <c r="AEB232" s="16" t="n">
        <v>13.91</v>
      </c>
      <c r="AEC232" s="16" t="n">
        <v>17.31</v>
      </c>
      <c r="AED232" s="16"/>
      <c r="AEE232" s="16"/>
      <c r="AEF232" s="16" t="n">
        <v>0</v>
      </c>
      <c r="AEG232" s="16" t="n">
        <v>0</v>
      </c>
      <c r="AEH232" s="16" t="n">
        <v>0</v>
      </c>
      <c r="AEI232" s="0" t="n">
        <v>0</v>
      </c>
      <c r="AEJ232" s="0" t="s">
        <v>191</v>
      </c>
      <c r="AEK232" s="0" t="n">
        <v>44</v>
      </c>
      <c r="AEL232" s="16" t="n">
        <v>75.8</v>
      </c>
      <c r="AEM232" s="16" t="n">
        <v>80.4</v>
      </c>
      <c r="AEN232" s="16" t="n">
        <v>12.2</v>
      </c>
      <c r="AEO232" s="0" t="n">
        <v>90.24</v>
      </c>
      <c r="AEP232" s="17" t="n">
        <v>0</v>
      </c>
      <c r="AEQ232" s="0" t="n">
        <v>6.27</v>
      </c>
      <c r="AER232" s="0" t="n">
        <v>0</v>
      </c>
      <c r="AES232" s="0" t="n">
        <v>3.49</v>
      </c>
      <c r="AET232" s="0" t="n">
        <v>0</v>
      </c>
      <c r="AEU232" s="0" t="n">
        <v>0</v>
      </c>
      <c r="AEV232" s="0" t="n">
        <v>0</v>
      </c>
      <c r="AEW232" s="0" t="n">
        <v>0</v>
      </c>
      <c r="AEX232" s="0" t="n">
        <v>0</v>
      </c>
      <c r="AEY232" s="0" t="n">
        <v>0</v>
      </c>
      <c r="AEZ232" s="0" t="n">
        <v>0</v>
      </c>
      <c r="AFA232" s="0" t="n">
        <v>24.37</v>
      </c>
      <c r="AFB232" s="0" t="n">
        <v>32.21</v>
      </c>
      <c r="AFC232" s="0" t="n">
        <v>3.56</v>
      </c>
      <c r="AFD232" s="0" t="n">
        <v>0</v>
      </c>
      <c r="AFE232" s="0" t="n">
        <v>0</v>
      </c>
      <c r="AFF232" s="0" t="n">
        <v>0</v>
      </c>
      <c r="AFS232" s="0" t="n">
        <v>20.3</v>
      </c>
      <c r="AFT232" s="0" t="n">
        <v>1</v>
      </c>
      <c r="AFU232" s="0" t="n">
        <v>30</v>
      </c>
      <c r="AFV232" s="0" t="n">
        <v>4</v>
      </c>
      <c r="AFW232" s="0" t="n">
        <v>3.01</v>
      </c>
      <c r="AFX232" s="0" t="n">
        <v>5</v>
      </c>
      <c r="AFY232" s="0" t="n">
        <v>68</v>
      </c>
      <c r="AFZ232" s="0" t="n">
        <v>2</v>
      </c>
      <c r="AGA232" s="0" t="n">
        <v>1.52</v>
      </c>
      <c r="AGB232" s="0" t="n">
        <v>1</v>
      </c>
      <c r="AGC232" s="0" t="n">
        <v>47</v>
      </c>
      <c r="AGD232" s="0" t="n">
        <v>1</v>
      </c>
      <c r="AGE232" s="18" t="n">
        <v>0.07</v>
      </c>
      <c r="AGF232" s="0" t="n">
        <v>3</v>
      </c>
      <c r="AGW232" s="0" t="n">
        <v>0</v>
      </c>
      <c r="AIH232" s="16" t="n">
        <v>1.88</v>
      </c>
      <c r="AII232" s="16" t="n">
        <v>1</v>
      </c>
      <c r="AIJ232" s="16" t="n">
        <v>2</v>
      </c>
      <c r="AIK232" s="16"/>
      <c r="AIL232" s="16" t="n">
        <v>4.18</v>
      </c>
      <c r="AIM232" s="16"/>
      <c r="AIN232" s="16"/>
      <c r="AIO232" s="16"/>
      <c r="AIP232" s="16"/>
      <c r="AIQ232" s="16"/>
      <c r="AIR232" s="16"/>
      <c r="AIS232" s="16" t="n">
        <v>7.15</v>
      </c>
      <c r="AIT232" s="16" t="n">
        <v>6.06</v>
      </c>
      <c r="AIU232" s="16"/>
      <c r="AIV232" s="16"/>
      <c r="AIW232" s="16" t="n">
        <v>0</v>
      </c>
      <c r="AIX232" s="16" t="n">
        <v>0</v>
      </c>
      <c r="AIY232" s="16" t="n">
        <v>0</v>
      </c>
      <c r="AIZ232" s="0" t="n">
        <v>0</v>
      </c>
      <c r="AJA232" s="0" t="s">
        <v>192</v>
      </c>
      <c r="AJB232" s="0" t="n">
        <v>47.5</v>
      </c>
      <c r="AJC232" s="16" t="n">
        <v>79.3</v>
      </c>
      <c r="AJD232" s="16" t="n">
        <v>80.4</v>
      </c>
      <c r="AJE232" s="16" t="n">
        <v>36.3</v>
      </c>
      <c r="AJF232" s="0" t="n">
        <v>66.23</v>
      </c>
      <c r="AJG232" s="17" t="n">
        <v>0</v>
      </c>
      <c r="AJH232" s="0" t="n">
        <v>33.77</v>
      </c>
      <c r="AJI232" s="0" t="n">
        <v>0</v>
      </c>
      <c r="AJJ232" s="0" t="n">
        <v>0</v>
      </c>
      <c r="AJK232" s="0" t="n">
        <v>0</v>
      </c>
      <c r="AJL232" s="0" t="n">
        <v>0</v>
      </c>
      <c r="AJM232" s="0" t="n">
        <v>0</v>
      </c>
      <c r="AJN232" s="0" t="n">
        <v>0</v>
      </c>
      <c r="AJO232" s="0" t="n">
        <v>0</v>
      </c>
      <c r="AJP232" s="0" t="n">
        <v>0</v>
      </c>
      <c r="AJQ232" s="0" t="n">
        <v>0</v>
      </c>
      <c r="AJR232" s="0" t="n">
        <v>38.37</v>
      </c>
      <c r="AJS232" s="0" t="n">
        <v>20.04</v>
      </c>
      <c r="AJT232" s="0" t="n">
        <v>11.21</v>
      </c>
      <c r="AJU232" s="0" t="n">
        <v>0</v>
      </c>
      <c r="AJV232" s="0" t="n">
        <v>0</v>
      </c>
      <c r="AJW232" s="0" t="n">
        <v>0</v>
      </c>
      <c r="AKJ232" s="0" t="n">
        <v>6.9</v>
      </c>
      <c r="AKK232" s="0" t="n">
        <v>1</v>
      </c>
      <c r="AKL232" s="0" t="n">
        <v>47</v>
      </c>
      <c r="AKM232" s="0" t="n">
        <v>3</v>
      </c>
      <c r="AKN232" s="0" t="n">
        <f aca="false">0.11+0.74+0.08</f>
        <v>0.93</v>
      </c>
      <c r="AKO232" s="0" t="n">
        <v>3</v>
      </c>
      <c r="AKP232" s="0" t="n">
        <v>68</v>
      </c>
      <c r="AKQ232" s="0" t="n">
        <v>1</v>
      </c>
      <c r="AKR232" s="0" t="n">
        <v>0.76</v>
      </c>
      <c r="AKS232" s="0" t="n">
        <v>1</v>
      </c>
      <c r="AKV232" s="18"/>
      <c r="ALN232" s="0" t="n">
        <v>0</v>
      </c>
    </row>
    <row r="233" customFormat="false" ht="13.8" hidden="false" customHeight="false" outlineLevel="0" collapsed="false">
      <c r="A233" s="1" t="s">
        <v>748</v>
      </c>
      <c r="B233" s="12" t="n">
        <v>42906</v>
      </c>
      <c r="C233" s="0" t="n">
        <v>1</v>
      </c>
      <c r="D233" s="13" t="n">
        <v>42801</v>
      </c>
      <c r="E233" s="12" t="n">
        <v>31956</v>
      </c>
      <c r="F233" s="14" t="n">
        <f aca="false">(B233-E233)/365.25</f>
        <v>29.9794661190965</v>
      </c>
      <c r="G233" s="14" t="n">
        <f aca="false">(B233-D233)/365.25</f>
        <v>0.287474332648871</v>
      </c>
      <c r="H233" s="19" t="s">
        <v>181</v>
      </c>
      <c r="I233" s="0" t="s">
        <v>182</v>
      </c>
      <c r="J233" s="21" t="s">
        <v>183</v>
      </c>
      <c r="K233" s="21" t="n">
        <v>4</v>
      </c>
      <c r="L233" s="19" t="n">
        <v>57</v>
      </c>
      <c r="M233" s="0" t="n">
        <v>1.61</v>
      </c>
      <c r="N233" s="16" t="n">
        <f aca="false">L233/(M233*M233)</f>
        <v>21.9898923652637</v>
      </c>
      <c r="O233" s="19" t="n">
        <v>0</v>
      </c>
      <c r="P233" s="19" t="n">
        <v>0</v>
      </c>
      <c r="Q233" s="19" t="n">
        <v>0</v>
      </c>
      <c r="R233" s="26" t="n">
        <v>0</v>
      </c>
      <c r="S233" s="26" t="n">
        <v>0</v>
      </c>
      <c r="T233" s="26" t="n">
        <v>0</v>
      </c>
      <c r="U233" s="19" t="n">
        <v>0</v>
      </c>
      <c r="V233" s="19" t="n">
        <v>0</v>
      </c>
      <c r="W233" s="19" t="n">
        <v>0</v>
      </c>
      <c r="X233" s="19" t="n">
        <v>0</v>
      </c>
      <c r="Y233" s="19" t="n">
        <v>0</v>
      </c>
      <c r="Z233" s="19" t="n">
        <v>0</v>
      </c>
      <c r="AA233" s="19" t="n">
        <v>0</v>
      </c>
      <c r="AB233" s="19" t="n">
        <v>0</v>
      </c>
      <c r="AC233" s="19" t="n">
        <v>1</v>
      </c>
      <c r="AD233" s="19" t="n">
        <v>6</v>
      </c>
      <c r="AE233" s="19" t="n">
        <v>0</v>
      </c>
      <c r="AF233" s="19" t="n">
        <v>0</v>
      </c>
      <c r="AG233" s="19" t="n">
        <v>0</v>
      </c>
      <c r="AH233" s="19" t="n">
        <v>0</v>
      </c>
      <c r="AI233" s="19" t="n">
        <v>0</v>
      </c>
      <c r="AJ233" s="19" t="n">
        <v>0</v>
      </c>
      <c r="AK233" s="19" t="n">
        <v>0</v>
      </c>
      <c r="AL233" s="19" t="n">
        <v>0</v>
      </c>
      <c r="AM233" s="19" t="n">
        <v>0</v>
      </c>
      <c r="AN233" s="19" t="n">
        <v>0</v>
      </c>
      <c r="AO233" s="19" t="n">
        <v>0</v>
      </c>
      <c r="AP233" s="19" t="n">
        <v>0</v>
      </c>
      <c r="AQ233" s="19" t="n">
        <v>0</v>
      </c>
      <c r="AR233" s="19" t="n">
        <v>0</v>
      </c>
      <c r="AS233" s="19" t="n">
        <v>3</v>
      </c>
      <c r="AT233" s="19" t="n">
        <v>0</v>
      </c>
      <c r="AU233" s="19" t="n">
        <v>0</v>
      </c>
      <c r="AV233" s="19" t="n">
        <v>0</v>
      </c>
      <c r="AW233" s="19" t="n">
        <v>0</v>
      </c>
      <c r="AX233" s="19" t="n">
        <v>0</v>
      </c>
      <c r="AY233" s="19" t="n">
        <v>0</v>
      </c>
      <c r="AZ233" s="19" t="n">
        <v>0</v>
      </c>
      <c r="BA233" s="19" t="n">
        <v>0</v>
      </c>
      <c r="BB233" s="19" t="n">
        <v>0</v>
      </c>
      <c r="BC233" s="19" t="n">
        <v>0</v>
      </c>
      <c r="BD233" s="19" t="n">
        <v>0</v>
      </c>
      <c r="BE233" s="19" t="n">
        <v>0</v>
      </c>
      <c r="BF233" s="19" t="n">
        <v>0</v>
      </c>
      <c r="BG233" s="19" t="n">
        <v>0</v>
      </c>
      <c r="BH233" s="19" t="n">
        <v>0</v>
      </c>
      <c r="BI233" s="19" t="n">
        <v>0</v>
      </c>
      <c r="BJ233" s="19" t="n">
        <v>0</v>
      </c>
      <c r="BK233" s="19" t="n">
        <v>0</v>
      </c>
      <c r="BL233" s="19" t="n">
        <v>0</v>
      </c>
      <c r="BM233" s="19" t="n">
        <v>0</v>
      </c>
      <c r="BN233" s="19" t="n">
        <v>0</v>
      </c>
      <c r="BO233" s="19" t="n">
        <v>0</v>
      </c>
      <c r="BP233" s="19" t="n">
        <v>0</v>
      </c>
      <c r="BQ233" s="19" t="n">
        <v>0</v>
      </c>
      <c r="BR233" s="19" t="n">
        <v>1</v>
      </c>
      <c r="BS233" s="19" t="n">
        <v>1</v>
      </c>
      <c r="BT233" s="19" t="n">
        <v>3</v>
      </c>
      <c r="BU233" s="19" t="n">
        <v>4</v>
      </c>
      <c r="BV233" s="19" t="n">
        <v>1</v>
      </c>
      <c r="BW233" s="19" t="n">
        <v>1</v>
      </c>
      <c r="BX233" s="19" t="n">
        <v>2</v>
      </c>
      <c r="BY233" s="19" t="n">
        <v>3</v>
      </c>
      <c r="BZ233" s="19" t="n">
        <v>3</v>
      </c>
      <c r="CA233" s="19" t="n">
        <v>3</v>
      </c>
      <c r="CB233" s="19" t="n">
        <v>3</v>
      </c>
      <c r="CC233" s="19" t="n">
        <v>5</v>
      </c>
      <c r="CD233" s="19" t="n">
        <v>3</v>
      </c>
      <c r="CE233" s="19" t="n">
        <v>3</v>
      </c>
      <c r="CF233" s="19" t="n">
        <v>4</v>
      </c>
      <c r="CG233" s="19" t="n">
        <v>5</v>
      </c>
      <c r="CH233" s="19" t="n">
        <v>3</v>
      </c>
      <c r="CI233" s="19" t="n">
        <v>3</v>
      </c>
      <c r="CJ233" s="19" t="n">
        <v>4</v>
      </c>
      <c r="CK233" s="19" t="n">
        <v>10</v>
      </c>
      <c r="CL233" s="0" t="s">
        <v>185</v>
      </c>
      <c r="CM233" s="0" t="n">
        <v>21.5</v>
      </c>
      <c r="CN233" s="16" t="n">
        <v>54.9</v>
      </c>
      <c r="CO233" s="16" t="n">
        <v>80.4</v>
      </c>
      <c r="CP233" s="16" t="n">
        <v>17.9</v>
      </c>
      <c r="CQ233" s="0" t="n">
        <v>90.61</v>
      </c>
      <c r="CR233" s="17" t="n">
        <v>0</v>
      </c>
      <c r="CS233" s="0" t="n">
        <v>0</v>
      </c>
      <c r="CT233" s="0" t="n">
        <v>2.45</v>
      </c>
      <c r="CU233" s="0" t="n">
        <v>6.94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12.16</v>
      </c>
      <c r="DC233" s="0" t="n">
        <v>24.45</v>
      </c>
      <c r="DD233" s="0" t="n">
        <v>4.8</v>
      </c>
      <c r="DE233" s="0" t="n">
        <v>5.11</v>
      </c>
      <c r="DF233" s="0" t="n">
        <v>0</v>
      </c>
      <c r="DG233" s="0" t="n">
        <v>0</v>
      </c>
      <c r="DH233" s="0" t="n">
        <v>0</v>
      </c>
      <c r="DU233" s="0" t="n">
        <v>2.9</v>
      </c>
      <c r="DV233" s="0" t="n">
        <v>1</v>
      </c>
      <c r="DW233" s="0" t="n">
        <v>68</v>
      </c>
      <c r="DX233" s="0" t="n">
        <v>2</v>
      </c>
      <c r="DY233" s="0" t="n">
        <f aca="false">0.38+0.07</f>
        <v>0.45</v>
      </c>
      <c r="DZ233" s="0" t="n">
        <v>1</v>
      </c>
      <c r="EG233" s="18"/>
      <c r="EY233" s="0" t="n">
        <v>1</v>
      </c>
      <c r="EZ233" s="0" t="n">
        <v>40</v>
      </c>
      <c r="FA233" s="0" t="n">
        <v>1</v>
      </c>
      <c r="FB233" s="0" t="n">
        <v>0.06</v>
      </c>
      <c r="FC233" s="0" t="n">
        <v>1</v>
      </c>
      <c r="FD233" s="0" t="n">
        <v>60</v>
      </c>
      <c r="FE233" s="0" t="n">
        <v>1</v>
      </c>
      <c r="FF233" s="0" t="n">
        <v>0.11</v>
      </c>
      <c r="FG233" s="0" t="n">
        <v>1</v>
      </c>
      <c r="FH233" s="0" t="n">
        <v>40</v>
      </c>
      <c r="FI233" s="0" t="n">
        <v>1</v>
      </c>
      <c r="FJ233" s="0" t="n">
        <v>0.58</v>
      </c>
      <c r="FK233" s="0" t="n">
        <v>6</v>
      </c>
      <c r="GJ233" s="16" t="n">
        <v>0</v>
      </c>
      <c r="GK233" s="16" t="n">
        <v>0</v>
      </c>
      <c r="GL233" s="16"/>
      <c r="GM233" s="16"/>
      <c r="GN233" s="16"/>
      <c r="GO233" s="16"/>
      <c r="GP233" s="16"/>
      <c r="GQ233" s="16"/>
      <c r="GR233" s="16"/>
      <c r="GS233" s="16"/>
      <c r="GT233" s="16"/>
      <c r="GU233" s="16" t="n">
        <v>0.67</v>
      </c>
      <c r="GV233" s="16" t="n">
        <v>0.65</v>
      </c>
      <c r="GW233" s="16"/>
      <c r="GX233" s="16"/>
      <c r="GY233" s="16" t="n">
        <v>0</v>
      </c>
      <c r="GZ233" s="16" t="n">
        <v>0</v>
      </c>
      <c r="HA233" s="16" t="n">
        <v>0</v>
      </c>
      <c r="HB233" s="0" t="n">
        <v>0</v>
      </c>
      <c r="HC233" s="0" t="s">
        <v>186</v>
      </c>
      <c r="HD233" s="0" t="n">
        <v>52.5</v>
      </c>
      <c r="HE233" s="16" t="n">
        <v>78.3</v>
      </c>
      <c r="HF233" s="16" t="n">
        <v>80.4</v>
      </c>
      <c r="HG233" s="16" t="n">
        <v>33.2</v>
      </c>
      <c r="HH233" s="0" t="n">
        <v>67.5</v>
      </c>
      <c r="HI233" s="17" t="n">
        <v>0</v>
      </c>
      <c r="HJ233" s="0" t="n">
        <v>21.37</v>
      </c>
      <c r="HK233" s="0" t="n">
        <v>0</v>
      </c>
      <c r="HL233" s="0" t="n">
        <v>3.99</v>
      </c>
      <c r="HM233" s="0" t="n">
        <v>0</v>
      </c>
      <c r="HN233" s="0" t="n">
        <v>0</v>
      </c>
      <c r="HO233" s="0" t="n">
        <v>0</v>
      </c>
      <c r="HP233" s="0" t="n">
        <v>0</v>
      </c>
      <c r="HQ233" s="0" t="n">
        <v>0</v>
      </c>
      <c r="HR233" s="0" t="n">
        <v>0</v>
      </c>
      <c r="HS233" s="0" t="n">
        <v>0</v>
      </c>
      <c r="HT233" s="0" t="n">
        <v>5.93</v>
      </c>
      <c r="HU233" s="0" t="n">
        <v>42.2</v>
      </c>
      <c r="HV233" s="0" t="n">
        <v>15.97</v>
      </c>
      <c r="HW233" s="0" t="n">
        <v>7.14</v>
      </c>
      <c r="HX233" s="0" t="n">
        <v>0</v>
      </c>
      <c r="HY233" s="0" t="n">
        <v>0</v>
      </c>
      <c r="IL233" s="0" t="n">
        <v>1.7</v>
      </c>
      <c r="IM233" s="0" t="n">
        <v>1</v>
      </c>
      <c r="IN233" s="0" t="n">
        <v>34</v>
      </c>
      <c r="IO233" s="0" t="n">
        <v>5</v>
      </c>
      <c r="IP233" s="0" t="n">
        <v>0.21</v>
      </c>
      <c r="IQ233" s="0" t="n">
        <v>1</v>
      </c>
      <c r="IR233" s="0" t="n">
        <v>68</v>
      </c>
      <c r="IS233" s="0" t="n">
        <v>3</v>
      </c>
      <c r="IT233" s="0" t="n">
        <v>0.3</v>
      </c>
      <c r="IU233" s="0" t="n">
        <v>1</v>
      </c>
      <c r="IV233" s="0" t="n">
        <v>47</v>
      </c>
      <c r="IW233" s="0" t="n">
        <v>4</v>
      </c>
      <c r="IX233" s="18" t="n">
        <v>0.11</v>
      </c>
      <c r="IY233" s="0" t="n">
        <v>1</v>
      </c>
      <c r="IZ233" s="0" t="n">
        <v>35</v>
      </c>
      <c r="JA233" s="0" t="n">
        <v>2</v>
      </c>
      <c r="JB233" s="0" t="n">
        <v>0.1</v>
      </c>
      <c r="JC233" s="0" t="n">
        <v>1</v>
      </c>
      <c r="JP233" s="0" t="n">
        <v>0</v>
      </c>
      <c r="LA233" s="16" t="n">
        <v>1.04</v>
      </c>
      <c r="LB233" s="16" t="n">
        <v>1</v>
      </c>
      <c r="LC233" s="16" t="n">
        <v>1</v>
      </c>
      <c r="LD233" s="16"/>
      <c r="LE233" s="16" t="n">
        <f aca="false">3.74+3.17+0.1</f>
        <v>7.01</v>
      </c>
      <c r="LF233" s="16"/>
      <c r="LG233" s="16"/>
      <c r="LH233" s="16"/>
      <c r="LI233" s="16"/>
      <c r="LJ233" s="16"/>
      <c r="LK233" s="16"/>
      <c r="LL233" s="16" t="n">
        <v>8.9</v>
      </c>
      <c r="LM233" s="16" t="n">
        <v>9.79</v>
      </c>
      <c r="LN233" s="16"/>
      <c r="LO233" s="16"/>
      <c r="LP233" s="16" t="n">
        <v>2.99</v>
      </c>
      <c r="LQ233" s="16" t="n">
        <v>4</v>
      </c>
      <c r="LR233" s="16" t="n">
        <v>3</v>
      </c>
      <c r="LS233" s="0" t="n">
        <v>0</v>
      </c>
      <c r="LT233" s="0" t="s">
        <v>187</v>
      </c>
      <c r="LU233" s="0" t="n">
        <v>53.5</v>
      </c>
      <c r="LV233" s="16" t="n">
        <v>73.5</v>
      </c>
      <c r="LW233" s="16" t="n">
        <v>80.4</v>
      </c>
      <c r="LX233" s="16" t="n">
        <v>26.1</v>
      </c>
      <c r="LY233" s="0" t="n">
        <v>78.89</v>
      </c>
      <c r="LZ233" s="17" t="n">
        <v>0</v>
      </c>
      <c r="MA233" s="0" t="n">
        <v>2.36</v>
      </c>
      <c r="MB233" s="0" t="n">
        <v>0</v>
      </c>
      <c r="MC233" s="0" t="n">
        <v>11.6</v>
      </c>
      <c r="MD233" s="0" t="n">
        <v>0</v>
      </c>
      <c r="ME233" s="0" t="n">
        <v>0</v>
      </c>
      <c r="MF233" s="0" t="n">
        <v>0</v>
      </c>
      <c r="MG233" s="0" t="n">
        <v>0</v>
      </c>
      <c r="MH233" s="0" t="n">
        <v>0</v>
      </c>
      <c r="MI233" s="0" t="n">
        <v>0</v>
      </c>
      <c r="MJ233" s="0" t="n">
        <v>7.86</v>
      </c>
      <c r="MK233" s="0" t="n">
        <v>12.08</v>
      </c>
      <c r="ML233" s="0" t="n">
        <v>18.1</v>
      </c>
      <c r="MM233" s="0" t="n">
        <v>28.51</v>
      </c>
      <c r="MN233" s="0" t="n">
        <v>7.14</v>
      </c>
      <c r="MO233" s="0" t="n">
        <v>0</v>
      </c>
      <c r="MP233" s="0" t="n">
        <v>0</v>
      </c>
      <c r="NC233" s="0" t="n">
        <v>11.6</v>
      </c>
      <c r="ND233" s="0" t="n">
        <v>1</v>
      </c>
      <c r="NE233" s="0" t="n">
        <v>47</v>
      </c>
      <c r="NF233" s="0" t="n">
        <v>4</v>
      </c>
      <c r="NG233" s="0" t="n">
        <f aca="false">1.15+0.34</f>
        <v>1.49</v>
      </c>
      <c r="NH233" s="0" t="n">
        <v>3</v>
      </c>
      <c r="NO233" s="18"/>
      <c r="OG233" s="0" t="n">
        <v>1</v>
      </c>
      <c r="OH233" s="0" t="n">
        <v>50</v>
      </c>
      <c r="OI233" s="0" t="n">
        <v>1</v>
      </c>
      <c r="OJ233" s="0" t="n">
        <v>0.19</v>
      </c>
      <c r="OK233" s="0" t="n">
        <v>3</v>
      </c>
      <c r="PR233" s="16" t="n">
        <v>7.27</v>
      </c>
      <c r="PS233" s="16" t="n">
        <v>1</v>
      </c>
      <c r="PT233" s="16" t="n">
        <v>1</v>
      </c>
      <c r="PU233" s="16"/>
      <c r="PV233" s="16" t="n">
        <f aca="false">2.11*2+0.37*2</f>
        <v>4.96</v>
      </c>
      <c r="PW233" s="16" t="n">
        <v>3</v>
      </c>
      <c r="PX233" s="16"/>
      <c r="PY233" s="16" t="n">
        <f aca="false">1.44+0.72</f>
        <v>2.16</v>
      </c>
      <c r="PZ233" s="16"/>
      <c r="QA233" s="16"/>
      <c r="QB233" s="16"/>
      <c r="QC233" s="16" t="n">
        <v>5.39</v>
      </c>
      <c r="QD233" s="16" t="n">
        <v>8.11</v>
      </c>
      <c r="QE233" s="16"/>
      <c r="QF233" s="16"/>
      <c r="QG233" s="16" t="n">
        <v>0</v>
      </c>
      <c r="QH233" s="16" t="n">
        <v>0</v>
      </c>
      <c r="QI233" s="16" t="n">
        <v>3</v>
      </c>
      <c r="QJ233" s="0" t="n">
        <v>0</v>
      </c>
      <c r="QK233" s="0" t="s">
        <v>188</v>
      </c>
      <c r="QL233" s="0" t="n">
        <v>40</v>
      </c>
      <c r="QM233" s="16" t="n">
        <v>84.1</v>
      </c>
      <c r="QN233" s="16" t="n">
        <v>80.4</v>
      </c>
      <c r="QO233" s="16" t="n">
        <v>35.1</v>
      </c>
      <c r="QP233" s="0" t="n">
        <v>66.11</v>
      </c>
      <c r="QQ233" s="17" t="n">
        <v>0</v>
      </c>
      <c r="QR233" s="0" t="n">
        <v>13.11</v>
      </c>
      <c r="QS233" s="0" t="n">
        <v>6.27</v>
      </c>
      <c r="QT233" s="0" t="n">
        <v>8.02</v>
      </c>
      <c r="QU233" s="0" t="n">
        <v>0</v>
      </c>
      <c r="QV233" s="0" t="n">
        <v>6.47</v>
      </c>
      <c r="QW233" s="0" t="n">
        <v>2.85</v>
      </c>
      <c r="QX233" s="0" t="n">
        <v>3.1</v>
      </c>
      <c r="QY233" s="0" t="n">
        <v>0</v>
      </c>
      <c r="QZ233" s="0" t="n">
        <v>0</v>
      </c>
      <c r="RA233" s="0" t="n">
        <v>10.49</v>
      </c>
      <c r="RB233" s="0" t="n">
        <v>26.72</v>
      </c>
      <c r="RC233" s="0" t="n">
        <v>13.38</v>
      </c>
      <c r="RD233" s="0" t="n">
        <v>10.67</v>
      </c>
      <c r="RE233" s="0" t="n">
        <v>0</v>
      </c>
      <c r="RF233" s="0" t="n">
        <v>0</v>
      </c>
      <c r="RG233" s="0" t="n">
        <v>0</v>
      </c>
      <c r="RT233" s="0" t="n">
        <v>3.9</v>
      </c>
      <c r="RU233" s="0" t="n">
        <v>1</v>
      </c>
      <c r="RV233" s="0" t="n">
        <v>68</v>
      </c>
      <c r="RW233" s="0" t="n">
        <v>4</v>
      </c>
      <c r="RX233" s="0" t="n">
        <f aca="false">1.9+0.34</f>
        <v>2.24</v>
      </c>
      <c r="RY233" s="0" t="n">
        <v>1</v>
      </c>
      <c r="RZ233" s="0" t="n">
        <v>34</v>
      </c>
      <c r="SA233" s="0" t="n">
        <v>8</v>
      </c>
      <c r="SB233" s="0" t="n">
        <v>0.27</v>
      </c>
      <c r="SC233" s="0" t="n">
        <v>1</v>
      </c>
      <c r="SF233" s="18"/>
      <c r="SX233" s="0" t="n">
        <v>1</v>
      </c>
      <c r="SY233" s="0" t="n">
        <v>50</v>
      </c>
      <c r="SZ233" s="0" t="n">
        <v>4</v>
      </c>
      <c r="TA233" s="0" t="n">
        <f aca="false">1.52*2</f>
        <v>3.04</v>
      </c>
      <c r="TB233" s="0" t="n">
        <v>3</v>
      </c>
      <c r="UI233" s="16" t="n">
        <v>0.04</v>
      </c>
      <c r="UJ233" s="16" t="n">
        <v>1</v>
      </c>
      <c r="UK233" s="16" t="n">
        <v>1</v>
      </c>
      <c r="UL233" s="16"/>
      <c r="UM233" s="16" t="n">
        <f aca="false">0.3</f>
        <v>0.3</v>
      </c>
      <c r="UN233" s="16"/>
      <c r="UO233" s="16"/>
      <c r="UP233" s="16"/>
      <c r="UQ233" s="16"/>
      <c r="UR233" s="16"/>
      <c r="US233" s="16"/>
      <c r="UT233" s="16" t="n">
        <v>0.03</v>
      </c>
      <c r="UU233" s="16" t="n">
        <v>0.03</v>
      </c>
      <c r="UV233" s="16"/>
      <c r="UW233" s="16"/>
      <c r="UX233" s="16" t="n">
        <v>0</v>
      </c>
      <c r="UY233" s="16" t="n">
        <v>0</v>
      </c>
      <c r="UZ233" s="16" t="n">
        <v>0</v>
      </c>
      <c r="VA233" s="0" t="n">
        <v>0</v>
      </c>
      <c r="VB233" s="0" t="s">
        <v>189</v>
      </c>
      <c r="VC233" s="0" t="n">
        <v>31</v>
      </c>
      <c r="VD233" s="16" t="n">
        <v>80.2</v>
      </c>
      <c r="VE233" s="16" t="n">
        <v>80.4</v>
      </c>
      <c r="VF233" s="16" t="n">
        <v>6.5</v>
      </c>
      <c r="VG233" s="0" t="n">
        <v>99.3</v>
      </c>
      <c r="VH233" s="17" t="n">
        <v>0</v>
      </c>
      <c r="VI233" s="0" t="n">
        <v>0.7</v>
      </c>
      <c r="VJ233" s="0" t="n">
        <v>0</v>
      </c>
      <c r="VK233" s="0" t="n">
        <v>0</v>
      </c>
      <c r="VL233" s="0" t="n">
        <v>0</v>
      </c>
      <c r="VM233" s="0" t="n">
        <v>0</v>
      </c>
      <c r="VN233" s="0" t="n">
        <v>0</v>
      </c>
      <c r="VO233" s="0" t="n">
        <v>0</v>
      </c>
      <c r="VP233" s="0" t="n">
        <v>0</v>
      </c>
      <c r="VQ233" s="0" t="n">
        <v>0</v>
      </c>
      <c r="VR233" s="0" t="n">
        <v>0</v>
      </c>
      <c r="VS233" s="0" t="n">
        <v>31.92</v>
      </c>
      <c r="VT233" s="0" t="n">
        <v>23.7</v>
      </c>
      <c r="VU233" s="0" t="n">
        <v>1.95</v>
      </c>
      <c r="VV233" s="0" t="n">
        <v>0</v>
      </c>
      <c r="VW233" s="0" t="n">
        <v>18.7</v>
      </c>
      <c r="VX233" s="0" t="n">
        <v>4</v>
      </c>
      <c r="VY233" s="0" t="n">
        <v>49</v>
      </c>
      <c r="WA233" s="0" t="n">
        <v>1</v>
      </c>
      <c r="WE233" s="0" t="n">
        <v>49</v>
      </c>
      <c r="WG233" s="0" t="n">
        <v>1</v>
      </c>
      <c r="WK233" s="0" t="n">
        <v>0</v>
      </c>
      <c r="WL233" s="0" t="n">
        <v>0</v>
      </c>
      <c r="WW233" s="18"/>
      <c r="XO233" s="0" t="n">
        <v>0</v>
      </c>
      <c r="YZ233" s="16" t="n">
        <v>0</v>
      </c>
      <c r="ZA233" s="16" t="n">
        <v>0</v>
      </c>
      <c r="ZB233" s="16"/>
      <c r="ZC233" s="16"/>
      <c r="ZD233" s="16"/>
      <c r="ZE233" s="16"/>
      <c r="ZF233" s="16"/>
      <c r="ZG233" s="16"/>
      <c r="ZH233" s="16"/>
      <c r="ZI233" s="16"/>
      <c r="ZJ233" s="16"/>
      <c r="ZK233" s="16" t="n">
        <v>5.42</v>
      </c>
      <c r="ZL233" s="16" t="n">
        <v>6.61</v>
      </c>
      <c r="ZM233" s="16"/>
      <c r="ZN233" s="16"/>
      <c r="ZO233" s="16" t="n">
        <v>0</v>
      </c>
      <c r="ZP233" s="16" t="n">
        <v>0</v>
      </c>
      <c r="ZQ233" s="16" t="n">
        <v>0</v>
      </c>
      <c r="ZR233" s="0" t="n">
        <v>0</v>
      </c>
      <c r="ZS233" s="0" t="s">
        <v>190</v>
      </c>
      <c r="ZT233" s="0" t="n">
        <v>38.5</v>
      </c>
      <c r="ZU233" s="16" t="n">
        <v>92</v>
      </c>
      <c r="ZV233" s="16" t="n">
        <v>80.4</v>
      </c>
      <c r="ZW233" s="16" t="n">
        <v>11</v>
      </c>
      <c r="ZX233" s="0" t="n">
        <v>95.37</v>
      </c>
      <c r="ZY233" s="17" t="n">
        <v>0</v>
      </c>
      <c r="ZZ233" s="0" t="n">
        <v>4.63</v>
      </c>
      <c r="AAA233" s="0" t="n">
        <v>0</v>
      </c>
      <c r="AAB233" s="0" t="n">
        <v>0</v>
      </c>
      <c r="AAC233" s="0" t="n">
        <v>0</v>
      </c>
      <c r="AAD233" s="0" t="n">
        <v>0</v>
      </c>
      <c r="AAE233" s="0" t="n">
        <v>0</v>
      </c>
      <c r="AAF233" s="0" t="n">
        <v>0</v>
      </c>
      <c r="AAG233" s="0" t="n">
        <v>0</v>
      </c>
      <c r="AAH233" s="0" t="n">
        <v>0</v>
      </c>
      <c r="AAI233" s="0" t="n">
        <v>2.85</v>
      </c>
      <c r="AAJ233" s="0" t="n">
        <v>16.15</v>
      </c>
      <c r="AAK233" s="0" t="n">
        <v>42.55</v>
      </c>
      <c r="AAL233" s="0" t="n">
        <v>4.63</v>
      </c>
      <c r="AAM233" s="0" t="n">
        <v>0</v>
      </c>
      <c r="AAN233" s="0" t="n">
        <v>5.7</v>
      </c>
      <c r="AAO233" s="0" t="n">
        <v>1</v>
      </c>
      <c r="AAP233" s="0" t="n">
        <v>3</v>
      </c>
      <c r="AAR233" s="0" t="n">
        <v>1</v>
      </c>
      <c r="AAV233" s="0" t="n">
        <v>3</v>
      </c>
      <c r="AAX233" s="0" t="n">
        <v>1</v>
      </c>
      <c r="ABB233" s="0" t="n">
        <v>4.8</v>
      </c>
      <c r="ABC233" s="0" t="n">
        <v>0</v>
      </c>
      <c r="ABN233" s="18"/>
      <c r="ACF233" s="0" t="n">
        <v>1</v>
      </c>
      <c r="ACG233" s="0" t="n">
        <v>70</v>
      </c>
      <c r="ACH233" s="0" t="n">
        <v>3</v>
      </c>
      <c r="ACI233" s="0" t="n">
        <f aca="false">14.97+0.86+0.7</f>
        <v>16.53</v>
      </c>
      <c r="ACJ233" s="0" t="n">
        <v>3</v>
      </c>
      <c r="ACK233" s="0" t="n">
        <v>60</v>
      </c>
      <c r="ACL233" s="0" t="n">
        <v>3</v>
      </c>
      <c r="ACM233" s="0" t="n">
        <f aca="false">3.02+0.97+0.6</f>
        <v>4.59</v>
      </c>
      <c r="ACN233" s="0" t="n">
        <v>3</v>
      </c>
      <c r="ADQ233" s="16" t="n">
        <v>2.82</v>
      </c>
      <c r="ADR233" s="16" t="n">
        <v>1</v>
      </c>
      <c r="ADS233" s="16" t="n">
        <v>1</v>
      </c>
      <c r="ADT233" s="16"/>
      <c r="ADU233" s="16" t="n">
        <f aca="false">0.93*2</f>
        <v>1.86</v>
      </c>
      <c r="ADV233" s="16" t="n">
        <v>2</v>
      </c>
      <c r="ADW233" s="16"/>
      <c r="ADX233" s="16" t="n">
        <f aca="false">9.6+1.93</f>
        <v>11.53</v>
      </c>
      <c r="ADY233" s="16"/>
      <c r="ADZ233" s="16"/>
      <c r="AEA233" s="16"/>
      <c r="AEB233" s="16" t="n">
        <v>13.91</v>
      </c>
      <c r="AEC233" s="16" t="n">
        <v>17.31</v>
      </c>
      <c r="AED233" s="16"/>
      <c r="AEE233" s="16"/>
      <c r="AEF233" s="16" t="n">
        <v>0</v>
      </c>
      <c r="AEG233" s="16" t="n">
        <v>0</v>
      </c>
      <c r="AEH233" s="16" t="n">
        <v>0</v>
      </c>
      <c r="AEI233" s="0" t="n">
        <v>0</v>
      </c>
      <c r="AEJ233" s="0" t="s">
        <v>191</v>
      </c>
      <c r="AEK233" s="0" t="n">
        <v>44</v>
      </c>
      <c r="AEL233" s="16" t="n">
        <v>75.8</v>
      </c>
      <c r="AEM233" s="16" t="n">
        <v>80.4</v>
      </c>
      <c r="AEN233" s="16" t="n">
        <v>12.2</v>
      </c>
      <c r="AEO233" s="0" t="n">
        <v>90.24</v>
      </c>
      <c r="AEP233" s="17" t="n">
        <v>0</v>
      </c>
      <c r="AEQ233" s="0" t="n">
        <v>6.27</v>
      </c>
      <c r="AER233" s="0" t="n">
        <v>0</v>
      </c>
      <c r="AES233" s="0" t="n">
        <v>3.49</v>
      </c>
      <c r="AET233" s="0" t="n">
        <v>0</v>
      </c>
      <c r="AEU233" s="0" t="n">
        <v>0</v>
      </c>
      <c r="AEV233" s="0" t="n">
        <v>0</v>
      </c>
      <c r="AEW233" s="0" t="n">
        <v>0</v>
      </c>
      <c r="AEX233" s="0" t="n">
        <v>0</v>
      </c>
      <c r="AEY233" s="0" t="n">
        <v>0</v>
      </c>
      <c r="AEZ233" s="0" t="n">
        <v>0</v>
      </c>
      <c r="AFA233" s="0" t="n">
        <v>24.37</v>
      </c>
      <c r="AFB233" s="0" t="n">
        <v>32.21</v>
      </c>
      <c r="AFC233" s="0" t="n">
        <v>3.56</v>
      </c>
      <c r="AFD233" s="0" t="n">
        <v>0</v>
      </c>
      <c r="AFE233" s="0" t="n">
        <v>0</v>
      </c>
      <c r="AFF233" s="0" t="n">
        <v>0</v>
      </c>
      <c r="AFS233" s="0" t="n">
        <v>20.3</v>
      </c>
      <c r="AFT233" s="0" t="n">
        <v>1</v>
      </c>
      <c r="AFU233" s="0" t="n">
        <v>30</v>
      </c>
      <c r="AFV233" s="0" t="n">
        <v>4</v>
      </c>
      <c r="AFW233" s="0" t="n">
        <v>3.01</v>
      </c>
      <c r="AFX233" s="0" t="n">
        <v>5</v>
      </c>
      <c r="AFY233" s="0" t="n">
        <v>68</v>
      </c>
      <c r="AFZ233" s="0" t="n">
        <v>2</v>
      </c>
      <c r="AGA233" s="0" t="n">
        <v>1.52</v>
      </c>
      <c r="AGB233" s="0" t="n">
        <v>1</v>
      </c>
      <c r="AGC233" s="0" t="n">
        <v>47</v>
      </c>
      <c r="AGD233" s="0" t="n">
        <v>1</v>
      </c>
      <c r="AGE233" s="18" t="n">
        <v>0.07</v>
      </c>
      <c r="AGF233" s="0" t="n">
        <v>3</v>
      </c>
      <c r="AGW233" s="0" t="n">
        <v>0</v>
      </c>
      <c r="AIH233" s="16" t="n">
        <v>1.88</v>
      </c>
      <c r="AII233" s="16" t="n">
        <v>1</v>
      </c>
      <c r="AIJ233" s="16" t="n">
        <v>2</v>
      </c>
      <c r="AIK233" s="16"/>
      <c r="AIL233" s="16" t="n">
        <v>4.18</v>
      </c>
      <c r="AIM233" s="16"/>
      <c r="AIN233" s="16"/>
      <c r="AIO233" s="16"/>
      <c r="AIP233" s="16"/>
      <c r="AIQ233" s="16"/>
      <c r="AIR233" s="16"/>
      <c r="AIS233" s="16" t="n">
        <v>7.15</v>
      </c>
      <c r="AIT233" s="16" t="n">
        <v>6.06</v>
      </c>
      <c r="AIU233" s="16"/>
      <c r="AIV233" s="16"/>
      <c r="AIW233" s="16" t="n">
        <v>0</v>
      </c>
      <c r="AIX233" s="16" t="n">
        <v>0</v>
      </c>
      <c r="AIY233" s="16" t="n">
        <v>0</v>
      </c>
      <c r="AIZ233" s="0" t="n">
        <v>0</v>
      </c>
      <c r="AJA233" s="0" t="s">
        <v>192</v>
      </c>
      <c r="AJB233" s="0" t="n">
        <v>47.5</v>
      </c>
      <c r="AJC233" s="16" t="n">
        <v>79.3</v>
      </c>
      <c r="AJD233" s="16" t="n">
        <v>80.4</v>
      </c>
      <c r="AJE233" s="16" t="n">
        <v>36.3</v>
      </c>
      <c r="AJF233" s="0" t="n">
        <v>66.23</v>
      </c>
      <c r="AJG233" s="17" t="n">
        <v>0</v>
      </c>
      <c r="AJH233" s="0" t="n">
        <v>33.77</v>
      </c>
      <c r="AJI233" s="0" t="n">
        <v>0</v>
      </c>
      <c r="AJJ233" s="0" t="n">
        <v>0</v>
      </c>
      <c r="AJK233" s="0" t="n">
        <v>0</v>
      </c>
      <c r="AJL233" s="0" t="n">
        <v>0</v>
      </c>
      <c r="AJM233" s="0" t="n">
        <v>0</v>
      </c>
      <c r="AJN233" s="0" t="n">
        <v>0</v>
      </c>
      <c r="AJO233" s="0" t="n">
        <v>0</v>
      </c>
      <c r="AJP233" s="0" t="n">
        <v>0</v>
      </c>
      <c r="AJQ233" s="0" t="n">
        <v>0</v>
      </c>
      <c r="AJR233" s="0" t="n">
        <v>38.37</v>
      </c>
      <c r="AJS233" s="0" t="n">
        <v>20.04</v>
      </c>
      <c r="AJT233" s="0" t="n">
        <v>11.21</v>
      </c>
      <c r="AJU233" s="0" t="n">
        <v>0</v>
      </c>
      <c r="AJV233" s="0" t="n">
        <v>0</v>
      </c>
      <c r="AJW233" s="0" t="n">
        <v>0</v>
      </c>
      <c r="AKJ233" s="0" t="n">
        <v>6.9</v>
      </c>
      <c r="AKK233" s="0" t="n">
        <v>1</v>
      </c>
      <c r="AKL233" s="0" t="n">
        <v>47</v>
      </c>
      <c r="AKM233" s="0" t="n">
        <v>3</v>
      </c>
      <c r="AKN233" s="0" t="n">
        <f aca="false">0.11+0.74+0.08</f>
        <v>0.93</v>
      </c>
      <c r="AKO233" s="0" t="n">
        <v>3</v>
      </c>
      <c r="AKP233" s="0" t="n">
        <v>68</v>
      </c>
      <c r="AKQ233" s="0" t="n">
        <v>1</v>
      </c>
      <c r="AKR233" s="0" t="n">
        <v>0.76</v>
      </c>
      <c r="AKS233" s="0" t="n">
        <v>1</v>
      </c>
      <c r="AKV233" s="18"/>
      <c r="ALN233" s="0" t="n">
        <v>0</v>
      </c>
    </row>
    <row r="234" customFormat="false" ht="13.8" hidden="false" customHeight="false" outlineLevel="0" collapsed="false">
      <c r="A234" s="1" t="s">
        <v>749</v>
      </c>
      <c r="B234" s="12" t="n">
        <v>42910</v>
      </c>
      <c r="C234" s="0" t="n">
        <v>1</v>
      </c>
      <c r="D234" s="13" t="n">
        <v>40513</v>
      </c>
      <c r="E234" s="12" t="n">
        <v>24307</v>
      </c>
      <c r="F234" s="14" t="n">
        <f aca="false">(B234-E234)/365.25</f>
        <v>50.9322381930185</v>
      </c>
      <c r="G234" s="14" t="n">
        <f aca="false">(B234-D234)/365.25</f>
        <v>6.56262833675565</v>
      </c>
      <c r="H234" s="19" t="s">
        <v>217</v>
      </c>
      <c r="I234" s="0" t="s">
        <v>545</v>
      </c>
      <c r="J234" s="21" t="s">
        <v>183</v>
      </c>
      <c r="K234" s="21" t="n">
        <v>8</v>
      </c>
      <c r="L234" s="19" t="n">
        <v>83</v>
      </c>
      <c r="M234" s="0" t="n">
        <v>1.66</v>
      </c>
      <c r="N234" s="16" t="n">
        <f aca="false">L234/(M234*M234)</f>
        <v>30.1204819277108</v>
      </c>
      <c r="O234" s="19" t="n">
        <v>0</v>
      </c>
      <c r="P234" s="19" t="n">
        <v>0</v>
      </c>
      <c r="Q234" s="19" t="n">
        <v>0</v>
      </c>
      <c r="R234" s="26" t="n">
        <v>0</v>
      </c>
      <c r="S234" s="26" t="n">
        <v>0</v>
      </c>
      <c r="T234" s="26" t="n">
        <v>0</v>
      </c>
      <c r="U234" s="19" t="n">
        <v>0</v>
      </c>
      <c r="V234" s="19" t="n">
        <v>0</v>
      </c>
      <c r="W234" s="19" t="n">
        <v>0</v>
      </c>
      <c r="X234" s="19" t="n">
        <v>0</v>
      </c>
      <c r="Y234" s="19" t="n">
        <v>0</v>
      </c>
      <c r="Z234" s="19" t="n">
        <v>0</v>
      </c>
      <c r="AA234" s="19" t="n">
        <v>0</v>
      </c>
      <c r="AB234" s="19" t="n">
        <v>0</v>
      </c>
      <c r="AC234" s="19" t="n">
        <v>0</v>
      </c>
      <c r="AD234" s="19" t="n">
        <v>0</v>
      </c>
      <c r="AE234" s="19" t="n">
        <v>1</v>
      </c>
      <c r="AF234" s="19" t="n">
        <v>1</v>
      </c>
      <c r="AG234" s="19" t="n">
        <v>0</v>
      </c>
      <c r="AH234" s="19"/>
      <c r="AI234" s="19" t="n">
        <v>2</v>
      </c>
      <c r="AJ234" s="19" t="n">
        <v>2</v>
      </c>
      <c r="AK234" s="19" t="n">
        <v>0</v>
      </c>
      <c r="AL234" s="19" t="n">
        <v>0</v>
      </c>
      <c r="AM234" s="19" t="n">
        <v>0</v>
      </c>
      <c r="AN234" s="19" t="n">
        <v>2</v>
      </c>
      <c r="AO234" s="19" t="n">
        <v>2</v>
      </c>
      <c r="AP234" s="19" t="n">
        <v>0</v>
      </c>
      <c r="AQ234" s="19" t="n">
        <v>0</v>
      </c>
      <c r="AR234" s="19" t="n">
        <v>0</v>
      </c>
      <c r="AS234" s="19" t="n">
        <v>0</v>
      </c>
      <c r="AT234" s="19" t="n">
        <v>0</v>
      </c>
      <c r="AU234" s="19" t="n">
        <v>0</v>
      </c>
      <c r="AV234" s="19" t="n">
        <v>0</v>
      </c>
      <c r="AW234" s="19" t="n">
        <v>0</v>
      </c>
      <c r="AX234" s="19" t="n">
        <v>0</v>
      </c>
      <c r="AY234" s="19" t="n">
        <v>0</v>
      </c>
      <c r="AZ234" s="19" t="n">
        <v>0</v>
      </c>
      <c r="BA234" s="19" t="n">
        <v>0</v>
      </c>
      <c r="BB234" s="19" t="n">
        <v>1</v>
      </c>
      <c r="BC234" s="19" t="n">
        <v>1</v>
      </c>
      <c r="BD234" s="19" t="n">
        <v>1</v>
      </c>
      <c r="BE234" s="19" t="n">
        <v>2</v>
      </c>
      <c r="BF234" s="19" t="n">
        <v>1</v>
      </c>
      <c r="BG234" s="19" t="n">
        <v>1</v>
      </c>
      <c r="BH234" s="19" t="n">
        <v>1</v>
      </c>
      <c r="BI234" s="19" t="n">
        <v>3</v>
      </c>
      <c r="BJ234" s="19" t="n">
        <v>1</v>
      </c>
      <c r="BK234" s="19" t="n">
        <v>1</v>
      </c>
      <c r="BL234" s="19" t="n">
        <v>1</v>
      </c>
      <c r="BM234" s="19" t="n">
        <v>3</v>
      </c>
      <c r="BN234" s="19" t="n">
        <v>0</v>
      </c>
      <c r="BO234" s="19" t="n">
        <v>0</v>
      </c>
      <c r="BP234" s="19" t="n">
        <v>0</v>
      </c>
      <c r="BQ234" s="19" t="n">
        <v>0</v>
      </c>
      <c r="BR234" s="19" t="n">
        <v>3</v>
      </c>
      <c r="BS234" s="19" t="n">
        <v>2</v>
      </c>
      <c r="BT234" s="19" t="n">
        <v>2</v>
      </c>
      <c r="BU234" s="19" t="n">
        <v>4</v>
      </c>
      <c r="BV234" s="19" t="n">
        <v>3</v>
      </c>
      <c r="BW234" s="19" t="n">
        <v>1</v>
      </c>
      <c r="BX234" s="19" t="n">
        <v>1</v>
      </c>
      <c r="BY234" s="19" t="n">
        <v>3</v>
      </c>
      <c r="BZ234" s="19" t="n">
        <v>1</v>
      </c>
      <c r="CA234" s="19" t="n">
        <v>1</v>
      </c>
      <c r="CB234" s="19" t="n">
        <v>3</v>
      </c>
      <c r="CC234" s="19" t="n">
        <v>5</v>
      </c>
      <c r="CD234" s="19" t="n">
        <v>3</v>
      </c>
      <c r="CE234" s="19" t="n">
        <v>3</v>
      </c>
      <c r="CF234" s="19" t="n">
        <v>3</v>
      </c>
      <c r="CG234" s="19" t="n">
        <v>5</v>
      </c>
      <c r="CH234" s="19" t="n">
        <v>2</v>
      </c>
      <c r="CI234" s="19" t="n">
        <v>3</v>
      </c>
      <c r="CJ234" s="19" t="n">
        <v>3</v>
      </c>
      <c r="CK234" s="19" t="n">
        <v>5</v>
      </c>
      <c r="CL234" s="0" t="s">
        <v>555</v>
      </c>
      <c r="CM234" s="0" t="n">
        <v>35</v>
      </c>
      <c r="CN234" s="16" t="n">
        <v>78.8</v>
      </c>
      <c r="CO234" s="16" t="n">
        <v>80.4</v>
      </c>
      <c r="CP234" s="16" t="n">
        <v>17.2</v>
      </c>
      <c r="CQ234" s="0" t="n">
        <v>72.07</v>
      </c>
      <c r="CR234" s="0" t="n">
        <v>11.09</v>
      </c>
      <c r="CS234" s="0" t="n">
        <v>1.12</v>
      </c>
      <c r="CT234" s="0" t="n">
        <v>0</v>
      </c>
      <c r="CU234" s="0" t="n">
        <v>15.71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1.66</v>
      </c>
      <c r="DD234" s="0" t="n">
        <v>34.99</v>
      </c>
      <c r="DE234" s="0" t="n">
        <v>0</v>
      </c>
      <c r="DF234" s="0" t="n">
        <v>0</v>
      </c>
      <c r="DG234" s="0" t="n">
        <v>0</v>
      </c>
      <c r="DH234" s="0" t="n">
        <v>0</v>
      </c>
      <c r="DU234" s="0" t="n">
        <v>11.2</v>
      </c>
      <c r="DV234" s="0" t="n">
        <v>1</v>
      </c>
      <c r="DW234" s="0" t="n">
        <v>52</v>
      </c>
      <c r="DX234" s="0" t="n">
        <f aca="false">18+1+15</f>
        <v>34</v>
      </c>
      <c r="DY234" s="0" t="n">
        <f aca="false">3.2+2.05+0.07</f>
        <v>5.32</v>
      </c>
      <c r="DZ234" s="0" t="n">
        <v>2</v>
      </c>
      <c r="EG234" s="18"/>
      <c r="EY234" s="0" t="n">
        <v>0</v>
      </c>
      <c r="GJ234" s="16" t="n">
        <v>0</v>
      </c>
      <c r="GK234" s="16" t="n">
        <v>0</v>
      </c>
      <c r="GL234" s="16"/>
      <c r="GM234" s="16"/>
      <c r="GN234" s="16"/>
      <c r="GO234" s="16"/>
      <c r="GP234" s="16"/>
      <c r="GQ234" s="16"/>
      <c r="GR234" s="16"/>
      <c r="GS234" s="16"/>
      <c r="GT234" s="16"/>
      <c r="GU234" s="16" t="n">
        <v>6.16</v>
      </c>
      <c r="GV234" s="16" t="n">
        <v>7.21</v>
      </c>
      <c r="GW234" s="16"/>
      <c r="GX234" s="16"/>
      <c r="GY234" s="16" t="n">
        <v>0</v>
      </c>
      <c r="GZ234" s="16" t="n">
        <v>0</v>
      </c>
      <c r="HA234" s="16" t="n">
        <v>0</v>
      </c>
      <c r="HB234" s="0" t="n">
        <v>0</v>
      </c>
      <c r="HC234" s="0" t="s">
        <v>546</v>
      </c>
      <c r="HD234" s="0" t="n">
        <v>16.5</v>
      </c>
      <c r="HE234" s="16" t="n">
        <v>35.3</v>
      </c>
      <c r="HF234" s="16" t="n">
        <v>80.4</v>
      </c>
      <c r="HG234" s="16" t="n">
        <v>9.7</v>
      </c>
      <c r="HH234" s="0" t="n">
        <v>86.56</v>
      </c>
      <c r="HI234" s="0" t="n">
        <v>12.61</v>
      </c>
      <c r="HJ234" s="0" t="n">
        <v>0</v>
      </c>
      <c r="HK234" s="0" t="n">
        <v>0</v>
      </c>
      <c r="HL234" s="0" t="n">
        <v>0.83</v>
      </c>
      <c r="HM234" s="0" t="n">
        <v>0</v>
      </c>
      <c r="HN234" s="0" t="n">
        <v>0</v>
      </c>
      <c r="HO234" s="0" t="n">
        <v>0</v>
      </c>
      <c r="HP234" s="0" t="n">
        <v>0</v>
      </c>
      <c r="HQ234" s="0" t="n">
        <v>0</v>
      </c>
      <c r="HR234" s="0" t="n">
        <v>0</v>
      </c>
      <c r="HS234" s="0" t="n">
        <v>0</v>
      </c>
      <c r="HT234" s="0" t="n">
        <v>2.22</v>
      </c>
      <c r="HU234" s="0" t="n">
        <v>20.83</v>
      </c>
      <c r="HV234" s="0" t="n">
        <v>0</v>
      </c>
      <c r="HW234" s="0" t="n">
        <v>0</v>
      </c>
      <c r="HX234" s="0" t="n">
        <v>0</v>
      </c>
      <c r="HY234" s="0" t="n">
        <v>0</v>
      </c>
      <c r="IL234" s="0" t="n">
        <v>0.3</v>
      </c>
      <c r="IM234" s="0" t="n">
        <v>1</v>
      </c>
      <c r="IN234" s="0" t="n">
        <v>34</v>
      </c>
      <c r="IO234" s="0" t="n">
        <v>4</v>
      </c>
      <c r="IP234" s="0" t="n">
        <f aca="false">1.35+0.45+1.35+0.45</f>
        <v>3.6</v>
      </c>
      <c r="IQ234" s="0" t="n">
        <v>1</v>
      </c>
      <c r="IR234" s="0" t="n">
        <v>52</v>
      </c>
      <c r="IS234" s="0" t="n">
        <v>1</v>
      </c>
      <c r="IT234" s="0" t="n">
        <f aca="false">0.18</f>
        <v>0.18</v>
      </c>
      <c r="IU234" s="0" t="n">
        <v>2</v>
      </c>
      <c r="IX234" s="18"/>
      <c r="JP234" s="0" t="n">
        <v>0</v>
      </c>
      <c r="LA234" s="16" t="n">
        <v>0.28</v>
      </c>
      <c r="LB234" s="16" t="n">
        <v>1</v>
      </c>
      <c r="LC234" s="16" t="n">
        <v>2</v>
      </c>
      <c r="LD234" s="16"/>
      <c r="LE234" s="16" t="n">
        <f aca="false">0.37+0.26</f>
        <v>0.63</v>
      </c>
      <c r="LF234" s="16"/>
      <c r="LG234" s="16"/>
      <c r="LH234" s="16"/>
      <c r="LI234" s="16"/>
      <c r="LJ234" s="16"/>
      <c r="LK234" s="16"/>
      <c r="LL234" s="16" t="n">
        <v>5.99</v>
      </c>
      <c r="LM234" s="16" t="n">
        <v>5.34</v>
      </c>
      <c r="LN234" s="16"/>
      <c r="LO234" s="16"/>
      <c r="LP234" s="16" t="n">
        <v>0</v>
      </c>
      <c r="LQ234" s="16" t="n">
        <v>0</v>
      </c>
      <c r="LR234" s="16" t="n">
        <v>0</v>
      </c>
      <c r="LS234" s="0" t="n">
        <v>0</v>
      </c>
      <c r="LT234" s="0" t="s">
        <v>547</v>
      </c>
      <c r="LU234" s="0" t="n">
        <v>29.5</v>
      </c>
      <c r="LV234" s="16" t="n">
        <v>87.5</v>
      </c>
      <c r="LW234" s="16" t="n">
        <v>80.4</v>
      </c>
      <c r="LX234" s="16" t="n">
        <v>14.3</v>
      </c>
      <c r="LY234" s="0" t="n">
        <v>68.7</v>
      </c>
      <c r="LZ234" s="0" t="n">
        <v>23.24</v>
      </c>
      <c r="MA234" s="0" t="n">
        <v>1.79</v>
      </c>
      <c r="MB234" s="0" t="n">
        <v>0</v>
      </c>
      <c r="MC234" s="0" t="n">
        <v>6.27</v>
      </c>
      <c r="MD234" s="0" t="n">
        <v>0</v>
      </c>
      <c r="ME234" s="0" t="n">
        <v>0</v>
      </c>
      <c r="MF234" s="0" t="n">
        <v>0</v>
      </c>
      <c r="MG234" s="0" t="n">
        <v>0</v>
      </c>
      <c r="MH234" s="0" t="n">
        <v>0</v>
      </c>
      <c r="MI234" s="0" t="n">
        <v>0</v>
      </c>
      <c r="MJ234" s="0" t="n">
        <v>0</v>
      </c>
      <c r="MK234" s="0" t="n">
        <v>7.01</v>
      </c>
      <c r="ML234" s="0" t="n">
        <v>58.72</v>
      </c>
      <c r="MM234" s="0" t="n">
        <v>0.23</v>
      </c>
      <c r="MN234" s="0" t="n">
        <v>0</v>
      </c>
      <c r="MO234" s="0" t="n">
        <v>0.5</v>
      </c>
      <c r="MP234" s="0" t="n">
        <v>2</v>
      </c>
      <c r="MQ234" s="0" t="n">
        <v>7</v>
      </c>
      <c r="MR234" s="0" t="n">
        <v>0.08</v>
      </c>
      <c r="MW234" s="0" t="n">
        <v>7</v>
      </c>
      <c r="MX234" s="0" t="n">
        <v>0.08</v>
      </c>
      <c r="NC234" s="0" t="n">
        <v>0</v>
      </c>
      <c r="ND234" s="0" t="n">
        <v>1</v>
      </c>
      <c r="NE234" s="0" t="n">
        <v>23</v>
      </c>
      <c r="NF234" s="0" t="n">
        <v>2</v>
      </c>
      <c r="NG234" s="0" t="n">
        <v>0.9</v>
      </c>
      <c r="NH234" s="0" t="n">
        <v>3</v>
      </c>
      <c r="NO234" s="18"/>
      <c r="OG234" s="0" t="n">
        <v>1</v>
      </c>
      <c r="OH234" s="0" t="n">
        <v>50</v>
      </c>
      <c r="OI234" s="0" t="n">
        <v>2</v>
      </c>
      <c r="OJ234" s="0" t="n">
        <f aca="false">3.13+23.63</f>
        <v>26.76</v>
      </c>
      <c r="OK234" s="0" t="n">
        <v>3</v>
      </c>
      <c r="PR234" s="16" t="n">
        <v>1.49</v>
      </c>
      <c r="PS234" s="16" t="n">
        <v>1</v>
      </c>
      <c r="PT234" s="16" t="n">
        <v>1</v>
      </c>
      <c r="PU234" s="16"/>
      <c r="PV234" s="16" t="n">
        <f aca="false">1.91+2.02+2.02+1.35</f>
        <v>7.3</v>
      </c>
      <c r="PW234" s="16" t="n">
        <v>2</v>
      </c>
      <c r="PX234" s="16"/>
      <c r="PY234" s="16" t="n">
        <v>0.21</v>
      </c>
      <c r="PZ234" s="16"/>
      <c r="QA234" s="16"/>
      <c r="QB234" s="16"/>
      <c r="QC234" s="16" t="n">
        <v>10.82</v>
      </c>
      <c r="QD234" s="16" t="n">
        <v>14.57</v>
      </c>
      <c r="QE234" s="16"/>
      <c r="QF234" s="16"/>
      <c r="QG234" s="16" t="n">
        <v>2.24</v>
      </c>
      <c r="QH234" s="16" t="n">
        <v>0.9</v>
      </c>
      <c r="QI234" s="16" t="n">
        <v>0</v>
      </c>
      <c r="QJ234" s="0" t="n">
        <v>0</v>
      </c>
      <c r="QK234" s="0" t="s">
        <v>548</v>
      </c>
      <c r="QL234" s="0" t="n">
        <v>50</v>
      </c>
      <c r="QM234" s="16" t="n">
        <v>80</v>
      </c>
      <c r="QN234" s="16" t="n">
        <v>80.4</v>
      </c>
      <c r="QO234" s="16" t="n">
        <v>16.9</v>
      </c>
      <c r="QP234" s="0" t="n">
        <v>58.18</v>
      </c>
      <c r="QQ234" s="0" t="n">
        <v>32.94</v>
      </c>
      <c r="QR234" s="0" t="n">
        <v>1.79</v>
      </c>
      <c r="QS234" s="0" t="n">
        <v>0</v>
      </c>
      <c r="QT234" s="0" t="n">
        <v>7.09</v>
      </c>
      <c r="QU234" s="0" t="n">
        <v>0</v>
      </c>
      <c r="QV234" s="0" t="n">
        <v>0</v>
      </c>
      <c r="QW234" s="0" t="n">
        <v>0</v>
      </c>
      <c r="QX234" s="0" t="n">
        <v>0</v>
      </c>
      <c r="QY234" s="0" t="n">
        <v>0</v>
      </c>
      <c r="QZ234" s="0" t="n">
        <v>0</v>
      </c>
      <c r="RA234" s="0" t="n">
        <v>0</v>
      </c>
      <c r="RB234" s="0" t="n">
        <v>3.53</v>
      </c>
      <c r="RC234" s="0" t="n">
        <v>45.12</v>
      </c>
      <c r="RD234" s="0" t="n">
        <v>0</v>
      </c>
      <c r="RE234" s="0" t="n">
        <v>0</v>
      </c>
      <c r="RF234" s="0" t="n">
        <v>0</v>
      </c>
      <c r="RG234" s="0" t="n">
        <v>0</v>
      </c>
      <c r="RT234" s="0" t="n">
        <v>8.2</v>
      </c>
      <c r="RU234" s="0" t="n">
        <v>1</v>
      </c>
      <c r="RV234" s="0" t="n">
        <v>23</v>
      </c>
      <c r="RW234" s="0" t="n">
        <v>1</v>
      </c>
      <c r="RX234" s="0" t="n">
        <v>0.45</v>
      </c>
      <c r="RY234" s="0" t="n">
        <v>3</v>
      </c>
      <c r="RZ234" s="0" t="n">
        <v>34</v>
      </c>
      <c r="SA234" s="0" t="n">
        <v>28</v>
      </c>
      <c r="SB234" s="0" t="n">
        <f aca="false">0.45+0.18+1.6+0.24+0.37+4.39+0.49+0.04+0.32+0.05+1.38</f>
        <v>9.51</v>
      </c>
      <c r="SC234" s="0" t="n">
        <v>1</v>
      </c>
      <c r="SF234" s="18"/>
      <c r="SX234" s="0" t="n">
        <v>0</v>
      </c>
      <c r="UI234" s="16" t="n">
        <v>1.65</v>
      </c>
      <c r="UJ234" s="16" t="n">
        <v>1</v>
      </c>
      <c r="UK234" s="16" t="n">
        <v>1</v>
      </c>
      <c r="UL234" s="16"/>
      <c r="UM234" s="16" t="n">
        <f aca="false">0.18</f>
        <v>0.18</v>
      </c>
      <c r="UN234" s="16" t="n">
        <v>2</v>
      </c>
      <c r="UO234" s="16"/>
      <c r="UP234" s="16" t="n">
        <f aca="false">1.65+0.91+6.23+0.66</f>
        <v>9.45</v>
      </c>
      <c r="UQ234" s="16"/>
      <c r="UR234" s="16"/>
      <c r="US234" s="16"/>
      <c r="UT234" s="16" t="n">
        <v>20.65</v>
      </c>
      <c r="UU234" s="16" t="n">
        <v>33.56</v>
      </c>
      <c r="UV234" s="16"/>
      <c r="UW234" s="16"/>
      <c r="UX234" s="16" t="n">
        <v>2.24</v>
      </c>
      <c r="UY234" s="16" t="n">
        <v>0.45</v>
      </c>
      <c r="UZ234" s="16" t="n">
        <v>0</v>
      </c>
      <c r="VA234" s="0" t="n">
        <v>0.45</v>
      </c>
      <c r="VB234" s="0" t="s">
        <v>549</v>
      </c>
      <c r="VC234" s="0" t="n">
        <v>31.5</v>
      </c>
      <c r="VD234" s="16" t="n">
        <v>79.9</v>
      </c>
      <c r="VE234" s="16" t="n">
        <v>80.4</v>
      </c>
      <c r="VF234" s="16" t="n">
        <v>17.8</v>
      </c>
      <c r="VG234" s="0" t="n">
        <v>71.45</v>
      </c>
      <c r="VH234" s="0" t="n">
        <v>9.43</v>
      </c>
      <c r="VI234" s="0" t="n">
        <v>1.12</v>
      </c>
      <c r="VJ234" s="0" t="n">
        <v>0</v>
      </c>
      <c r="VK234" s="0" t="n">
        <v>18.01</v>
      </c>
      <c r="VL234" s="0" t="n">
        <v>0</v>
      </c>
      <c r="VM234" s="0" t="n">
        <v>0</v>
      </c>
      <c r="VN234" s="0" t="n">
        <v>0</v>
      </c>
      <c r="VO234" s="0" t="n">
        <v>0</v>
      </c>
      <c r="VP234" s="0" t="n">
        <v>0</v>
      </c>
      <c r="VQ234" s="0" t="n">
        <v>0</v>
      </c>
      <c r="VR234" s="0" t="n">
        <v>0</v>
      </c>
      <c r="VS234" s="0" t="n">
        <v>8.44</v>
      </c>
      <c r="VT234" s="0" t="n">
        <v>63.45</v>
      </c>
      <c r="VU234" s="0" t="n">
        <v>0</v>
      </c>
      <c r="VV234" s="0" t="n">
        <v>0</v>
      </c>
      <c r="VW234" s="0" t="n">
        <v>0</v>
      </c>
      <c r="VX234" s="0" t="n">
        <v>0</v>
      </c>
      <c r="WK234" s="0" t="n">
        <v>2</v>
      </c>
      <c r="WL234" s="0" t="n">
        <v>1</v>
      </c>
      <c r="WM234" s="0" t="n">
        <v>52</v>
      </c>
      <c r="WN234" s="0" t="n">
        <v>2</v>
      </c>
      <c r="WO234" s="0" t="n">
        <f aca="false">0.9+0.02</f>
        <v>0.92</v>
      </c>
      <c r="WP234" s="0" t="n">
        <v>2</v>
      </c>
      <c r="WW234" s="18"/>
      <c r="XO234" s="0" t="n">
        <v>1</v>
      </c>
      <c r="XP234" s="0" t="n">
        <v>50</v>
      </c>
      <c r="XQ234" s="0" t="n">
        <v>9</v>
      </c>
      <c r="XR234" s="0" t="n">
        <f aca="false">19.9+3.13</f>
        <v>23.03</v>
      </c>
      <c r="XS234" s="0" t="n">
        <v>3</v>
      </c>
      <c r="YZ234" s="16" t="n">
        <v>1.47</v>
      </c>
      <c r="ZA234" s="16" t="n">
        <v>1</v>
      </c>
      <c r="ZB234" s="16" t="n">
        <v>1</v>
      </c>
      <c r="ZC234" s="16"/>
      <c r="ZD234" s="16" t="n">
        <v>2.13</v>
      </c>
      <c r="ZE234" s="16" t="n">
        <v>2</v>
      </c>
      <c r="ZF234" s="16"/>
      <c r="ZG234" s="16" t="n">
        <v>3.37</v>
      </c>
      <c r="ZH234" s="16"/>
      <c r="ZI234" s="16"/>
      <c r="ZJ234" s="16"/>
      <c r="ZK234" s="16" t="n">
        <v>5.55</v>
      </c>
      <c r="ZL234" s="16" t="n">
        <v>6.42</v>
      </c>
      <c r="ZM234" s="16"/>
      <c r="ZN234" s="16"/>
      <c r="ZO234" s="16" t="n">
        <v>0</v>
      </c>
      <c r="ZP234" s="16" t="n">
        <v>0</v>
      </c>
      <c r="ZQ234" s="16" t="n">
        <v>4.48</v>
      </c>
      <c r="ZR234" s="0" t="n">
        <v>0</v>
      </c>
      <c r="ZS234" s="0" t="s">
        <v>550</v>
      </c>
      <c r="ZT234" s="0" t="n">
        <v>17</v>
      </c>
      <c r="ZU234" s="16" t="n">
        <v>87.8</v>
      </c>
      <c r="ZV234" s="16" t="n">
        <v>80.4</v>
      </c>
      <c r="ZW234" s="16" t="n">
        <v>11.6</v>
      </c>
      <c r="ZX234" s="0" t="n">
        <v>86.21</v>
      </c>
      <c r="ZY234" s="0" t="n">
        <v>1.64</v>
      </c>
      <c r="ZZ234" s="0" t="n">
        <v>0.45</v>
      </c>
      <c r="AAA234" s="0" t="n">
        <v>0</v>
      </c>
      <c r="AAB234" s="0" t="n">
        <v>11.7</v>
      </c>
      <c r="AAC234" s="0" t="n">
        <v>0</v>
      </c>
      <c r="AAD234" s="0" t="n">
        <v>0</v>
      </c>
      <c r="AAE234" s="0" t="n">
        <v>0</v>
      </c>
      <c r="AAF234" s="0" t="n">
        <v>0</v>
      </c>
      <c r="AAG234" s="0" t="n">
        <v>0</v>
      </c>
      <c r="AAH234" s="0" t="n">
        <v>0</v>
      </c>
      <c r="AAI234" s="0" t="n">
        <v>0</v>
      </c>
      <c r="AAJ234" s="0" t="n">
        <v>14.73</v>
      </c>
      <c r="AAK234" s="0" t="n">
        <v>7.98</v>
      </c>
      <c r="AAL234" s="0" t="n">
        <v>0</v>
      </c>
      <c r="AAM234" s="0" t="n">
        <v>0</v>
      </c>
      <c r="AAN234" s="0" t="n">
        <v>0</v>
      </c>
      <c r="AAO234" s="0" t="n">
        <v>0</v>
      </c>
      <c r="ABB234" s="0" t="n">
        <v>0</v>
      </c>
      <c r="ABC234" s="0" t="n">
        <v>0</v>
      </c>
      <c r="ABN234" s="18"/>
      <c r="ACF234" s="0" t="n">
        <v>0</v>
      </c>
      <c r="ADQ234" s="16" t="n">
        <v>0</v>
      </c>
      <c r="ADR234" s="16" t="n">
        <v>0</v>
      </c>
      <c r="ADS234" s="16"/>
      <c r="ADT234" s="16"/>
      <c r="ADU234" s="16"/>
      <c r="ADV234" s="16"/>
      <c r="ADW234" s="16"/>
      <c r="ADX234" s="16"/>
      <c r="ADY234" s="16"/>
      <c r="ADZ234" s="16"/>
      <c r="AEA234" s="16"/>
      <c r="AEB234" s="16" t="n">
        <v>5.22</v>
      </c>
      <c r="AEC234" s="16" t="n">
        <v>5.37</v>
      </c>
      <c r="AED234" s="16"/>
      <c r="AEE234" s="16"/>
      <c r="AEF234" s="16" t="n">
        <v>0</v>
      </c>
      <c r="AEG234" s="16" t="n">
        <v>0</v>
      </c>
      <c r="AEH234" s="16" t="n">
        <v>0.19</v>
      </c>
      <c r="AEI234" s="0" t="n">
        <v>0</v>
      </c>
      <c r="AEJ234" s="0" t="s">
        <v>551</v>
      </c>
      <c r="AEK234" s="0" t="n">
        <v>17.5</v>
      </c>
      <c r="AEL234" s="16" t="n">
        <v>87.6</v>
      </c>
      <c r="AEM234" s="16" t="n">
        <v>80.4</v>
      </c>
      <c r="AEN234" s="16" t="n">
        <v>12</v>
      </c>
      <c r="AEO234" s="0" t="n">
        <v>84.96</v>
      </c>
      <c r="AEP234" s="0" t="n">
        <v>1.61</v>
      </c>
      <c r="AEQ234" s="0" t="n">
        <v>0.45</v>
      </c>
      <c r="AER234" s="0" t="n">
        <v>0</v>
      </c>
      <c r="AES234" s="0" t="n">
        <v>12.98</v>
      </c>
      <c r="AET234" s="0" t="n">
        <v>0</v>
      </c>
      <c r="AEU234" s="0" t="n">
        <v>0</v>
      </c>
      <c r="AEV234" s="0" t="n">
        <v>0</v>
      </c>
      <c r="AEW234" s="0" t="n">
        <v>0</v>
      </c>
      <c r="AEX234" s="0" t="n">
        <v>0</v>
      </c>
      <c r="AEY234" s="0" t="n">
        <v>0</v>
      </c>
      <c r="AEZ234" s="0" t="n">
        <v>0</v>
      </c>
      <c r="AFA234" s="0" t="n">
        <v>15.99</v>
      </c>
      <c r="AFB234" s="0" t="n">
        <v>7.84</v>
      </c>
      <c r="AFC234" s="0" t="n">
        <v>0</v>
      </c>
      <c r="AFD234" s="0" t="n">
        <v>0</v>
      </c>
      <c r="AFE234" s="0" t="n">
        <v>0</v>
      </c>
      <c r="AFF234" s="0" t="n">
        <v>0</v>
      </c>
      <c r="AFS234" s="0" t="n">
        <v>0</v>
      </c>
      <c r="AFT234" s="0" t="n">
        <v>0</v>
      </c>
      <c r="AGE234" s="18"/>
      <c r="AGW234" s="0" t="n">
        <v>0</v>
      </c>
      <c r="AIH234" s="16" t="n">
        <v>0</v>
      </c>
      <c r="AII234" s="16" t="n">
        <v>0</v>
      </c>
      <c r="AIJ234" s="16"/>
      <c r="AIK234" s="16"/>
      <c r="AIL234" s="16"/>
      <c r="AIM234" s="16"/>
      <c r="AIN234" s="16"/>
      <c r="AIO234" s="16"/>
      <c r="AIP234" s="16"/>
      <c r="AIQ234" s="16"/>
      <c r="AIR234" s="16"/>
      <c r="AIS234" s="16" t="n">
        <v>5.22</v>
      </c>
      <c r="AIT234" s="16" t="n">
        <v>5.37</v>
      </c>
      <c r="AIU234" s="16"/>
      <c r="AIV234" s="16"/>
      <c r="AIW234" s="16" t="n">
        <v>0</v>
      </c>
      <c r="AIX234" s="16" t="n">
        <v>0</v>
      </c>
      <c r="AIY234" s="16" t="n">
        <v>0.19</v>
      </c>
      <c r="AIZ234" s="0" t="n">
        <v>0</v>
      </c>
      <c r="AJA234" s="0" t="s">
        <v>552</v>
      </c>
      <c r="AJB234" s="0" t="n">
        <v>16.5</v>
      </c>
      <c r="AJC234" s="16" t="n">
        <v>73.2</v>
      </c>
      <c r="AJD234" s="16" t="n">
        <v>80.4</v>
      </c>
      <c r="AJE234" s="16" t="n">
        <v>10.2</v>
      </c>
      <c r="AJF234" s="0" t="n">
        <v>69.43</v>
      </c>
      <c r="AJG234" s="0" t="n">
        <v>29.45</v>
      </c>
      <c r="AJH234" s="0" t="n">
        <v>1.12</v>
      </c>
      <c r="AJI234" s="0" t="n">
        <v>0</v>
      </c>
      <c r="AJJ234" s="0" t="n">
        <v>0</v>
      </c>
      <c r="AJK234" s="0" t="n">
        <v>0</v>
      </c>
      <c r="AJL234" s="0" t="n">
        <v>0</v>
      </c>
      <c r="AJM234" s="0" t="n">
        <v>0</v>
      </c>
      <c r="AJN234" s="0" t="n">
        <v>0</v>
      </c>
      <c r="AJO234" s="0" t="n">
        <v>0</v>
      </c>
      <c r="AJP234" s="0" t="n">
        <v>0</v>
      </c>
      <c r="AJQ234" s="0" t="n">
        <v>0</v>
      </c>
      <c r="AJR234" s="0" t="n">
        <v>29.3</v>
      </c>
      <c r="AJS234" s="0" t="n">
        <v>10.81</v>
      </c>
      <c r="AJT234" s="0" t="n">
        <v>0</v>
      </c>
      <c r="AJU234" s="0" t="n">
        <v>0</v>
      </c>
      <c r="AJV234" s="0" t="n">
        <v>5.9</v>
      </c>
      <c r="AJW234" s="0" t="n">
        <v>2</v>
      </c>
      <c r="AJX234" s="0" t="n">
        <v>3</v>
      </c>
      <c r="AJY234" s="0" t="n">
        <v>2.01</v>
      </c>
      <c r="AKD234" s="0" t="n">
        <v>3</v>
      </c>
      <c r="AKE234" s="0" t="n">
        <v>2.01</v>
      </c>
      <c r="AKJ234" s="0" t="n">
        <v>0</v>
      </c>
      <c r="AKK234" s="0" t="n">
        <v>0</v>
      </c>
      <c r="AKV234" s="18"/>
      <c r="ALN234" s="0" t="n">
        <v>0</v>
      </c>
    </row>
    <row r="235" customFormat="false" ht="13.8" hidden="false" customHeight="false" outlineLevel="0" collapsed="false">
      <c r="A235" s="1" t="s">
        <v>750</v>
      </c>
      <c r="B235" s="12" t="n">
        <v>42909</v>
      </c>
      <c r="C235" s="0" t="n">
        <v>2</v>
      </c>
      <c r="D235" s="13" t="n">
        <v>37025</v>
      </c>
      <c r="E235" s="12" t="n">
        <v>23973</v>
      </c>
      <c r="F235" s="14" t="n">
        <f aca="false">(B235-E235)/365.25</f>
        <v>51.8439425051335</v>
      </c>
      <c r="G235" s="14" t="n">
        <f aca="false">(B235-D235)/365.25</f>
        <v>16.1095140314853</v>
      </c>
      <c r="H235" s="19" t="s">
        <v>217</v>
      </c>
      <c r="I235" s="0" t="s">
        <v>545</v>
      </c>
      <c r="J235" s="21" t="s">
        <v>183</v>
      </c>
      <c r="K235" s="21" t="n">
        <v>8</v>
      </c>
      <c r="L235" s="19" t="n">
        <v>85</v>
      </c>
      <c r="M235" s="0" t="n">
        <v>1.84</v>
      </c>
      <c r="N235" s="16" t="n">
        <f aca="false">L235/(M235*M235)</f>
        <v>25.1063327032136</v>
      </c>
      <c r="O235" s="19" t="n">
        <v>0</v>
      </c>
      <c r="P235" s="19" t="n">
        <v>0</v>
      </c>
      <c r="Q235" s="19" t="n">
        <v>0</v>
      </c>
      <c r="R235" s="26" t="n">
        <v>0</v>
      </c>
      <c r="S235" s="26" t="n">
        <v>0</v>
      </c>
      <c r="T235" s="26" t="n">
        <v>0</v>
      </c>
      <c r="U235" s="19" t="n">
        <v>0</v>
      </c>
      <c r="V235" s="19" t="n">
        <v>0</v>
      </c>
      <c r="W235" s="19" t="n">
        <v>0</v>
      </c>
      <c r="X235" s="19" t="n">
        <v>0</v>
      </c>
      <c r="Y235" s="19" t="n">
        <v>0</v>
      </c>
      <c r="Z235" s="19" t="n">
        <v>0</v>
      </c>
      <c r="AA235" s="19" t="n">
        <v>0</v>
      </c>
      <c r="AB235" s="19" t="n">
        <v>0</v>
      </c>
      <c r="AC235" s="19" t="n">
        <v>0</v>
      </c>
      <c r="AD235" s="19" t="n">
        <v>0</v>
      </c>
      <c r="AE235" s="19" t="n">
        <v>0</v>
      </c>
      <c r="AF235" s="19" t="n">
        <v>0</v>
      </c>
      <c r="AG235" s="19" t="n">
        <v>0</v>
      </c>
      <c r="AH235" s="19" t="n">
        <v>0</v>
      </c>
      <c r="AI235" s="19" t="n">
        <v>3</v>
      </c>
      <c r="AJ235" s="19"/>
      <c r="AK235" s="19"/>
      <c r="AL235" s="19"/>
      <c r="AM235" s="19"/>
      <c r="AN235" s="19" t="n">
        <v>3</v>
      </c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 t="n">
        <v>1</v>
      </c>
      <c r="BK235" s="19"/>
      <c r="BL235" s="19" t="n">
        <v>1</v>
      </c>
      <c r="BM235" s="19" t="n">
        <v>7</v>
      </c>
      <c r="BN235" s="19" t="n">
        <v>0</v>
      </c>
      <c r="BO235" s="19" t="n">
        <v>0</v>
      </c>
      <c r="BP235" s="19" t="n">
        <v>0</v>
      </c>
      <c r="BQ235" s="19" t="n">
        <v>0</v>
      </c>
      <c r="BR235" s="19" t="n">
        <v>4</v>
      </c>
      <c r="BS235" s="19" t="n">
        <v>2</v>
      </c>
      <c r="BT235" s="19" t="n">
        <v>5</v>
      </c>
      <c r="BU235" s="19" t="n">
        <v>4</v>
      </c>
      <c r="BV235" s="19" t="n">
        <v>3</v>
      </c>
      <c r="BW235" s="19" t="n">
        <v>1</v>
      </c>
      <c r="BX235" s="19" t="n">
        <v>4</v>
      </c>
      <c r="BY235" s="19" t="n">
        <v>4</v>
      </c>
      <c r="BZ235" s="19" t="n">
        <v>2</v>
      </c>
      <c r="CA235" s="19" t="n">
        <v>4</v>
      </c>
      <c r="CB235" s="19" t="n">
        <v>2</v>
      </c>
      <c r="CC235" s="19" t="n">
        <v>5</v>
      </c>
      <c r="CD235" s="19" t="n">
        <v>2</v>
      </c>
      <c r="CE235" s="19" t="n">
        <v>5</v>
      </c>
      <c r="CF235" s="19" t="n">
        <v>5</v>
      </c>
      <c r="CG235" s="19" t="n">
        <v>5</v>
      </c>
      <c r="CH235" s="19" t="n">
        <v>5</v>
      </c>
      <c r="CI235" s="19" t="n">
        <v>5</v>
      </c>
      <c r="CJ235" s="19" t="n">
        <v>3</v>
      </c>
      <c r="CK235" s="19" t="n">
        <v>8</v>
      </c>
      <c r="CL235" s="0" t="s">
        <v>555</v>
      </c>
      <c r="CM235" s="0" t="n">
        <v>35</v>
      </c>
      <c r="CN235" s="16" t="n">
        <v>78.8</v>
      </c>
      <c r="CO235" s="16" t="n">
        <v>80.4</v>
      </c>
      <c r="CP235" s="16" t="n">
        <v>17.2</v>
      </c>
      <c r="CQ235" s="0" t="n">
        <v>72.07</v>
      </c>
      <c r="CR235" s="0" t="n">
        <v>11.09</v>
      </c>
      <c r="CS235" s="0" t="n">
        <v>1.12</v>
      </c>
      <c r="CT235" s="0" t="n">
        <v>0</v>
      </c>
      <c r="CU235" s="0" t="n">
        <v>15.71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1.66</v>
      </c>
      <c r="DD235" s="0" t="n">
        <v>34.99</v>
      </c>
      <c r="DE235" s="0" t="n">
        <v>0</v>
      </c>
      <c r="DF235" s="0" t="n">
        <v>0</v>
      </c>
      <c r="DG235" s="0" t="n">
        <v>0</v>
      </c>
      <c r="DH235" s="0" t="n">
        <v>0</v>
      </c>
      <c r="DU235" s="0" t="n">
        <v>11.2</v>
      </c>
      <c r="DV235" s="0" t="n">
        <v>1</v>
      </c>
      <c r="DW235" s="0" t="n">
        <v>52</v>
      </c>
      <c r="DX235" s="0" t="n">
        <f aca="false">18+1+15</f>
        <v>34</v>
      </c>
      <c r="DY235" s="0" t="n">
        <f aca="false">3.2+2.05+0.07</f>
        <v>5.32</v>
      </c>
      <c r="DZ235" s="0" t="n">
        <v>2</v>
      </c>
      <c r="EG235" s="18"/>
      <c r="EY235" s="0" t="n">
        <v>0</v>
      </c>
      <c r="GJ235" s="16" t="n">
        <v>0</v>
      </c>
      <c r="GK235" s="16" t="n">
        <v>0</v>
      </c>
      <c r="GL235" s="16"/>
      <c r="GM235" s="16"/>
      <c r="GN235" s="16"/>
      <c r="GO235" s="16"/>
      <c r="GP235" s="16"/>
      <c r="GQ235" s="16"/>
      <c r="GR235" s="16"/>
      <c r="GS235" s="16"/>
      <c r="GT235" s="16"/>
      <c r="GU235" s="16" t="n">
        <v>6.16</v>
      </c>
      <c r="GV235" s="16" t="n">
        <v>7.21</v>
      </c>
      <c r="GW235" s="16"/>
      <c r="GX235" s="16"/>
      <c r="GY235" s="16" t="n">
        <v>0</v>
      </c>
      <c r="GZ235" s="16" t="n">
        <v>0</v>
      </c>
      <c r="HA235" s="16" t="n">
        <v>0</v>
      </c>
      <c r="HB235" s="0" t="n">
        <v>0</v>
      </c>
      <c r="HC235" s="0" t="s">
        <v>546</v>
      </c>
      <c r="HD235" s="0" t="n">
        <v>16.5</v>
      </c>
      <c r="HE235" s="16" t="n">
        <v>35.3</v>
      </c>
      <c r="HF235" s="16" t="n">
        <v>80.4</v>
      </c>
      <c r="HG235" s="16" t="n">
        <v>9.7</v>
      </c>
      <c r="HH235" s="0" t="n">
        <v>86.56</v>
      </c>
      <c r="HI235" s="0" t="n">
        <v>12.61</v>
      </c>
      <c r="HJ235" s="0" t="n">
        <v>0</v>
      </c>
      <c r="HK235" s="0" t="n">
        <v>0</v>
      </c>
      <c r="HL235" s="0" t="n">
        <v>0.83</v>
      </c>
      <c r="HM235" s="0" t="n">
        <v>0</v>
      </c>
      <c r="HN235" s="0" t="n">
        <v>0</v>
      </c>
      <c r="HO235" s="0" t="n">
        <v>0</v>
      </c>
      <c r="HP235" s="0" t="n">
        <v>0</v>
      </c>
      <c r="HQ235" s="0" t="n">
        <v>0</v>
      </c>
      <c r="HR235" s="0" t="n">
        <v>0</v>
      </c>
      <c r="HS235" s="0" t="n">
        <v>0</v>
      </c>
      <c r="HT235" s="0" t="n">
        <v>2.22</v>
      </c>
      <c r="HU235" s="0" t="n">
        <v>20.83</v>
      </c>
      <c r="HV235" s="0" t="n">
        <v>0</v>
      </c>
      <c r="HW235" s="0" t="n">
        <v>0</v>
      </c>
      <c r="HX235" s="0" t="n">
        <v>0</v>
      </c>
      <c r="HY235" s="0" t="n">
        <v>0</v>
      </c>
      <c r="IL235" s="0" t="n">
        <v>0.3</v>
      </c>
      <c r="IM235" s="0" t="n">
        <v>1</v>
      </c>
      <c r="IN235" s="0" t="n">
        <v>34</v>
      </c>
      <c r="IO235" s="0" t="n">
        <v>4</v>
      </c>
      <c r="IP235" s="0" t="n">
        <f aca="false">1.35+0.45+1.35+0.45</f>
        <v>3.6</v>
      </c>
      <c r="IQ235" s="0" t="n">
        <v>1</v>
      </c>
      <c r="IR235" s="0" t="n">
        <v>52</v>
      </c>
      <c r="IS235" s="0" t="n">
        <v>1</v>
      </c>
      <c r="IT235" s="0" t="n">
        <f aca="false">0.18</f>
        <v>0.18</v>
      </c>
      <c r="IU235" s="0" t="n">
        <v>2</v>
      </c>
      <c r="IX235" s="18"/>
      <c r="JP235" s="0" t="n">
        <v>0</v>
      </c>
      <c r="LA235" s="16" t="n">
        <v>0.28</v>
      </c>
      <c r="LB235" s="16" t="n">
        <v>1</v>
      </c>
      <c r="LC235" s="16" t="n">
        <v>2</v>
      </c>
      <c r="LD235" s="16"/>
      <c r="LE235" s="16" t="n">
        <f aca="false">0.37+0.26</f>
        <v>0.63</v>
      </c>
      <c r="LF235" s="16"/>
      <c r="LG235" s="16"/>
      <c r="LH235" s="16"/>
      <c r="LI235" s="16"/>
      <c r="LJ235" s="16"/>
      <c r="LK235" s="16"/>
      <c r="LL235" s="16" t="n">
        <v>5.99</v>
      </c>
      <c r="LM235" s="16" t="n">
        <v>5.34</v>
      </c>
      <c r="LN235" s="16"/>
      <c r="LO235" s="16"/>
      <c r="LP235" s="16" t="n">
        <v>0</v>
      </c>
      <c r="LQ235" s="16" t="n">
        <v>0</v>
      </c>
      <c r="LR235" s="16" t="n">
        <v>0</v>
      </c>
      <c r="LS235" s="0" t="n">
        <v>0</v>
      </c>
      <c r="LT235" s="0" t="s">
        <v>547</v>
      </c>
      <c r="LU235" s="0" t="n">
        <v>29.5</v>
      </c>
      <c r="LV235" s="16" t="n">
        <v>87.5</v>
      </c>
      <c r="LW235" s="16" t="n">
        <v>80.4</v>
      </c>
      <c r="LX235" s="16" t="n">
        <v>14.3</v>
      </c>
      <c r="LY235" s="0" t="n">
        <v>68.7</v>
      </c>
      <c r="LZ235" s="0" t="n">
        <v>23.24</v>
      </c>
      <c r="MA235" s="0" t="n">
        <v>1.79</v>
      </c>
      <c r="MB235" s="0" t="n">
        <v>0</v>
      </c>
      <c r="MC235" s="0" t="n">
        <v>6.27</v>
      </c>
      <c r="MD235" s="0" t="n">
        <v>0</v>
      </c>
      <c r="ME235" s="0" t="n">
        <v>0</v>
      </c>
      <c r="MF235" s="0" t="n">
        <v>0</v>
      </c>
      <c r="MG235" s="0" t="n">
        <v>0</v>
      </c>
      <c r="MH235" s="0" t="n">
        <v>0</v>
      </c>
      <c r="MI235" s="0" t="n">
        <v>0</v>
      </c>
      <c r="MJ235" s="0" t="n">
        <v>0</v>
      </c>
      <c r="MK235" s="0" t="n">
        <v>7.01</v>
      </c>
      <c r="ML235" s="0" t="n">
        <v>58.72</v>
      </c>
      <c r="MM235" s="0" t="n">
        <v>0.23</v>
      </c>
      <c r="MN235" s="0" t="n">
        <v>0</v>
      </c>
      <c r="MO235" s="0" t="n">
        <v>0.5</v>
      </c>
      <c r="MP235" s="0" t="n">
        <v>2</v>
      </c>
      <c r="MQ235" s="0" t="n">
        <v>7</v>
      </c>
      <c r="MR235" s="0" t="n">
        <v>0.08</v>
      </c>
      <c r="MW235" s="0" t="n">
        <v>7</v>
      </c>
      <c r="MX235" s="0" t="n">
        <v>0.08</v>
      </c>
      <c r="NC235" s="0" t="n">
        <v>0</v>
      </c>
      <c r="ND235" s="0" t="n">
        <v>1</v>
      </c>
      <c r="NE235" s="0" t="n">
        <v>23</v>
      </c>
      <c r="NF235" s="0" t="n">
        <v>2</v>
      </c>
      <c r="NG235" s="0" t="n">
        <v>0.9</v>
      </c>
      <c r="NH235" s="0" t="n">
        <v>3</v>
      </c>
      <c r="NO235" s="18"/>
      <c r="OG235" s="0" t="n">
        <v>1</v>
      </c>
      <c r="OH235" s="0" t="n">
        <v>50</v>
      </c>
      <c r="OI235" s="0" t="n">
        <v>2</v>
      </c>
      <c r="OJ235" s="0" t="n">
        <f aca="false">3.13+23.63</f>
        <v>26.76</v>
      </c>
      <c r="OK235" s="0" t="n">
        <v>3</v>
      </c>
      <c r="PR235" s="16" t="n">
        <v>1.49</v>
      </c>
      <c r="PS235" s="16" t="n">
        <v>1</v>
      </c>
      <c r="PT235" s="16" t="n">
        <v>1</v>
      </c>
      <c r="PU235" s="16"/>
      <c r="PV235" s="16" t="n">
        <f aca="false">1.91+2.02+2.02+1.35</f>
        <v>7.3</v>
      </c>
      <c r="PW235" s="16" t="n">
        <v>2</v>
      </c>
      <c r="PX235" s="16"/>
      <c r="PY235" s="16" t="n">
        <v>0.21</v>
      </c>
      <c r="PZ235" s="16"/>
      <c r="QA235" s="16"/>
      <c r="QB235" s="16"/>
      <c r="QC235" s="16" t="n">
        <v>10.82</v>
      </c>
      <c r="QD235" s="16" t="n">
        <v>14.57</v>
      </c>
      <c r="QE235" s="16"/>
      <c r="QF235" s="16"/>
      <c r="QG235" s="16" t="n">
        <v>2.24</v>
      </c>
      <c r="QH235" s="16" t="n">
        <v>0.9</v>
      </c>
      <c r="QI235" s="16" t="n">
        <v>0</v>
      </c>
      <c r="QJ235" s="0" t="n">
        <v>0</v>
      </c>
      <c r="QK235" s="0" t="s">
        <v>548</v>
      </c>
      <c r="QL235" s="0" t="n">
        <v>50</v>
      </c>
      <c r="QM235" s="16" t="n">
        <v>80</v>
      </c>
      <c r="QN235" s="16" t="n">
        <v>80.4</v>
      </c>
      <c r="QO235" s="16" t="n">
        <v>16.9</v>
      </c>
      <c r="QP235" s="0" t="n">
        <v>58.18</v>
      </c>
      <c r="QQ235" s="0" t="n">
        <v>32.94</v>
      </c>
      <c r="QR235" s="0" t="n">
        <v>1.79</v>
      </c>
      <c r="QS235" s="0" t="n">
        <v>0</v>
      </c>
      <c r="QT235" s="0" t="n">
        <v>7.09</v>
      </c>
      <c r="QU235" s="0" t="n">
        <v>0</v>
      </c>
      <c r="QV235" s="0" t="n">
        <v>0</v>
      </c>
      <c r="QW235" s="0" t="n">
        <v>0</v>
      </c>
      <c r="QX235" s="0" t="n">
        <v>0</v>
      </c>
      <c r="QY235" s="0" t="n">
        <v>0</v>
      </c>
      <c r="QZ235" s="0" t="n">
        <v>0</v>
      </c>
      <c r="RA235" s="0" t="n">
        <v>0</v>
      </c>
      <c r="RB235" s="0" t="n">
        <v>3.53</v>
      </c>
      <c r="RC235" s="0" t="n">
        <v>45.12</v>
      </c>
      <c r="RD235" s="0" t="n">
        <v>0</v>
      </c>
      <c r="RE235" s="0" t="n">
        <v>0</v>
      </c>
      <c r="RF235" s="0" t="n">
        <v>0</v>
      </c>
      <c r="RG235" s="0" t="n">
        <v>0</v>
      </c>
      <c r="RT235" s="0" t="n">
        <v>8.2</v>
      </c>
      <c r="RU235" s="0" t="n">
        <v>1</v>
      </c>
      <c r="RV235" s="0" t="n">
        <v>23</v>
      </c>
      <c r="RW235" s="0" t="n">
        <v>1</v>
      </c>
      <c r="RX235" s="0" t="n">
        <v>0.45</v>
      </c>
      <c r="RY235" s="0" t="n">
        <v>3</v>
      </c>
      <c r="RZ235" s="0" t="n">
        <v>34</v>
      </c>
      <c r="SA235" s="0" t="n">
        <v>28</v>
      </c>
      <c r="SB235" s="0" t="n">
        <f aca="false">0.45+0.18+1.6+0.24+0.37+4.39+0.49+0.04+0.32+0.05+1.38</f>
        <v>9.51</v>
      </c>
      <c r="SC235" s="0" t="n">
        <v>1</v>
      </c>
      <c r="SF235" s="18"/>
      <c r="SX235" s="0" t="n">
        <v>0</v>
      </c>
      <c r="UI235" s="16" t="n">
        <v>1.65</v>
      </c>
      <c r="UJ235" s="16" t="n">
        <v>1</v>
      </c>
      <c r="UK235" s="16" t="n">
        <v>1</v>
      </c>
      <c r="UL235" s="16"/>
      <c r="UM235" s="16" t="n">
        <f aca="false">0.18</f>
        <v>0.18</v>
      </c>
      <c r="UN235" s="16" t="n">
        <v>2</v>
      </c>
      <c r="UO235" s="16"/>
      <c r="UP235" s="16" t="n">
        <f aca="false">1.65+0.91+6.23+0.66</f>
        <v>9.45</v>
      </c>
      <c r="UQ235" s="16"/>
      <c r="UR235" s="16"/>
      <c r="US235" s="16"/>
      <c r="UT235" s="16" t="n">
        <v>20.65</v>
      </c>
      <c r="UU235" s="16" t="n">
        <v>33.56</v>
      </c>
      <c r="UV235" s="16"/>
      <c r="UW235" s="16"/>
      <c r="UX235" s="16" t="n">
        <v>2.24</v>
      </c>
      <c r="UY235" s="16" t="n">
        <v>0.45</v>
      </c>
      <c r="UZ235" s="16" t="n">
        <v>0</v>
      </c>
      <c r="VA235" s="0" t="n">
        <v>0.45</v>
      </c>
      <c r="VB235" s="0" t="s">
        <v>549</v>
      </c>
      <c r="VC235" s="0" t="n">
        <v>31.5</v>
      </c>
      <c r="VD235" s="16" t="n">
        <v>79.9</v>
      </c>
      <c r="VE235" s="16" t="n">
        <v>80.4</v>
      </c>
      <c r="VF235" s="16" t="n">
        <v>17.8</v>
      </c>
      <c r="VG235" s="0" t="n">
        <v>71.45</v>
      </c>
      <c r="VH235" s="0" t="n">
        <v>9.43</v>
      </c>
      <c r="VI235" s="0" t="n">
        <v>1.12</v>
      </c>
      <c r="VJ235" s="0" t="n">
        <v>0</v>
      </c>
      <c r="VK235" s="0" t="n">
        <v>18.01</v>
      </c>
      <c r="VL235" s="0" t="n">
        <v>0</v>
      </c>
      <c r="VM235" s="0" t="n">
        <v>0</v>
      </c>
      <c r="VN235" s="0" t="n">
        <v>0</v>
      </c>
      <c r="VO235" s="0" t="n">
        <v>0</v>
      </c>
      <c r="VP235" s="0" t="n">
        <v>0</v>
      </c>
      <c r="VQ235" s="0" t="n">
        <v>0</v>
      </c>
      <c r="VR235" s="0" t="n">
        <v>0</v>
      </c>
      <c r="VS235" s="0" t="n">
        <v>8.44</v>
      </c>
      <c r="VT235" s="0" t="n">
        <v>63.45</v>
      </c>
      <c r="VU235" s="0" t="n">
        <v>0</v>
      </c>
      <c r="VV235" s="0" t="n">
        <v>0</v>
      </c>
      <c r="VW235" s="0" t="n">
        <v>0</v>
      </c>
      <c r="VX235" s="0" t="n">
        <v>0</v>
      </c>
      <c r="WK235" s="0" t="n">
        <v>2</v>
      </c>
      <c r="WL235" s="0" t="n">
        <v>1</v>
      </c>
      <c r="WM235" s="0" t="n">
        <v>52</v>
      </c>
      <c r="WN235" s="0" t="n">
        <v>2</v>
      </c>
      <c r="WO235" s="0" t="n">
        <f aca="false">0.9+0.02</f>
        <v>0.92</v>
      </c>
      <c r="WP235" s="0" t="n">
        <v>2</v>
      </c>
      <c r="WW235" s="18"/>
      <c r="XO235" s="0" t="n">
        <v>1</v>
      </c>
      <c r="XP235" s="0" t="n">
        <v>50</v>
      </c>
      <c r="XQ235" s="0" t="n">
        <v>9</v>
      </c>
      <c r="XR235" s="0" t="n">
        <f aca="false">19.9+3.13</f>
        <v>23.03</v>
      </c>
      <c r="XS235" s="0" t="n">
        <v>3</v>
      </c>
      <c r="YZ235" s="16" t="n">
        <v>1.47</v>
      </c>
      <c r="ZA235" s="16" t="n">
        <v>1</v>
      </c>
      <c r="ZB235" s="16" t="n">
        <v>1</v>
      </c>
      <c r="ZC235" s="16"/>
      <c r="ZD235" s="16" t="n">
        <v>2.13</v>
      </c>
      <c r="ZE235" s="16" t="n">
        <v>2</v>
      </c>
      <c r="ZF235" s="16"/>
      <c r="ZG235" s="16" t="n">
        <v>3.37</v>
      </c>
      <c r="ZH235" s="16"/>
      <c r="ZI235" s="16"/>
      <c r="ZJ235" s="16"/>
      <c r="ZK235" s="16" t="n">
        <v>5.55</v>
      </c>
      <c r="ZL235" s="16" t="n">
        <v>6.42</v>
      </c>
      <c r="ZM235" s="16"/>
      <c r="ZN235" s="16"/>
      <c r="ZO235" s="16" t="n">
        <v>0</v>
      </c>
      <c r="ZP235" s="16" t="n">
        <v>0</v>
      </c>
      <c r="ZQ235" s="16" t="n">
        <v>4.48</v>
      </c>
      <c r="ZR235" s="0" t="n">
        <v>0</v>
      </c>
      <c r="ZS235" s="0" t="s">
        <v>550</v>
      </c>
      <c r="ZT235" s="0" t="n">
        <v>17</v>
      </c>
      <c r="ZU235" s="16" t="n">
        <v>87.8</v>
      </c>
      <c r="ZV235" s="16" t="n">
        <v>80.4</v>
      </c>
      <c r="ZW235" s="16" t="n">
        <v>11.6</v>
      </c>
      <c r="ZX235" s="0" t="n">
        <v>86.21</v>
      </c>
      <c r="ZY235" s="0" t="n">
        <v>1.64</v>
      </c>
      <c r="ZZ235" s="0" t="n">
        <v>0.45</v>
      </c>
      <c r="AAA235" s="0" t="n">
        <v>0</v>
      </c>
      <c r="AAB235" s="0" t="n">
        <v>11.7</v>
      </c>
      <c r="AAC235" s="0" t="n">
        <v>0</v>
      </c>
      <c r="AAD235" s="0" t="n">
        <v>0</v>
      </c>
      <c r="AAE235" s="0" t="n">
        <v>0</v>
      </c>
      <c r="AAF235" s="0" t="n">
        <v>0</v>
      </c>
      <c r="AAG235" s="0" t="n">
        <v>0</v>
      </c>
      <c r="AAH235" s="0" t="n">
        <v>0</v>
      </c>
      <c r="AAI235" s="0" t="n">
        <v>0</v>
      </c>
      <c r="AAJ235" s="0" t="n">
        <v>14.73</v>
      </c>
      <c r="AAK235" s="0" t="n">
        <v>7.98</v>
      </c>
      <c r="AAL235" s="0" t="n">
        <v>0</v>
      </c>
      <c r="AAM235" s="0" t="n">
        <v>0</v>
      </c>
      <c r="AAN235" s="0" t="n">
        <v>0</v>
      </c>
      <c r="AAO235" s="0" t="n">
        <v>0</v>
      </c>
      <c r="ABB235" s="0" t="n">
        <v>0</v>
      </c>
      <c r="ABC235" s="0" t="n">
        <v>0</v>
      </c>
      <c r="ABN235" s="18"/>
      <c r="ACF235" s="0" t="n">
        <v>0</v>
      </c>
      <c r="ADQ235" s="16" t="n">
        <v>0</v>
      </c>
      <c r="ADR235" s="16" t="n">
        <v>0</v>
      </c>
      <c r="ADS235" s="16"/>
      <c r="ADT235" s="16"/>
      <c r="ADU235" s="16"/>
      <c r="ADV235" s="16"/>
      <c r="ADW235" s="16"/>
      <c r="ADX235" s="16"/>
      <c r="ADY235" s="16"/>
      <c r="ADZ235" s="16"/>
      <c r="AEA235" s="16"/>
      <c r="AEB235" s="16" t="n">
        <v>5.22</v>
      </c>
      <c r="AEC235" s="16" t="n">
        <v>5.37</v>
      </c>
      <c r="AED235" s="16"/>
      <c r="AEE235" s="16"/>
      <c r="AEF235" s="16" t="n">
        <v>0</v>
      </c>
      <c r="AEG235" s="16" t="n">
        <v>0</v>
      </c>
      <c r="AEH235" s="16" t="n">
        <v>0.19</v>
      </c>
      <c r="AEI235" s="0" t="n">
        <v>0</v>
      </c>
      <c r="AEJ235" s="0" t="s">
        <v>551</v>
      </c>
      <c r="AEK235" s="0" t="n">
        <v>17.5</v>
      </c>
      <c r="AEL235" s="16" t="n">
        <v>87.6</v>
      </c>
      <c r="AEM235" s="16" t="n">
        <v>80.4</v>
      </c>
      <c r="AEN235" s="16" t="n">
        <v>12</v>
      </c>
      <c r="AEO235" s="0" t="n">
        <v>84.96</v>
      </c>
      <c r="AEP235" s="0" t="n">
        <v>1.61</v>
      </c>
      <c r="AEQ235" s="0" t="n">
        <v>0.45</v>
      </c>
      <c r="AER235" s="0" t="n">
        <v>0</v>
      </c>
      <c r="AES235" s="0" t="n">
        <v>12.98</v>
      </c>
      <c r="AET235" s="0" t="n">
        <v>0</v>
      </c>
      <c r="AEU235" s="0" t="n">
        <v>0</v>
      </c>
      <c r="AEV235" s="0" t="n">
        <v>0</v>
      </c>
      <c r="AEW235" s="0" t="n">
        <v>0</v>
      </c>
      <c r="AEX235" s="0" t="n">
        <v>0</v>
      </c>
      <c r="AEY235" s="0" t="n">
        <v>0</v>
      </c>
      <c r="AEZ235" s="0" t="n">
        <v>0</v>
      </c>
      <c r="AFA235" s="0" t="n">
        <v>15.99</v>
      </c>
      <c r="AFB235" s="0" t="n">
        <v>7.84</v>
      </c>
      <c r="AFC235" s="0" t="n">
        <v>0</v>
      </c>
      <c r="AFD235" s="0" t="n">
        <v>0</v>
      </c>
      <c r="AFE235" s="0" t="n">
        <v>0</v>
      </c>
      <c r="AFF235" s="0" t="n">
        <v>0</v>
      </c>
      <c r="AFS235" s="0" t="n">
        <v>0</v>
      </c>
      <c r="AFT235" s="0" t="n">
        <v>0</v>
      </c>
      <c r="AGE235" s="18"/>
      <c r="AGW235" s="0" t="n">
        <v>0</v>
      </c>
      <c r="AIH235" s="16" t="n">
        <v>0</v>
      </c>
      <c r="AII235" s="16" t="n">
        <v>0</v>
      </c>
      <c r="AIJ235" s="16"/>
      <c r="AIK235" s="16"/>
      <c r="AIL235" s="16"/>
      <c r="AIM235" s="16"/>
      <c r="AIN235" s="16"/>
      <c r="AIO235" s="16"/>
      <c r="AIP235" s="16"/>
      <c r="AIQ235" s="16"/>
      <c r="AIR235" s="16"/>
      <c r="AIS235" s="16" t="n">
        <v>5.22</v>
      </c>
      <c r="AIT235" s="16" t="n">
        <v>5.37</v>
      </c>
      <c r="AIU235" s="16"/>
      <c r="AIV235" s="16"/>
      <c r="AIW235" s="16" t="n">
        <v>0</v>
      </c>
      <c r="AIX235" s="16" t="n">
        <v>0</v>
      </c>
      <c r="AIY235" s="16" t="n">
        <v>0.19</v>
      </c>
      <c r="AIZ235" s="0" t="n">
        <v>0</v>
      </c>
      <c r="AJA235" s="0" t="s">
        <v>552</v>
      </c>
      <c r="AJB235" s="0" t="n">
        <v>16.5</v>
      </c>
      <c r="AJC235" s="16" t="n">
        <v>73.2</v>
      </c>
      <c r="AJD235" s="16" t="n">
        <v>80.4</v>
      </c>
      <c r="AJE235" s="16" t="n">
        <v>10.2</v>
      </c>
      <c r="AJF235" s="0" t="n">
        <v>69.43</v>
      </c>
      <c r="AJG235" s="0" t="n">
        <v>29.45</v>
      </c>
      <c r="AJH235" s="0" t="n">
        <v>1.12</v>
      </c>
      <c r="AJI235" s="0" t="n">
        <v>0</v>
      </c>
      <c r="AJJ235" s="0" t="n">
        <v>0</v>
      </c>
      <c r="AJK235" s="0" t="n">
        <v>0</v>
      </c>
      <c r="AJL235" s="0" t="n">
        <v>0</v>
      </c>
      <c r="AJM235" s="0" t="n">
        <v>0</v>
      </c>
      <c r="AJN235" s="0" t="n">
        <v>0</v>
      </c>
      <c r="AJO235" s="0" t="n">
        <v>0</v>
      </c>
      <c r="AJP235" s="0" t="n">
        <v>0</v>
      </c>
      <c r="AJQ235" s="0" t="n">
        <v>0</v>
      </c>
      <c r="AJR235" s="0" t="n">
        <v>29.3</v>
      </c>
      <c r="AJS235" s="0" t="n">
        <v>10.81</v>
      </c>
      <c r="AJT235" s="0" t="n">
        <v>0</v>
      </c>
      <c r="AJU235" s="0" t="n">
        <v>0</v>
      </c>
      <c r="AJV235" s="0" t="n">
        <v>5.9</v>
      </c>
      <c r="AJW235" s="0" t="n">
        <v>2</v>
      </c>
      <c r="AJX235" s="0" t="n">
        <v>3</v>
      </c>
      <c r="AJY235" s="0" t="n">
        <v>2.01</v>
      </c>
      <c r="AKD235" s="0" t="n">
        <v>3</v>
      </c>
      <c r="AKE235" s="0" t="n">
        <v>2.01</v>
      </c>
      <c r="AKJ235" s="0" t="n">
        <v>0</v>
      </c>
      <c r="AKK235" s="0" t="n">
        <v>0</v>
      </c>
      <c r="AKV235" s="18"/>
      <c r="ALN235" s="0" t="n">
        <v>0</v>
      </c>
    </row>
    <row r="236" customFormat="false" ht="13.8" hidden="false" customHeight="false" outlineLevel="0" collapsed="false">
      <c r="A236" s="1" t="s">
        <v>751</v>
      </c>
      <c r="B236" s="12" t="n">
        <v>42909</v>
      </c>
      <c r="C236" s="0" t="n">
        <v>2</v>
      </c>
      <c r="D236" s="13" t="n">
        <v>35163</v>
      </c>
      <c r="E236" s="12" t="n">
        <v>27512</v>
      </c>
      <c r="F236" s="14" t="n">
        <f aca="false">(B236-E236)/365.25</f>
        <v>42.154688569473</v>
      </c>
      <c r="G236" s="14" t="n">
        <f aca="false">(B236-D236)/365.25</f>
        <v>21.2073921971253</v>
      </c>
      <c r="H236" s="19" t="s">
        <v>217</v>
      </c>
      <c r="I236" s="0" t="s">
        <v>545</v>
      </c>
      <c r="J236" s="21" t="s">
        <v>183</v>
      </c>
      <c r="K236" s="21" t="n">
        <v>8</v>
      </c>
      <c r="L236" s="19" t="n">
        <v>105</v>
      </c>
      <c r="M236" s="0" t="n">
        <v>1.78</v>
      </c>
      <c r="N236" s="16" t="n">
        <f aca="false">L236/(M236*M236)</f>
        <v>33.1397550814291</v>
      </c>
      <c r="O236" s="19" t="n">
        <v>0</v>
      </c>
      <c r="P236" s="19" t="n">
        <v>0</v>
      </c>
      <c r="Q236" s="19" t="n">
        <v>0</v>
      </c>
      <c r="R236" s="26" t="n">
        <v>0</v>
      </c>
      <c r="S236" s="26" t="n">
        <v>0</v>
      </c>
      <c r="T236" s="26" t="n">
        <v>0</v>
      </c>
      <c r="U236" s="19" t="n">
        <v>0</v>
      </c>
      <c r="V236" s="19" t="n">
        <v>0</v>
      </c>
      <c r="W236" s="19" t="n">
        <v>1</v>
      </c>
      <c r="X236" s="19" t="n">
        <v>0</v>
      </c>
      <c r="Y236" s="19" t="n">
        <v>0</v>
      </c>
      <c r="Z236" s="19" t="n">
        <v>0</v>
      </c>
      <c r="AA236" s="19" t="n">
        <v>0</v>
      </c>
      <c r="AB236" s="19" t="n">
        <v>0</v>
      </c>
      <c r="AC236" s="19" t="n">
        <v>1</v>
      </c>
      <c r="AD236" s="19" t="n">
        <v>20</v>
      </c>
      <c r="AE236" s="19" t="n">
        <v>0</v>
      </c>
      <c r="AF236" s="19" t="n">
        <v>0</v>
      </c>
      <c r="AG236" s="19" t="n">
        <v>0</v>
      </c>
      <c r="AH236" s="19" t="n">
        <v>0</v>
      </c>
      <c r="AI236" s="19" t="n">
        <v>0</v>
      </c>
      <c r="AJ236" s="19" t="n">
        <v>0</v>
      </c>
      <c r="AK236" s="19" t="n">
        <v>0</v>
      </c>
      <c r="AL236" s="19" t="n">
        <v>0</v>
      </c>
      <c r="AM236" s="19" t="n">
        <v>0</v>
      </c>
      <c r="AN236" s="19" t="n">
        <v>0</v>
      </c>
      <c r="AO236" s="19" t="n">
        <v>0</v>
      </c>
      <c r="AP236" s="19" t="n">
        <v>0</v>
      </c>
      <c r="AQ236" s="19" t="n">
        <v>0</v>
      </c>
      <c r="AR236" s="19" t="n">
        <v>0</v>
      </c>
      <c r="AS236" s="19" t="n">
        <v>0</v>
      </c>
      <c r="AT236" s="19" t="n">
        <v>0</v>
      </c>
      <c r="AU236" s="19" t="n">
        <v>0</v>
      </c>
      <c r="AV236" s="19" t="n">
        <v>0</v>
      </c>
      <c r="AW236" s="19" t="n">
        <v>0</v>
      </c>
      <c r="AX236" s="19" t="n">
        <v>0</v>
      </c>
      <c r="AY236" s="19" t="n">
        <v>0</v>
      </c>
      <c r="AZ236" s="19" t="n">
        <v>0</v>
      </c>
      <c r="BA236" s="19" t="n">
        <v>0</v>
      </c>
      <c r="BB236" s="19" t="n">
        <v>0</v>
      </c>
      <c r="BC236" s="19" t="n">
        <v>0</v>
      </c>
      <c r="BD236" s="19" t="n">
        <v>0</v>
      </c>
      <c r="BE236" s="19" t="n">
        <v>0</v>
      </c>
      <c r="BF236" s="19" t="n">
        <v>1</v>
      </c>
      <c r="BG236" s="19" t="n">
        <v>1</v>
      </c>
      <c r="BH236" s="19" t="n">
        <v>1</v>
      </c>
      <c r="BI236" s="19" t="n">
        <v>6</v>
      </c>
      <c r="BJ236" s="26" t="n">
        <v>0</v>
      </c>
      <c r="BK236" s="26" t="n">
        <v>0</v>
      </c>
      <c r="BL236" s="26" t="n">
        <v>0</v>
      </c>
      <c r="BM236" s="26" t="n">
        <v>0</v>
      </c>
      <c r="BN236" s="19" t="n">
        <v>1</v>
      </c>
      <c r="BO236" s="19" t="n">
        <v>1</v>
      </c>
      <c r="BP236" s="19" t="n">
        <v>1</v>
      </c>
      <c r="BQ236" s="19" t="n">
        <v>7</v>
      </c>
      <c r="BR236" s="19" t="n">
        <v>3</v>
      </c>
      <c r="BS236" s="19" t="n">
        <v>2</v>
      </c>
      <c r="BT236" s="19" t="n">
        <v>2</v>
      </c>
      <c r="BU236" s="19" t="n">
        <v>5</v>
      </c>
      <c r="BV236" s="19" t="n">
        <v>3</v>
      </c>
      <c r="BW236" s="19" t="n">
        <v>1</v>
      </c>
      <c r="BX236" s="19" t="n">
        <v>4</v>
      </c>
      <c r="BY236" s="19" t="n">
        <v>4</v>
      </c>
      <c r="BZ236" s="19" t="n">
        <v>4</v>
      </c>
      <c r="CA236" s="19" t="n">
        <v>2</v>
      </c>
      <c r="CB236" s="19" t="n">
        <v>5</v>
      </c>
      <c r="CC236" s="19" t="n">
        <v>5</v>
      </c>
      <c r="CD236" s="19" t="n">
        <v>4</v>
      </c>
      <c r="CE236" s="19" t="n">
        <v>5</v>
      </c>
      <c r="CF236" s="19" t="n">
        <v>4</v>
      </c>
      <c r="CG236" s="19" t="n">
        <v>5</v>
      </c>
      <c r="CH236" s="19" t="n">
        <v>5</v>
      </c>
      <c r="CI236" s="19" t="n">
        <v>4</v>
      </c>
      <c r="CJ236" s="19" t="n">
        <v>2</v>
      </c>
      <c r="CK236" s="19" t="n">
        <v>5</v>
      </c>
      <c r="CL236" s="0" t="s">
        <v>555</v>
      </c>
      <c r="CM236" s="0" t="n">
        <v>35</v>
      </c>
      <c r="CN236" s="16" t="n">
        <v>78.8</v>
      </c>
      <c r="CO236" s="16" t="n">
        <v>80.4</v>
      </c>
      <c r="CP236" s="16" t="n">
        <v>17.2</v>
      </c>
      <c r="CQ236" s="0" t="n">
        <v>72.07</v>
      </c>
      <c r="CR236" s="0" t="n">
        <v>11.09</v>
      </c>
      <c r="CS236" s="0" t="n">
        <v>1.12</v>
      </c>
      <c r="CT236" s="0" t="n">
        <v>0</v>
      </c>
      <c r="CU236" s="0" t="n">
        <v>15.71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1.66</v>
      </c>
      <c r="DD236" s="0" t="n">
        <v>34.99</v>
      </c>
      <c r="DE236" s="0" t="n">
        <v>0</v>
      </c>
      <c r="DF236" s="0" t="n">
        <v>0</v>
      </c>
      <c r="DG236" s="0" t="n">
        <v>0</v>
      </c>
      <c r="DH236" s="0" t="n">
        <v>0</v>
      </c>
      <c r="DU236" s="0" t="n">
        <v>11.2</v>
      </c>
      <c r="DV236" s="0" t="n">
        <v>1</v>
      </c>
      <c r="DW236" s="0" t="n">
        <v>52</v>
      </c>
      <c r="DX236" s="0" t="n">
        <f aca="false">18+1+15</f>
        <v>34</v>
      </c>
      <c r="DY236" s="0" t="n">
        <f aca="false">3.2+2.05+0.07</f>
        <v>5.32</v>
      </c>
      <c r="DZ236" s="0" t="n">
        <v>2</v>
      </c>
      <c r="EG236" s="18"/>
      <c r="EY236" s="0" t="n">
        <v>0</v>
      </c>
      <c r="GJ236" s="16" t="n">
        <v>0</v>
      </c>
      <c r="GK236" s="16" t="n">
        <v>0</v>
      </c>
      <c r="GL236" s="16"/>
      <c r="GM236" s="16"/>
      <c r="GN236" s="16"/>
      <c r="GO236" s="16"/>
      <c r="GP236" s="16"/>
      <c r="GQ236" s="16"/>
      <c r="GR236" s="16"/>
      <c r="GS236" s="16"/>
      <c r="GT236" s="16"/>
      <c r="GU236" s="16" t="n">
        <v>6.16</v>
      </c>
      <c r="GV236" s="16" t="n">
        <v>7.21</v>
      </c>
      <c r="GW236" s="16"/>
      <c r="GX236" s="16"/>
      <c r="GY236" s="16" t="n">
        <v>0</v>
      </c>
      <c r="GZ236" s="16" t="n">
        <v>0</v>
      </c>
      <c r="HA236" s="16" t="n">
        <v>0</v>
      </c>
      <c r="HB236" s="0" t="n">
        <v>0</v>
      </c>
      <c r="HC236" s="0" t="s">
        <v>546</v>
      </c>
      <c r="HD236" s="0" t="n">
        <v>16.5</v>
      </c>
      <c r="HE236" s="16" t="n">
        <v>35.3</v>
      </c>
      <c r="HF236" s="16" t="n">
        <v>80.4</v>
      </c>
      <c r="HG236" s="16" t="n">
        <v>9.7</v>
      </c>
      <c r="HH236" s="0" t="n">
        <v>86.56</v>
      </c>
      <c r="HI236" s="0" t="n">
        <v>12.61</v>
      </c>
      <c r="HJ236" s="0" t="n">
        <v>0</v>
      </c>
      <c r="HK236" s="0" t="n">
        <v>0</v>
      </c>
      <c r="HL236" s="0" t="n">
        <v>0.83</v>
      </c>
      <c r="HM236" s="0" t="n">
        <v>0</v>
      </c>
      <c r="HN236" s="0" t="n">
        <v>0</v>
      </c>
      <c r="HO236" s="0" t="n">
        <v>0</v>
      </c>
      <c r="HP236" s="0" t="n">
        <v>0</v>
      </c>
      <c r="HQ236" s="0" t="n">
        <v>0</v>
      </c>
      <c r="HR236" s="0" t="n">
        <v>0</v>
      </c>
      <c r="HS236" s="0" t="n">
        <v>0</v>
      </c>
      <c r="HT236" s="0" t="n">
        <v>2.22</v>
      </c>
      <c r="HU236" s="0" t="n">
        <v>20.83</v>
      </c>
      <c r="HV236" s="0" t="n">
        <v>0</v>
      </c>
      <c r="HW236" s="0" t="n">
        <v>0</v>
      </c>
      <c r="HX236" s="0" t="n">
        <v>0</v>
      </c>
      <c r="HY236" s="0" t="n">
        <v>0</v>
      </c>
      <c r="IL236" s="0" t="n">
        <v>0.3</v>
      </c>
      <c r="IM236" s="0" t="n">
        <v>1</v>
      </c>
      <c r="IN236" s="0" t="n">
        <v>34</v>
      </c>
      <c r="IO236" s="0" t="n">
        <v>4</v>
      </c>
      <c r="IP236" s="0" t="n">
        <f aca="false">1.35+0.45+1.35+0.45</f>
        <v>3.6</v>
      </c>
      <c r="IQ236" s="0" t="n">
        <v>1</v>
      </c>
      <c r="IR236" s="0" t="n">
        <v>52</v>
      </c>
      <c r="IS236" s="0" t="n">
        <v>1</v>
      </c>
      <c r="IT236" s="0" t="n">
        <f aca="false">0.18</f>
        <v>0.18</v>
      </c>
      <c r="IU236" s="0" t="n">
        <v>2</v>
      </c>
      <c r="IX236" s="18"/>
      <c r="JP236" s="0" t="n">
        <v>0</v>
      </c>
      <c r="LA236" s="16" t="n">
        <v>0.28</v>
      </c>
      <c r="LB236" s="16" t="n">
        <v>1</v>
      </c>
      <c r="LC236" s="16" t="n">
        <v>2</v>
      </c>
      <c r="LD236" s="16"/>
      <c r="LE236" s="16" t="n">
        <f aca="false">0.37+0.26</f>
        <v>0.63</v>
      </c>
      <c r="LF236" s="16"/>
      <c r="LG236" s="16"/>
      <c r="LH236" s="16"/>
      <c r="LI236" s="16"/>
      <c r="LJ236" s="16"/>
      <c r="LK236" s="16"/>
      <c r="LL236" s="16" t="n">
        <v>5.99</v>
      </c>
      <c r="LM236" s="16" t="n">
        <v>5.34</v>
      </c>
      <c r="LN236" s="16"/>
      <c r="LO236" s="16"/>
      <c r="LP236" s="16" t="n">
        <v>0</v>
      </c>
      <c r="LQ236" s="16" t="n">
        <v>0</v>
      </c>
      <c r="LR236" s="16" t="n">
        <v>0</v>
      </c>
      <c r="LS236" s="0" t="n">
        <v>0</v>
      </c>
      <c r="LT236" s="0" t="s">
        <v>547</v>
      </c>
      <c r="LU236" s="0" t="n">
        <v>29.5</v>
      </c>
      <c r="LV236" s="16" t="n">
        <v>87.5</v>
      </c>
      <c r="LW236" s="16" t="n">
        <v>80.4</v>
      </c>
      <c r="LX236" s="16" t="n">
        <v>14.3</v>
      </c>
      <c r="LY236" s="0" t="n">
        <v>68.7</v>
      </c>
      <c r="LZ236" s="0" t="n">
        <v>23.24</v>
      </c>
      <c r="MA236" s="0" t="n">
        <v>1.79</v>
      </c>
      <c r="MB236" s="0" t="n">
        <v>0</v>
      </c>
      <c r="MC236" s="0" t="n">
        <v>6.27</v>
      </c>
      <c r="MD236" s="0" t="n">
        <v>0</v>
      </c>
      <c r="ME236" s="0" t="n">
        <v>0</v>
      </c>
      <c r="MF236" s="0" t="n">
        <v>0</v>
      </c>
      <c r="MG236" s="0" t="n">
        <v>0</v>
      </c>
      <c r="MH236" s="0" t="n">
        <v>0</v>
      </c>
      <c r="MI236" s="0" t="n">
        <v>0</v>
      </c>
      <c r="MJ236" s="0" t="n">
        <v>0</v>
      </c>
      <c r="MK236" s="0" t="n">
        <v>7.01</v>
      </c>
      <c r="ML236" s="0" t="n">
        <v>58.72</v>
      </c>
      <c r="MM236" s="0" t="n">
        <v>0.23</v>
      </c>
      <c r="MN236" s="0" t="n">
        <v>0</v>
      </c>
      <c r="MO236" s="0" t="n">
        <v>0.5</v>
      </c>
      <c r="MP236" s="0" t="n">
        <v>2</v>
      </c>
      <c r="MQ236" s="0" t="n">
        <v>7</v>
      </c>
      <c r="MR236" s="0" t="n">
        <v>0.08</v>
      </c>
      <c r="MW236" s="0" t="n">
        <v>7</v>
      </c>
      <c r="MX236" s="0" t="n">
        <v>0.08</v>
      </c>
      <c r="NC236" s="0" t="n">
        <v>0</v>
      </c>
      <c r="ND236" s="0" t="n">
        <v>1</v>
      </c>
      <c r="NE236" s="0" t="n">
        <v>23</v>
      </c>
      <c r="NF236" s="0" t="n">
        <v>2</v>
      </c>
      <c r="NG236" s="0" t="n">
        <v>0.9</v>
      </c>
      <c r="NH236" s="0" t="n">
        <v>3</v>
      </c>
      <c r="NO236" s="18"/>
      <c r="OG236" s="0" t="n">
        <v>1</v>
      </c>
      <c r="OH236" s="0" t="n">
        <v>50</v>
      </c>
      <c r="OI236" s="0" t="n">
        <v>2</v>
      </c>
      <c r="OJ236" s="0" t="n">
        <f aca="false">3.13+23.63</f>
        <v>26.76</v>
      </c>
      <c r="OK236" s="0" t="n">
        <v>3</v>
      </c>
      <c r="PR236" s="16" t="n">
        <v>1.49</v>
      </c>
      <c r="PS236" s="16" t="n">
        <v>1</v>
      </c>
      <c r="PT236" s="16" t="n">
        <v>1</v>
      </c>
      <c r="PU236" s="16"/>
      <c r="PV236" s="16" t="n">
        <f aca="false">1.91+2.02+2.02+1.35</f>
        <v>7.3</v>
      </c>
      <c r="PW236" s="16" t="n">
        <v>2</v>
      </c>
      <c r="PX236" s="16"/>
      <c r="PY236" s="16" t="n">
        <v>0.21</v>
      </c>
      <c r="PZ236" s="16"/>
      <c r="QA236" s="16"/>
      <c r="QB236" s="16"/>
      <c r="QC236" s="16" t="n">
        <v>10.82</v>
      </c>
      <c r="QD236" s="16" t="n">
        <v>14.57</v>
      </c>
      <c r="QE236" s="16"/>
      <c r="QF236" s="16"/>
      <c r="QG236" s="16" t="n">
        <v>2.24</v>
      </c>
      <c r="QH236" s="16" t="n">
        <v>0.9</v>
      </c>
      <c r="QI236" s="16" t="n">
        <v>0</v>
      </c>
      <c r="QJ236" s="0" t="n">
        <v>0</v>
      </c>
      <c r="QK236" s="0" t="s">
        <v>548</v>
      </c>
      <c r="QL236" s="0" t="n">
        <v>50</v>
      </c>
      <c r="QM236" s="16" t="n">
        <v>80</v>
      </c>
      <c r="QN236" s="16" t="n">
        <v>80.4</v>
      </c>
      <c r="QO236" s="16" t="n">
        <v>16.9</v>
      </c>
      <c r="QP236" s="0" t="n">
        <v>58.18</v>
      </c>
      <c r="QQ236" s="0" t="n">
        <v>32.94</v>
      </c>
      <c r="QR236" s="0" t="n">
        <v>1.79</v>
      </c>
      <c r="QS236" s="0" t="n">
        <v>0</v>
      </c>
      <c r="QT236" s="0" t="n">
        <v>7.09</v>
      </c>
      <c r="QU236" s="0" t="n">
        <v>0</v>
      </c>
      <c r="QV236" s="0" t="n">
        <v>0</v>
      </c>
      <c r="QW236" s="0" t="n">
        <v>0</v>
      </c>
      <c r="QX236" s="0" t="n">
        <v>0</v>
      </c>
      <c r="QY236" s="0" t="n">
        <v>0</v>
      </c>
      <c r="QZ236" s="0" t="n">
        <v>0</v>
      </c>
      <c r="RA236" s="0" t="n">
        <v>0</v>
      </c>
      <c r="RB236" s="0" t="n">
        <v>3.53</v>
      </c>
      <c r="RC236" s="0" t="n">
        <v>45.12</v>
      </c>
      <c r="RD236" s="0" t="n">
        <v>0</v>
      </c>
      <c r="RE236" s="0" t="n">
        <v>0</v>
      </c>
      <c r="RF236" s="0" t="n">
        <v>0</v>
      </c>
      <c r="RG236" s="0" t="n">
        <v>0</v>
      </c>
      <c r="RT236" s="0" t="n">
        <v>8.2</v>
      </c>
      <c r="RU236" s="0" t="n">
        <v>1</v>
      </c>
      <c r="RV236" s="0" t="n">
        <v>23</v>
      </c>
      <c r="RW236" s="0" t="n">
        <v>1</v>
      </c>
      <c r="RX236" s="0" t="n">
        <v>0.45</v>
      </c>
      <c r="RY236" s="0" t="n">
        <v>3</v>
      </c>
      <c r="RZ236" s="0" t="n">
        <v>34</v>
      </c>
      <c r="SA236" s="0" t="n">
        <v>28</v>
      </c>
      <c r="SB236" s="0" t="n">
        <f aca="false">0.45+0.18+1.6+0.24+0.37+4.39+0.49+0.04+0.32+0.05+1.38</f>
        <v>9.51</v>
      </c>
      <c r="SC236" s="0" t="n">
        <v>1</v>
      </c>
      <c r="SF236" s="18"/>
      <c r="SX236" s="0" t="n">
        <v>0</v>
      </c>
      <c r="UI236" s="16" t="n">
        <v>1.65</v>
      </c>
      <c r="UJ236" s="16" t="n">
        <v>1</v>
      </c>
      <c r="UK236" s="16" t="n">
        <v>1</v>
      </c>
      <c r="UL236" s="16"/>
      <c r="UM236" s="16" t="n">
        <f aca="false">0.18</f>
        <v>0.18</v>
      </c>
      <c r="UN236" s="16" t="n">
        <v>2</v>
      </c>
      <c r="UO236" s="16"/>
      <c r="UP236" s="16" t="n">
        <f aca="false">1.65+0.91+6.23+0.66</f>
        <v>9.45</v>
      </c>
      <c r="UQ236" s="16"/>
      <c r="UR236" s="16"/>
      <c r="US236" s="16"/>
      <c r="UT236" s="16" t="n">
        <v>20.65</v>
      </c>
      <c r="UU236" s="16" t="n">
        <v>33.56</v>
      </c>
      <c r="UV236" s="16"/>
      <c r="UW236" s="16"/>
      <c r="UX236" s="16" t="n">
        <v>2.24</v>
      </c>
      <c r="UY236" s="16" t="n">
        <v>0.45</v>
      </c>
      <c r="UZ236" s="16" t="n">
        <v>0</v>
      </c>
      <c r="VA236" s="0" t="n">
        <v>0.45</v>
      </c>
      <c r="VB236" s="0" t="s">
        <v>549</v>
      </c>
      <c r="VC236" s="0" t="n">
        <v>31.5</v>
      </c>
      <c r="VD236" s="16" t="n">
        <v>79.9</v>
      </c>
      <c r="VE236" s="16" t="n">
        <v>80.4</v>
      </c>
      <c r="VF236" s="16" t="n">
        <v>17.8</v>
      </c>
      <c r="VG236" s="0" t="n">
        <v>71.45</v>
      </c>
      <c r="VH236" s="0" t="n">
        <v>9.43</v>
      </c>
      <c r="VI236" s="0" t="n">
        <v>1.12</v>
      </c>
      <c r="VJ236" s="0" t="n">
        <v>0</v>
      </c>
      <c r="VK236" s="0" t="n">
        <v>18.01</v>
      </c>
      <c r="VL236" s="0" t="n">
        <v>0</v>
      </c>
      <c r="VM236" s="0" t="n">
        <v>0</v>
      </c>
      <c r="VN236" s="0" t="n">
        <v>0</v>
      </c>
      <c r="VO236" s="0" t="n">
        <v>0</v>
      </c>
      <c r="VP236" s="0" t="n">
        <v>0</v>
      </c>
      <c r="VQ236" s="0" t="n">
        <v>0</v>
      </c>
      <c r="VR236" s="0" t="n">
        <v>0</v>
      </c>
      <c r="VS236" s="0" t="n">
        <v>8.44</v>
      </c>
      <c r="VT236" s="0" t="n">
        <v>63.45</v>
      </c>
      <c r="VU236" s="0" t="n">
        <v>0</v>
      </c>
      <c r="VV236" s="0" t="n">
        <v>0</v>
      </c>
      <c r="VW236" s="0" t="n">
        <v>0</v>
      </c>
      <c r="VX236" s="0" t="n">
        <v>0</v>
      </c>
      <c r="WK236" s="0" t="n">
        <v>2</v>
      </c>
      <c r="WL236" s="0" t="n">
        <v>1</v>
      </c>
      <c r="WM236" s="0" t="n">
        <v>52</v>
      </c>
      <c r="WN236" s="0" t="n">
        <v>2</v>
      </c>
      <c r="WO236" s="0" t="n">
        <f aca="false">0.9+0.02</f>
        <v>0.92</v>
      </c>
      <c r="WP236" s="0" t="n">
        <v>2</v>
      </c>
      <c r="WW236" s="18"/>
      <c r="XO236" s="0" t="n">
        <v>1</v>
      </c>
      <c r="XP236" s="0" t="n">
        <v>50</v>
      </c>
      <c r="XQ236" s="0" t="n">
        <v>9</v>
      </c>
      <c r="XR236" s="0" t="n">
        <f aca="false">19.9+3.13</f>
        <v>23.03</v>
      </c>
      <c r="XS236" s="0" t="n">
        <v>3</v>
      </c>
      <c r="YZ236" s="16" t="n">
        <v>1.47</v>
      </c>
      <c r="ZA236" s="16" t="n">
        <v>1</v>
      </c>
      <c r="ZB236" s="16" t="n">
        <v>1</v>
      </c>
      <c r="ZC236" s="16"/>
      <c r="ZD236" s="16" t="n">
        <v>2.13</v>
      </c>
      <c r="ZE236" s="16" t="n">
        <v>2</v>
      </c>
      <c r="ZF236" s="16"/>
      <c r="ZG236" s="16" t="n">
        <v>3.37</v>
      </c>
      <c r="ZH236" s="16"/>
      <c r="ZI236" s="16"/>
      <c r="ZJ236" s="16"/>
      <c r="ZK236" s="16" t="n">
        <v>5.55</v>
      </c>
      <c r="ZL236" s="16" t="n">
        <v>6.42</v>
      </c>
      <c r="ZM236" s="16"/>
      <c r="ZN236" s="16"/>
      <c r="ZO236" s="16" t="n">
        <v>0</v>
      </c>
      <c r="ZP236" s="16" t="n">
        <v>0</v>
      </c>
      <c r="ZQ236" s="16" t="n">
        <v>4.48</v>
      </c>
      <c r="ZR236" s="0" t="n">
        <v>0</v>
      </c>
      <c r="ZS236" s="0" t="s">
        <v>550</v>
      </c>
      <c r="ZT236" s="0" t="n">
        <v>17</v>
      </c>
      <c r="ZU236" s="16" t="n">
        <v>87.8</v>
      </c>
      <c r="ZV236" s="16" t="n">
        <v>80.4</v>
      </c>
      <c r="ZW236" s="16" t="n">
        <v>11.6</v>
      </c>
      <c r="ZX236" s="0" t="n">
        <v>86.21</v>
      </c>
      <c r="ZY236" s="0" t="n">
        <v>1.64</v>
      </c>
      <c r="ZZ236" s="0" t="n">
        <v>0.45</v>
      </c>
      <c r="AAA236" s="0" t="n">
        <v>0</v>
      </c>
      <c r="AAB236" s="0" t="n">
        <v>11.7</v>
      </c>
      <c r="AAC236" s="0" t="n">
        <v>0</v>
      </c>
      <c r="AAD236" s="0" t="n">
        <v>0</v>
      </c>
      <c r="AAE236" s="0" t="n">
        <v>0</v>
      </c>
      <c r="AAF236" s="0" t="n">
        <v>0</v>
      </c>
      <c r="AAG236" s="0" t="n">
        <v>0</v>
      </c>
      <c r="AAH236" s="0" t="n">
        <v>0</v>
      </c>
      <c r="AAI236" s="0" t="n">
        <v>0</v>
      </c>
      <c r="AAJ236" s="0" t="n">
        <v>14.73</v>
      </c>
      <c r="AAK236" s="0" t="n">
        <v>7.98</v>
      </c>
      <c r="AAL236" s="0" t="n">
        <v>0</v>
      </c>
      <c r="AAM236" s="0" t="n">
        <v>0</v>
      </c>
      <c r="AAN236" s="0" t="n">
        <v>0</v>
      </c>
      <c r="AAO236" s="0" t="n">
        <v>0</v>
      </c>
      <c r="ABB236" s="0" t="n">
        <v>0</v>
      </c>
      <c r="ABC236" s="0" t="n">
        <v>0</v>
      </c>
      <c r="ABN236" s="18"/>
      <c r="ACF236" s="0" t="n">
        <v>0</v>
      </c>
      <c r="ADQ236" s="16" t="n">
        <v>0</v>
      </c>
      <c r="ADR236" s="16" t="n">
        <v>0</v>
      </c>
      <c r="ADS236" s="16"/>
      <c r="ADT236" s="16"/>
      <c r="ADU236" s="16"/>
      <c r="ADV236" s="16"/>
      <c r="ADW236" s="16"/>
      <c r="ADX236" s="16"/>
      <c r="ADY236" s="16"/>
      <c r="ADZ236" s="16"/>
      <c r="AEA236" s="16"/>
      <c r="AEB236" s="16" t="n">
        <v>5.22</v>
      </c>
      <c r="AEC236" s="16" t="n">
        <v>5.37</v>
      </c>
      <c r="AED236" s="16"/>
      <c r="AEE236" s="16"/>
      <c r="AEF236" s="16" t="n">
        <v>0</v>
      </c>
      <c r="AEG236" s="16" t="n">
        <v>0</v>
      </c>
      <c r="AEH236" s="16" t="n">
        <v>0.19</v>
      </c>
      <c r="AEI236" s="0" t="n">
        <v>0</v>
      </c>
      <c r="AEJ236" s="0" t="s">
        <v>551</v>
      </c>
      <c r="AEK236" s="0" t="n">
        <v>17.5</v>
      </c>
      <c r="AEL236" s="16" t="n">
        <v>87.6</v>
      </c>
      <c r="AEM236" s="16" t="n">
        <v>80.4</v>
      </c>
      <c r="AEN236" s="16" t="n">
        <v>12</v>
      </c>
      <c r="AEO236" s="0" t="n">
        <v>84.96</v>
      </c>
      <c r="AEP236" s="0" t="n">
        <v>1.61</v>
      </c>
      <c r="AEQ236" s="0" t="n">
        <v>0.45</v>
      </c>
      <c r="AER236" s="0" t="n">
        <v>0</v>
      </c>
      <c r="AES236" s="0" t="n">
        <v>12.98</v>
      </c>
      <c r="AET236" s="0" t="n">
        <v>0</v>
      </c>
      <c r="AEU236" s="0" t="n">
        <v>0</v>
      </c>
      <c r="AEV236" s="0" t="n">
        <v>0</v>
      </c>
      <c r="AEW236" s="0" t="n">
        <v>0</v>
      </c>
      <c r="AEX236" s="0" t="n">
        <v>0</v>
      </c>
      <c r="AEY236" s="0" t="n">
        <v>0</v>
      </c>
      <c r="AEZ236" s="0" t="n">
        <v>0</v>
      </c>
      <c r="AFA236" s="0" t="n">
        <v>15.99</v>
      </c>
      <c r="AFB236" s="0" t="n">
        <v>7.84</v>
      </c>
      <c r="AFC236" s="0" t="n">
        <v>0</v>
      </c>
      <c r="AFD236" s="0" t="n">
        <v>0</v>
      </c>
      <c r="AFE236" s="0" t="n">
        <v>0</v>
      </c>
      <c r="AFF236" s="0" t="n">
        <v>0</v>
      </c>
      <c r="AFS236" s="0" t="n">
        <v>0</v>
      </c>
      <c r="AFT236" s="0" t="n">
        <v>0</v>
      </c>
      <c r="AGE236" s="18"/>
      <c r="AGW236" s="0" t="n">
        <v>0</v>
      </c>
      <c r="AIH236" s="16" t="n">
        <v>0</v>
      </c>
      <c r="AII236" s="16" t="n">
        <v>0</v>
      </c>
      <c r="AIJ236" s="16"/>
      <c r="AIK236" s="16"/>
      <c r="AIL236" s="16"/>
      <c r="AIM236" s="16"/>
      <c r="AIN236" s="16"/>
      <c r="AIO236" s="16"/>
      <c r="AIP236" s="16"/>
      <c r="AIQ236" s="16"/>
      <c r="AIR236" s="16"/>
      <c r="AIS236" s="16" t="n">
        <v>5.22</v>
      </c>
      <c r="AIT236" s="16" t="n">
        <v>5.37</v>
      </c>
      <c r="AIU236" s="16"/>
      <c r="AIV236" s="16"/>
      <c r="AIW236" s="16" t="n">
        <v>0</v>
      </c>
      <c r="AIX236" s="16" t="n">
        <v>0</v>
      </c>
      <c r="AIY236" s="16" t="n">
        <v>0.19</v>
      </c>
      <c r="AIZ236" s="0" t="n">
        <v>0</v>
      </c>
      <c r="AJA236" s="0" t="s">
        <v>552</v>
      </c>
      <c r="AJB236" s="0" t="n">
        <v>16.5</v>
      </c>
      <c r="AJC236" s="16" t="n">
        <v>73.2</v>
      </c>
      <c r="AJD236" s="16" t="n">
        <v>80.4</v>
      </c>
      <c r="AJE236" s="16" t="n">
        <v>10.2</v>
      </c>
      <c r="AJF236" s="0" t="n">
        <v>69.43</v>
      </c>
      <c r="AJG236" s="0" t="n">
        <v>29.45</v>
      </c>
      <c r="AJH236" s="0" t="n">
        <v>1.12</v>
      </c>
      <c r="AJI236" s="0" t="n">
        <v>0</v>
      </c>
      <c r="AJJ236" s="0" t="n">
        <v>0</v>
      </c>
      <c r="AJK236" s="0" t="n">
        <v>0</v>
      </c>
      <c r="AJL236" s="0" t="n">
        <v>0</v>
      </c>
      <c r="AJM236" s="0" t="n">
        <v>0</v>
      </c>
      <c r="AJN236" s="0" t="n">
        <v>0</v>
      </c>
      <c r="AJO236" s="0" t="n">
        <v>0</v>
      </c>
      <c r="AJP236" s="0" t="n">
        <v>0</v>
      </c>
      <c r="AJQ236" s="0" t="n">
        <v>0</v>
      </c>
      <c r="AJR236" s="0" t="n">
        <v>29.3</v>
      </c>
      <c r="AJS236" s="0" t="n">
        <v>10.81</v>
      </c>
      <c r="AJT236" s="0" t="n">
        <v>0</v>
      </c>
      <c r="AJU236" s="0" t="n">
        <v>0</v>
      </c>
      <c r="AJV236" s="0" t="n">
        <v>5.9</v>
      </c>
      <c r="AJW236" s="0" t="n">
        <v>2</v>
      </c>
      <c r="AJX236" s="0" t="n">
        <v>3</v>
      </c>
      <c r="AJY236" s="0" t="n">
        <v>2.01</v>
      </c>
      <c r="AKD236" s="0" t="n">
        <v>3</v>
      </c>
      <c r="AKE236" s="0" t="n">
        <v>2.01</v>
      </c>
      <c r="AKJ236" s="0" t="n">
        <v>0</v>
      </c>
      <c r="AKK236" s="0" t="n">
        <v>0</v>
      </c>
      <c r="AKV236" s="18"/>
      <c r="ALN236" s="0" t="n">
        <v>0</v>
      </c>
    </row>
    <row r="237" customFormat="false" ht="13.8" hidden="false" customHeight="false" outlineLevel="0" collapsed="false">
      <c r="A237" s="1" t="s">
        <v>752</v>
      </c>
      <c r="B237" s="12" t="n">
        <v>42909</v>
      </c>
      <c r="C237" s="0" t="n">
        <v>2</v>
      </c>
      <c r="D237" s="13" t="n">
        <v>42801</v>
      </c>
      <c r="E237" s="12" t="n">
        <v>34883</v>
      </c>
      <c r="F237" s="14" t="n">
        <f aca="false">(B237-E237)/365.25</f>
        <v>21.9739904175222</v>
      </c>
      <c r="G237" s="14" t="n">
        <f aca="false">(B237-D237)/365.25</f>
        <v>0.295687885010267</v>
      </c>
      <c r="H237" s="19" t="s">
        <v>217</v>
      </c>
      <c r="I237" s="0" t="s">
        <v>545</v>
      </c>
      <c r="J237" s="21" t="s">
        <v>183</v>
      </c>
      <c r="K237" s="21" t="n">
        <v>8</v>
      </c>
      <c r="L237" s="19" t="n">
        <v>60</v>
      </c>
      <c r="M237" s="0" t="n">
        <v>1.74</v>
      </c>
      <c r="N237" s="16" t="n">
        <f aca="false">L237/(M237*M237)</f>
        <v>19.8176773682124</v>
      </c>
      <c r="O237" s="19" t="n">
        <v>0</v>
      </c>
      <c r="P237" s="19" t="n">
        <v>0</v>
      </c>
      <c r="Q237" s="19" t="n">
        <v>0</v>
      </c>
      <c r="R237" s="26" t="n">
        <v>0</v>
      </c>
      <c r="S237" s="26" t="n">
        <v>0</v>
      </c>
      <c r="T237" s="26" t="n">
        <v>0</v>
      </c>
      <c r="U237" s="19" t="n">
        <v>0</v>
      </c>
      <c r="V237" s="19" t="n">
        <v>0</v>
      </c>
      <c r="W237" s="19" t="n">
        <v>0</v>
      </c>
      <c r="X237" s="19" t="n">
        <v>0</v>
      </c>
      <c r="Y237" s="19" t="n">
        <v>1</v>
      </c>
      <c r="Z237" s="19" t="n">
        <v>1</v>
      </c>
      <c r="AA237" s="19" t="n">
        <v>90</v>
      </c>
      <c r="AB237" s="19" t="s">
        <v>537</v>
      </c>
      <c r="AC237" s="19" t="n">
        <v>0</v>
      </c>
      <c r="AD237" s="19" t="n">
        <v>0</v>
      </c>
      <c r="AE237" s="19" t="n">
        <v>0</v>
      </c>
      <c r="AF237" s="19" t="n">
        <v>0</v>
      </c>
      <c r="AG237" s="19" t="n">
        <v>0</v>
      </c>
      <c r="AH237" s="19" t="n">
        <v>0</v>
      </c>
      <c r="AI237" s="19" t="n">
        <v>0</v>
      </c>
      <c r="AJ237" s="19" t="n">
        <v>0</v>
      </c>
      <c r="AK237" s="19" t="n">
        <v>0</v>
      </c>
      <c r="AL237" s="19" t="n">
        <v>0</v>
      </c>
      <c r="AM237" s="19" t="n">
        <v>0</v>
      </c>
      <c r="AN237" s="19" t="n">
        <v>0</v>
      </c>
      <c r="AO237" s="19" t="n">
        <v>0</v>
      </c>
      <c r="AP237" s="19" t="n">
        <v>0</v>
      </c>
      <c r="AQ237" s="19" t="n">
        <v>0</v>
      </c>
      <c r="AR237" s="19" t="n">
        <v>0</v>
      </c>
      <c r="AS237" s="19" t="n">
        <v>3</v>
      </c>
      <c r="AT237" s="19" t="n">
        <v>0</v>
      </c>
      <c r="AU237" s="19" t="n">
        <v>0</v>
      </c>
      <c r="AV237" s="19" t="n">
        <v>0</v>
      </c>
      <c r="AW237" s="19" t="n">
        <v>0</v>
      </c>
      <c r="AX237" s="19" t="n">
        <v>0</v>
      </c>
      <c r="AY237" s="19" t="n">
        <v>0</v>
      </c>
      <c r="AZ237" s="19" t="n">
        <v>0</v>
      </c>
      <c r="BA237" s="19" t="n">
        <v>0</v>
      </c>
      <c r="BB237" s="19" t="n">
        <v>0</v>
      </c>
      <c r="BC237" s="19" t="n">
        <v>0</v>
      </c>
      <c r="BD237" s="19" t="n">
        <v>0</v>
      </c>
      <c r="BE237" s="19" t="n">
        <v>0</v>
      </c>
      <c r="BF237" s="19" t="n">
        <v>0</v>
      </c>
      <c r="BG237" s="19" t="n">
        <v>0</v>
      </c>
      <c r="BH237" s="19" t="n">
        <v>0</v>
      </c>
      <c r="BI237" s="19" t="n">
        <v>0</v>
      </c>
      <c r="BJ237" s="26" t="n">
        <v>0</v>
      </c>
      <c r="BK237" s="26" t="n">
        <v>0</v>
      </c>
      <c r="BL237" s="26" t="n">
        <v>0</v>
      </c>
      <c r="BM237" s="26" t="n">
        <v>0</v>
      </c>
      <c r="BN237" s="19" t="n">
        <v>1</v>
      </c>
      <c r="BO237" s="19" t="n">
        <v>0</v>
      </c>
      <c r="BP237" s="19" t="n">
        <v>0</v>
      </c>
      <c r="BQ237" s="19" t="n">
        <v>0</v>
      </c>
      <c r="BR237" s="19" t="n">
        <v>2</v>
      </c>
      <c r="BS237" s="19" t="n">
        <v>2</v>
      </c>
      <c r="BT237" s="19" t="n">
        <v>3</v>
      </c>
      <c r="BU237" s="19" t="n">
        <v>1</v>
      </c>
      <c r="BV237" s="19" t="n">
        <v>1</v>
      </c>
      <c r="BW237" s="19" t="n">
        <v>1</v>
      </c>
      <c r="BX237" s="19" t="n">
        <v>3</v>
      </c>
      <c r="BY237" s="19" t="n">
        <v>3</v>
      </c>
      <c r="BZ237" s="19" t="n">
        <v>3</v>
      </c>
      <c r="CA237" s="19" t="n">
        <v>4</v>
      </c>
      <c r="CB237" s="19" t="n">
        <v>4</v>
      </c>
      <c r="CC237" s="19" t="n">
        <v>4</v>
      </c>
      <c r="CD237" s="19" t="n">
        <v>3</v>
      </c>
      <c r="CE237" s="19" t="n">
        <v>4</v>
      </c>
      <c r="CF237" s="19" t="n">
        <v>4</v>
      </c>
      <c r="CG237" s="19" t="n">
        <v>5</v>
      </c>
      <c r="CH237" s="19" t="n">
        <v>4</v>
      </c>
      <c r="CI237" s="19" t="n">
        <v>4</v>
      </c>
      <c r="CJ237" s="19" t="n">
        <v>4</v>
      </c>
      <c r="CK237" s="19" t="n">
        <v>8</v>
      </c>
      <c r="CL237" s="0" t="s">
        <v>555</v>
      </c>
      <c r="CM237" s="0" t="n">
        <v>35</v>
      </c>
      <c r="CN237" s="16" t="n">
        <v>78.8</v>
      </c>
      <c r="CO237" s="16" t="n">
        <v>80.4</v>
      </c>
      <c r="CP237" s="16" t="n">
        <v>17.2</v>
      </c>
      <c r="CQ237" s="0" t="n">
        <v>72.07</v>
      </c>
      <c r="CR237" s="0" t="n">
        <v>11.09</v>
      </c>
      <c r="CS237" s="0" t="n">
        <v>1.12</v>
      </c>
      <c r="CT237" s="0" t="n">
        <v>0</v>
      </c>
      <c r="CU237" s="0" t="n">
        <v>15.71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1.66</v>
      </c>
      <c r="DD237" s="0" t="n">
        <v>34.99</v>
      </c>
      <c r="DE237" s="0" t="n">
        <v>0</v>
      </c>
      <c r="DF237" s="0" t="n">
        <v>0</v>
      </c>
      <c r="DG237" s="0" t="n">
        <v>0</v>
      </c>
      <c r="DH237" s="0" t="n">
        <v>0</v>
      </c>
      <c r="DU237" s="0" t="n">
        <v>11.2</v>
      </c>
      <c r="DV237" s="0" t="n">
        <v>1</v>
      </c>
      <c r="DW237" s="0" t="n">
        <v>52</v>
      </c>
      <c r="DX237" s="0" t="n">
        <f aca="false">18+1+15</f>
        <v>34</v>
      </c>
      <c r="DY237" s="0" t="n">
        <f aca="false">3.2+2.05+0.07</f>
        <v>5.32</v>
      </c>
      <c r="DZ237" s="0" t="n">
        <v>2</v>
      </c>
      <c r="EG237" s="18"/>
      <c r="EY237" s="0" t="n">
        <v>0</v>
      </c>
      <c r="GJ237" s="16" t="n">
        <v>0</v>
      </c>
      <c r="GK237" s="16" t="n">
        <v>0</v>
      </c>
      <c r="GL237" s="16"/>
      <c r="GM237" s="16"/>
      <c r="GN237" s="16"/>
      <c r="GO237" s="16"/>
      <c r="GP237" s="16"/>
      <c r="GQ237" s="16"/>
      <c r="GR237" s="16"/>
      <c r="GS237" s="16"/>
      <c r="GT237" s="16"/>
      <c r="GU237" s="16" t="n">
        <v>6.16</v>
      </c>
      <c r="GV237" s="16" t="n">
        <v>7.21</v>
      </c>
      <c r="GW237" s="16"/>
      <c r="GX237" s="16"/>
      <c r="GY237" s="16" t="n">
        <v>0</v>
      </c>
      <c r="GZ237" s="16" t="n">
        <v>0</v>
      </c>
      <c r="HA237" s="16" t="n">
        <v>0</v>
      </c>
      <c r="HB237" s="0" t="n">
        <v>0</v>
      </c>
      <c r="HC237" s="0" t="s">
        <v>546</v>
      </c>
      <c r="HD237" s="0" t="n">
        <v>16.5</v>
      </c>
      <c r="HE237" s="16" t="n">
        <v>35.3</v>
      </c>
      <c r="HF237" s="16" t="n">
        <v>80.4</v>
      </c>
      <c r="HG237" s="16" t="n">
        <v>9.7</v>
      </c>
      <c r="HH237" s="0" t="n">
        <v>86.56</v>
      </c>
      <c r="HI237" s="0" t="n">
        <v>12.61</v>
      </c>
      <c r="HJ237" s="0" t="n">
        <v>0</v>
      </c>
      <c r="HK237" s="0" t="n">
        <v>0</v>
      </c>
      <c r="HL237" s="0" t="n">
        <v>0.83</v>
      </c>
      <c r="HM237" s="0" t="n">
        <v>0</v>
      </c>
      <c r="HN237" s="0" t="n">
        <v>0</v>
      </c>
      <c r="HO237" s="0" t="n">
        <v>0</v>
      </c>
      <c r="HP237" s="0" t="n">
        <v>0</v>
      </c>
      <c r="HQ237" s="0" t="n">
        <v>0</v>
      </c>
      <c r="HR237" s="0" t="n">
        <v>0</v>
      </c>
      <c r="HS237" s="0" t="n">
        <v>0</v>
      </c>
      <c r="HT237" s="0" t="n">
        <v>2.22</v>
      </c>
      <c r="HU237" s="0" t="n">
        <v>20.83</v>
      </c>
      <c r="HV237" s="0" t="n">
        <v>0</v>
      </c>
      <c r="HW237" s="0" t="n">
        <v>0</v>
      </c>
      <c r="HX237" s="0" t="n">
        <v>0</v>
      </c>
      <c r="HY237" s="0" t="n">
        <v>0</v>
      </c>
      <c r="IL237" s="0" t="n">
        <v>0.3</v>
      </c>
      <c r="IM237" s="0" t="n">
        <v>1</v>
      </c>
      <c r="IN237" s="0" t="n">
        <v>34</v>
      </c>
      <c r="IO237" s="0" t="n">
        <v>4</v>
      </c>
      <c r="IP237" s="0" t="n">
        <f aca="false">1.35+0.45+1.35+0.45</f>
        <v>3.6</v>
      </c>
      <c r="IQ237" s="0" t="n">
        <v>1</v>
      </c>
      <c r="IR237" s="0" t="n">
        <v>52</v>
      </c>
      <c r="IS237" s="0" t="n">
        <v>1</v>
      </c>
      <c r="IT237" s="0" t="n">
        <f aca="false">0.18</f>
        <v>0.18</v>
      </c>
      <c r="IU237" s="0" t="n">
        <v>2</v>
      </c>
      <c r="IX237" s="18"/>
      <c r="JP237" s="0" t="n">
        <v>0</v>
      </c>
      <c r="LA237" s="16" t="n">
        <v>0.28</v>
      </c>
      <c r="LB237" s="16" t="n">
        <v>1</v>
      </c>
      <c r="LC237" s="16" t="n">
        <v>2</v>
      </c>
      <c r="LD237" s="16"/>
      <c r="LE237" s="16" t="n">
        <f aca="false">0.37+0.26</f>
        <v>0.63</v>
      </c>
      <c r="LF237" s="16"/>
      <c r="LG237" s="16"/>
      <c r="LH237" s="16"/>
      <c r="LI237" s="16"/>
      <c r="LJ237" s="16"/>
      <c r="LK237" s="16"/>
      <c r="LL237" s="16" t="n">
        <v>5.99</v>
      </c>
      <c r="LM237" s="16" t="n">
        <v>5.34</v>
      </c>
      <c r="LN237" s="16"/>
      <c r="LO237" s="16"/>
      <c r="LP237" s="16" t="n">
        <v>0</v>
      </c>
      <c r="LQ237" s="16" t="n">
        <v>0</v>
      </c>
      <c r="LR237" s="16" t="n">
        <v>0</v>
      </c>
      <c r="LS237" s="0" t="n">
        <v>0</v>
      </c>
      <c r="LT237" s="0" t="s">
        <v>547</v>
      </c>
      <c r="LU237" s="0" t="n">
        <v>29.5</v>
      </c>
      <c r="LV237" s="16" t="n">
        <v>87.5</v>
      </c>
      <c r="LW237" s="16" t="n">
        <v>80.4</v>
      </c>
      <c r="LX237" s="16" t="n">
        <v>14.3</v>
      </c>
      <c r="LY237" s="0" t="n">
        <v>68.7</v>
      </c>
      <c r="LZ237" s="0" t="n">
        <v>23.24</v>
      </c>
      <c r="MA237" s="0" t="n">
        <v>1.79</v>
      </c>
      <c r="MB237" s="0" t="n">
        <v>0</v>
      </c>
      <c r="MC237" s="0" t="n">
        <v>6.27</v>
      </c>
      <c r="MD237" s="0" t="n">
        <v>0</v>
      </c>
      <c r="ME237" s="0" t="n">
        <v>0</v>
      </c>
      <c r="MF237" s="0" t="n">
        <v>0</v>
      </c>
      <c r="MG237" s="0" t="n">
        <v>0</v>
      </c>
      <c r="MH237" s="0" t="n">
        <v>0</v>
      </c>
      <c r="MI237" s="0" t="n">
        <v>0</v>
      </c>
      <c r="MJ237" s="0" t="n">
        <v>0</v>
      </c>
      <c r="MK237" s="0" t="n">
        <v>7.01</v>
      </c>
      <c r="ML237" s="0" t="n">
        <v>58.72</v>
      </c>
      <c r="MM237" s="0" t="n">
        <v>0.23</v>
      </c>
      <c r="MN237" s="0" t="n">
        <v>0</v>
      </c>
      <c r="MO237" s="0" t="n">
        <v>0.5</v>
      </c>
      <c r="MP237" s="0" t="n">
        <v>2</v>
      </c>
      <c r="MQ237" s="0" t="n">
        <v>7</v>
      </c>
      <c r="MR237" s="0" t="n">
        <v>0.08</v>
      </c>
      <c r="MW237" s="0" t="n">
        <v>7</v>
      </c>
      <c r="MX237" s="0" t="n">
        <v>0.08</v>
      </c>
      <c r="NC237" s="0" t="n">
        <v>0</v>
      </c>
      <c r="ND237" s="0" t="n">
        <v>1</v>
      </c>
      <c r="NE237" s="0" t="n">
        <v>23</v>
      </c>
      <c r="NF237" s="0" t="n">
        <v>2</v>
      </c>
      <c r="NG237" s="0" t="n">
        <v>0.9</v>
      </c>
      <c r="NH237" s="0" t="n">
        <v>3</v>
      </c>
      <c r="NO237" s="18"/>
      <c r="OG237" s="0" t="n">
        <v>1</v>
      </c>
      <c r="OH237" s="0" t="n">
        <v>50</v>
      </c>
      <c r="OI237" s="0" t="n">
        <v>2</v>
      </c>
      <c r="OJ237" s="0" t="n">
        <f aca="false">3.13+23.63</f>
        <v>26.76</v>
      </c>
      <c r="OK237" s="0" t="n">
        <v>3</v>
      </c>
      <c r="PR237" s="16" t="n">
        <v>1.49</v>
      </c>
      <c r="PS237" s="16" t="n">
        <v>1</v>
      </c>
      <c r="PT237" s="16" t="n">
        <v>1</v>
      </c>
      <c r="PU237" s="16"/>
      <c r="PV237" s="16" t="n">
        <f aca="false">1.91+2.02+2.02+1.35</f>
        <v>7.3</v>
      </c>
      <c r="PW237" s="16" t="n">
        <v>2</v>
      </c>
      <c r="PX237" s="16"/>
      <c r="PY237" s="16" t="n">
        <v>0.21</v>
      </c>
      <c r="PZ237" s="16"/>
      <c r="QA237" s="16"/>
      <c r="QB237" s="16"/>
      <c r="QC237" s="16" t="n">
        <v>10.82</v>
      </c>
      <c r="QD237" s="16" t="n">
        <v>14.57</v>
      </c>
      <c r="QE237" s="16"/>
      <c r="QF237" s="16"/>
      <c r="QG237" s="16" t="n">
        <v>2.24</v>
      </c>
      <c r="QH237" s="16" t="n">
        <v>0.9</v>
      </c>
      <c r="QI237" s="16" t="n">
        <v>0</v>
      </c>
      <c r="QJ237" s="0" t="n">
        <v>0</v>
      </c>
      <c r="QK237" s="0" t="s">
        <v>548</v>
      </c>
      <c r="QL237" s="0" t="n">
        <v>50</v>
      </c>
      <c r="QM237" s="16" t="n">
        <v>80</v>
      </c>
      <c r="QN237" s="16" t="n">
        <v>80.4</v>
      </c>
      <c r="QO237" s="16" t="n">
        <v>16.9</v>
      </c>
      <c r="QP237" s="0" t="n">
        <v>58.18</v>
      </c>
      <c r="QQ237" s="0" t="n">
        <v>32.94</v>
      </c>
      <c r="QR237" s="0" t="n">
        <v>1.79</v>
      </c>
      <c r="QS237" s="0" t="n">
        <v>0</v>
      </c>
      <c r="QT237" s="0" t="n">
        <v>7.09</v>
      </c>
      <c r="QU237" s="0" t="n">
        <v>0</v>
      </c>
      <c r="QV237" s="0" t="n">
        <v>0</v>
      </c>
      <c r="QW237" s="0" t="n">
        <v>0</v>
      </c>
      <c r="QX237" s="0" t="n">
        <v>0</v>
      </c>
      <c r="QY237" s="0" t="n">
        <v>0</v>
      </c>
      <c r="QZ237" s="0" t="n">
        <v>0</v>
      </c>
      <c r="RA237" s="0" t="n">
        <v>0</v>
      </c>
      <c r="RB237" s="0" t="n">
        <v>3.53</v>
      </c>
      <c r="RC237" s="0" t="n">
        <v>45.12</v>
      </c>
      <c r="RD237" s="0" t="n">
        <v>0</v>
      </c>
      <c r="RE237" s="0" t="n">
        <v>0</v>
      </c>
      <c r="RF237" s="0" t="n">
        <v>0</v>
      </c>
      <c r="RG237" s="0" t="n">
        <v>0</v>
      </c>
      <c r="RT237" s="0" t="n">
        <v>8.2</v>
      </c>
      <c r="RU237" s="0" t="n">
        <v>1</v>
      </c>
      <c r="RV237" s="0" t="n">
        <v>23</v>
      </c>
      <c r="RW237" s="0" t="n">
        <v>1</v>
      </c>
      <c r="RX237" s="0" t="n">
        <v>0.45</v>
      </c>
      <c r="RY237" s="0" t="n">
        <v>3</v>
      </c>
      <c r="RZ237" s="0" t="n">
        <v>34</v>
      </c>
      <c r="SA237" s="0" t="n">
        <v>28</v>
      </c>
      <c r="SB237" s="0" t="n">
        <f aca="false">0.45+0.18+1.6+0.24+0.37+4.39+0.49+0.04+0.32+0.05+1.38</f>
        <v>9.51</v>
      </c>
      <c r="SC237" s="0" t="n">
        <v>1</v>
      </c>
      <c r="SF237" s="18"/>
      <c r="SX237" s="0" t="n">
        <v>0</v>
      </c>
      <c r="UI237" s="16" t="n">
        <v>1.65</v>
      </c>
      <c r="UJ237" s="16" t="n">
        <v>1</v>
      </c>
      <c r="UK237" s="16" t="n">
        <v>1</v>
      </c>
      <c r="UL237" s="16"/>
      <c r="UM237" s="16" t="n">
        <f aca="false">0.18</f>
        <v>0.18</v>
      </c>
      <c r="UN237" s="16" t="n">
        <v>2</v>
      </c>
      <c r="UO237" s="16"/>
      <c r="UP237" s="16" t="n">
        <f aca="false">1.65+0.91+6.23+0.66</f>
        <v>9.45</v>
      </c>
      <c r="UQ237" s="16"/>
      <c r="UR237" s="16"/>
      <c r="US237" s="16"/>
      <c r="UT237" s="16" t="n">
        <v>20.65</v>
      </c>
      <c r="UU237" s="16" t="n">
        <v>33.56</v>
      </c>
      <c r="UV237" s="16"/>
      <c r="UW237" s="16"/>
      <c r="UX237" s="16" t="n">
        <v>2.24</v>
      </c>
      <c r="UY237" s="16" t="n">
        <v>0.45</v>
      </c>
      <c r="UZ237" s="16" t="n">
        <v>0</v>
      </c>
      <c r="VA237" s="0" t="n">
        <v>0.45</v>
      </c>
      <c r="VB237" s="0" t="s">
        <v>549</v>
      </c>
      <c r="VC237" s="0" t="n">
        <v>31.5</v>
      </c>
      <c r="VD237" s="16" t="n">
        <v>79.9</v>
      </c>
      <c r="VE237" s="16" t="n">
        <v>80.4</v>
      </c>
      <c r="VF237" s="16" t="n">
        <v>17.8</v>
      </c>
      <c r="VG237" s="0" t="n">
        <v>71.45</v>
      </c>
      <c r="VH237" s="0" t="n">
        <v>9.43</v>
      </c>
      <c r="VI237" s="0" t="n">
        <v>1.12</v>
      </c>
      <c r="VJ237" s="0" t="n">
        <v>0</v>
      </c>
      <c r="VK237" s="0" t="n">
        <v>18.01</v>
      </c>
      <c r="VL237" s="0" t="n">
        <v>0</v>
      </c>
      <c r="VM237" s="0" t="n">
        <v>0</v>
      </c>
      <c r="VN237" s="0" t="n">
        <v>0</v>
      </c>
      <c r="VO237" s="0" t="n">
        <v>0</v>
      </c>
      <c r="VP237" s="0" t="n">
        <v>0</v>
      </c>
      <c r="VQ237" s="0" t="n">
        <v>0</v>
      </c>
      <c r="VR237" s="0" t="n">
        <v>0</v>
      </c>
      <c r="VS237" s="0" t="n">
        <v>8.44</v>
      </c>
      <c r="VT237" s="0" t="n">
        <v>63.45</v>
      </c>
      <c r="VU237" s="0" t="n">
        <v>0</v>
      </c>
      <c r="VV237" s="0" t="n">
        <v>0</v>
      </c>
      <c r="VW237" s="0" t="n">
        <v>0</v>
      </c>
      <c r="VX237" s="0" t="n">
        <v>0</v>
      </c>
      <c r="WK237" s="0" t="n">
        <v>2</v>
      </c>
      <c r="WL237" s="0" t="n">
        <v>1</v>
      </c>
      <c r="WM237" s="0" t="n">
        <v>52</v>
      </c>
      <c r="WN237" s="0" t="n">
        <v>2</v>
      </c>
      <c r="WO237" s="0" t="n">
        <f aca="false">0.9+0.02</f>
        <v>0.92</v>
      </c>
      <c r="WP237" s="0" t="n">
        <v>2</v>
      </c>
      <c r="WW237" s="18"/>
      <c r="XO237" s="0" t="n">
        <v>1</v>
      </c>
      <c r="XP237" s="0" t="n">
        <v>50</v>
      </c>
      <c r="XQ237" s="0" t="n">
        <v>9</v>
      </c>
      <c r="XR237" s="0" t="n">
        <f aca="false">19.9+3.13</f>
        <v>23.03</v>
      </c>
      <c r="XS237" s="0" t="n">
        <v>3</v>
      </c>
      <c r="YZ237" s="16" t="n">
        <v>1.47</v>
      </c>
      <c r="ZA237" s="16" t="n">
        <v>1</v>
      </c>
      <c r="ZB237" s="16" t="n">
        <v>1</v>
      </c>
      <c r="ZC237" s="16"/>
      <c r="ZD237" s="16" t="n">
        <v>2.13</v>
      </c>
      <c r="ZE237" s="16" t="n">
        <v>2</v>
      </c>
      <c r="ZF237" s="16"/>
      <c r="ZG237" s="16" t="n">
        <v>3.37</v>
      </c>
      <c r="ZH237" s="16"/>
      <c r="ZI237" s="16"/>
      <c r="ZJ237" s="16"/>
      <c r="ZK237" s="16" t="n">
        <v>5.55</v>
      </c>
      <c r="ZL237" s="16" t="n">
        <v>6.42</v>
      </c>
      <c r="ZM237" s="16"/>
      <c r="ZN237" s="16"/>
      <c r="ZO237" s="16" t="n">
        <v>0</v>
      </c>
      <c r="ZP237" s="16" t="n">
        <v>0</v>
      </c>
      <c r="ZQ237" s="16" t="n">
        <v>4.48</v>
      </c>
      <c r="ZR237" s="0" t="n">
        <v>0</v>
      </c>
      <c r="ZS237" s="0" t="s">
        <v>550</v>
      </c>
      <c r="ZT237" s="0" t="n">
        <v>17</v>
      </c>
      <c r="ZU237" s="16" t="n">
        <v>87.8</v>
      </c>
      <c r="ZV237" s="16" t="n">
        <v>80.4</v>
      </c>
      <c r="ZW237" s="16" t="n">
        <v>11.6</v>
      </c>
      <c r="ZX237" s="0" t="n">
        <v>86.21</v>
      </c>
      <c r="ZY237" s="0" t="n">
        <v>1.64</v>
      </c>
      <c r="ZZ237" s="0" t="n">
        <v>0.45</v>
      </c>
      <c r="AAA237" s="0" t="n">
        <v>0</v>
      </c>
      <c r="AAB237" s="0" t="n">
        <v>11.7</v>
      </c>
      <c r="AAC237" s="0" t="n">
        <v>0</v>
      </c>
      <c r="AAD237" s="0" t="n">
        <v>0</v>
      </c>
      <c r="AAE237" s="0" t="n">
        <v>0</v>
      </c>
      <c r="AAF237" s="0" t="n">
        <v>0</v>
      </c>
      <c r="AAG237" s="0" t="n">
        <v>0</v>
      </c>
      <c r="AAH237" s="0" t="n">
        <v>0</v>
      </c>
      <c r="AAI237" s="0" t="n">
        <v>0</v>
      </c>
      <c r="AAJ237" s="0" t="n">
        <v>14.73</v>
      </c>
      <c r="AAK237" s="0" t="n">
        <v>7.98</v>
      </c>
      <c r="AAL237" s="0" t="n">
        <v>0</v>
      </c>
      <c r="AAM237" s="0" t="n">
        <v>0</v>
      </c>
      <c r="AAN237" s="0" t="n">
        <v>0</v>
      </c>
      <c r="AAO237" s="0" t="n">
        <v>0</v>
      </c>
      <c r="ABB237" s="0" t="n">
        <v>0</v>
      </c>
      <c r="ABC237" s="0" t="n">
        <v>0</v>
      </c>
      <c r="ABN237" s="18"/>
      <c r="ACF237" s="0" t="n">
        <v>0</v>
      </c>
      <c r="ADQ237" s="16" t="n">
        <v>0</v>
      </c>
      <c r="ADR237" s="16" t="n">
        <v>0</v>
      </c>
      <c r="ADS237" s="16"/>
      <c r="ADT237" s="16"/>
      <c r="ADU237" s="16"/>
      <c r="ADV237" s="16"/>
      <c r="ADW237" s="16"/>
      <c r="ADX237" s="16"/>
      <c r="ADY237" s="16"/>
      <c r="ADZ237" s="16"/>
      <c r="AEA237" s="16"/>
      <c r="AEB237" s="16" t="n">
        <v>5.22</v>
      </c>
      <c r="AEC237" s="16" t="n">
        <v>5.37</v>
      </c>
      <c r="AED237" s="16"/>
      <c r="AEE237" s="16"/>
      <c r="AEF237" s="16" t="n">
        <v>0</v>
      </c>
      <c r="AEG237" s="16" t="n">
        <v>0</v>
      </c>
      <c r="AEH237" s="16" t="n">
        <v>0.19</v>
      </c>
      <c r="AEI237" s="0" t="n">
        <v>0</v>
      </c>
      <c r="AEJ237" s="0" t="s">
        <v>551</v>
      </c>
      <c r="AEK237" s="0" t="n">
        <v>17.5</v>
      </c>
      <c r="AEL237" s="16" t="n">
        <v>87.6</v>
      </c>
      <c r="AEM237" s="16" t="n">
        <v>80.4</v>
      </c>
      <c r="AEN237" s="16" t="n">
        <v>12</v>
      </c>
      <c r="AEO237" s="0" t="n">
        <v>84.96</v>
      </c>
      <c r="AEP237" s="0" t="n">
        <v>1.61</v>
      </c>
      <c r="AEQ237" s="0" t="n">
        <v>0.45</v>
      </c>
      <c r="AER237" s="0" t="n">
        <v>0</v>
      </c>
      <c r="AES237" s="0" t="n">
        <v>12.98</v>
      </c>
      <c r="AET237" s="0" t="n">
        <v>0</v>
      </c>
      <c r="AEU237" s="0" t="n">
        <v>0</v>
      </c>
      <c r="AEV237" s="0" t="n">
        <v>0</v>
      </c>
      <c r="AEW237" s="0" t="n">
        <v>0</v>
      </c>
      <c r="AEX237" s="0" t="n">
        <v>0</v>
      </c>
      <c r="AEY237" s="0" t="n">
        <v>0</v>
      </c>
      <c r="AEZ237" s="0" t="n">
        <v>0</v>
      </c>
      <c r="AFA237" s="0" t="n">
        <v>15.99</v>
      </c>
      <c r="AFB237" s="0" t="n">
        <v>7.84</v>
      </c>
      <c r="AFC237" s="0" t="n">
        <v>0</v>
      </c>
      <c r="AFD237" s="0" t="n">
        <v>0</v>
      </c>
      <c r="AFE237" s="0" t="n">
        <v>0</v>
      </c>
      <c r="AFF237" s="0" t="n">
        <v>0</v>
      </c>
      <c r="AFS237" s="0" t="n">
        <v>0</v>
      </c>
      <c r="AFT237" s="0" t="n">
        <v>0</v>
      </c>
      <c r="AGE237" s="18"/>
      <c r="AGW237" s="0" t="n">
        <v>0</v>
      </c>
      <c r="AIH237" s="16" t="n">
        <v>0</v>
      </c>
      <c r="AII237" s="16" t="n">
        <v>0</v>
      </c>
      <c r="AIJ237" s="16"/>
      <c r="AIK237" s="16"/>
      <c r="AIL237" s="16"/>
      <c r="AIM237" s="16"/>
      <c r="AIN237" s="16"/>
      <c r="AIO237" s="16"/>
      <c r="AIP237" s="16"/>
      <c r="AIQ237" s="16"/>
      <c r="AIR237" s="16"/>
      <c r="AIS237" s="16" t="n">
        <v>5.22</v>
      </c>
      <c r="AIT237" s="16" t="n">
        <v>5.37</v>
      </c>
      <c r="AIU237" s="16"/>
      <c r="AIV237" s="16"/>
      <c r="AIW237" s="16" t="n">
        <v>0</v>
      </c>
      <c r="AIX237" s="16" t="n">
        <v>0</v>
      </c>
      <c r="AIY237" s="16" t="n">
        <v>0.19</v>
      </c>
      <c r="AIZ237" s="0" t="n">
        <v>0</v>
      </c>
      <c r="AJA237" s="0" t="s">
        <v>552</v>
      </c>
      <c r="AJB237" s="0" t="n">
        <v>16.5</v>
      </c>
      <c r="AJC237" s="16" t="n">
        <v>73.2</v>
      </c>
      <c r="AJD237" s="16" t="n">
        <v>80.4</v>
      </c>
      <c r="AJE237" s="16" t="n">
        <v>10.2</v>
      </c>
      <c r="AJF237" s="0" t="n">
        <v>69.43</v>
      </c>
      <c r="AJG237" s="0" t="n">
        <v>29.45</v>
      </c>
      <c r="AJH237" s="0" t="n">
        <v>1.12</v>
      </c>
      <c r="AJI237" s="0" t="n">
        <v>0</v>
      </c>
      <c r="AJJ237" s="0" t="n">
        <v>0</v>
      </c>
      <c r="AJK237" s="0" t="n">
        <v>0</v>
      </c>
      <c r="AJL237" s="0" t="n">
        <v>0</v>
      </c>
      <c r="AJM237" s="0" t="n">
        <v>0</v>
      </c>
      <c r="AJN237" s="0" t="n">
        <v>0</v>
      </c>
      <c r="AJO237" s="0" t="n">
        <v>0</v>
      </c>
      <c r="AJP237" s="0" t="n">
        <v>0</v>
      </c>
      <c r="AJQ237" s="0" t="n">
        <v>0</v>
      </c>
      <c r="AJR237" s="0" t="n">
        <v>29.3</v>
      </c>
      <c r="AJS237" s="0" t="n">
        <v>10.81</v>
      </c>
      <c r="AJT237" s="0" t="n">
        <v>0</v>
      </c>
      <c r="AJU237" s="0" t="n">
        <v>0</v>
      </c>
      <c r="AJV237" s="0" t="n">
        <v>5.9</v>
      </c>
      <c r="AJW237" s="0" t="n">
        <v>2</v>
      </c>
      <c r="AJX237" s="0" t="n">
        <v>3</v>
      </c>
      <c r="AJY237" s="0" t="n">
        <v>2.01</v>
      </c>
      <c r="AKD237" s="0" t="n">
        <v>3</v>
      </c>
      <c r="AKE237" s="0" t="n">
        <v>2.01</v>
      </c>
      <c r="AKJ237" s="0" t="n">
        <v>0</v>
      </c>
      <c r="AKK237" s="0" t="n">
        <v>0</v>
      </c>
      <c r="AKV237" s="18"/>
      <c r="ALN237" s="0" t="n">
        <v>0</v>
      </c>
    </row>
    <row r="238" customFormat="false" ht="13.8" hidden="false" customHeight="false" outlineLevel="0" collapsed="false">
      <c r="A238" s="1" t="s">
        <v>753</v>
      </c>
      <c r="B238" s="12" t="n">
        <v>42909</v>
      </c>
      <c r="C238" s="0" t="n">
        <v>2</v>
      </c>
      <c r="D238" s="13" t="n">
        <v>42783</v>
      </c>
      <c r="E238" s="12" t="n">
        <v>33160</v>
      </c>
      <c r="F238" s="14" t="n">
        <f aca="false">(B238-E238)/365.25</f>
        <v>26.6913073237509</v>
      </c>
      <c r="G238" s="14" t="n">
        <f aca="false">(B238-D238)/365.25</f>
        <v>0.344969199178645</v>
      </c>
      <c r="H238" s="19" t="s">
        <v>217</v>
      </c>
      <c r="I238" s="0" t="s">
        <v>545</v>
      </c>
      <c r="J238" s="21" t="s">
        <v>183</v>
      </c>
      <c r="K238" s="21" t="n">
        <v>8</v>
      </c>
      <c r="L238" s="19" t="n">
        <v>60</v>
      </c>
      <c r="M238" s="0" t="n">
        <v>1.78</v>
      </c>
      <c r="N238" s="16" t="n">
        <f aca="false">L238/(M238*M238)</f>
        <v>18.9370029036738</v>
      </c>
      <c r="O238" s="19" t="n">
        <v>0</v>
      </c>
      <c r="P238" s="19" t="n">
        <v>0</v>
      </c>
      <c r="Q238" s="19" t="n">
        <v>0</v>
      </c>
      <c r="R238" s="26" t="n">
        <v>0</v>
      </c>
      <c r="S238" s="26" t="n">
        <v>0</v>
      </c>
      <c r="T238" s="26" t="n">
        <v>0</v>
      </c>
      <c r="U238" s="19" t="n">
        <v>0</v>
      </c>
      <c r="V238" s="19" t="n">
        <v>0</v>
      </c>
      <c r="W238" s="19" t="n">
        <v>0</v>
      </c>
      <c r="X238" s="19" t="n">
        <v>0</v>
      </c>
      <c r="Y238" s="19" t="n">
        <v>1</v>
      </c>
      <c r="Z238" s="19" t="n">
        <v>3</v>
      </c>
      <c r="AA238" s="19" t="n">
        <v>120</v>
      </c>
      <c r="AB238" s="19" t="s">
        <v>537</v>
      </c>
      <c r="AC238" s="19" t="n">
        <v>0</v>
      </c>
      <c r="AD238" s="19" t="n">
        <v>0</v>
      </c>
      <c r="AE238" s="19" t="n">
        <v>0</v>
      </c>
      <c r="AF238" s="19" t="n">
        <v>0</v>
      </c>
      <c r="AG238" s="19" t="n">
        <v>0</v>
      </c>
      <c r="AH238" s="19" t="n">
        <v>0</v>
      </c>
      <c r="AI238" s="19" t="n">
        <v>0</v>
      </c>
      <c r="AJ238" s="19" t="n">
        <v>0</v>
      </c>
      <c r="AK238" s="19" t="n">
        <v>0</v>
      </c>
      <c r="AL238" s="19" t="n">
        <v>0</v>
      </c>
      <c r="AM238" s="19" t="n">
        <v>0</v>
      </c>
      <c r="AN238" s="19" t="n">
        <v>0</v>
      </c>
      <c r="AO238" s="19" t="n">
        <v>0</v>
      </c>
      <c r="AP238" s="19" t="n">
        <v>0</v>
      </c>
      <c r="AQ238" s="19" t="n">
        <v>0</v>
      </c>
      <c r="AR238" s="19" t="n">
        <v>0</v>
      </c>
      <c r="AS238" s="19" t="n">
        <v>0</v>
      </c>
      <c r="AT238" s="19" t="n">
        <v>0</v>
      </c>
      <c r="AU238" s="19" t="n">
        <v>0</v>
      </c>
      <c r="AV238" s="19" t="n">
        <v>0</v>
      </c>
      <c r="AW238" s="19" t="n">
        <v>0</v>
      </c>
      <c r="AX238" s="19" t="n">
        <v>0</v>
      </c>
      <c r="AY238" s="19" t="n">
        <v>0</v>
      </c>
      <c r="AZ238" s="19" t="n">
        <v>0</v>
      </c>
      <c r="BA238" s="19" t="n">
        <v>0</v>
      </c>
      <c r="BB238" s="19" t="n">
        <v>0</v>
      </c>
      <c r="BC238" s="19" t="n">
        <v>0</v>
      </c>
      <c r="BD238" s="19" t="n">
        <v>0</v>
      </c>
      <c r="BE238" s="19" t="n">
        <v>0</v>
      </c>
      <c r="BF238" s="19" t="n">
        <v>0</v>
      </c>
      <c r="BG238" s="19" t="n">
        <v>0</v>
      </c>
      <c r="BH238" s="19" t="n">
        <v>0</v>
      </c>
      <c r="BI238" s="19" t="n">
        <v>0</v>
      </c>
      <c r="BJ238" s="26" t="n">
        <v>0</v>
      </c>
      <c r="BK238" s="26" t="n">
        <v>0</v>
      </c>
      <c r="BL238" s="26" t="n">
        <v>0</v>
      </c>
      <c r="BM238" s="26" t="n">
        <v>0</v>
      </c>
      <c r="BN238" s="19" t="n">
        <v>0</v>
      </c>
      <c r="BO238" s="19" t="n">
        <v>0</v>
      </c>
      <c r="BP238" s="19" t="n">
        <v>0</v>
      </c>
      <c r="BQ238" s="19" t="n">
        <v>0</v>
      </c>
      <c r="BR238" s="19" t="n">
        <v>1</v>
      </c>
      <c r="BS238" s="19" t="n">
        <v>2</v>
      </c>
      <c r="BT238" s="19" t="n">
        <v>5</v>
      </c>
      <c r="BU238" s="19" t="n">
        <v>2</v>
      </c>
      <c r="BV238" s="19" t="n">
        <v>5</v>
      </c>
      <c r="BW238" s="19" t="n">
        <v>5</v>
      </c>
      <c r="BX238" s="19" t="n">
        <v>5</v>
      </c>
      <c r="BY238" s="19" t="n">
        <v>5</v>
      </c>
      <c r="BZ238" s="19" t="n">
        <v>5</v>
      </c>
      <c r="CA238" s="19" t="n">
        <v>5</v>
      </c>
      <c r="CB238" s="19" t="n">
        <v>5</v>
      </c>
      <c r="CC238" s="19" t="n">
        <v>5</v>
      </c>
      <c r="CD238" s="19" t="n">
        <v>5</v>
      </c>
      <c r="CE238" s="19" t="n">
        <v>5</v>
      </c>
      <c r="CF238" s="19" t="n">
        <v>5</v>
      </c>
      <c r="CG238" s="19" t="n">
        <v>5</v>
      </c>
      <c r="CH238" s="19" t="n">
        <v>5</v>
      </c>
      <c r="CI238" s="19" t="n">
        <v>5</v>
      </c>
      <c r="CJ238" s="19" t="n">
        <v>5</v>
      </c>
      <c r="CK238" s="19" t="n">
        <v>10</v>
      </c>
      <c r="CL238" s="0" t="s">
        <v>555</v>
      </c>
      <c r="CM238" s="0" t="n">
        <v>35</v>
      </c>
      <c r="CN238" s="16" t="n">
        <v>78.8</v>
      </c>
      <c r="CO238" s="16" t="n">
        <v>80.4</v>
      </c>
      <c r="CP238" s="16" t="n">
        <v>17.2</v>
      </c>
      <c r="CQ238" s="0" t="n">
        <v>72.07</v>
      </c>
      <c r="CR238" s="0" t="n">
        <v>11.09</v>
      </c>
      <c r="CS238" s="0" t="n">
        <v>1.12</v>
      </c>
      <c r="CT238" s="0" t="n">
        <v>0</v>
      </c>
      <c r="CU238" s="0" t="n">
        <v>15.71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1.66</v>
      </c>
      <c r="DD238" s="0" t="n">
        <v>34.99</v>
      </c>
      <c r="DE238" s="0" t="n">
        <v>0</v>
      </c>
      <c r="DF238" s="0" t="n">
        <v>0</v>
      </c>
      <c r="DG238" s="0" t="n">
        <v>0</v>
      </c>
      <c r="DH238" s="0" t="n">
        <v>0</v>
      </c>
      <c r="DU238" s="0" t="n">
        <v>11.2</v>
      </c>
      <c r="DV238" s="0" t="n">
        <v>1</v>
      </c>
      <c r="DW238" s="0" t="n">
        <v>52</v>
      </c>
      <c r="DX238" s="0" t="n">
        <f aca="false">18+1+15</f>
        <v>34</v>
      </c>
      <c r="DY238" s="0" t="n">
        <f aca="false">3.2+2.05+0.07</f>
        <v>5.32</v>
      </c>
      <c r="DZ238" s="0" t="n">
        <v>2</v>
      </c>
      <c r="EG238" s="18"/>
      <c r="EY238" s="0" t="n">
        <v>0</v>
      </c>
      <c r="GJ238" s="16" t="n">
        <v>0</v>
      </c>
      <c r="GK238" s="16" t="n">
        <v>0</v>
      </c>
      <c r="GL238" s="16"/>
      <c r="GM238" s="16"/>
      <c r="GN238" s="16"/>
      <c r="GO238" s="16"/>
      <c r="GP238" s="16"/>
      <c r="GQ238" s="16"/>
      <c r="GR238" s="16"/>
      <c r="GS238" s="16"/>
      <c r="GT238" s="16"/>
      <c r="GU238" s="16" t="n">
        <v>6.16</v>
      </c>
      <c r="GV238" s="16" t="n">
        <v>7.21</v>
      </c>
      <c r="GW238" s="16"/>
      <c r="GX238" s="16"/>
      <c r="GY238" s="16" t="n">
        <v>0</v>
      </c>
      <c r="GZ238" s="16" t="n">
        <v>0</v>
      </c>
      <c r="HA238" s="16" t="n">
        <v>0</v>
      </c>
      <c r="HB238" s="0" t="n">
        <v>0</v>
      </c>
      <c r="HC238" s="0" t="s">
        <v>546</v>
      </c>
      <c r="HD238" s="0" t="n">
        <v>16.5</v>
      </c>
      <c r="HE238" s="16" t="n">
        <v>35.3</v>
      </c>
      <c r="HF238" s="16" t="n">
        <v>80.4</v>
      </c>
      <c r="HG238" s="16" t="n">
        <v>9.7</v>
      </c>
      <c r="HH238" s="0" t="n">
        <v>86.56</v>
      </c>
      <c r="HI238" s="0" t="n">
        <v>12.61</v>
      </c>
      <c r="HJ238" s="0" t="n">
        <v>0</v>
      </c>
      <c r="HK238" s="0" t="n">
        <v>0</v>
      </c>
      <c r="HL238" s="0" t="n">
        <v>0.83</v>
      </c>
      <c r="HM238" s="0" t="n">
        <v>0</v>
      </c>
      <c r="HN238" s="0" t="n">
        <v>0</v>
      </c>
      <c r="HO238" s="0" t="n">
        <v>0</v>
      </c>
      <c r="HP238" s="0" t="n">
        <v>0</v>
      </c>
      <c r="HQ238" s="0" t="n">
        <v>0</v>
      </c>
      <c r="HR238" s="0" t="n">
        <v>0</v>
      </c>
      <c r="HS238" s="0" t="n">
        <v>0</v>
      </c>
      <c r="HT238" s="0" t="n">
        <v>2.22</v>
      </c>
      <c r="HU238" s="0" t="n">
        <v>20.83</v>
      </c>
      <c r="HV238" s="0" t="n">
        <v>0</v>
      </c>
      <c r="HW238" s="0" t="n">
        <v>0</v>
      </c>
      <c r="HX238" s="0" t="n">
        <v>0</v>
      </c>
      <c r="HY238" s="0" t="n">
        <v>0</v>
      </c>
      <c r="IL238" s="0" t="n">
        <v>0.3</v>
      </c>
      <c r="IM238" s="0" t="n">
        <v>1</v>
      </c>
      <c r="IN238" s="0" t="n">
        <v>34</v>
      </c>
      <c r="IO238" s="0" t="n">
        <v>4</v>
      </c>
      <c r="IP238" s="0" t="n">
        <f aca="false">1.35+0.45+1.35+0.45</f>
        <v>3.6</v>
      </c>
      <c r="IQ238" s="0" t="n">
        <v>1</v>
      </c>
      <c r="IR238" s="0" t="n">
        <v>52</v>
      </c>
      <c r="IS238" s="0" t="n">
        <v>1</v>
      </c>
      <c r="IT238" s="0" t="n">
        <f aca="false">0.18</f>
        <v>0.18</v>
      </c>
      <c r="IU238" s="0" t="n">
        <v>2</v>
      </c>
      <c r="IX238" s="18"/>
      <c r="JP238" s="0" t="n">
        <v>0</v>
      </c>
      <c r="LA238" s="16" t="n">
        <v>0.28</v>
      </c>
      <c r="LB238" s="16" t="n">
        <v>1</v>
      </c>
      <c r="LC238" s="16" t="n">
        <v>2</v>
      </c>
      <c r="LD238" s="16"/>
      <c r="LE238" s="16" t="n">
        <f aca="false">0.37+0.26</f>
        <v>0.63</v>
      </c>
      <c r="LF238" s="16"/>
      <c r="LG238" s="16"/>
      <c r="LH238" s="16"/>
      <c r="LI238" s="16"/>
      <c r="LJ238" s="16"/>
      <c r="LK238" s="16"/>
      <c r="LL238" s="16" t="n">
        <v>5.99</v>
      </c>
      <c r="LM238" s="16" t="n">
        <v>5.34</v>
      </c>
      <c r="LN238" s="16"/>
      <c r="LO238" s="16"/>
      <c r="LP238" s="16" t="n">
        <v>0</v>
      </c>
      <c r="LQ238" s="16" t="n">
        <v>0</v>
      </c>
      <c r="LR238" s="16" t="n">
        <v>0</v>
      </c>
      <c r="LS238" s="0" t="n">
        <v>0</v>
      </c>
      <c r="LT238" s="0" t="s">
        <v>547</v>
      </c>
      <c r="LU238" s="0" t="n">
        <v>29.5</v>
      </c>
      <c r="LV238" s="16" t="n">
        <v>87.5</v>
      </c>
      <c r="LW238" s="16" t="n">
        <v>80.4</v>
      </c>
      <c r="LX238" s="16" t="n">
        <v>14.3</v>
      </c>
      <c r="LY238" s="0" t="n">
        <v>68.7</v>
      </c>
      <c r="LZ238" s="0" t="n">
        <v>23.24</v>
      </c>
      <c r="MA238" s="0" t="n">
        <v>1.79</v>
      </c>
      <c r="MB238" s="0" t="n">
        <v>0</v>
      </c>
      <c r="MC238" s="0" t="n">
        <v>6.27</v>
      </c>
      <c r="MD238" s="0" t="n">
        <v>0</v>
      </c>
      <c r="ME238" s="0" t="n">
        <v>0</v>
      </c>
      <c r="MF238" s="0" t="n">
        <v>0</v>
      </c>
      <c r="MG238" s="0" t="n">
        <v>0</v>
      </c>
      <c r="MH238" s="0" t="n">
        <v>0</v>
      </c>
      <c r="MI238" s="0" t="n">
        <v>0</v>
      </c>
      <c r="MJ238" s="0" t="n">
        <v>0</v>
      </c>
      <c r="MK238" s="0" t="n">
        <v>7.01</v>
      </c>
      <c r="ML238" s="0" t="n">
        <v>58.72</v>
      </c>
      <c r="MM238" s="0" t="n">
        <v>0.23</v>
      </c>
      <c r="MN238" s="0" t="n">
        <v>0</v>
      </c>
      <c r="MO238" s="0" t="n">
        <v>0.5</v>
      </c>
      <c r="MP238" s="0" t="n">
        <v>2</v>
      </c>
      <c r="MQ238" s="0" t="n">
        <v>7</v>
      </c>
      <c r="MR238" s="0" t="n">
        <v>0.08</v>
      </c>
      <c r="MW238" s="0" t="n">
        <v>7</v>
      </c>
      <c r="MX238" s="0" t="n">
        <v>0.08</v>
      </c>
      <c r="NC238" s="0" t="n">
        <v>0</v>
      </c>
      <c r="ND238" s="0" t="n">
        <v>1</v>
      </c>
      <c r="NE238" s="0" t="n">
        <v>23</v>
      </c>
      <c r="NF238" s="0" t="n">
        <v>2</v>
      </c>
      <c r="NG238" s="0" t="n">
        <v>0.9</v>
      </c>
      <c r="NH238" s="0" t="n">
        <v>3</v>
      </c>
      <c r="NO238" s="18"/>
      <c r="OG238" s="0" t="n">
        <v>1</v>
      </c>
      <c r="OH238" s="0" t="n">
        <v>50</v>
      </c>
      <c r="OI238" s="0" t="n">
        <v>2</v>
      </c>
      <c r="OJ238" s="0" t="n">
        <f aca="false">3.13+23.63</f>
        <v>26.76</v>
      </c>
      <c r="OK238" s="0" t="n">
        <v>3</v>
      </c>
      <c r="PR238" s="16" t="n">
        <v>1.49</v>
      </c>
      <c r="PS238" s="16" t="n">
        <v>1</v>
      </c>
      <c r="PT238" s="16" t="n">
        <v>1</v>
      </c>
      <c r="PU238" s="16"/>
      <c r="PV238" s="16" t="n">
        <f aca="false">1.91+2.02+2.02+1.35</f>
        <v>7.3</v>
      </c>
      <c r="PW238" s="16" t="n">
        <v>2</v>
      </c>
      <c r="PX238" s="16"/>
      <c r="PY238" s="16" t="n">
        <v>0.21</v>
      </c>
      <c r="PZ238" s="16"/>
      <c r="QA238" s="16"/>
      <c r="QB238" s="16"/>
      <c r="QC238" s="16" t="n">
        <v>10.82</v>
      </c>
      <c r="QD238" s="16" t="n">
        <v>14.57</v>
      </c>
      <c r="QE238" s="16"/>
      <c r="QF238" s="16"/>
      <c r="QG238" s="16" t="n">
        <v>2.24</v>
      </c>
      <c r="QH238" s="16" t="n">
        <v>0.9</v>
      </c>
      <c r="QI238" s="16" t="n">
        <v>0</v>
      </c>
      <c r="QJ238" s="0" t="n">
        <v>0</v>
      </c>
      <c r="QK238" s="0" t="s">
        <v>548</v>
      </c>
      <c r="QL238" s="0" t="n">
        <v>50</v>
      </c>
      <c r="QM238" s="16" t="n">
        <v>80</v>
      </c>
      <c r="QN238" s="16" t="n">
        <v>80.4</v>
      </c>
      <c r="QO238" s="16" t="n">
        <v>16.9</v>
      </c>
      <c r="QP238" s="0" t="n">
        <v>58.18</v>
      </c>
      <c r="QQ238" s="0" t="n">
        <v>32.94</v>
      </c>
      <c r="QR238" s="0" t="n">
        <v>1.79</v>
      </c>
      <c r="QS238" s="0" t="n">
        <v>0</v>
      </c>
      <c r="QT238" s="0" t="n">
        <v>7.09</v>
      </c>
      <c r="QU238" s="0" t="n">
        <v>0</v>
      </c>
      <c r="QV238" s="0" t="n">
        <v>0</v>
      </c>
      <c r="QW238" s="0" t="n">
        <v>0</v>
      </c>
      <c r="QX238" s="0" t="n">
        <v>0</v>
      </c>
      <c r="QY238" s="0" t="n">
        <v>0</v>
      </c>
      <c r="QZ238" s="0" t="n">
        <v>0</v>
      </c>
      <c r="RA238" s="0" t="n">
        <v>0</v>
      </c>
      <c r="RB238" s="0" t="n">
        <v>3.53</v>
      </c>
      <c r="RC238" s="0" t="n">
        <v>45.12</v>
      </c>
      <c r="RD238" s="0" t="n">
        <v>0</v>
      </c>
      <c r="RE238" s="0" t="n">
        <v>0</v>
      </c>
      <c r="RF238" s="0" t="n">
        <v>0</v>
      </c>
      <c r="RG238" s="0" t="n">
        <v>0</v>
      </c>
      <c r="RT238" s="0" t="n">
        <v>8.2</v>
      </c>
      <c r="RU238" s="0" t="n">
        <v>1</v>
      </c>
      <c r="RV238" s="0" t="n">
        <v>23</v>
      </c>
      <c r="RW238" s="0" t="n">
        <v>1</v>
      </c>
      <c r="RX238" s="0" t="n">
        <v>0.45</v>
      </c>
      <c r="RY238" s="0" t="n">
        <v>3</v>
      </c>
      <c r="RZ238" s="0" t="n">
        <v>34</v>
      </c>
      <c r="SA238" s="0" t="n">
        <v>28</v>
      </c>
      <c r="SB238" s="0" t="n">
        <f aca="false">0.45+0.18+1.6+0.24+0.37+4.39+0.49+0.04+0.32+0.05+1.38</f>
        <v>9.51</v>
      </c>
      <c r="SC238" s="0" t="n">
        <v>1</v>
      </c>
      <c r="SF238" s="18"/>
      <c r="SX238" s="0" t="n">
        <v>0</v>
      </c>
      <c r="UI238" s="16" t="n">
        <v>1.65</v>
      </c>
      <c r="UJ238" s="16" t="n">
        <v>1</v>
      </c>
      <c r="UK238" s="16" t="n">
        <v>1</v>
      </c>
      <c r="UL238" s="16"/>
      <c r="UM238" s="16" t="n">
        <f aca="false">0.18</f>
        <v>0.18</v>
      </c>
      <c r="UN238" s="16" t="n">
        <v>2</v>
      </c>
      <c r="UO238" s="16"/>
      <c r="UP238" s="16" t="n">
        <f aca="false">1.65+0.91+6.23+0.66</f>
        <v>9.45</v>
      </c>
      <c r="UQ238" s="16"/>
      <c r="UR238" s="16"/>
      <c r="US238" s="16"/>
      <c r="UT238" s="16" t="n">
        <v>20.65</v>
      </c>
      <c r="UU238" s="16" t="n">
        <v>33.56</v>
      </c>
      <c r="UV238" s="16"/>
      <c r="UW238" s="16"/>
      <c r="UX238" s="16" t="n">
        <v>2.24</v>
      </c>
      <c r="UY238" s="16" t="n">
        <v>0.45</v>
      </c>
      <c r="UZ238" s="16" t="n">
        <v>0</v>
      </c>
      <c r="VA238" s="0" t="n">
        <v>0.45</v>
      </c>
      <c r="VB238" s="0" t="s">
        <v>549</v>
      </c>
      <c r="VC238" s="0" t="n">
        <v>31.5</v>
      </c>
      <c r="VD238" s="16" t="n">
        <v>79.9</v>
      </c>
      <c r="VE238" s="16" t="n">
        <v>80.4</v>
      </c>
      <c r="VF238" s="16" t="n">
        <v>17.8</v>
      </c>
      <c r="VG238" s="0" t="n">
        <v>71.45</v>
      </c>
      <c r="VH238" s="0" t="n">
        <v>9.43</v>
      </c>
      <c r="VI238" s="0" t="n">
        <v>1.12</v>
      </c>
      <c r="VJ238" s="0" t="n">
        <v>0</v>
      </c>
      <c r="VK238" s="0" t="n">
        <v>18.01</v>
      </c>
      <c r="VL238" s="0" t="n">
        <v>0</v>
      </c>
      <c r="VM238" s="0" t="n">
        <v>0</v>
      </c>
      <c r="VN238" s="0" t="n">
        <v>0</v>
      </c>
      <c r="VO238" s="0" t="n">
        <v>0</v>
      </c>
      <c r="VP238" s="0" t="n">
        <v>0</v>
      </c>
      <c r="VQ238" s="0" t="n">
        <v>0</v>
      </c>
      <c r="VR238" s="0" t="n">
        <v>0</v>
      </c>
      <c r="VS238" s="0" t="n">
        <v>8.44</v>
      </c>
      <c r="VT238" s="0" t="n">
        <v>63.45</v>
      </c>
      <c r="VU238" s="0" t="n">
        <v>0</v>
      </c>
      <c r="VV238" s="0" t="n">
        <v>0</v>
      </c>
      <c r="VW238" s="0" t="n">
        <v>0</v>
      </c>
      <c r="VX238" s="0" t="n">
        <v>0</v>
      </c>
      <c r="WK238" s="0" t="n">
        <v>2</v>
      </c>
      <c r="WL238" s="0" t="n">
        <v>1</v>
      </c>
      <c r="WM238" s="0" t="n">
        <v>52</v>
      </c>
      <c r="WN238" s="0" t="n">
        <v>2</v>
      </c>
      <c r="WO238" s="0" t="n">
        <f aca="false">0.9+0.02</f>
        <v>0.92</v>
      </c>
      <c r="WP238" s="0" t="n">
        <v>2</v>
      </c>
      <c r="WW238" s="18"/>
      <c r="XO238" s="0" t="n">
        <v>1</v>
      </c>
      <c r="XP238" s="0" t="n">
        <v>50</v>
      </c>
      <c r="XQ238" s="0" t="n">
        <v>9</v>
      </c>
      <c r="XR238" s="0" t="n">
        <f aca="false">19.9+3.13</f>
        <v>23.03</v>
      </c>
      <c r="XS238" s="0" t="n">
        <v>3</v>
      </c>
      <c r="YZ238" s="16" t="n">
        <v>1.47</v>
      </c>
      <c r="ZA238" s="16" t="n">
        <v>1</v>
      </c>
      <c r="ZB238" s="16" t="n">
        <v>1</v>
      </c>
      <c r="ZC238" s="16"/>
      <c r="ZD238" s="16" t="n">
        <v>2.13</v>
      </c>
      <c r="ZE238" s="16" t="n">
        <v>2</v>
      </c>
      <c r="ZF238" s="16"/>
      <c r="ZG238" s="16" t="n">
        <v>3.37</v>
      </c>
      <c r="ZH238" s="16"/>
      <c r="ZI238" s="16"/>
      <c r="ZJ238" s="16"/>
      <c r="ZK238" s="16" t="n">
        <v>5.55</v>
      </c>
      <c r="ZL238" s="16" t="n">
        <v>6.42</v>
      </c>
      <c r="ZM238" s="16"/>
      <c r="ZN238" s="16"/>
      <c r="ZO238" s="16" t="n">
        <v>0</v>
      </c>
      <c r="ZP238" s="16" t="n">
        <v>0</v>
      </c>
      <c r="ZQ238" s="16" t="n">
        <v>4.48</v>
      </c>
      <c r="ZR238" s="0" t="n">
        <v>0</v>
      </c>
      <c r="ZS238" s="0" t="s">
        <v>550</v>
      </c>
      <c r="ZT238" s="0" t="n">
        <v>17</v>
      </c>
      <c r="ZU238" s="16" t="n">
        <v>87.8</v>
      </c>
      <c r="ZV238" s="16" t="n">
        <v>80.4</v>
      </c>
      <c r="ZW238" s="16" t="n">
        <v>11.6</v>
      </c>
      <c r="ZX238" s="0" t="n">
        <v>86.21</v>
      </c>
      <c r="ZY238" s="0" t="n">
        <v>1.64</v>
      </c>
      <c r="ZZ238" s="0" t="n">
        <v>0.45</v>
      </c>
      <c r="AAA238" s="0" t="n">
        <v>0</v>
      </c>
      <c r="AAB238" s="0" t="n">
        <v>11.7</v>
      </c>
      <c r="AAC238" s="0" t="n">
        <v>0</v>
      </c>
      <c r="AAD238" s="0" t="n">
        <v>0</v>
      </c>
      <c r="AAE238" s="0" t="n">
        <v>0</v>
      </c>
      <c r="AAF238" s="0" t="n">
        <v>0</v>
      </c>
      <c r="AAG238" s="0" t="n">
        <v>0</v>
      </c>
      <c r="AAH238" s="0" t="n">
        <v>0</v>
      </c>
      <c r="AAI238" s="0" t="n">
        <v>0</v>
      </c>
      <c r="AAJ238" s="0" t="n">
        <v>14.73</v>
      </c>
      <c r="AAK238" s="0" t="n">
        <v>7.98</v>
      </c>
      <c r="AAL238" s="0" t="n">
        <v>0</v>
      </c>
      <c r="AAM238" s="0" t="n">
        <v>0</v>
      </c>
      <c r="AAN238" s="0" t="n">
        <v>0</v>
      </c>
      <c r="AAO238" s="0" t="n">
        <v>0</v>
      </c>
      <c r="ABB238" s="0" t="n">
        <v>0</v>
      </c>
      <c r="ABC238" s="0" t="n">
        <v>0</v>
      </c>
      <c r="ABN238" s="18"/>
      <c r="ACF238" s="0" t="n">
        <v>0</v>
      </c>
      <c r="ADQ238" s="16" t="n">
        <v>0</v>
      </c>
      <c r="ADR238" s="16" t="n">
        <v>0</v>
      </c>
      <c r="ADS238" s="16"/>
      <c r="ADT238" s="16"/>
      <c r="ADU238" s="16"/>
      <c r="ADV238" s="16"/>
      <c r="ADW238" s="16"/>
      <c r="ADX238" s="16"/>
      <c r="ADY238" s="16"/>
      <c r="ADZ238" s="16"/>
      <c r="AEA238" s="16"/>
      <c r="AEB238" s="16" t="n">
        <v>5.22</v>
      </c>
      <c r="AEC238" s="16" t="n">
        <v>5.37</v>
      </c>
      <c r="AED238" s="16"/>
      <c r="AEE238" s="16"/>
      <c r="AEF238" s="16" t="n">
        <v>0</v>
      </c>
      <c r="AEG238" s="16" t="n">
        <v>0</v>
      </c>
      <c r="AEH238" s="16" t="n">
        <v>0.19</v>
      </c>
      <c r="AEI238" s="0" t="n">
        <v>0</v>
      </c>
      <c r="AEJ238" s="0" t="s">
        <v>551</v>
      </c>
      <c r="AEK238" s="0" t="n">
        <v>17.5</v>
      </c>
      <c r="AEL238" s="16" t="n">
        <v>87.6</v>
      </c>
      <c r="AEM238" s="16" t="n">
        <v>80.4</v>
      </c>
      <c r="AEN238" s="16" t="n">
        <v>12</v>
      </c>
      <c r="AEO238" s="0" t="n">
        <v>84.96</v>
      </c>
      <c r="AEP238" s="0" t="n">
        <v>1.61</v>
      </c>
      <c r="AEQ238" s="0" t="n">
        <v>0.45</v>
      </c>
      <c r="AER238" s="0" t="n">
        <v>0</v>
      </c>
      <c r="AES238" s="0" t="n">
        <v>12.98</v>
      </c>
      <c r="AET238" s="0" t="n">
        <v>0</v>
      </c>
      <c r="AEU238" s="0" t="n">
        <v>0</v>
      </c>
      <c r="AEV238" s="0" t="n">
        <v>0</v>
      </c>
      <c r="AEW238" s="0" t="n">
        <v>0</v>
      </c>
      <c r="AEX238" s="0" t="n">
        <v>0</v>
      </c>
      <c r="AEY238" s="0" t="n">
        <v>0</v>
      </c>
      <c r="AEZ238" s="0" t="n">
        <v>0</v>
      </c>
      <c r="AFA238" s="0" t="n">
        <v>15.99</v>
      </c>
      <c r="AFB238" s="0" t="n">
        <v>7.84</v>
      </c>
      <c r="AFC238" s="0" t="n">
        <v>0</v>
      </c>
      <c r="AFD238" s="0" t="n">
        <v>0</v>
      </c>
      <c r="AFE238" s="0" t="n">
        <v>0</v>
      </c>
      <c r="AFF238" s="0" t="n">
        <v>0</v>
      </c>
      <c r="AFS238" s="0" t="n">
        <v>0</v>
      </c>
      <c r="AFT238" s="0" t="n">
        <v>0</v>
      </c>
      <c r="AGE238" s="18"/>
      <c r="AGW238" s="0" t="n">
        <v>0</v>
      </c>
      <c r="AIH238" s="16" t="n">
        <v>0</v>
      </c>
      <c r="AII238" s="16" t="n">
        <v>0</v>
      </c>
      <c r="AIJ238" s="16"/>
      <c r="AIK238" s="16"/>
      <c r="AIL238" s="16"/>
      <c r="AIM238" s="16"/>
      <c r="AIN238" s="16"/>
      <c r="AIO238" s="16"/>
      <c r="AIP238" s="16"/>
      <c r="AIQ238" s="16"/>
      <c r="AIR238" s="16"/>
      <c r="AIS238" s="16" t="n">
        <v>5.22</v>
      </c>
      <c r="AIT238" s="16" t="n">
        <v>5.37</v>
      </c>
      <c r="AIU238" s="16"/>
      <c r="AIV238" s="16"/>
      <c r="AIW238" s="16" t="n">
        <v>0</v>
      </c>
      <c r="AIX238" s="16" t="n">
        <v>0</v>
      </c>
      <c r="AIY238" s="16" t="n">
        <v>0.19</v>
      </c>
      <c r="AIZ238" s="0" t="n">
        <v>0</v>
      </c>
      <c r="AJA238" s="0" t="s">
        <v>552</v>
      </c>
      <c r="AJB238" s="0" t="n">
        <v>16.5</v>
      </c>
      <c r="AJC238" s="16" t="n">
        <v>73.2</v>
      </c>
      <c r="AJD238" s="16" t="n">
        <v>80.4</v>
      </c>
      <c r="AJE238" s="16" t="n">
        <v>10.2</v>
      </c>
      <c r="AJF238" s="0" t="n">
        <v>69.43</v>
      </c>
      <c r="AJG238" s="0" t="n">
        <v>29.45</v>
      </c>
      <c r="AJH238" s="0" t="n">
        <v>1.12</v>
      </c>
      <c r="AJI238" s="0" t="n">
        <v>0</v>
      </c>
      <c r="AJJ238" s="0" t="n">
        <v>0</v>
      </c>
      <c r="AJK238" s="0" t="n">
        <v>0</v>
      </c>
      <c r="AJL238" s="0" t="n">
        <v>0</v>
      </c>
      <c r="AJM238" s="0" t="n">
        <v>0</v>
      </c>
      <c r="AJN238" s="0" t="n">
        <v>0</v>
      </c>
      <c r="AJO238" s="0" t="n">
        <v>0</v>
      </c>
      <c r="AJP238" s="0" t="n">
        <v>0</v>
      </c>
      <c r="AJQ238" s="0" t="n">
        <v>0</v>
      </c>
      <c r="AJR238" s="0" t="n">
        <v>29.3</v>
      </c>
      <c r="AJS238" s="0" t="n">
        <v>10.81</v>
      </c>
      <c r="AJT238" s="0" t="n">
        <v>0</v>
      </c>
      <c r="AJU238" s="0" t="n">
        <v>0</v>
      </c>
      <c r="AJV238" s="0" t="n">
        <v>5.9</v>
      </c>
      <c r="AJW238" s="0" t="n">
        <v>2</v>
      </c>
      <c r="AJX238" s="0" t="n">
        <v>3</v>
      </c>
      <c r="AJY238" s="0" t="n">
        <v>2.01</v>
      </c>
      <c r="AKD238" s="0" t="n">
        <v>3</v>
      </c>
      <c r="AKE238" s="0" t="n">
        <v>2.01</v>
      </c>
      <c r="AKJ238" s="0" t="n">
        <v>0</v>
      </c>
      <c r="AKK238" s="0" t="n">
        <v>0</v>
      </c>
      <c r="AKV238" s="18"/>
      <c r="ALN238" s="0" t="n">
        <v>0</v>
      </c>
    </row>
    <row r="239" customFormat="false" ht="13.8" hidden="false" customHeight="false" outlineLevel="0" collapsed="false">
      <c r="A239" s="1" t="s">
        <v>754</v>
      </c>
      <c r="B239" s="12" t="n">
        <v>42908</v>
      </c>
      <c r="C239" s="0" t="n">
        <v>2</v>
      </c>
      <c r="D239" s="13" t="n">
        <v>39041</v>
      </c>
      <c r="E239" s="12" t="n">
        <v>31286</v>
      </c>
      <c r="F239" s="14" t="n">
        <f aca="false">(B239-E239)/365.25</f>
        <v>31.8193018480493</v>
      </c>
      <c r="G239" s="14" t="n">
        <f aca="false">(B239-D239)/365.25</f>
        <v>10.5872689938398</v>
      </c>
      <c r="H239" s="19" t="s">
        <v>217</v>
      </c>
      <c r="I239" s="15" t="s">
        <v>545</v>
      </c>
      <c r="J239" s="21" t="s">
        <v>183</v>
      </c>
      <c r="K239" s="21" t="n">
        <v>8</v>
      </c>
      <c r="L239" s="19"/>
      <c r="N239" s="16" t="e">
        <f aca="false">L239/(M239*M239)</f>
        <v>#DIV/0!</v>
      </c>
      <c r="O239" s="19" t="n">
        <v>0</v>
      </c>
      <c r="P239" s="19" t="n">
        <v>0</v>
      </c>
      <c r="Q239" s="19" t="n">
        <v>0</v>
      </c>
      <c r="R239" s="26" t="n">
        <v>0</v>
      </c>
      <c r="S239" s="26" t="n">
        <v>0</v>
      </c>
      <c r="T239" s="26" t="n">
        <v>0</v>
      </c>
      <c r="U239" s="19" t="n">
        <v>0</v>
      </c>
      <c r="V239" s="19" t="n">
        <v>0</v>
      </c>
      <c r="W239" s="19" t="n">
        <v>1</v>
      </c>
      <c r="X239" s="19" t="n">
        <v>0</v>
      </c>
      <c r="Y239" s="19" t="n">
        <v>1</v>
      </c>
      <c r="Z239" s="19" t="n">
        <v>2</v>
      </c>
      <c r="AA239" s="19" t="n">
        <v>120</v>
      </c>
      <c r="AB239" s="19" t="s">
        <v>755</v>
      </c>
      <c r="AC239" s="19" t="n">
        <v>0</v>
      </c>
      <c r="AD239" s="19" t="n">
        <v>0</v>
      </c>
      <c r="AE239" s="19" t="n">
        <v>0</v>
      </c>
      <c r="AF239" s="19" t="n">
        <v>0</v>
      </c>
      <c r="AG239" s="19" t="n">
        <v>0</v>
      </c>
      <c r="AH239" s="19" t="n">
        <v>0</v>
      </c>
      <c r="AI239" s="19" t="n">
        <v>0</v>
      </c>
      <c r="AJ239" s="19" t="n">
        <v>0</v>
      </c>
      <c r="AK239" s="19" t="n">
        <v>0</v>
      </c>
      <c r="AL239" s="19" t="n">
        <v>0</v>
      </c>
      <c r="AM239" s="19" t="n">
        <v>0</v>
      </c>
      <c r="AN239" s="19" t="n">
        <v>0</v>
      </c>
      <c r="AO239" s="19" t="n">
        <v>0</v>
      </c>
      <c r="AP239" s="19" t="n">
        <v>0</v>
      </c>
      <c r="AQ239" s="19" t="n">
        <v>0</v>
      </c>
      <c r="AR239" s="19" t="n">
        <v>0</v>
      </c>
      <c r="AS239" s="19" t="n">
        <v>0</v>
      </c>
      <c r="AT239" s="19" t="n">
        <v>0</v>
      </c>
      <c r="AU239" s="19" t="n">
        <v>0</v>
      </c>
      <c r="AV239" s="19" t="n">
        <v>0</v>
      </c>
      <c r="AW239" s="19" t="n">
        <v>0</v>
      </c>
      <c r="AX239" s="19" t="n">
        <v>0</v>
      </c>
      <c r="AY239" s="19" t="n">
        <v>0</v>
      </c>
      <c r="AZ239" s="19" t="n">
        <v>0</v>
      </c>
      <c r="BA239" s="19" t="n">
        <v>0</v>
      </c>
      <c r="BB239" s="19" t="n">
        <v>1</v>
      </c>
      <c r="BC239" s="19" t="n">
        <v>1</v>
      </c>
      <c r="BD239" s="19" t="n">
        <v>1</v>
      </c>
      <c r="BE239" s="19" t="n">
        <v>4</v>
      </c>
      <c r="BF239" s="19" t="n">
        <v>0</v>
      </c>
      <c r="BG239" s="19" t="n">
        <v>0</v>
      </c>
      <c r="BH239" s="19" t="n">
        <v>0</v>
      </c>
      <c r="BI239" s="19" t="n">
        <v>0</v>
      </c>
      <c r="BJ239" s="26" t="n">
        <v>0</v>
      </c>
      <c r="BK239" s="26" t="n">
        <v>0</v>
      </c>
      <c r="BL239" s="26" t="n">
        <v>0</v>
      </c>
      <c r="BM239" s="26" t="n">
        <v>0</v>
      </c>
      <c r="BN239" s="19" t="n">
        <v>0</v>
      </c>
      <c r="BO239" s="19" t="n">
        <v>0</v>
      </c>
      <c r="BP239" s="19" t="n">
        <v>0</v>
      </c>
      <c r="BQ239" s="19" t="n">
        <v>0</v>
      </c>
      <c r="BR239" s="19" t="n">
        <v>3</v>
      </c>
      <c r="BS239" s="19" t="n">
        <v>2</v>
      </c>
      <c r="BT239" s="19" t="n">
        <v>2</v>
      </c>
      <c r="BU239" s="19" t="n">
        <v>5</v>
      </c>
      <c r="BV239" s="19" t="n">
        <v>2</v>
      </c>
      <c r="BW239" s="19" t="n">
        <v>5</v>
      </c>
      <c r="BX239" s="19" t="n">
        <v>3</v>
      </c>
      <c r="BY239" s="19" t="n">
        <v>5</v>
      </c>
      <c r="BZ239" s="19" t="n">
        <v>3</v>
      </c>
      <c r="CA239" s="19" t="n">
        <v>4</v>
      </c>
      <c r="CB239" s="19" t="n">
        <v>4</v>
      </c>
      <c r="CC239" s="19" t="n">
        <v>5</v>
      </c>
      <c r="CD239" s="19" t="n">
        <v>1</v>
      </c>
      <c r="CE239" s="19" t="n">
        <v>4</v>
      </c>
      <c r="CF239" s="19" t="n">
        <v>4</v>
      </c>
      <c r="CG239" s="19" t="n">
        <v>5</v>
      </c>
      <c r="CH239" s="19" t="n">
        <v>3</v>
      </c>
      <c r="CI239" s="19" t="n">
        <v>3</v>
      </c>
      <c r="CJ239" s="19" t="n">
        <v>4</v>
      </c>
      <c r="CK239" s="19"/>
      <c r="CL239" s="0" t="s">
        <v>555</v>
      </c>
      <c r="CM239" s="0" t="n">
        <v>35</v>
      </c>
      <c r="CN239" s="16" t="n">
        <v>78.8</v>
      </c>
      <c r="CO239" s="16" t="n">
        <v>80.4</v>
      </c>
      <c r="CP239" s="16" t="n">
        <v>17.2</v>
      </c>
      <c r="CQ239" s="0" t="n">
        <v>72.07</v>
      </c>
      <c r="CR239" s="0" t="n">
        <v>11.09</v>
      </c>
      <c r="CS239" s="0" t="n">
        <v>1.12</v>
      </c>
      <c r="CT239" s="0" t="n">
        <v>0</v>
      </c>
      <c r="CU239" s="0" t="n">
        <v>15.71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1.66</v>
      </c>
      <c r="DD239" s="0" t="n">
        <v>34.99</v>
      </c>
      <c r="DE239" s="0" t="n">
        <v>0</v>
      </c>
      <c r="DF239" s="0" t="n">
        <v>0</v>
      </c>
      <c r="DG239" s="0" t="n">
        <v>0</v>
      </c>
      <c r="DH239" s="0" t="n">
        <v>0</v>
      </c>
      <c r="DU239" s="0" t="n">
        <v>11.2</v>
      </c>
      <c r="DV239" s="0" t="n">
        <v>1</v>
      </c>
      <c r="DW239" s="0" t="n">
        <v>52</v>
      </c>
      <c r="DX239" s="0" t="n">
        <f aca="false">18+1+15</f>
        <v>34</v>
      </c>
      <c r="DY239" s="0" t="n">
        <f aca="false">3.2+2.05+0.07</f>
        <v>5.32</v>
      </c>
      <c r="DZ239" s="0" t="n">
        <v>2</v>
      </c>
      <c r="EG239" s="18"/>
      <c r="EY239" s="0" t="n">
        <v>0</v>
      </c>
      <c r="GJ239" s="16" t="n">
        <v>0</v>
      </c>
      <c r="GK239" s="16" t="n">
        <v>0</v>
      </c>
      <c r="GL239" s="16"/>
      <c r="GM239" s="16"/>
      <c r="GN239" s="16"/>
      <c r="GO239" s="16"/>
      <c r="GP239" s="16"/>
      <c r="GQ239" s="16"/>
      <c r="GR239" s="16"/>
      <c r="GS239" s="16"/>
      <c r="GT239" s="16"/>
      <c r="GU239" s="16" t="n">
        <v>6.16</v>
      </c>
      <c r="GV239" s="16" t="n">
        <v>7.21</v>
      </c>
      <c r="GW239" s="16"/>
      <c r="GX239" s="16"/>
      <c r="GY239" s="16" t="n">
        <v>0</v>
      </c>
      <c r="GZ239" s="16" t="n">
        <v>0</v>
      </c>
      <c r="HA239" s="16" t="n">
        <v>0</v>
      </c>
      <c r="HB239" s="0" t="n">
        <v>0</v>
      </c>
      <c r="HC239" s="0" t="s">
        <v>546</v>
      </c>
      <c r="HD239" s="0" t="n">
        <v>16.5</v>
      </c>
      <c r="HE239" s="16" t="n">
        <v>35.3</v>
      </c>
      <c r="HF239" s="16" t="n">
        <v>80.4</v>
      </c>
      <c r="HG239" s="16" t="n">
        <v>9.7</v>
      </c>
      <c r="HH239" s="0" t="n">
        <v>86.56</v>
      </c>
      <c r="HI239" s="0" t="n">
        <v>12.61</v>
      </c>
      <c r="HJ239" s="0" t="n">
        <v>0</v>
      </c>
      <c r="HK239" s="0" t="n">
        <v>0</v>
      </c>
      <c r="HL239" s="0" t="n">
        <v>0.83</v>
      </c>
      <c r="HM239" s="0" t="n">
        <v>0</v>
      </c>
      <c r="HN239" s="0" t="n">
        <v>0</v>
      </c>
      <c r="HO239" s="0" t="n">
        <v>0</v>
      </c>
      <c r="HP239" s="0" t="n">
        <v>0</v>
      </c>
      <c r="HQ239" s="0" t="n">
        <v>0</v>
      </c>
      <c r="HR239" s="0" t="n">
        <v>0</v>
      </c>
      <c r="HS239" s="0" t="n">
        <v>0</v>
      </c>
      <c r="HT239" s="0" t="n">
        <v>2.22</v>
      </c>
      <c r="HU239" s="0" t="n">
        <v>20.83</v>
      </c>
      <c r="HV239" s="0" t="n">
        <v>0</v>
      </c>
      <c r="HW239" s="0" t="n">
        <v>0</v>
      </c>
      <c r="HX239" s="0" t="n">
        <v>0</v>
      </c>
      <c r="HY239" s="0" t="n">
        <v>0</v>
      </c>
      <c r="IL239" s="0" t="n">
        <v>0.3</v>
      </c>
      <c r="IM239" s="0" t="n">
        <v>1</v>
      </c>
      <c r="IN239" s="0" t="n">
        <v>34</v>
      </c>
      <c r="IO239" s="0" t="n">
        <v>4</v>
      </c>
      <c r="IP239" s="0" t="n">
        <f aca="false">1.35+0.45+1.35+0.45</f>
        <v>3.6</v>
      </c>
      <c r="IQ239" s="0" t="n">
        <v>1</v>
      </c>
      <c r="IR239" s="0" t="n">
        <v>52</v>
      </c>
      <c r="IS239" s="0" t="n">
        <v>1</v>
      </c>
      <c r="IT239" s="0" t="n">
        <f aca="false">0.18</f>
        <v>0.18</v>
      </c>
      <c r="IU239" s="0" t="n">
        <v>2</v>
      </c>
      <c r="IX239" s="18"/>
      <c r="JP239" s="0" t="n">
        <v>0</v>
      </c>
      <c r="LA239" s="16" t="n">
        <v>0.28</v>
      </c>
      <c r="LB239" s="16" t="n">
        <v>1</v>
      </c>
      <c r="LC239" s="16" t="n">
        <v>2</v>
      </c>
      <c r="LD239" s="16"/>
      <c r="LE239" s="16" t="n">
        <f aca="false">0.37+0.26</f>
        <v>0.63</v>
      </c>
      <c r="LF239" s="16"/>
      <c r="LG239" s="16"/>
      <c r="LH239" s="16"/>
      <c r="LI239" s="16"/>
      <c r="LJ239" s="16"/>
      <c r="LK239" s="16"/>
      <c r="LL239" s="16" t="n">
        <v>5.99</v>
      </c>
      <c r="LM239" s="16" t="n">
        <v>5.34</v>
      </c>
      <c r="LN239" s="16"/>
      <c r="LO239" s="16"/>
      <c r="LP239" s="16" t="n">
        <v>0</v>
      </c>
      <c r="LQ239" s="16" t="n">
        <v>0</v>
      </c>
      <c r="LR239" s="16" t="n">
        <v>0</v>
      </c>
      <c r="LS239" s="0" t="n">
        <v>0</v>
      </c>
      <c r="LT239" s="0" t="s">
        <v>547</v>
      </c>
      <c r="LU239" s="0" t="n">
        <v>29.5</v>
      </c>
      <c r="LV239" s="16" t="n">
        <v>87.5</v>
      </c>
      <c r="LW239" s="16" t="n">
        <v>80.4</v>
      </c>
      <c r="LX239" s="16" t="n">
        <v>14.3</v>
      </c>
      <c r="LY239" s="0" t="n">
        <v>68.7</v>
      </c>
      <c r="LZ239" s="0" t="n">
        <v>23.24</v>
      </c>
      <c r="MA239" s="0" t="n">
        <v>1.79</v>
      </c>
      <c r="MB239" s="0" t="n">
        <v>0</v>
      </c>
      <c r="MC239" s="0" t="n">
        <v>6.27</v>
      </c>
      <c r="MD239" s="0" t="n">
        <v>0</v>
      </c>
      <c r="ME239" s="0" t="n">
        <v>0</v>
      </c>
      <c r="MF239" s="0" t="n">
        <v>0</v>
      </c>
      <c r="MG239" s="0" t="n">
        <v>0</v>
      </c>
      <c r="MH239" s="0" t="n">
        <v>0</v>
      </c>
      <c r="MI239" s="0" t="n">
        <v>0</v>
      </c>
      <c r="MJ239" s="0" t="n">
        <v>0</v>
      </c>
      <c r="MK239" s="0" t="n">
        <v>7.01</v>
      </c>
      <c r="ML239" s="0" t="n">
        <v>58.72</v>
      </c>
      <c r="MM239" s="0" t="n">
        <v>0.23</v>
      </c>
      <c r="MN239" s="0" t="n">
        <v>0</v>
      </c>
      <c r="MO239" s="0" t="n">
        <v>0.5</v>
      </c>
      <c r="MP239" s="0" t="n">
        <v>2</v>
      </c>
      <c r="MQ239" s="0" t="n">
        <v>7</v>
      </c>
      <c r="MR239" s="0" t="n">
        <v>0.08</v>
      </c>
      <c r="MW239" s="0" t="n">
        <v>7</v>
      </c>
      <c r="MX239" s="0" t="n">
        <v>0.08</v>
      </c>
      <c r="NC239" s="0" t="n">
        <v>0</v>
      </c>
      <c r="ND239" s="0" t="n">
        <v>1</v>
      </c>
      <c r="NE239" s="0" t="n">
        <v>23</v>
      </c>
      <c r="NF239" s="0" t="n">
        <v>2</v>
      </c>
      <c r="NG239" s="0" t="n">
        <v>0.9</v>
      </c>
      <c r="NH239" s="0" t="n">
        <v>3</v>
      </c>
      <c r="NO239" s="18"/>
      <c r="OG239" s="0" t="n">
        <v>1</v>
      </c>
      <c r="OH239" s="0" t="n">
        <v>50</v>
      </c>
      <c r="OI239" s="0" t="n">
        <v>2</v>
      </c>
      <c r="OJ239" s="0" t="n">
        <f aca="false">3.13+23.63</f>
        <v>26.76</v>
      </c>
      <c r="OK239" s="0" t="n">
        <v>3</v>
      </c>
      <c r="PR239" s="16" t="n">
        <v>1.49</v>
      </c>
      <c r="PS239" s="16" t="n">
        <v>1</v>
      </c>
      <c r="PT239" s="16" t="n">
        <v>1</v>
      </c>
      <c r="PU239" s="16"/>
      <c r="PV239" s="16" t="n">
        <f aca="false">1.91+2.02+2.02+1.35</f>
        <v>7.3</v>
      </c>
      <c r="PW239" s="16" t="n">
        <v>2</v>
      </c>
      <c r="PX239" s="16"/>
      <c r="PY239" s="16" t="n">
        <v>0.21</v>
      </c>
      <c r="PZ239" s="16"/>
      <c r="QA239" s="16"/>
      <c r="QB239" s="16"/>
      <c r="QC239" s="16" t="n">
        <v>10.82</v>
      </c>
      <c r="QD239" s="16" t="n">
        <v>14.57</v>
      </c>
      <c r="QE239" s="16"/>
      <c r="QF239" s="16"/>
      <c r="QG239" s="16" t="n">
        <v>2.24</v>
      </c>
      <c r="QH239" s="16" t="n">
        <v>0.9</v>
      </c>
      <c r="QI239" s="16" t="n">
        <v>0</v>
      </c>
      <c r="QJ239" s="0" t="n">
        <v>0</v>
      </c>
      <c r="QK239" s="0" t="s">
        <v>548</v>
      </c>
      <c r="QL239" s="0" t="n">
        <v>50</v>
      </c>
      <c r="QM239" s="16" t="n">
        <v>80</v>
      </c>
      <c r="QN239" s="16" t="n">
        <v>80.4</v>
      </c>
      <c r="QO239" s="16" t="n">
        <v>16.9</v>
      </c>
      <c r="QP239" s="0" t="n">
        <v>58.18</v>
      </c>
      <c r="QQ239" s="0" t="n">
        <v>32.94</v>
      </c>
      <c r="QR239" s="0" t="n">
        <v>1.79</v>
      </c>
      <c r="QS239" s="0" t="n">
        <v>0</v>
      </c>
      <c r="QT239" s="0" t="n">
        <v>7.09</v>
      </c>
      <c r="QU239" s="0" t="n">
        <v>0</v>
      </c>
      <c r="QV239" s="0" t="n">
        <v>0</v>
      </c>
      <c r="QW239" s="0" t="n">
        <v>0</v>
      </c>
      <c r="QX239" s="0" t="n">
        <v>0</v>
      </c>
      <c r="QY239" s="0" t="n">
        <v>0</v>
      </c>
      <c r="QZ239" s="0" t="n">
        <v>0</v>
      </c>
      <c r="RA239" s="0" t="n">
        <v>0</v>
      </c>
      <c r="RB239" s="0" t="n">
        <v>3.53</v>
      </c>
      <c r="RC239" s="0" t="n">
        <v>45.12</v>
      </c>
      <c r="RD239" s="0" t="n">
        <v>0</v>
      </c>
      <c r="RE239" s="0" t="n">
        <v>0</v>
      </c>
      <c r="RF239" s="0" t="n">
        <v>0</v>
      </c>
      <c r="RG239" s="0" t="n">
        <v>0</v>
      </c>
      <c r="RT239" s="0" t="n">
        <v>8.2</v>
      </c>
      <c r="RU239" s="0" t="n">
        <v>1</v>
      </c>
      <c r="RV239" s="0" t="n">
        <v>23</v>
      </c>
      <c r="RW239" s="0" t="n">
        <v>1</v>
      </c>
      <c r="RX239" s="0" t="n">
        <v>0.45</v>
      </c>
      <c r="RY239" s="0" t="n">
        <v>3</v>
      </c>
      <c r="RZ239" s="0" t="n">
        <v>34</v>
      </c>
      <c r="SA239" s="0" t="n">
        <v>28</v>
      </c>
      <c r="SB239" s="0" t="n">
        <f aca="false">0.45+0.18+1.6+0.24+0.37+4.39+0.49+0.04+0.32+0.05+1.38</f>
        <v>9.51</v>
      </c>
      <c r="SC239" s="0" t="n">
        <v>1</v>
      </c>
      <c r="SF239" s="18"/>
      <c r="SX239" s="0" t="n">
        <v>0</v>
      </c>
      <c r="UI239" s="16" t="n">
        <v>1.65</v>
      </c>
      <c r="UJ239" s="16" t="n">
        <v>1</v>
      </c>
      <c r="UK239" s="16" t="n">
        <v>1</v>
      </c>
      <c r="UL239" s="16"/>
      <c r="UM239" s="16" t="n">
        <f aca="false">0.18</f>
        <v>0.18</v>
      </c>
      <c r="UN239" s="16" t="n">
        <v>2</v>
      </c>
      <c r="UO239" s="16"/>
      <c r="UP239" s="16" t="n">
        <f aca="false">1.65+0.91+6.23+0.66</f>
        <v>9.45</v>
      </c>
      <c r="UQ239" s="16"/>
      <c r="UR239" s="16"/>
      <c r="US239" s="16"/>
      <c r="UT239" s="16" t="n">
        <v>20.65</v>
      </c>
      <c r="UU239" s="16" t="n">
        <v>33.56</v>
      </c>
      <c r="UV239" s="16"/>
      <c r="UW239" s="16"/>
      <c r="UX239" s="16" t="n">
        <v>2.24</v>
      </c>
      <c r="UY239" s="16" t="n">
        <v>0.45</v>
      </c>
      <c r="UZ239" s="16" t="n">
        <v>0</v>
      </c>
      <c r="VA239" s="0" t="n">
        <v>0.45</v>
      </c>
      <c r="VB239" s="0" t="s">
        <v>549</v>
      </c>
      <c r="VC239" s="0" t="n">
        <v>31.5</v>
      </c>
      <c r="VD239" s="16" t="n">
        <v>79.9</v>
      </c>
      <c r="VE239" s="16" t="n">
        <v>80.4</v>
      </c>
      <c r="VF239" s="16" t="n">
        <v>17.8</v>
      </c>
      <c r="VG239" s="0" t="n">
        <v>71.45</v>
      </c>
      <c r="VH239" s="0" t="n">
        <v>9.43</v>
      </c>
      <c r="VI239" s="0" t="n">
        <v>1.12</v>
      </c>
      <c r="VJ239" s="0" t="n">
        <v>0</v>
      </c>
      <c r="VK239" s="0" t="n">
        <v>18.01</v>
      </c>
      <c r="VL239" s="0" t="n">
        <v>0</v>
      </c>
      <c r="VM239" s="0" t="n">
        <v>0</v>
      </c>
      <c r="VN239" s="0" t="n">
        <v>0</v>
      </c>
      <c r="VO239" s="0" t="n">
        <v>0</v>
      </c>
      <c r="VP239" s="0" t="n">
        <v>0</v>
      </c>
      <c r="VQ239" s="0" t="n">
        <v>0</v>
      </c>
      <c r="VR239" s="0" t="n">
        <v>0</v>
      </c>
      <c r="VS239" s="0" t="n">
        <v>8.44</v>
      </c>
      <c r="VT239" s="0" t="n">
        <v>63.45</v>
      </c>
      <c r="VU239" s="0" t="n">
        <v>0</v>
      </c>
      <c r="VV239" s="0" t="n">
        <v>0</v>
      </c>
      <c r="VW239" s="0" t="n">
        <v>0</v>
      </c>
      <c r="VX239" s="0" t="n">
        <v>0</v>
      </c>
      <c r="WK239" s="0" t="n">
        <v>2</v>
      </c>
      <c r="WL239" s="0" t="n">
        <v>1</v>
      </c>
      <c r="WM239" s="0" t="n">
        <v>52</v>
      </c>
      <c r="WN239" s="0" t="n">
        <v>2</v>
      </c>
      <c r="WO239" s="0" t="n">
        <f aca="false">0.9+0.02</f>
        <v>0.92</v>
      </c>
      <c r="WP239" s="0" t="n">
        <v>2</v>
      </c>
      <c r="WW239" s="18"/>
      <c r="XO239" s="0" t="n">
        <v>1</v>
      </c>
      <c r="XP239" s="0" t="n">
        <v>50</v>
      </c>
      <c r="XQ239" s="0" t="n">
        <v>9</v>
      </c>
      <c r="XR239" s="0" t="n">
        <f aca="false">19.9+3.13</f>
        <v>23.03</v>
      </c>
      <c r="XS239" s="0" t="n">
        <v>3</v>
      </c>
      <c r="YZ239" s="16" t="n">
        <v>1.47</v>
      </c>
      <c r="ZA239" s="16" t="n">
        <v>1</v>
      </c>
      <c r="ZB239" s="16" t="n">
        <v>1</v>
      </c>
      <c r="ZC239" s="16"/>
      <c r="ZD239" s="16" t="n">
        <v>2.13</v>
      </c>
      <c r="ZE239" s="16" t="n">
        <v>2</v>
      </c>
      <c r="ZF239" s="16"/>
      <c r="ZG239" s="16" t="n">
        <v>3.37</v>
      </c>
      <c r="ZH239" s="16"/>
      <c r="ZI239" s="16"/>
      <c r="ZJ239" s="16"/>
      <c r="ZK239" s="16" t="n">
        <v>5.55</v>
      </c>
      <c r="ZL239" s="16" t="n">
        <v>6.42</v>
      </c>
      <c r="ZM239" s="16"/>
      <c r="ZN239" s="16"/>
      <c r="ZO239" s="16" t="n">
        <v>0</v>
      </c>
      <c r="ZP239" s="16" t="n">
        <v>0</v>
      </c>
      <c r="ZQ239" s="16" t="n">
        <v>4.48</v>
      </c>
      <c r="ZR239" s="0" t="n">
        <v>0</v>
      </c>
      <c r="ZS239" s="0" t="s">
        <v>550</v>
      </c>
      <c r="ZT239" s="0" t="n">
        <v>17</v>
      </c>
      <c r="ZU239" s="16" t="n">
        <v>87.8</v>
      </c>
      <c r="ZV239" s="16" t="n">
        <v>80.4</v>
      </c>
      <c r="ZW239" s="16" t="n">
        <v>11.6</v>
      </c>
      <c r="ZX239" s="0" t="n">
        <v>86.21</v>
      </c>
      <c r="ZY239" s="0" t="n">
        <v>1.64</v>
      </c>
      <c r="ZZ239" s="0" t="n">
        <v>0.45</v>
      </c>
      <c r="AAA239" s="0" t="n">
        <v>0</v>
      </c>
      <c r="AAB239" s="0" t="n">
        <v>11.7</v>
      </c>
      <c r="AAC239" s="0" t="n">
        <v>0</v>
      </c>
      <c r="AAD239" s="0" t="n">
        <v>0</v>
      </c>
      <c r="AAE239" s="0" t="n">
        <v>0</v>
      </c>
      <c r="AAF239" s="0" t="n">
        <v>0</v>
      </c>
      <c r="AAG239" s="0" t="n">
        <v>0</v>
      </c>
      <c r="AAH239" s="0" t="n">
        <v>0</v>
      </c>
      <c r="AAI239" s="0" t="n">
        <v>0</v>
      </c>
      <c r="AAJ239" s="0" t="n">
        <v>14.73</v>
      </c>
      <c r="AAK239" s="0" t="n">
        <v>7.98</v>
      </c>
      <c r="AAL239" s="0" t="n">
        <v>0</v>
      </c>
      <c r="AAM239" s="0" t="n">
        <v>0</v>
      </c>
      <c r="AAN239" s="0" t="n">
        <v>0</v>
      </c>
      <c r="AAO239" s="0" t="n">
        <v>0</v>
      </c>
      <c r="ABB239" s="0" t="n">
        <v>0</v>
      </c>
      <c r="ABC239" s="0" t="n">
        <v>0</v>
      </c>
      <c r="ABN239" s="18"/>
      <c r="ACF239" s="0" t="n">
        <v>0</v>
      </c>
      <c r="ADQ239" s="16" t="n">
        <v>0</v>
      </c>
      <c r="ADR239" s="16" t="n">
        <v>0</v>
      </c>
      <c r="ADS239" s="16"/>
      <c r="ADT239" s="16"/>
      <c r="ADU239" s="16"/>
      <c r="ADV239" s="16"/>
      <c r="ADW239" s="16"/>
      <c r="ADX239" s="16"/>
      <c r="ADY239" s="16"/>
      <c r="ADZ239" s="16"/>
      <c r="AEA239" s="16"/>
      <c r="AEB239" s="16" t="n">
        <v>5.22</v>
      </c>
      <c r="AEC239" s="16" t="n">
        <v>5.37</v>
      </c>
      <c r="AED239" s="16"/>
      <c r="AEE239" s="16"/>
      <c r="AEF239" s="16" t="n">
        <v>0</v>
      </c>
      <c r="AEG239" s="16" t="n">
        <v>0</v>
      </c>
      <c r="AEH239" s="16" t="n">
        <v>0.19</v>
      </c>
      <c r="AEI239" s="0" t="n">
        <v>0</v>
      </c>
      <c r="AEJ239" s="0" t="s">
        <v>551</v>
      </c>
      <c r="AEK239" s="0" t="n">
        <v>17.5</v>
      </c>
      <c r="AEL239" s="16" t="n">
        <v>87.6</v>
      </c>
      <c r="AEM239" s="16" t="n">
        <v>80.4</v>
      </c>
      <c r="AEN239" s="16" t="n">
        <v>12</v>
      </c>
      <c r="AEO239" s="0" t="n">
        <v>84.96</v>
      </c>
      <c r="AEP239" s="0" t="n">
        <v>1.61</v>
      </c>
      <c r="AEQ239" s="0" t="n">
        <v>0.45</v>
      </c>
      <c r="AER239" s="0" t="n">
        <v>0</v>
      </c>
      <c r="AES239" s="0" t="n">
        <v>12.98</v>
      </c>
      <c r="AET239" s="0" t="n">
        <v>0</v>
      </c>
      <c r="AEU239" s="0" t="n">
        <v>0</v>
      </c>
      <c r="AEV239" s="0" t="n">
        <v>0</v>
      </c>
      <c r="AEW239" s="0" t="n">
        <v>0</v>
      </c>
      <c r="AEX239" s="0" t="n">
        <v>0</v>
      </c>
      <c r="AEY239" s="0" t="n">
        <v>0</v>
      </c>
      <c r="AEZ239" s="0" t="n">
        <v>0</v>
      </c>
      <c r="AFA239" s="0" t="n">
        <v>15.99</v>
      </c>
      <c r="AFB239" s="0" t="n">
        <v>7.84</v>
      </c>
      <c r="AFC239" s="0" t="n">
        <v>0</v>
      </c>
      <c r="AFD239" s="0" t="n">
        <v>0</v>
      </c>
      <c r="AFE239" s="0" t="n">
        <v>0</v>
      </c>
      <c r="AFF239" s="0" t="n">
        <v>0</v>
      </c>
      <c r="AFS239" s="0" t="n">
        <v>0</v>
      </c>
      <c r="AFT239" s="0" t="n">
        <v>0</v>
      </c>
      <c r="AGE239" s="18"/>
      <c r="AGW239" s="0" t="n">
        <v>0</v>
      </c>
      <c r="AIH239" s="16" t="n">
        <v>0</v>
      </c>
      <c r="AII239" s="16" t="n">
        <v>0</v>
      </c>
      <c r="AIJ239" s="16"/>
      <c r="AIK239" s="16"/>
      <c r="AIL239" s="16"/>
      <c r="AIM239" s="16"/>
      <c r="AIN239" s="16"/>
      <c r="AIO239" s="16"/>
      <c r="AIP239" s="16"/>
      <c r="AIQ239" s="16"/>
      <c r="AIR239" s="16"/>
      <c r="AIS239" s="16" t="n">
        <v>5.22</v>
      </c>
      <c r="AIT239" s="16" t="n">
        <v>5.37</v>
      </c>
      <c r="AIU239" s="16"/>
      <c r="AIV239" s="16"/>
      <c r="AIW239" s="16" t="n">
        <v>0</v>
      </c>
      <c r="AIX239" s="16" t="n">
        <v>0</v>
      </c>
      <c r="AIY239" s="16" t="n">
        <v>0.19</v>
      </c>
      <c r="AIZ239" s="0" t="n">
        <v>0</v>
      </c>
      <c r="AJA239" s="0" t="s">
        <v>552</v>
      </c>
      <c r="AJB239" s="0" t="n">
        <v>16.5</v>
      </c>
      <c r="AJC239" s="16" t="n">
        <v>73.2</v>
      </c>
      <c r="AJD239" s="16" t="n">
        <v>80.4</v>
      </c>
      <c r="AJE239" s="16" t="n">
        <v>10.2</v>
      </c>
      <c r="AJF239" s="0" t="n">
        <v>69.43</v>
      </c>
      <c r="AJG239" s="0" t="n">
        <v>29.45</v>
      </c>
      <c r="AJH239" s="0" t="n">
        <v>1.12</v>
      </c>
      <c r="AJI239" s="0" t="n">
        <v>0</v>
      </c>
      <c r="AJJ239" s="0" t="n">
        <v>0</v>
      </c>
      <c r="AJK239" s="0" t="n">
        <v>0</v>
      </c>
      <c r="AJL239" s="0" t="n">
        <v>0</v>
      </c>
      <c r="AJM239" s="0" t="n">
        <v>0</v>
      </c>
      <c r="AJN239" s="0" t="n">
        <v>0</v>
      </c>
      <c r="AJO239" s="0" t="n">
        <v>0</v>
      </c>
      <c r="AJP239" s="0" t="n">
        <v>0</v>
      </c>
      <c r="AJQ239" s="0" t="n">
        <v>0</v>
      </c>
      <c r="AJR239" s="0" t="n">
        <v>29.3</v>
      </c>
      <c r="AJS239" s="0" t="n">
        <v>10.81</v>
      </c>
      <c r="AJT239" s="0" t="n">
        <v>0</v>
      </c>
      <c r="AJU239" s="0" t="n">
        <v>0</v>
      </c>
      <c r="AJV239" s="0" t="n">
        <v>5.9</v>
      </c>
      <c r="AJW239" s="0" t="n">
        <v>2</v>
      </c>
      <c r="AJX239" s="0" t="n">
        <v>3</v>
      </c>
      <c r="AJY239" s="0" t="n">
        <v>2.01</v>
      </c>
      <c r="AKD239" s="0" t="n">
        <v>3</v>
      </c>
      <c r="AKE239" s="0" t="n">
        <v>2.01</v>
      </c>
      <c r="AKJ239" s="0" t="n">
        <v>0</v>
      </c>
      <c r="AKK239" s="0" t="n">
        <v>0</v>
      </c>
      <c r="AKV239" s="18"/>
      <c r="ALN239" s="0" t="n">
        <v>0</v>
      </c>
    </row>
    <row r="240" s="24" customFormat="true" ht="13.8" hidden="false" customHeight="false" outlineLevel="0" collapsed="false">
      <c r="A240" s="22" t="s">
        <v>756</v>
      </c>
      <c r="B240" s="23" t="n">
        <v>42894</v>
      </c>
      <c r="C240" s="24" t="n">
        <v>2</v>
      </c>
      <c r="D240" s="25" t="n">
        <v>42793</v>
      </c>
      <c r="E240" s="23" t="n">
        <v>35694</v>
      </c>
      <c r="F240" s="14" t="n">
        <f aca="false">(B240-E240)/365.25</f>
        <v>19.7125256673511</v>
      </c>
      <c r="G240" s="14" t="n">
        <f aca="false">(B240-D240)/365.25</f>
        <v>0.276522929500342</v>
      </c>
      <c r="H240" s="26" t="s">
        <v>181</v>
      </c>
      <c r="I240" s="21" t="s">
        <v>283</v>
      </c>
      <c r="J240" s="21" t="s">
        <v>183</v>
      </c>
      <c r="K240" s="21" t="n">
        <v>8</v>
      </c>
      <c r="L240" s="26" t="n">
        <v>68</v>
      </c>
      <c r="M240" s="24" t="n">
        <v>1.87</v>
      </c>
      <c r="N240" s="27" t="n">
        <f aca="false">L240/(M240*M240)</f>
        <v>19.4457948468644</v>
      </c>
      <c r="O240" s="26" t="n">
        <v>0</v>
      </c>
      <c r="P240" s="26" t="n">
        <v>0</v>
      </c>
      <c r="Q240" s="26" t="n">
        <v>0</v>
      </c>
      <c r="R240" s="26" t="n">
        <v>0</v>
      </c>
      <c r="S240" s="26" t="n">
        <v>0</v>
      </c>
      <c r="T240" s="26" t="n">
        <v>0</v>
      </c>
      <c r="U240" s="19" t="n">
        <v>0</v>
      </c>
      <c r="V240" s="19" t="n">
        <v>0</v>
      </c>
      <c r="W240" s="26" t="n">
        <v>0</v>
      </c>
      <c r="X240" s="26" t="n">
        <v>0</v>
      </c>
      <c r="Y240" s="26" t="n">
        <v>0</v>
      </c>
      <c r="Z240" s="26" t="n">
        <v>0</v>
      </c>
      <c r="AA240" s="26" t="n">
        <v>0</v>
      </c>
      <c r="AB240" s="26" t="n">
        <v>0</v>
      </c>
      <c r="AC240" s="26" t="n">
        <v>0</v>
      </c>
      <c r="AD240" s="26" t="n">
        <v>0</v>
      </c>
      <c r="AE240" s="26" t="n">
        <v>0</v>
      </c>
      <c r="AF240" s="26" t="n">
        <v>0</v>
      </c>
      <c r="AG240" s="26" t="n">
        <v>0</v>
      </c>
      <c r="AH240" s="26" t="n">
        <v>0</v>
      </c>
      <c r="AI240" s="26" t="n">
        <v>0</v>
      </c>
      <c r="AJ240" s="26" t="n">
        <v>0</v>
      </c>
      <c r="AK240" s="26" t="n">
        <v>0</v>
      </c>
      <c r="AL240" s="26" t="n">
        <v>0</v>
      </c>
      <c r="AM240" s="19" t="n">
        <v>0</v>
      </c>
      <c r="AN240" s="26" t="n">
        <v>0</v>
      </c>
      <c r="AO240" s="26" t="n">
        <v>0</v>
      </c>
      <c r="AP240" s="26" t="n">
        <v>0</v>
      </c>
      <c r="AQ240" s="26" t="n">
        <v>0</v>
      </c>
      <c r="AR240" s="26" t="n">
        <v>0</v>
      </c>
      <c r="AS240" s="26" t="n">
        <v>0</v>
      </c>
      <c r="AT240" s="26" t="n">
        <v>0</v>
      </c>
      <c r="AU240" s="26" t="n">
        <v>0</v>
      </c>
      <c r="AV240" s="26" t="n">
        <v>0</v>
      </c>
      <c r="AW240" s="26" t="n">
        <v>0</v>
      </c>
      <c r="AX240" s="19" t="n">
        <v>0</v>
      </c>
      <c r="AY240" s="19" t="n">
        <v>0</v>
      </c>
      <c r="AZ240" s="19" t="n">
        <v>0</v>
      </c>
      <c r="BA240" s="19" t="n">
        <v>0</v>
      </c>
      <c r="BB240" s="26" t="n">
        <v>0</v>
      </c>
      <c r="BC240" s="26" t="n">
        <v>0</v>
      </c>
      <c r="BD240" s="26" t="n">
        <v>0</v>
      </c>
      <c r="BE240" s="26" t="n">
        <v>0</v>
      </c>
      <c r="BF240" s="26" t="n">
        <v>0</v>
      </c>
      <c r="BG240" s="26" t="n">
        <v>0</v>
      </c>
      <c r="BH240" s="26" t="n">
        <v>0</v>
      </c>
      <c r="BI240" s="26" t="n">
        <v>0</v>
      </c>
      <c r="BJ240" s="26" t="n">
        <v>0</v>
      </c>
      <c r="BK240" s="26" t="n">
        <v>0</v>
      </c>
      <c r="BL240" s="26" t="n">
        <v>0</v>
      </c>
      <c r="BM240" s="26" t="n">
        <v>0</v>
      </c>
      <c r="BN240" s="26" t="n">
        <v>0</v>
      </c>
      <c r="BO240" s="26" t="n">
        <v>0</v>
      </c>
      <c r="BP240" s="26" t="n">
        <v>0</v>
      </c>
      <c r="BQ240" s="26" t="n">
        <v>0</v>
      </c>
      <c r="BR240" s="26" t="n">
        <v>1</v>
      </c>
      <c r="BS240" s="26" t="n">
        <v>1</v>
      </c>
      <c r="BT240" s="26" t="n">
        <v>1</v>
      </c>
      <c r="BU240" s="26" t="n">
        <v>5</v>
      </c>
      <c r="BV240" s="26" t="n">
        <v>2</v>
      </c>
      <c r="BW240" s="26" t="n">
        <v>1</v>
      </c>
      <c r="BX240" s="26" t="n">
        <v>3</v>
      </c>
      <c r="BY240" s="26" t="n">
        <v>5</v>
      </c>
      <c r="BZ240" s="26" t="n">
        <v>5</v>
      </c>
      <c r="CA240" s="26" t="n">
        <v>4</v>
      </c>
      <c r="CB240" s="26" t="n">
        <v>5</v>
      </c>
      <c r="CC240" s="26" t="n">
        <v>5</v>
      </c>
      <c r="CD240" s="26" t="n">
        <v>3</v>
      </c>
      <c r="CE240" s="26" t="n">
        <v>4</v>
      </c>
      <c r="CF240" s="26" t="n">
        <v>4</v>
      </c>
      <c r="CG240" s="26" t="n">
        <v>5</v>
      </c>
      <c r="CH240" s="26"/>
      <c r="CI240" s="26"/>
      <c r="CJ240" s="26"/>
      <c r="CK240" s="26"/>
      <c r="CL240" s="24" t="s">
        <v>286</v>
      </c>
      <c r="CM240" s="24" t="n">
        <v>95.5</v>
      </c>
      <c r="CN240" s="27" t="n">
        <v>99.1</v>
      </c>
      <c r="CO240" s="27" t="n">
        <v>80.4</v>
      </c>
      <c r="CP240" s="27" t="n">
        <v>90.4</v>
      </c>
      <c r="CQ240" s="24" t="n">
        <v>24.15</v>
      </c>
      <c r="CR240" s="29" t="n">
        <v>0</v>
      </c>
      <c r="CS240" s="24" t="n">
        <v>31.26</v>
      </c>
      <c r="CT240" s="24" t="n">
        <v>44.6</v>
      </c>
      <c r="CU240" s="24" t="n">
        <v>0</v>
      </c>
      <c r="CV240" s="24" t="n">
        <v>0</v>
      </c>
      <c r="CW240" s="24" t="n">
        <v>0</v>
      </c>
      <c r="CX240" s="24" t="n">
        <v>0</v>
      </c>
      <c r="CY240" s="24" t="n">
        <v>0</v>
      </c>
      <c r="CZ240" s="24" t="n">
        <v>0</v>
      </c>
      <c r="DA240" s="24" t="n">
        <v>0</v>
      </c>
      <c r="DB240" s="24" t="n">
        <v>0</v>
      </c>
      <c r="DC240" s="24" t="n">
        <v>0</v>
      </c>
      <c r="DD240" s="24" t="n">
        <v>24.75</v>
      </c>
      <c r="DE240" s="24" t="n">
        <v>2.47</v>
      </c>
      <c r="DF240" s="24" t="n">
        <v>0</v>
      </c>
      <c r="DG240" s="24" t="n">
        <v>0</v>
      </c>
      <c r="DH240" s="24" t="n">
        <v>0</v>
      </c>
      <c r="DU240" s="24" t="n">
        <v>0.2</v>
      </c>
      <c r="DV240" s="24" t="n">
        <v>1</v>
      </c>
      <c r="DW240" s="24" t="n">
        <v>34</v>
      </c>
      <c r="DX240" s="24" t="n">
        <v>16</v>
      </c>
      <c r="DY240" s="24" t="n">
        <f aca="false">6.09+1.07</f>
        <v>7.16</v>
      </c>
      <c r="DZ240" s="24" t="n">
        <v>1</v>
      </c>
      <c r="EA240" s="24" t="n">
        <v>68</v>
      </c>
      <c r="EB240" s="24" t="n">
        <v>1</v>
      </c>
      <c r="EC240" s="24" t="n">
        <v>0.13</v>
      </c>
      <c r="ED240" s="24" t="n">
        <v>1</v>
      </c>
      <c r="EG240" s="28"/>
      <c r="EY240" s="24" t="n">
        <v>0</v>
      </c>
      <c r="GJ240" s="27" t="n">
        <v>0.63</v>
      </c>
      <c r="GK240" s="27" t="n">
        <v>1</v>
      </c>
      <c r="GL240" s="27" t="n">
        <v>1</v>
      </c>
      <c r="GM240" s="27"/>
      <c r="GN240" s="27" t="n">
        <v>1.52</v>
      </c>
      <c r="GO240" s="27"/>
      <c r="GP240" s="27"/>
      <c r="GQ240" s="27"/>
      <c r="GR240" s="27"/>
      <c r="GS240" s="27"/>
      <c r="GT240" s="27"/>
      <c r="GU240" s="27" t="n">
        <v>0</v>
      </c>
      <c r="GV240" s="27" t="n">
        <v>0</v>
      </c>
      <c r="GW240" s="27"/>
      <c r="GX240" s="27"/>
      <c r="GY240" s="27" t="n">
        <v>0</v>
      </c>
      <c r="GZ240" s="27" t="n">
        <v>0</v>
      </c>
      <c r="HA240" s="27" t="n">
        <v>0</v>
      </c>
      <c r="HB240" s="24" t="n">
        <v>0</v>
      </c>
      <c r="HC240" s="24" t="s">
        <v>287</v>
      </c>
      <c r="HD240" s="24" t="n">
        <v>61.5</v>
      </c>
      <c r="HE240" s="27" t="n">
        <v>83.5</v>
      </c>
      <c r="HF240" s="27" t="n">
        <v>80.4</v>
      </c>
      <c r="HG240" s="27" t="n">
        <v>56.1</v>
      </c>
      <c r="HH240" s="24" t="n">
        <v>51.73</v>
      </c>
      <c r="HI240" s="29" t="n">
        <v>0</v>
      </c>
      <c r="HJ240" s="24" t="n">
        <v>30.08</v>
      </c>
      <c r="HK240" s="24" t="n">
        <v>18.19</v>
      </c>
      <c r="HL240" s="24" t="n">
        <v>0</v>
      </c>
      <c r="HM240" s="24" t="n">
        <v>0</v>
      </c>
      <c r="HN240" s="24" t="n">
        <v>0</v>
      </c>
      <c r="HO240" s="24" t="n">
        <v>0</v>
      </c>
      <c r="HP240" s="24" t="n">
        <v>0</v>
      </c>
      <c r="HQ240" s="24" t="n">
        <v>0</v>
      </c>
      <c r="HR240" s="24" t="n">
        <v>0</v>
      </c>
      <c r="HS240" s="24" t="n">
        <v>0</v>
      </c>
      <c r="HT240" s="24" t="n">
        <v>0.3</v>
      </c>
      <c r="HU240" s="24" t="n">
        <v>27.59</v>
      </c>
      <c r="HV240" s="24" t="n">
        <v>0</v>
      </c>
      <c r="HW240" s="24" t="n">
        <v>0</v>
      </c>
      <c r="HX240" s="24" t="n">
        <v>0</v>
      </c>
      <c r="HY240" s="24" t="n">
        <v>0</v>
      </c>
      <c r="IL240" s="24" t="n">
        <v>0</v>
      </c>
      <c r="IM240" s="24" t="n">
        <v>0</v>
      </c>
      <c r="IX240" s="28"/>
      <c r="JP240" s="24" t="n">
        <v>0</v>
      </c>
      <c r="LA240" s="27" t="n">
        <v>1.96</v>
      </c>
      <c r="LB240" s="27" t="n">
        <v>1</v>
      </c>
      <c r="LC240" s="27" t="n">
        <v>1</v>
      </c>
      <c r="LD240" s="27"/>
      <c r="LE240" s="27" t="n">
        <f aca="false">5.53+3.68+1.71+1.12+0.74</f>
        <v>12.78</v>
      </c>
      <c r="LF240" s="27"/>
      <c r="LG240" s="27"/>
      <c r="LH240" s="27"/>
      <c r="LI240" s="27"/>
      <c r="LJ240" s="27"/>
      <c r="LK240" s="27"/>
      <c r="LL240" s="27" t="n">
        <v>0.94</v>
      </c>
      <c r="LM240" s="27" t="n">
        <v>0.94</v>
      </c>
      <c r="LN240" s="27"/>
      <c r="LO240" s="27"/>
      <c r="LP240" s="27" t="n">
        <v>0</v>
      </c>
      <c r="LQ240" s="27" t="n">
        <v>0</v>
      </c>
      <c r="LR240" s="27" t="n">
        <v>0</v>
      </c>
      <c r="LS240" s="24" t="n">
        <v>0</v>
      </c>
      <c r="LT240" s="24" t="s">
        <v>288</v>
      </c>
      <c r="LU240" s="24" t="n">
        <v>77.5</v>
      </c>
      <c r="LV240" s="27" t="n">
        <v>87.4</v>
      </c>
      <c r="LW240" s="27" t="n">
        <v>80.4</v>
      </c>
      <c r="LX240" s="27" t="n">
        <v>53.5</v>
      </c>
      <c r="LY240" s="24" t="n">
        <v>51.28</v>
      </c>
      <c r="LZ240" s="29" t="n">
        <v>0</v>
      </c>
      <c r="MA240" s="24" t="n">
        <v>27.27</v>
      </c>
      <c r="MB240" s="24" t="n">
        <v>21.22</v>
      </c>
      <c r="MC240" s="24" t="n">
        <v>0</v>
      </c>
      <c r="MD240" s="24" t="n">
        <v>0</v>
      </c>
      <c r="ME240" s="24" t="n">
        <v>0</v>
      </c>
      <c r="MF240" s="24" t="n">
        <v>0</v>
      </c>
      <c r="MG240" s="24" t="n">
        <v>0</v>
      </c>
      <c r="MH240" s="24" t="n">
        <v>0</v>
      </c>
      <c r="MI240" s="24" t="n">
        <v>0</v>
      </c>
      <c r="MJ240" s="24" t="n">
        <v>0</v>
      </c>
      <c r="MK240" s="24" t="n">
        <v>5.93</v>
      </c>
      <c r="ML240" s="24" t="n">
        <v>4.61</v>
      </c>
      <c r="MM240" s="24" t="n">
        <v>5.38</v>
      </c>
      <c r="MN240" s="24" t="n">
        <v>0</v>
      </c>
      <c r="MO240" s="24" t="n">
        <v>15.4</v>
      </c>
      <c r="MP240" s="24" t="n">
        <v>1</v>
      </c>
      <c r="MQ240" s="24" t="n">
        <v>4</v>
      </c>
      <c r="MS240" s="24" t="n">
        <v>2</v>
      </c>
      <c r="MW240" s="24" t="n">
        <v>4</v>
      </c>
      <c r="MY240" s="24" t="n">
        <v>2</v>
      </c>
      <c r="NC240" s="24" t="n">
        <v>6.7</v>
      </c>
      <c r="ND240" s="24" t="n">
        <v>1</v>
      </c>
      <c r="NE240" s="24" t="n">
        <v>35</v>
      </c>
      <c r="NF240" s="24" t="n">
        <v>6</v>
      </c>
      <c r="NG240" s="24" t="n">
        <v>0.8</v>
      </c>
      <c r="NH240" s="24" t="n">
        <v>3</v>
      </c>
      <c r="NI240" s="24" t="n">
        <v>47</v>
      </c>
      <c r="NJ240" s="24" t="n">
        <v>1</v>
      </c>
      <c r="NK240" s="24" t="n">
        <v>0.13</v>
      </c>
      <c r="NL240" s="24" t="n">
        <v>3</v>
      </c>
      <c r="NO240" s="28"/>
      <c r="OG240" s="24" t="n">
        <v>1</v>
      </c>
      <c r="OH240" s="24" t="n">
        <v>60</v>
      </c>
      <c r="OI240" s="24" t="n">
        <v>3</v>
      </c>
      <c r="OJ240" s="24" t="n">
        <v>1.35</v>
      </c>
      <c r="OK240" s="24" t="n">
        <v>2</v>
      </c>
      <c r="PR240" s="27" t="n">
        <v>0</v>
      </c>
      <c r="PS240" s="27" t="n">
        <v>0</v>
      </c>
      <c r="PT240" s="27"/>
      <c r="PU240" s="27"/>
      <c r="PV240" s="27"/>
      <c r="PW240" s="27"/>
      <c r="PX240" s="27"/>
      <c r="PY240" s="27"/>
      <c r="PZ240" s="27"/>
      <c r="QA240" s="27"/>
      <c r="QB240" s="27"/>
      <c r="QC240" s="27" t="n">
        <v>0</v>
      </c>
      <c r="QD240" s="27" t="n">
        <v>0</v>
      </c>
      <c r="QE240" s="27"/>
      <c r="QF240" s="27"/>
      <c r="QG240" s="27" t="n">
        <v>0</v>
      </c>
      <c r="QH240" s="27" t="n">
        <v>0</v>
      </c>
      <c r="QI240" s="27" t="n">
        <v>0</v>
      </c>
      <c r="QJ240" s="24" t="n">
        <v>0</v>
      </c>
      <c r="QK240" s="24" t="s">
        <v>290</v>
      </c>
      <c r="QL240" s="24" t="n">
        <v>43</v>
      </c>
      <c r="QM240" s="27" t="n">
        <v>49.3</v>
      </c>
      <c r="QN240" s="27" t="n">
        <v>80.4</v>
      </c>
      <c r="QO240" s="27" t="n">
        <v>32.9</v>
      </c>
      <c r="QP240" s="24" t="n">
        <v>73.52</v>
      </c>
      <c r="QQ240" s="29" t="n">
        <v>0</v>
      </c>
      <c r="QR240" s="24" t="n">
        <v>16.84</v>
      </c>
      <c r="QS240" s="24" t="n">
        <v>9.64</v>
      </c>
      <c r="QT240" s="24" t="n">
        <v>0</v>
      </c>
      <c r="QU240" s="24" t="n">
        <v>0</v>
      </c>
      <c r="QV240" s="24" t="n">
        <v>0</v>
      </c>
      <c r="QW240" s="24" t="n">
        <v>0</v>
      </c>
      <c r="QX240" s="24" t="n">
        <v>0</v>
      </c>
      <c r="QY240" s="24" t="n">
        <v>0</v>
      </c>
      <c r="QZ240" s="24" t="n">
        <v>0</v>
      </c>
      <c r="RA240" s="24" t="n">
        <v>0</v>
      </c>
      <c r="RB240" s="24" t="n">
        <v>13.52</v>
      </c>
      <c r="RC240" s="24" t="n">
        <v>3.69</v>
      </c>
      <c r="RD240" s="24" t="n">
        <v>3.85</v>
      </c>
      <c r="RE240" s="24" t="n">
        <v>0</v>
      </c>
      <c r="RF240" s="24" t="n">
        <v>0</v>
      </c>
      <c r="RG240" s="24" t="n">
        <v>0</v>
      </c>
      <c r="RT240" s="24" t="n">
        <v>7.4</v>
      </c>
      <c r="RU240" s="24" t="n">
        <v>1</v>
      </c>
      <c r="RV240" s="24" t="n">
        <v>47</v>
      </c>
      <c r="RW240" s="24" t="n">
        <v>11</v>
      </c>
      <c r="RX240" s="24" t="n">
        <f aca="false">2.09+0.15+0.04</f>
        <v>2.28</v>
      </c>
      <c r="RY240" s="24" t="n">
        <v>3</v>
      </c>
      <c r="SF240" s="28"/>
      <c r="SX240" s="24" t="n">
        <v>0</v>
      </c>
      <c r="UI240" s="27" t="n">
        <v>0.28</v>
      </c>
      <c r="UJ240" s="27" t="n">
        <v>1</v>
      </c>
      <c r="UK240" s="27" t="n">
        <v>1</v>
      </c>
      <c r="UL240" s="27"/>
      <c r="UM240" s="27" t="n">
        <v>0.56</v>
      </c>
      <c r="UN240" s="27"/>
      <c r="UO240" s="27"/>
      <c r="UP240" s="27"/>
      <c r="UQ240" s="27"/>
      <c r="UR240" s="27"/>
      <c r="US240" s="27"/>
      <c r="UT240" s="27" t="n">
        <v>0.99</v>
      </c>
      <c r="UU240" s="27" t="n">
        <v>0.39</v>
      </c>
      <c r="UV240" s="27"/>
      <c r="UW240" s="27"/>
      <c r="UX240" s="27" t="n">
        <v>0</v>
      </c>
      <c r="UY240" s="27" t="n">
        <v>0</v>
      </c>
      <c r="UZ240" s="27" t="n">
        <v>0</v>
      </c>
      <c r="VA240" s="24" t="n">
        <v>0</v>
      </c>
      <c r="VB240" s="24" t="n">
        <v>56</v>
      </c>
      <c r="VC240" s="24" t="n">
        <v>26.5</v>
      </c>
      <c r="VD240" s="27" t="n">
        <v>66.1</v>
      </c>
      <c r="VE240" s="27" t="n">
        <v>80.4</v>
      </c>
      <c r="VF240" s="27" t="n">
        <v>15</v>
      </c>
      <c r="VG240" s="24" t="n">
        <v>89</v>
      </c>
      <c r="VH240" s="29" t="n">
        <v>0</v>
      </c>
      <c r="VI240" s="24" t="n">
        <v>7.09</v>
      </c>
      <c r="VJ240" s="24" t="n">
        <v>2.12</v>
      </c>
      <c r="VK240" s="24" t="n">
        <v>0</v>
      </c>
      <c r="VL240" s="24" t="n">
        <v>0</v>
      </c>
      <c r="VM240" s="24" t="n">
        <v>0</v>
      </c>
      <c r="VN240" s="24" t="n">
        <v>0</v>
      </c>
      <c r="VO240" s="24" t="n">
        <v>0</v>
      </c>
      <c r="VP240" s="24" t="n">
        <v>0</v>
      </c>
      <c r="VQ240" s="24" t="n">
        <v>0</v>
      </c>
      <c r="VR240" s="24" t="n">
        <v>0</v>
      </c>
      <c r="VS240" s="24" t="n">
        <v>4.26</v>
      </c>
      <c r="VT240" s="24" t="n">
        <v>32.68</v>
      </c>
      <c r="VU240" s="24" t="n">
        <v>1.91</v>
      </c>
      <c r="VV240" s="24" t="n">
        <v>0</v>
      </c>
      <c r="VW240" s="24" t="n">
        <v>0</v>
      </c>
      <c r="VX240" s="24" t="n">
        <v>0</v>
      </c>
      <c r="WK240" s="24" t="n">
        <v>0</v>
      </c>
      <c r="WL240" s="24" t="n">
        <v>0</v>
      </c>
      <c r="WW240" s="28"/>
      <c r="XO240" s="24" t="n">
        <v>0</v>
      </c>
      <c r="YZ240" s="27" t="n">
        <v>3.52</v>
      </c>
      <c r="ZA240" s="27" t="n">
        <v>1</v>
      </c>
      <c r="ZB240" s="27" t="n">
        <v>1</v>
      </c>
      <c r="ZC240" s="27"/>
      <c r="ZD240" s="27" t="n">
        <f aca="false">3.13+3.17*4</f>
        <v>15.81</v>
      </c>
      <c r="ZE240" s="27" t="n">
        <v>2</v>
      </c>
      <c r="ZF240" s="27"/>
      <c r="ZG240" s="27" t="n">
        <v>0.87</v>
      </c>
      <c r="ZH240" s="27"/>
      <c r="ZI240" s="27"/>
      <c r="ZJ240" s="27"/>
      <c r="ZK240" s="27" t="n">
        <v>5.36</v>
      </c>
      <c r="ZL240" s="27" t="n">
        <v>8.39</v>
      </c>
      <c r="ZM240" s="27"/>
      <c r="ZN240" s="27"/>
      <c r="ZO240" s="27" t="n">
        <v>0</v>
      </c>
      <c r="ZP240" s="27" t="n">
        <v>0</v>
      </c>
      <c r="ZQ240" s="27" t="n">
        <v>0</v>
      </c>
      <c r="ZR240" s="24" t="n">
        <v>0</v>
      </c>
      <c r="ZS240" s="24" t="s">
        <v>291</v>
      </c>
      <c r="ZT240" s="24" t="n">
        <v>35.5</v>
      </c>
      <c r="ZU240" s="27" t="n">
        <v>84</v>
      </c>
      <c r="ZV240" s="27" t="n">
        <v>80.4</v>
      </c>
      <c r="ZW240" s="27" t="n">
        <v>10.5</v>
      </c>
      <c r="ZX240" s="24" t="n">
        <v>95.42</v>
      </c>
      <c r="ZY240" s="29" t="n">
        <v>0</v>
      </c>
      <c r="ZZ240" s="24" t="n">
        <v>4.58</v>
      </c>
      <c r="AAA240" s="24" t="n">
        <v>0</v>
      </c>
      <c r="AAB240" s="24" t="n">
        <v>0</v>
      </c>
      <c r="AAC240" s="24" t="n">
        <v>0</v>
      </c>
      <c r="AAD240" s="24" t="n">
        <v>0</v>
      </c>
      <c r="AAE240" s="24" t="n">
        <v>0</v>
      </c>
      <c r="AAF240" s="24" t="n">
        <v>0</v>
      </c>
      <c r="AAG240" s="24" t="n">
        <v>0</v>
      </c>
      <c r="AAH240" s="24" t="n">
        <v>0</v>
      </c>
      <c r="AAI240" s="24" t="n">
        <v>0</v>
      </c>
      <c r="AAJ240" s="24" t="n">
        <v>17.83</v>
      </c>
      <c r="AAK240" s="24" t="n">
        <v>40.99</v>
      </c>
      <c r="AAL240" s="24" t="n">
        <v>9.34</v>
      </c>
      <c r="AAM240" s="24" t="n">
        <v>0</v>
      </c>
      <c r="AAN240" s="24" t="n">
        <v>0</v>
      </c>
      <c r="AAO240" s="24" t="n">
        <v>0</v>
      </c>
      <c r="ABB240" s="24" t="n">
        <v>4.4</v>
      </c>
      <c r="ABC240" s="24" t="n">
        <v>1</v>
      </c>
      <c r="ABD240" s="24" t="n">
        <v>34</v>
      </c>
      <c r="ABE240" s="24" t="n">
        <v>10</v>
      </c>
      <c r="ABF240" s="24" t="n">
        <f aca="false">8.56+1.51</f>
        <v>10.07</v>
      </c>
      <c r="ABG240" s="24" t="n">
        <v>1</v>
      </c>
      <c r="ABH240" s="24" t="n">
        <v>68</v>
      </c>
      <c r="ABI240" s="24" t="n">
        <v>6</v>
      </c>
      <c r="ABJ240" s="24" t="n">
        <f aca="false">3.43+0.6</f>
        <v>4.03</v>
      </c>
      <c r="ABK240" s="24" t="n">
        <v>1</v>
      </c>
      <c r="ABN240" s="28"/>
      <c r="ACF240" s="24" t="n">
        <v>0</v>
      </c>
      <c r="ADQ240" s="27" t="n">
        <v>1.25</v>
      </c>
      <c r="ADR240" s="27" t="n">
        <v>1</v>
      </c>
      <c r="ADS240" s="27" t="n">
        <v>1</v>
      </c>
      <c r="ADT240" s="27"/>
      <c r="ADU240" s="27" t="n">
        <f aca="false">2.09+3.13</f>
        <v>5.22</v>
      </c>
      <c r="ADV240" s="27"/>
      <c r="ADW240" s="27"/>
      <c r="ADX240" s="27"/>
      <c r="ADY240" s="27"/>
      <c r="ADZ240" s="27"/>
      <c r="AEA240" s="27"/>
      <c r="AEB240" s="27" t="n">
        <v>15.75</v>
      </c>
      <c r="AEC240" s="27" t="n">
        <v>41.8</v>
      </c>
      <c r="AED240" s="27"/>
      <c r="AEE240" s="27"/>
      <c r="AEF240" s="27" t="n">
        <v>0</v>
      </c>
      <c r="AEG240" s="27" t="n">
        <v>0</v>
      </c>
      <c r="AEH240" s="27" t="n">
        <v>0</v>
      </c>
      <c r="AEI240" s="24" t="n">
        <v>0</v>
      </c>
      <c r="AEJ240" s="24" t="s">
        <v>757</v>
      </c>
      <c r="AEK240" s="24" t="n">
        <v>36</v>
      </c>
      <c r="AEL240" s="27" t="n">
        <v>87.4</v>
      </c>
      <c r="AEM240" s="27" t="n">
        <v>80.4</v>
      </c>
      <c r="AEN240" s="27" t="n">
        <v>27.8</v>
      </c>
      <c r="AEO240" s="24" t="n">
        <v>71.12</v>
      </c>
      <c r="AEP240" s="29" t="n">
        <v>0</v>
      </c>
      <c r="AEQ240" s="24" t="n">
        <v>26.39</v>
      </c>
      <c r="AER240" s="24" t="n">
        <v>2.49</v>
      </c>
      <c r="AES240" s="24" t="n">
        <v>0</v>
      </c>
      <c r="AET240" s="24" t="n">
        <v>0</v>
      </c>
      <c r="AEU240" s="24" t="n">
        <v>0</v>
      </c>
      <c r="AEV240" s="24" t="n">
        <v>0</v>
      </c>
      <c r="AEW240" s="24" t="n">
        <v>0</v>
      </c>
      <c r="AEX240" s="24" t="n">
        <v>0</v>
      </c>
      <c r="AEY240" s="24" t="n">
        <v>0</v>
      </c>
      <c r="AEZ240" s="24" t="n">
        <v>0</v>
      </c>
      <c r="AFA240" s="24" t="n">
        <v>49.1</v>
      </c>
      <c r="AFB240" s="24" t="n">
        <v>13.54</v>
      </c>
      <c r="AFC240" s="24" t="n">
        <v>0</v>
      </c>
      <c r="AFD240" s="24" t="n">
        <v>0</v>
      </c>
      <c r="AFE240" s="24" t="n">
        <v>0</v>
      </c>
      <c r="AFF240" s="24" t="n">
        <v>0</v>
      </c>
      <c r="AFS240" s="24" t="n">
        <v>2.4</v>
      </c>
      <c r="AFT240" s="24" t="n">
        <v>0</v>
      </c>
      <c r="AGE240" s="28"/>
      <c r="AGW240" s="24" t="n">
        <v>1</v>
      </c>
      <c r="AGX240" s="24" t="n">
        <v>70</v>
      </c>
      <c r="AGY240" s="24" t="n">
        <v>2</v>
      </c>
      <c r="AGZ240" s="24" t="n">
        <f aca="false">0.83*2</f>
        <v>1.66</v>
      </c>
      <c r="AHA240" s="24" t="n">
        <v>2</v>
      </c>
      <c r="AHB240" s="24" t="n">
        <v>90</v>
      </c>
      <c r="AHC240" s="24" t="n">
        <v>2</v>
      </c>
      <c r="AHD240" s="24" t="n">
        <f aca="false">0.41*2</f>
        <v>0.82</v>
      </c>
      <c r="AHE240" s="24" t="n">
        <v>1</v>
      </c>
      <c r="AIH240" s="27" t="n">
        <v>1.59</v>
      </c>
      <c r="AII240" s="27" t="n">
        <v>1</v>
      </c>
      <c r="AIJ240" s="27" t="n">
        <v>1</v>
      </c>
      <c r="AIK240" s="27"/>
      <c r="AIL240" s="27" t="n">
        <v>12.69</v>
      </c>
      <c r="AIM240" s="27"/>
      <c r="AIN240" s="27"/>
      <c r="AIO240" s="27"/>
      <c r="AIP240" s="27"/>
      <c r="AIQ240" s="27"/>
      <c r="AIR240" s="27"/>
      <c r="AIS240" s="27" t="n">
        <v>4.19</v>
      </c>
      <c r="AIT240" s="27" t="n">
        <v>4.18</v>
      </c>
      <c r="AIU240" s="27"/>
      <c r="AIV240" s="27"/>
      <c r="AIW240" s="27" t="n">
        <v>0</v>
      </c>
      <c r="AIX240" s="27" t="n">
        <v>0</v>
      </c>
      <c r="AIY240" s="27" t="n">
        <v>0</v>
      </c>
      <c r="AIZ240" s="24" t="n">
        <v>0</v>
      </c>
      <c r="AJA240" s="21"/>
      <c r="AJB240" s="21"/>
      <c r="AJD240" s="33"/>
      <c r="AJE240" s="33"/>
      <c r="AJH240" s="33"/>
      <c r="AJI240" s="21"/>
      <c r="AJJ240" s="21"/>
      <c r="AJL240" s="33"/>
      <c r="AJM240" s="33"/>
      <c r="AJP240" s="33"/>
      <c r="AJQ240" s="21"/>
      <c r="AJR240" s="21"/>
      <c r="AJT240" s="33"/>
      <c r="AJU240" s="33"/>
      <c r="AJX240" s="33"/>
      <c r="AJY240" s="21"/>
      <c r="AJZ240" s="21"/>
      <c r="AKB240" s="33"/>
      <c r="AKC240" s="33"/>
      <c r="AKF240" s="33"/>
      <c r="AKG240" s="21"/>
      <c r="AKH240" s="21"/>
      <c r="AKJ240" s="33"/>
      <c r="AKK240" s="33"/>
      <c r="AKN240" s="33"/>
      <c r="AKO240" s="21"/>
      <c r="AKP240" s="21"/>
      <c r="AKR240" s="33"/>
      <c r="AKS240" s="33"/>
      <c r="AKV240" s="33"/>
      <c r="AKW240" s="21"/>
      <c r="AKX240" s="21"/>
      <c r="AKZ240" s="33"/>
      <c r="ALA240" s="33"/>
      <c r="ALD240" s="33"/>
      <c r="ALE240" s="21"/>
      <c r="ALF240" s="21"/>
      <c r="ALH240" s="33"/>
      <c r="ALI240" s="33"/>
      <c r="ALL240" s="33"/>
      <c r="ALM240" s="21"/>
      <c r="ALN240" s="21"/>
      <c r="ALP240" s="33"/>
      <c r="ALQ240" s="33"/>
      <c r="ALT240" s="33"/>
      <c r="ALU240" s="21"/>
      <c r="ALV240" s="21"/>
      <c r="ALX240" s="33"/>
      <c r="ALY240" s="33"/>
      <c r="AMB240" s="33"/>
      <c r="AMC240" s="21"/>
      <c r="AMD240" s="21"/>
      <c r="AMF240" s="33"/>
      <c r="AMG240" s="33"/>
      <c r="AMJ240" s="33"/>
    </row>
    <row r="241" s="15" customFormat="true" ht="13.8" hidden="false" customHeight="false" outlineLevel="0" collapsed="false">
      <c r="A241" s="1" t="s">
        <v>758</v>
      </c>
      <c r="B241" s="12" t="n">
        <v>42895</v>
      </c>
      <c r="C241" s="0" t="n">
        <v>2</v>
      </c>
      <c r="D241" s="13" t="n">
        <v>35170</v>
      </c>
      <c r="E241" s="12" t="n">
        <v>23735</v>
      </c>
      <c r="F241" s="14" t="n">
        <f aca="false">(B241-E241)/365.25</f>
        <v>52.4572210814511</v>
      </c>
      <c r="G241" s="14" t="n">
        <f aca="false">(B241-D241)/365.25</f>
        <v>21.1498973305955</v>
      </c>
      <c r="H241" s="19" t="s">
        <v>183</v>
      </c>
      <c r="I241" s="15" t="s">
        <v>383</v>
      </c>
      <c r="J241" s="21" t="s">
        <v>181</v>
      </c>
      <c r="K241" s="21" t="n">
        <v>4</v>
      </c>
      <c r="L241" s="19" t="n">
        <v>62</v>
      </c>
      <c r="M241" s="0" t="n">
        <v>1.66</v>
      </c>
      <c r="N241" s="16" t="n">
        <f aca="false">L241/(M241*M241)</f>
        <v>22.4996371026274</v>
      </c>
      <c r="O241" s="19" t="n">
        <v>1</v>
      </c>
      <c r="P241" s="19" t="n">
        <v>1</v>
      </c>
      <c r="Q241" s="19" t="s">
        <v>759</v>
      </c>
      <c r="R241" s="26" t="n">
        <v>0</v>
      </c>
      <c r="S241" s="26" t="n">
        <v>0</v>
      </c>
      <c r="T241" s="26" t="n">
        <v>0</v>
      </c>
      <c r="U241" s="19" t="n">
        <v>0</v>
      </c>
      <c r="V241" s="19" t="n">
        <v>0</v>
      </c>
      <c r="W241" s="19" t="n">
        <v>1</v>
      </c>
      <c r="X241" s="19" t="n">
        <v>0</v>
      </c>
      <c r="Y241" s="19" t="n">
        <v>0</v>
      </c>
      <c r="Z241" s="19" t="n">
        <v>0</v>
      </c>
      <c r="AA241" s="19" t="n">
        <v>0</v>
      </c>
      <c r="AB241" s="19" t="n">
        <v>0</v>
      </c>
      <c r="AC241" s="19" t="n">
        <v>0</v>
      </c>
      <c r="AD241" s="19" t="n">
        <v>0</v>
      </c>
      <c r="AE241" s="19" t="n">
        <v>1</v>
      </c>
      <c r="AF241" s="19" t="n">
        <v>0</v>
      </c>
      <c r="AG241" s="19" t="n">
        <v>1</v>
      </c>
      <c r="AH241" s="19" t="n">
        <v>7</v>
      </c>
      <c r="AI241" s="19" t="n">
        <v>1</v>
      </c>
      <c r="AJ241" s="19" t="n">
        <v>0</v>
      </c>
      <c r="AK241" s="19" t="n">
        <v>0</v>
      </c>
      <c r="AL241" s="19" t="n">
        <v>0</v>
      </c>
      <c r="AM241" s="19" t="n">
        <v>0</v>
      </c>
      <c r="AN241" s="19" t="n">
        <v>1</v>
      </c>
      <c r="AO241" s="19" t="n">
        <v>0</v>
      </c>
      <c r="AP241" s="19" t="n">
        <v>0</v>
      </c>
      <c r="AQ241" s="19" t="n">
        <v>0</v>
      </c>
      <c r="AR241" s="19" t="n">
        <v>0</v>
      </c>
      <c r="AS241" s="19" t="n">
        <v>1</v>
      </c>
      <c r="AT241" s="19" t="n">
        <v>0</v>
      </c>
      <c r="AU241" s="19" t="n">
        <v>0</v>
      </c>
      <c r="AV241" s="19" t="n">
        <v>0</v>
      </c>
      <c r="AW241" s="19" t="n">
        <v>0</v>
      </c>
      <c r="AX241" s="19" t="n">
        <v>1</v>
      </c>
      <c r="AY241" s="19" t="n">
        <v>0</v>
      </c>
      <c r="AZ241" s="19" t="n">
        <v>0</v>
      </c>
      <c r="BA241" s="19" t="n">
        <v>0</v>
      </c>
      <c r="BB241" s="19" t="n">
        <v>1</v>
      </c>
      <c r="BC241" s="19" t="n">
        <v>0</v>
      </c>
      <c r="BD241" s="19" t="n">
        <v>0</v>
      </c>
      <c r="BE241" s="19" t="n">
        <v>0</v>
      </c>
      <c r="BF241" s="19" t="n">
        <v>1</v>
      </c>
      <c r="BG241" s="19" t="n">
        <v>0</v>
      </c>
      <c r="BH241" s="19" t="n">
        <v>1</v>
      </c>
      <c r="BI241" s="19" t="n">
        <v>5</v>
      </c>
      <c r="BJ241" s="19" t="n">
        <v>1</v>
      </c>
      <c r="BK241" s="19" t="n">
        <v>1</v>
      </c>
      <c r="BL241" s="19" t="n">
        <v>1</v>
      </c>
      <c r="BM241" s="19" t="n">
        <v>6</v>
      </c>
      <c r="BN241" s="19" t="n">
        <v>0</v>
      </c>
      <c r="BO241" s="19" t="n">
        <v>0</v>
      </c>
      <c r="BP241" s="19" t="n">
        <v>0</v>
      </c>
      <c r="BQ241" s="19" t="n">
        <v>0</v>
      </c>
      <c r="BR241" s="19" t="n">
        <v>2</v>
      </c>
      <c r="BS241" s="19" t="n">
        <v>2</v>
      </c>
      <c r="BT241" s="19" t="n">
        <v>4</v>
      </c>
      <c r="BU241" s="19" t="n">
        <v>3</v>
      </c>
      <c r="BV241" s="19" t="n">
        <v>2</v>
      </c>
      <c r="BW241" s="19" t="n">
        <v>3</v>
      </c>
      <c r="BX241" s="19" t="n">
        <v>2</v>
      </c>
      <c r="BY241" s="19" t="n">
        <v>2</v>
      </c>
      <c r="BZ241" s="19" t="n">
        <v>2</v>
      </c>
      <c r="CA241" s="19" t="n">
        <v>3</v>
      </c>
      <c r="CB241" s="19" t="n">
        <v>3</v>
      </c>
      <c r="CC241" s="19" t="n">
        <v>5</v>
      </c>
      <c r="CD241" s="19" t="n">
        <v>1</v>
      </c>
      <c r="CE241" s="19" t="n">
        <v>3</v>
      </c>
      <c r="CF241" s="19" t="n">
        <v>4</v>
      </c>
      <c r="CG241" s="19" t="n">
        <v>4</v>
      </c>
      <c r="CH241" s="19" t="n">
        <v>3</v>
      </c>
      <c r="CI241" s="19" t="n">
        <v>4</v>
      </c>
      <c r="CJ241" s="19" t="n">
        <v>2</v>
      </c>
      <c r="CK241" s="19" t="n">
        <v>7</v>
      </c>
      <c r="CL241" s="15" t="s">
        <v>385</v>
      </c>
      <c r="CM241" s="15" t="n">
        <v>38.5</v>
      </c>
      <c r="CN241" s="17" t="n">
        <v>55</v>
      </c>
      <c r="CO241" s="17" t="n">
        <v>114</v>
      </c>
      <c r="CP241" s="17" t="n">
        <v>7.8</v>
      </c>
      <c r="CQ241" s="17" t="n">
        <v>95.15</v>
      </c>
      <c r="CR241" s="17" t="n">
        <v>0</v>
      </c>
      <c r="CS241" s="17" t="n">
        <v>3.78</v>
      </c>
      <c r="CT241" s="17" t="n">
        <v>0</v>
      </c>
      <c r="CU241" s="17" t="n">
        <v>1.07</v>
      </c>
      <c r="CV241" s="17" t="n">
        <v>0</v>
      </c>
      <c r="CW241" s="17" t="n">
        <v>0</v>
      </c>
      <c r="CX241" s="17" t="n">
        <v>0</v>
      </c>
      <c r="CY241" s="17" t="n">
        <v>0</v>
      </c>
      <c r="CZ241" s="17" t="n">
        <v>0</v>
      </c>
      <c r="DA241" s="17" t="n">
        <v>0</v>
      </c>
      <c r="DB241" s="17" t="n">
        <v>0</v>
      </c>
      <c r="DC241" s="17" t="n">
        <v>15.05</v>
      </c>
      <c r="DD241" s="17" t="n">
        <v>4.58</v>
      </c>
      <c r="DE241" s="17" t="n">
        <v>0.1</v>
      </c>
      <c r="DF241" s="17" t="n">
        <v>0</v>
      </c>
      <c r="DG241" s="17" t="n">
        <v>0</v>
      </c>
      <c r="DH241" s="17" t="n">
        <v>0</v>
      </c>
      <c r="DU241" s="15" t="n">
        <v>22.8</v>
      </c>
      <c r="DV241" s="15" t="n">
        <v>1</v>
      </c>
      <c r="DW241" s="15" t="n">
        <v>38</v>
      </c>
      <c r="DX241" s="15" t="n">
        <v>5</v>
      </c>
      <c r="DY241" s="15" t="n">
        <f aca="false">2.45+1.09</f>
        <v>3.54</v>
      </c>
      <c r="DZ241" s="15" t="n">
        <v>5</v>
      </c>
      <c r="EG241" s="31"/>
      <c r="EK241" s="31"/>
      <c r="EO241" s="31"/>
      <c r="ES241" s="31"/>
      <c r="EW241" s="31"/>
      <c r="EY241" s="15" t="n">
        <v>0</v>
      </c>
      <c r="GJ241" s="15" t="n">
        <v>0</v>
      </c>
      <c r="GK241" s="15" t="n">
        <v>0</v>
      </c>
      <c r="GU241" s="15" t="n">
        <v>7.84</v>
      </c>
      <c r="GV241" s="15" t="n">
        <f aca="false">2.45+1.09</f>
        <v>3.54</v>
      </c>
      <c r="GW241" s="15" t="n">
        <v>0</v>
      </c>
      <c r="GX241" s="15" t="n">
        <v>0</v>
      </c>
      <c r="GY241" s="15" t="n">
        <v>0</v>
      </c>
      <c r="GZ241" s="15" t="n">
        <v>0</v>
      </c>
      <c r="HA241" s="15" t="n">
        <v>0</v>
      </c>
      <c r="HB241" s="15" t="n">
        <v>0</v>
      </c>
      <c r="HC241" s="15" t="s">
        <v>386</v>
      </c>
      <c r="HD241" s="15" t="n">
        <v>38</v>
      </c>
      <c r="HE241" s="17" t="n">
        <v>48.8</v>
      </c>
      <c r="HF241" s="17" t="n">
        <v>114</v>
      </c>
      <c r="HG241" s="17" t="n">
        <v>7.2</v>
      </c>
      <c r="HH241" s="17" t="n">
        <v>96.13</v>
      </c>
      <c r="HI241" s="17" t="n">
        <v>0</v>
      </c>
      <c r="HJ241" s="17" t="n">
        <v>3.78</v>
      </c>
      <c r="HK241" s="17" t="n">
        <v>0</v>
      </c>
      <c r="HL241" s="17" t="n">
        <v>0.1</v>
      </c>
      <c r="HM241" s="17" t="n">
        <v>0</v>
      </c>
      <c r="HN241" s="17" t="n">
        <v>0</v>
      </c>
      <c r="HO241" s="17" t="n">
        <v>0</v>
      </c>
      <c r="HP241" s="17" t="n">
        <v>0</v>
      </c>
      <c r="HQ241" s="17" t="n">
        <v>0</v>
      </c>
      <c r="HR241" s="17" t="n">
        <v>0</v>
      </c>
      <c r="HS241" s="17" t="n">
        <v>0</v>
      </c>
      <c r="HT241" s="17" t="n">
        <v>12.85</v>
      </c>
      <c r="HU241" s="17" t="n">
        <v>4.58</v>
      </c>
      <c r="HV241" s="17" t="n">
        <v>0.1</v>
      </c>
      <c r="HW241" s="17" t="n">
        <v>0</v>
      </c>
      <c r="HX241" s="17" t="n">
        <v>0</v>
      </c>
      <c r="HY241" s="17" t="n">
        <v>0</v>
      </c>
      <c r="IL241" s="15" t="n">
        <v>22.8</v>
      </c>
      <c r="IM241" s="15" t="n">
        <v>1</v>
      </c>
      <c r="IN241" s="15" t="n">
        <v>38</v>
      </c>
      <c r="IO241" s="15" t="n">
        <v>5</v>
      </c>
      <c r="IP241" s="15" t="n">
        <f aca="false">2.45+1.09</f>
        <v>3.54</v>
      </c>
      <c r="IQ241" s="15" t="n">
        <v>5</v>
      </c>
      <c r="IR241" s="15" t="n">
        <v>20</v>
      </c>
      <c r="IS241" s="15" t="n">
        <v>4</v>
      </c>
      <c r="IT241" s="15" t="n">
        <v>0.29</v>
      </c>
      <c r="IU241" s="15" t="n">
        <v>2</v>
      </c>
      <c r="IX241" s="31"/>
      <c r="JB241" s="31"/>
      <c r="JF241" s="31"/>
      <c r="JJ241" s="31"/>
      <c r="JN241" s="31"/>
      <c r="JP241" s="15" t="n">
        <v>0</v>
      </c>
      <c r="LA241" s="15" t="n">
        <v>0</v>
      </c>
      <c r="LB241" s="15" t="n">
        <v>0</v>
      </c>
      <c r="LL241" s="15" t="n">
        <v>7.84</v>
      </c>
      <c r="LM241" s="15" t="n">
        <f aca="false">2.45+1.09</f>
        <v>3.54</v>
      </c>
      <c r="LN241" s="15" t="n">
        <v>0</v>
      </c>
      <c r="LO241" s="15" t="n">
        <v>0</v>
      </c>
      <c r="LP241" s="15" t="n">
        <v>0</v>
      </c>
      <c r="LQ241" s="15" t="n">
        <v>0</v>
      </c>
      <c r="LR241" s="15" t="n">
        <v>0</v>
      </c>
      <c r="LS241" s="15" t="n">
        <v>0</v>
      </c>
      <c r="LT241" s="15" t="s">
        <v>387</v>
      </c>
      <c r="LU241" s="15" t="n">
        <v>64</v>
      </c>
      <c r="LV241" s="17" t="n">
        <v>70.6</v>
      </c>
      <c r="LW241" s="17" t="n">
        <v>114</v>
      </c>
      <c r="LX241" s="17" t="n">
        <v>14.9</v>
      </c>
      <c r="LY241" s="17" t="n">
        <v>88.29</v>
      </c>
      <c r="LZ241" s="17" t="n">
        <v>0</v>
      </c>
      <c r="MA241" s="17" t="n">
        <v>9.81</v>
      </c>
      <c r="MB241" s="17" t="n">
        <v>1.64</v>
      </c>
      <c r="MC241" s="17" t="n">
        <v>0.26</v>
      </c>
      <c r="MD241" s="17" t="n">
        <v>0</v>
      </c>
      <c r="ME241" s="17" t="n">
        <v>0</v>
      </c>
      <c r="MF241" s="17" t="n">
        <v>0</v>
      </c>
      <c r="MG241" s="17" t="n">
        <v>0</v>
      </c>
      <c r="MH241" s="17" t="n">
        <v>0</v>
      </c>
      <c r="MI241" s="17" t="n">
        <v>0</v>
      </c>
      <c r="MJ241" s="17" t="n">
        <v>0.55</v>
      </c>
      <c r="MK241" s="17" t="n">
        <v>22.64</v>
      </c>
      <c r="ML241" s="17" t="n">
        <v>2.58</v>
      </c>
      <c r="MM241" s="17" t="n">
        <v>0.13</v>
      </c>
      <c r="MN241" s="17" t="n">
        <v>0</v>
      </c>
      <c r="MO241" s="17" t="n">
        <v>0</v>
      </c>
      <c r="MP241" s="17" t="n">
        <v>0</v>
      </c>
      <c r="NC241" s="15" t="n">
        <v>40.4</v>
      </c>
      <c r="ND241" s="15" t="n">
        <v>1</v>
      </c>
      <c r="NE241" s="15" t="n">
        <v>38</v>
      </c>
      <c r="NF241" s="15" t="n">
        <v>9</v>
      </c>
      <c r="NG241" s="15" t="n">
        <v>5.52</v>
      </c>
      <c r="NH241" s="15" t="n">
        <v>5</v>
      </c>
      <c r="NI241" s="15" t="n">
        <v>23</v>
      </c>
      <c r="NJ241" s="15" t="n">
        <v>1</v>
      </c>
      <c r="NK241" s="15" t="n">
        <v>0.09</v>
      </c>
      <c r="NL241" s="15" t="n">
        <v>3</v>
      </c>
      <c r="NO241" s="31"/>
      <c r="NS241" s="31"/>
      <c r="NW241" s="31"/>
      <c r="OA241" s="31"/>
      <c r="OE241" s="31"/>
      <c r="OG241" s="15" t="n">
        <v>0</v>
      </c>
      <c r="PR241" s="15" t="n">
        <v>0</v>
      </c>
      <c r="PS241" s="15" t="n">
        <v>0</v>
      </c>
      <c r="QC241" s="15" t="n">
        <v>8.33</v>
      </c>
      <c r="QD241" s="15" t="n">
        <v>5.52</v>
      </c>
      <c r="QE241" s="15" t="n">
        <v>0</v>
      </c>
      <c r="QF241" s="15" t="n">
        <v>0</v>
      </c>
      <c r="QG241" s="15" t="n">
        <v>0</v>
      </c>
      <c r="QH241" s="15" t="n">
        <v>0</v>
      </c>
      <c r="QI241" s="15" t="n">
        <v>0</v>
      </c>
      <c r="QJ241" s="15" t="n">
        <v>0</v>
      </c>
      <c r="QK241" s="15" t="s">
        <v>388</v>
      </c>
      <c r="QL241" s="15" t="n">
        <v>64</v>
      </c>
      <c r="QM241" s="17" t="n">
        <v>79.5</v>
      </c>
      <c r="QN241" s="17" t="n">
        <v>114</v>
      </c>
      <c r="QO241" s="17" t="n">
        <v>15</v>
      </c>
      <c r="QP241" s="17" t="n">
        <v>88.29</v>
      </c>
      <c r="QQ241" s="17" t="n">
        <v>0</v>
      </c>
      <c r="QR241" s="17" t="n">
        <v>9.81</v>
      </c>
      <c r="QS241" s="17" t="n">
        <v>1.64</v>
      </c>
      <c r="QT241" s="17" t="n">
        <v>0.26</v>
      </c>
      <c r="QU241" s="17" t="n">
        <v>0</v>
      </c>
      <c r="QV241" s="17" t="n">
        <v>0</v>
      </c>
      <c r="QW241" s="17" t="n">
        <v>0</v>
      </c>
      <c r="QX241" s="17" t="n">
        <v>0</v>
      </c>
      <c r="QY241" s="17" t="n">
        <v>0</v>
      </c>
      <c r="QZ241" s="17" t="n">
        <v>0</v>
      </c>
      <c r="RA241" s="17" t="n">
        <v>0.55</v>
      </c>
      <c r="RB241" s="17" t="n">
        <v>24</v>
      </c>
      <c r="RC241" s="17" t="n">
        <v>4.31</v>
      </c>
      <c r="RD241" s="17" t="n">
        <v>0.82</v>
      </c>
      <c r="RE241" s="17" t="n">
        <v>0</v>
      </c>
      <c r="RF241" s="17" t="n">
        <v>0</v>
      </c>
      <c r="RG241" s="17" t="n">
        <v>0</v>
      </c>
      <c r="RH241" s="17"/>
      <c r="RT241" s="15" t="n">
        <v>40.4</v>
      </c>
      <c r="RU241" s="15" t="n">
        <v>1</v>
      </c>
      <c r="RV241" s="15" t="n">
        <v>38</v>
      </c>
      <c r="RW241" s="15" t="n">
        <v>9</v>
      </c>
      <c r="RX241" s="15" t="n">
        <v>5.52</v>
      </c>
      <c r="RY241" s="15" t="n">
        <v>5</v>
      </c>
      <c r="RZ241" s="15" t="n">
        <v>23</v>
      </c>
      <c r="SA241" s="15" t="n">
        <v>1</v>
      </c>
      <c r="SB241" s="15" t="n">
        <v>0.09</v>
      </c>
      <c r="SC241" s="15" t="n">
        <v>3</v>
      </c>
      <c r="SF241" s="31"/>
      <c r="SJ241" s="31"/>
      <c r="SN241" s="31"/>
      <c r="SR241" s="31"/>
      <c r="SV241" s="31"/>
      <c r="SX241" s="15" t="n">
        <v>0</v>
      </c>
      <c r="UI241" s="15" t="n">
        <v>0</v>
      </c>
      <c r="UJ241" s="15" t="n">
        <v>0</v>
      </c>
      <c r="UT241" s="15" t="n">
        <v>8.33</v>
      </c>
      <c r="UU241" s="15" t="n">
        <v>5.52</v>
      </c>
      <c r="UV241" s="15" t="n">
        <v>0</v>
      </c>
      <c r="UW241" s="15" t="n">
        <v>0</v>
      </c>
      <c r="UX241" s="15" t="n">
        <v>0</v>
      </c>
      <c r="UY241" s="15" t="n">
        <v>0</v>
      </c>
      <c r="UZ241" s="15" t="n">
        <v>0</v>
      </c>
      <c r="VA241" s="15" t="n">
        <v>0</v>
      </c>
      <c r="VB241" s="0"/>
      <c r="VC241" s="0"/>
      <c r="VD241" s="0"/>
      <c r="VG241" s="0"/>
      <c r="VH241" s="0"/>
      <c r="VI241" s="0"/>
      <c r="VJ241" s="0"/>
      <c r="VK241" s="0"/>
      <c r="VL241" s="0"/>
      <c r="VO241" s="0"/>
      <c r="VP241" s="0"/>
      <c r="VQ241" s="0"/>
      <c r="VR241" s="0"/>
      <c r="VS241" s="0"/>
      <c r="VT241" s="0"/>
      <c r="VW241" s="0"/>
      <c r="VX241" s="0"/>
      <c r="VY241" s="0"/>
      <c r="VZ241" s="0"/>
      <c r="WA241" s="0"/>
      <c r="WB241" s="0"/>
      <c r="WE241" s="0"/>
      <c r="WF241" s="0"/>
      <c r="WG241" s="0"/>
      <c r="WH241" s="0"/>
      <c r="WI241" s="0"/>
      <c r="WJ241" s="0"/>
      <c r="WM241" s="0"/>
      <c r="WN241" s="0"/>
      <c r="WO241" s="0"/>
      <c r="WP241" s="0"/>
      <c r="WQ241" s="0"/>
      <c r="WR241" s="0"/>
      <c r="WU241" s="0"/>
      <c r="WV241" s="0"/>
      <c r="WW241" s="0"/>
      <c r="WX241" s="0"/>
      <c r="WY241" s="0"/>
      <c r="WZ241" s="0"/>
      <c r="XC241" s="0"/>
      <c r="XD241" s="0"/>
      <c r="XE241" s="0"/>
      <c r="XF241" s="0"/>
      <c r="XG241" s="0"/>
      <c r="XH241" s="0"/>
      <c r="XK241" s="0"/>
      <c r="XL241" s="0"/>
      <c r="XM241" s="0"/>
      <c r="XN241" s="0"/>
      <c r="XO241" s="0"/>
      <c r="XP241" s="0"/>
      <c r="XS241" s="0"/>
      <c r="XT241" s="0"/>
      <c r="XU241" s="0"/>
      <c r="XV241" s="0"/>
      <c r="XW241" s="0"/>
      <c r="XX241" s="0"/>
      <c r="YA241" s="0"/>
      <c r="YB241" s="0"/>
      <c r="YC241" s="0"/>
      <c r="YD241" s="0"/>
      <c r="YE241" s="0"/>
      <c r="YF241" s="0"/>
      <c r="YI241" s="0"/>
      <c r="YJ241" s="0"/>
      <c r="YK241" s="0"/>
      <c r="YL241" s="0"/>
      <c r="YM241" s="0"/>
      <c r="YN241" s="0"/>
      <c r="YQ241" s="0"/>
      <c r="YR241" s="0"/>
      <c r="YS241" s="0"/>
      <c r="YT241" s="0"/>
      <c r="YU241" s="0"/>
      <c r="YV241" s="0"/>
      <c r="YY241" s="0"/>
      <c r="YZ241" s="0"/>
      <c r="ZA241" s="0"/>
      <c r="ZB241" s="0"/>
      <c r="ZC241" s="0"/>
      <c r="ZD241" s="0"/>
      <c r="ZG241" s="0"/>
      <c r="ZH241" s="0"/>
      <c r="ZI241" s="0"/>
      <c r="ZJ241" s="0"/>
      <c r="ZK241" s="0"/>
      <c r="ZL241" s="0"/>
      <c r="ZO241" s="0"/>
      <c r="ZP241" s="0"/>
      <c r="ZQ241" s="0"/>
      <c r="ZR241" s="0"/>
      <c r="ZS241" s="0"/>
      <c r="ZT241" s="0"/>
      <c r="ZW241" s="0"/>
      <c r="ZX241" s="0"/>
      <c r="ZY241" s="0"/>
      <c r="ZZ241" s="0"/>
      <c r="AAA241" s="0"/>
      <c r="AAB241" s="0"/>
      <c r="AAE241" s="0"/>
      <c r="AAF241" s="0"/>
      <c r="AAG241" s="0"/>
      <c r="AAH241" s="0"/>
      <c r="AAI241" s="0"/>
      <c r="AAJ241" s="0"/>
      <c r="AAM241" s="0"/>
      <c r="AAN241" s="0"/>
      <c r="AAO241" s="0"/>
      <c r="AAP241" s="0"/>
      <c r="AAQ241" s="0"/>
      <c r="AAR241" s="0"/>
      <c r="AAU241" s="0"/>
      <c r="AAV241" s="0"/>
      <c r="AAW241" s="0"/>
      <c r="AAX241" s="0"/>
      <c r="AAY241" s="0"/>
      <c r="AAZ241" s="0"/>
      <c r="ABC241" s="0"/>
      <c r="ABD241" s="0"/>
      <c r="ABE241" s="0"/>
      <c r="ABF241" s="0"/>
      <c r="ABG241" s="0"/>
      <c r="ABH241" s="0"/>
      <c r="ABK241" s="0"/>
      <c r="ABL241" s="0"/>
      <c r="ABM241" s="0"/>
      <c r="ABN241" s="0"/>
      <c r="ABO241" s="0"/>
      <c r="ABP241" s="0"/>
      <c r="ABS241" s="0"/>
      <c r="ABT241" s="0"/>
      <c r="ABU241" s="0"/>
      <c r="ABV241" s="0"/>
      <c r="ABW241" s="0"/>
      <c r="ABX241" s="0"/>
      <c r="ACA241" s="0"/>
      <c r="ACB241" s="0"/>
      <c r="ACC241" s="0"/>
      <c r="ACD241" s="0"/>
      <c r="ACE241" s="0"/>
      <c r="ACF241" s="0"/>
      <c r="ACI241" s="0"/>
      <c r="ACJ241" s="0"/>
      <c r="ACK241" s="0"/>
      <c r="ACL241" s="0"/>
      <c r="ACM241" s="0"/>
      <c r="ACN241" s="0"/>
      <c r="ACQ241" s="0"/>
      <c r="ACR241" s="0"/>
      <c r="ACS241" s="0"/>
      <c r="ACT241" s="0"/>
      <c r="ACU241" s="0"/>
      <c r="ACV241" s="0"/>
      <c r="ACY241" s="0"/>
      <c r="ACZ241" s="0"/>
      <c r="ADA241" s="0"/>
      <c r="ADB241" s="0"/>
      <c r="ADC241" s="0"/>
      <c r="ADD241" s="0"/>
      <c r="ADG241" s="0"/>
      <c r="ADH241" s="0"/>
      <c r="ADI241" s="0"/>
      <c r="ADJ241" s="0"/>
      <c r="ADK241" s="0"/>
      <c r="ADL241" s="0"/>
      <c r="ADO241" s="0"/>
      <c r="ADP241" s="0"/>
      <c r="ADQ241" s="0"/>
      <c r="ADR241" s="0"/>
      <c r="ADS241" s="0"/>
      <c r="ADT241" s="0"/>
      <c r="ADW241" s="0"/>
      <c r="ADX241" s="0"/>
      <c r="ADY241" s="0"/>
      <c r="ADZ241" s="0"/>
      <c r="AEA241" s="0"/>
      <c r="AEB241" s="0"/>
      <c r="AEE241" s="0"/>
      <c r="AEF241" s="0"/>
      <c r="AEG241" s="0"/>
      <c r="AEH241" s="0"/>
      <c r="AEI241" s="0"/>
      <c r="AEJ241" s="0"/>
      <c r="AEM241" s="0"/>
      <c r="AEN241" s="0"/>
      <c r="AEO241" s="0"/>
      <c r="AEP241" s="0"/>
      <c r="AEQ241" s="0"/>
      <c r="AER241" s="0"/>
      <c r="AEU241" s="0"/>
      <c r="AEV241" s="0"/>
      <c r="AEW241" s="0"/>
      <c r="AEX241" s="0"/>
      <c r="AEY241" s="0"/>
      <c r="AEZ241" s="0"/>
      <c r="AFC241" s="0"/>
      <c r="AFD241" s="0"/>
      <c r="AFE241" s="0"/>
      <c r="AFF241" s="0"/>
      <c r="AFG241" s="0"/>
      <c r="AFH241" s="0"/>
      <c r="AFK241" s="0"/>
      <c r="AFL241" s="0"/>
      <c r="AFM241" s="0"/>
      <c r="AFN241" s="0"/>
      <c r="AFO241" s="0"/>
      <c r="AFP241" s="0"/>
      <c r="AFS241" s="0"/>
      <c r="AFT241" s="0"/>
      <c r="AFU241" s="0"/>
      <c r="AFV241" s="0"/>
      <c r="AFW241" s="0"/>
      <c r="AFX241" s="0"/>
      <c r="AGA241" s="0"/>
      <c r="AGB241" s="0"/>
      <c r="AGC241" s="0"/>
      <c r="AGD241" s="0"/>
      <c r="AGE241" s="0"/>
      <c r="AGF241" s="0"/>
      <c r="AGI241" s="0"/>
      <c r="AGJ241" s="0"/>
      <c r="AGK241" s="0"/>
      <c r="AGL241" s="0"/>
      <c r="AGM241" s="0"/>
      <c r="AGN241" s="0"/>
      <c r="AGQ241" s="0"/>
      <c r="AGR241" s="0"/>
      <c r="AGS241" s="0"/>
      <c r="AGT241" s="0"/>
      <c r="AGU241" s="0"/>
      <c r="AGV241" s="0"/>
      <c r="AGY241" s="0"/>
      <c r="AGZ241" s="0"/>
      <c r="AHA241" s="0"/>
      <c r="AHB241" s="0"/>
      <c r="AHC241" s="0"/>
      <c r="AHD241" s="0"/>
      <c r="AHG241" s="0"/>
      <c r="AHH241" s="0"/>
      <c r="AHI241" s="0"/>
      <c r="AHJ241" s="0"/>
      <c r="AHK241" s="0"/>
      <c r="AHL241" s="0"/>
      <c r="AHO241" s="0"/>
      <c r="AHP241" s="0"/>
      <c r="AHQ241" s="0"/>
      <c r="AHR241" s="0"/>
      <c r="AHS241" s="0"/>
      <c r="AHT241" s="0"/>
      <c r="AHW241" s="0"/>
      <c r="AHX241" s="0"/>
      <c r="AHY241" s="0"/>
      <c r="AHZ241" s="0"/>
      <c r="AIA241" s="0"/>
      <c r="AIB241" s="0"/>
      <c r="AIE241" s="0"/>
      <c r="AIF241" s="0"/>
      <c r="AIG241" s="0"/>
      <c r="AIH241" s="0"/>
      <c r="AII241" s="0"/>
      <c r="AIJ241" s="0"/>
      <c r="AIM241" s="0"/>
      <c r="AIN241" s="0"/>
      <c r="AIO241" s="0"/>
      <c r="AIP241" s="0"/>
      <c r="AIQ241" s="0"/>
      <c r="AIR241" s="0"/>
      <c r="AIU241" s="0"/>
      <c r="AIV241" s="0"/>
      <c r="AIW241" s="0"/>
      <c r="AIX241" s="0"/>
      <c r="AIY241" s="0"/>
      <c r="AIZ241" s="0"/>
      <c r="AJC241" s="0"/>
      <c r="AJD241" s="0"/>
      <c r="AJE241" s="0"/>
      <c r="AJF241" s="0"/>
      <c r="AJG241" s="0"/>
      <c r="AJH241" s="0"/>
      <c r="AJK241" s="0"/>
      <c r="AJL241" s="0"/>
      <c r="AJM241" s="0"/>
      <c r="AJN241" s="0"/>
      <c r="AJO241" s="0"/>
      <c r="AJP241" s="0"/>
      <c r="AJS241" s="0"/>
      <c r="AJT241" s="0"/>
      <c r="AJU241" s="0"/>
      <c r="AJV241" s="0"/>
      <c r="AJW241" s="0"/>
      <c r="AJX241" s="0"/>
      <c r="AKA241" s="0"/>
      <c r="AKB241" s="0"/>
      <c r="AKC241" s="0"/>
      <c r="AKD241" s="0"/>
      <c r="AKE241" s="0"/>
      <c r="AKF241" s="0"/>
      <c r="AKI241" s="0"/>
      <c r="AKJ241" s="0"/>
      <c r="AKK241" s="0"/>
      <c r="AKL241" s="0"/>
      <c r="AKM241" s="0"/>
      <c r="AKN241" s="0"/>
      <c r="AKQ241" s="0"/>
      <c r="AKR241" s="0"/>
      <c r="AKS241" s="0"/>
      <c r="AKT241" s="0"/>
      <c r="AKU241" s="0"/>
      <c r="AKV241" s="0"/>
      <c r="AKY241" s="0"/>
      <c r="AKZ241" s="0"/>
      <c r="ALA241" s="0"/>
      <c r="ALB241" s="0"/>
      <c r="ALC241" s="0"/>
      <c r="ALD241" s="0"/>
      <c r="ALG241" s="0"/>
      <c r="ALH241" s="0"/>
      <c r="ALI241" s="0"/>
      <c r="ALJ241" s="0"/>
      <c r="ALK241" s="0"/>
      <c r="ALL241" s="0"/>
      <c r="ALO241" s="0"/>
      <c r="ALP241" s="0"/>
      <c r="ALQ241" s="0"/>
      <c r="ALR241" s="0"/>
      <c r="ALS241" s="0"/>
      <c r="ALT241" s="0"/>
      <c r="ALW241" s="0"/>
      <c r="ALX241" s="0"/>
      <c r="ALY241" s="0"/>
      <c r="ALZ241" s="0"/>
      <c r="AMA241" s="0"/>
      <c r="AMB241" s="0"/>
      <c r="AME241" s="0"/>
      <c r="AMF241" s="0"/>
      <c r="AMG241" s="0"/>
      <c r="AMH241" s="0"/>
      <c r="AMI241" s="0"/>
      <c r="AMJ241" s="0"/>
    </row>
    <row r="242" customFormat="false" ht="13.8" hidden="false" customHeight="false" outlineLevel="0" collapsed="false">
      <c r="A242" s="1" t="s">
        <v>760</v>
      </c>
      <c r="B242" s="12" t="n">
        <v>42908</v>
      </c>
      <c r="C242" s="0" t="n">
        <v>1</v>
      </c>
      <c r="D242" s="13" t="n">
        <v>39622</v>
      </c>
      <c r="E242" s="12" t="n">
        <v>28508</v>
      </c>
      <c r="F242" s="14" t="n">
        <f aca="false">(B242-E242)/365.25</f>
        <v>39.4250513347023</v>
      </c>
      <c r="G242" s="14" t="n">
        <f aca="false">(B242-D242)/365.25</f>
        <v>8.99657768651609</v>
      </c>
      <c r="H242" s="19" t="s">
        <v>217</v>
      </c>
      <c r="I242" s="15" t="s">
        <v>272</v>
      </c>
      <c r="J242" s="21" t="s">
        <v>183</v>
      </c>
      <c r="K242" s="21" t="n">
        <v>8</v>
      </c>
      <c r="L242" s="19"/>
      <c r="M242" s="0" t="n">
        <v>1.61</v>
      </c>
      <c r="N242" s="16" t="n">
        <f aca="false">L242/(M242*M242)</f>
        <v>0</v>
      </c>
      <c r="O242" s="19" t="n">
        <v>0</v>
      </c>
      <c r="P242" s="19" t="n">
        <v>0</v>
      </c>
      <c r="Q242" s="19" t="n">
        <v>0</v>
      </c>
      <c r="R242" s="26" t="n">
        <v>0</v>
      </c>
      <c r="S242" s="26" t="n">
        <v>0</v>
      </c>
      <c r="T242" s="26" t="n">
        <v>0</v>
      </c>
      <c r="U242" s="19" t="n">
        <v>0</v>
      </c>
      <c r="V242" s="19" t="n">
        <v>0</v>
      </c>
      <c r="W242" s="19" t="n">
        <v>1</v>
      </c>
      <c r="X242" s="19" t="n">
        <v>0</v>
      </c>
      <c r="Y242" s="19" t="n">
        <v>0</v>
      </c>
      <c r="Z242" s="19" t="n">
        <v>0</v>
      </c>
      <c r="AA242" s="19" t="n">
        <v>0</v>
      </c>
      <c r="AB242" s="19" t="n">
        <v>0</v>
      </c>
      <c r="AC242" s="19" t="n">
        <v>1</v>
      </c>
      <c r="AD242" s="19" t="n">
        <v>8</v>
      </c>
      <c r="AE242" s="19" t="n">
        <v>1</v>
      </c>
      <c r="AF242" s="19" t="n">
        <v>1</v>
      </c>
      <c r="AG242" s="19" t="n">
        <v>0</v>
      </c>
      <c r="AH242" s="19" t="n">
        <v>0</v>
      </c>
      <c r="AI242" s="19" t="n">
        <v>0</v>
      </c>
      <c r="AJ242" s="19" t="n">
        <v>0</v>
      </c>
      <c r="AK242" s="19" t="n">
        <v>0</v>
      </c>
      <c r="AL242" s="19" t="n">
        <v>0</v>
      </c>
      <c r="AM242" s="19" t="n">
        <v>0</v>
      </c>
      <c r="AN242" s="19" t="n">
        <v>0</v>
      </c>
      <c r="AO242" s="19" t="n">
        <v>0</v>
      </c>
      <c r="AP242" s="19" t="n">
        <v>0</v>
      </c>
      <c r="AQ242" s="19" t="n">
        <v>0</v>
      </c>
      <c r="AR242" s="19" t="n">
        <v>0</v>
      </c>
      <c r="AS242" s="19" t="n">
        <v>1</v>
      </c>
      <c r="AT242" s="19" t="n">
        <v>0</v>
      </c>
      <c r="AU242" s="19" t="n">
        <v>0</v>
      </c>
      <c r="AV242" s="19" t="n">
        <v>0</v>
      </c>
      <c r="AW242" s="19" t="n">
        <v>0</v>
      </c>
      <c r="AX242" s="19" t="n">
        <v>0</v>
      </c>
      <c r="AY242" s="19" t="n">
        <v>0</v>
      </c>
      <c r="AZ242" s="19" t="n">
        <v>0</v>
      </c>
      <c r="BA242" s="19" t="n">
        <v>0</v>
      </c>
      <c r="BB242" s="19" t="n">
        <v>1</v>
      </c>
      <c r="BC242" s="19" t="n">
        <v>0</v>
      </c>
      <c r="BD242" s="19" t="n">
        <v>0</v>
      </c>
      <c r="BE242" s="19" t="n">
        <v>0</v>
      </c>
      <c r="BF242" s="19" t="n">
        <v>0</v>
      </c>
      <c r="BG242" s="19" t="n">
        <v>0</v>
      </c>
      <c r="BH242" s="19" t="n">
        <v>0</v>
      </c>
      <c r="BI242" s="19" t="n">
        <v>0</v>
      </c>
      <c r="BJ242" s="19" t="n">
        <v>0</v>
      </c>
      <c r="BK242" s="19" t="n">
        <v>0</v>
      </c>
      <c r="BL242" s="19" t="n">
        <v>0</v>
      </c>
      <c r="BM242" s="19" t="n">
        <v>0</v>
      </c>
      <c r="BN242" s="19" t="n">
        <v>0</v>
      </c>
      <c r="BO242" s="19" t="n">
        <v>0</v>
      </c>
      <c r="BP242" s="19" t="n">
        <v>0</v>
      </c>
      <c r="BQ242" s="19" t="n">
        <v>0</v>
      </c>
      <c r="BR242" s="19" t="n">
        <v>3</v>
      </c>
      <c r="BS242" s="19" t="n">
        <v>2</v>
      </c>
      <c r="BT242" s="19" t="n">
        <v>4</v>
      </c>
      <c r="BU242" s="19" t="n">
        <v>5</v>
      </c>
      <c r="BV242" s="19" t="n">
        <v>2</v>
      </c>
      <c r="BW242" s="19" t="n">
        <v>1</v>
      </c>
      <c r="BX242" s="19" t="n">
        <v>1</v>
      </c>
      <c r="BY242" s="19" t="n">
        <v>2</v>
      </c>
      <c r="BZ242" s="19" t="n">
        <v>1</v>
      </c>
      <c r="CA242" s="19" t="n">
        <v>3</v>
      </c>
      <c r="CB242" s="19" t="n">
        <v>2</v>
      </c>
      <c r="CC242" s="19" t="n">
        <v>3</v>
      </c>
      <c r="CD242" s="19" t="n">
        <v>2</v>
      </c>
      <c r="CE242" s="19" t="n">
        <v>3</v>
      </c>
      <c r="CF242" s="19" t="n">
        <v>5</v>
      </c>
      <c r="CG242" s="19" t="n">
        <v>4</v>
      </c>
      <c r="CH242" s="19" t="n">
        <v>4</v>
      </c>
      <c r="CI242" s="19" t="n">
        <v>4</v>
      </c>
      <c r="CJ242" s="19" t="n">
        <v>4</v>
      </c>
      <c r="CK242" s="19" t="n">
        <v>5</v>
      </c>
      <c r="CL242" s="0" t="s">
        <v>274</v>
      </c>
      <c r="CM242" s="0" t="n">
        <v>19.5</v>
      </c>
      <c r="CN242" s="16" t="n">
        <v>74.3</v>
      </c>
      <c r="CO242" s="16" t="n">
        <v>80.4</v>
      </c>
      <c r="CP242" s="16" t="n">
        <v>7.8</v>
      </c>
      <c r="CQ242" s="0" t="n">
        <v>89.52</v>
      </c>
      <c r="CR242" s="0" t="n">
        <v>8.69</v>
      </c>
      <c r="CS242" s="0" t="n">
        <v>1.79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18.73</v>
      </c>
      <c r="DD242" s="0" t="n">
        <v>9.35</v>
      </c>
      <c r="DE242" s="0" t="n">
        <v>0</v>
      </c>
      <c r="DF242" s="0" t="n">
        <v>0</v>
      </c>
      <c r="DG242" s="0" t="n">
        <v>0</v>
      </c>
      <c r="DU242" s="0" t="n">
        <v>3.92</v>
      </c>
      <c r="DV242" s="0" t="n">
        <v>1</v>
      </c>
      <c r="DW242" s="0" t="n">
        <v>52</v>
      </c>
      <c r="DX242" s="0" t="n">
        <v>4</v>
      </c>
      <c r="DY242" s="0" t="n">
        <f aca="false">1.01*2+0.56+0.9</f>
        <v>3.48</v>
      </c>
      <c r="DZ242" s="0" t="n">
        <v>2</v>
      </c>
      <c r="EG242" s="18"/>
      <c r="EY242" s="0" t="n">
        <v>1</v>
      </c>
      <c r="EZ242" s="0" t="n">
        <v>50</v>
      </c>
      <c r="FA242" s="0" t="n">
        <v>1</v>
      </c>
      <c r="FB242" s="0" t="n">
        <v>1.9</v>
      </c>
      <c r="FC242" s="0" t="n">
        <v>3</v>
      </c>
      <c r="GJ242" s="16" t="n">
        <v>2.24</v>
      </c>
      <c r="GK242" s="16" t="n">
        <v>1</v>
      </c>
      <c r="GL242" s="16" t="n">
        <v>2</v>
      </c>
      <c r="GM242" s="16"/>
      <c r="GN242" s="16" t="n">
        <f aca="false">1.87*2</f>
        <v>3.74</v>
      </c>
      <c r="GO242" s="16"/>
      <c r="GP242" s="16"/>
      <c r="GQ242" s="16"/>
      <c r="GR242" s="16"/>
      <c r="GS242" s="16"/>
      <c r="GT242" s="16"/>
      <c r="GU242" s="16" t="n">
        <v>5.49</v>
      </c>
      <c r="GV242" s="16" t="n">
        <f aca="false">1.01*2+0.56+1.87*2+0.9</f>
        <v>7.22</v>
      </c>
      <c r="GW242" s="16"/>
      <c r="GX242" s="16"/>
      <c r="GY242" s="16" t="n">
        <v>0</v>
      </c>
      <c r="GZ242" s="16" t="n">
        <v>0</v>
      </c>
      <c r="HA242" s="16" t="n">
        <v>0</v>
      </c>
      <c r="HB242" s="0" t="n">
        <v>0</v>
      </c>
      <c r="HC242" s="0" t="s">
        <v>275</v>
      </c>
      <c r="HD242" s="0" t="n">
        <v>19.5</v>
      </c>
      <c r="HE242" s="16" t="n">
        <v>74.6</v>
      </c>
      <c r="HF242" s="16" t="n">
        <v>80.4</v>
      </c>
      <c r="HG242" s="16" t="n">
        <v>7.8</v>
      </c>
      <c r="HH242" s="0" t="n">
        <v>89.29</v>
      </c>
      <c r="HI242" s="0" t="n">
        <v>8.92</v>
      </c>
      <c r="HJ242" s="0" t="n">
        <v>1.79</v>
      </c>
      <c r="HK242" s="0" t="n">
        <v>0</v>
      </c>
      <c r="HL242" s="0" t="n">
        <v>0</v>
      </c>
      <c r="HM242" s="0" t="n">
        <v>0</v>
      </c>
      <c r="HN242" s="0" t="n">
        <v>0</v>
      </c>
      <c r="HO242" s="0" t="n">
        <v>0</v>
      </c>
      <c r="HP242" s="0" t="n">
        <v>0</v>
      </c>
      <c r="HQ242" s="0" t="n">
        <v>0</v>
      </c>
      <c r="HR242" s="0" t="n">
        <v>0</v>
      </c>
      <c r="HS242" s="0" t="n">
        <v>0</v>
      </c>
      <c r="HT242" s="0" t="n">
        <v>18.95</v>
      </c>
      <c r="HU242" s="0" t="n">
        <v>9.35</v>
      </c>
      <c r="HV242" s="0" t="n">
        <v>0</v>
      </c>
      <c r="HW242" s="0" t="n">
        <v>0</v>
      </c>
      <c r="HX242" s="0" t="n">
        <v>0</v>
      </c>
      <c r="IL242" s="0" t="n">
        <v>3.9</v>
      </c>
      <c r="IM242" s="0" t="n">
        <v>1</v>
      </c>
      <c r="IN242" s="0" t="n">
        <v>52</v>
      </c>
      <c r="IO242" s="0" t="n">
        <v>4</v>
      </c>
      <c r="IP242" s="0" t="n">
        <f aca="false">1.01*2+0.56+0.9</f>
        <v>3.48</v>
      </c>
      <c r="IQ242" s="0" t="n">
        <v>3</v>
      </c>
      <c r="IX242" s="18"/>
      <c r="JP242" s="0" t="n">
        <v>1</v>
      </c>
      <c r="JQ242" s="0" t="n">
        <v>50</v>
      </c>
      <c r="JR242" s="0" t="n">
        <v>1</v>
      </c>
      <c r="JS242" s="0" t="n">
        <v>1.9</v>
      </c>
      <c r="JT242" s="0" t="n">
        <v>3</v>
      </c>
      <c r="LA242" s="16" t="n">
        <v>2.24</v>
      </c>
      <c r="LB242" s="16" t="n">
        <v>1</v>
      </c>
      <c r="LC242" s="16" t="n">
        <v>2</v>
      </c>
      <c r="LD242" s="16"/>
      <c r="LE242" s="16" t="n">
        <f aca="false">1.87*2</f>
        <v>3.74</v>
      </c>
      <c r="LF242" s="16"/>
      <c r="LG242" s="16"/>
      <c r="LH242" s="16"/>
      <c r="LI242" s="16"/>
      <c r="LJ242" s="16"/>
      <c r="LK242" s="16"/>
      <c r="LL242" s="16" t="n">
        <v>6.49</v>
      </c>
      <c r="LM242" s="16" t="n">
        <f aca="false">1.01*2+0.56+1.87*2+0.9</f>
        <v>7.22</v>
      </c>
      <c r="LN242" s="16"/>
      <c r="LO242" s="16"/>
      <c r="LP242" s="16" t="n">
        <v>0</v>
      </c>
      <c r="LQ242" s="16" t="n">
        <v>0</v>
      </c>
      <c r="LR242" s="16" t="n">
        <v>0</v>
      </c>
      <c r="LS242" s="0" t="n">
        <v>0</v>
      </c>
      <c r="LT242" s="0" t="s">
        <v>276</v>
      </c>
      <c r="LU242" s="0" t="n">
        <v>22.5</v>
      </c>
      <c r="LV242" s="16" t="n">
        <v>73.4</v>
      </c>
      <c r="LW242" s="16" t="n">
        <v>80.4</v>
      </c>
      <c r="LX242" s="16" t="n">
        <v>10.4</v>
      </c>
      <c r="LY242" s="0" t="n">
        <v>88.12</v>
      </c>
      <c r="LZ242" s="0" t="n">
        <v>6.29</v>
      </c>
      <c r="MA242" s="0" t="n">
        <v>4.25</v>
      </c>
      <c r="MB242" s="0" t="n">
        <v>0</v>
      </c>
      <c r="MC242" s="0" t="n">
        <v>1.34</v>
      </c>
      <c r="MD242" s="0" t="n">
        <v>0</v>
      </c>
      <c r="ME242" s="0" t="n">
        <v>0</v>
      </c>
      <c r="MF242" s="0" t="n">
        <v>0</v>
      </c>
      <c r="MG242" s="0" t="n">
        <v>0</v>
      </c>
      <c r="MH242" s="0" t="n">
        <v>0</v>
      </c>
      <c r="MI242" s="0" t="n">
        <v>0</v>
      </c>
      <c r="MJ242" s="0" t="n">
        <v>0</v>
      </c>
      <c r="MK242" s="0" t="n">
        <v>2.46</v>
      </c>
      <c r="ML242" s="0" t="n">
        <v>13.2</v>
      </c>
      <c r="MM242" s="0" t="n">
        <v>0</v>
      </c>
      <c r="MN242" s="0" t="n">
        <v>0</v>
      </c>
      <c r="MO242" s="0" t="n">
        <v>0</v>
      </c>
      <c r="NC242" s="0" t="n">
        <v>0</v>
      </c>
      <c r="NO242" s="18"/>
      <c r="PR242" s="16" t="n">
        <v>2.24</v>
      </c>
      <c r="PS242" s="16" t="n">
        <v>1</v>
      </c>
      <c r="PT242" s="16" t="n">
        <v>2</v>
      </c>
      <c r="PU242" s="16" t="n">
        <v>3.73</v>
      </c>
      <c r="PV242" s="16"/>
      <c r="PW242" s="16"/>
      <c r="PX242" s="16"/>
      <c r="PY242" s="16"/>
      <c r="PZ242" s="16"/>
      <c r="QA242" s="16"/>
      <c r="QB242" s="16"/>
      <c r="QC242" s="16" t="n">
        <v>9.68</v>
      </c>
      <c r="QD242" s="16" t="n">
        <f aca="false">2.01+1.34+2.69+3.73+0.81</f>
        <v>10.58</v>
      </c>
      <c r="QE242" s="16"/>
      <c r="QF242" s="16"/>
      <c r="QG242" s="16" t="n">
        <v>0</v>
      </c>
      <c r="QH242" s="16" t="n">
        <v>0</v>
      </c>
      <c r="QI242" s="16" t="n">
        <v>0.16</v>
      </c>
      <c r="QJ242" s="0" t="n">
        <v>0</v>
      </c>
      <c r="QK242" s="0" t="s">
        <v>277</v>
      </c>
      <c r="QL242" s="0" t="n">
        <v>29.5</v>
      </c>
      <c r="QM242" s="16" t="n">
        <v>53.8</v>
      </c>
      <c r="QN242" s="16" t="n">
        <v>80.4</v>
      </c>
      <c r="QO242" s="16" t="n">
        <v>12.1</v>
      </c>
      <c r="QP242" s="0" t="n">
        <v>86.6</v>
      </c>
      <c r="QQ242" s="0" t="n">
        <v>8.48</v>
      </c>
      <c r="QR242" s="0" t="n">
        <v>4.93</v>
      </c>
      <c r="QS242" s="0" t="n">
        <v>0</v>
      </c>
      <c r="QT242" s="0" t="n">
        <v>0</v>
      </c>
      <c r="QU242" s="0" t="n">
        <v>0</v>
      </c>
      <c r="QV242" s="0" t="n">
        <v>0</v>
      </c>
      <c r="QW242" s="0" t="n">
        <v>0</v>
      </c>
      <c r="QX242" s="0" t="n">
        <v>0</v>
      </c>
      <c r="QY242" s="0" t="n">
        <v>0</v>
      </c>
      <c r="QZ242" s="0" t="n">
        <v>0</v>
      </c>
      <c r="RA242" s="0" t="n">
        <v>0</v>
      </c>
      <c r="RB242" s="0" t="n">
        <v>2.02</v>
      </c>
      <c r="RC242" s="0" t="n">
        <v>19.56</v>
      </c>
      <c r="RD242" s="0" t="n">
        <v>0.25</v>
      </c>
      <c r="RE242" s="0" t="n">
        <v>0</v>
      </c>
      <c r="RF242" s="0" t="n">
        <v>0</v>
      </c>
      <c r="RG242" s="0" t="n">
        <v>0</v>
      </c>
      <c r="RH242" s="0" t="n">
        <v>0</v>
      </c>
      <c r="RN242" s="0" t="n">
        <v>0</v>
      </c>
      <c r="RT242" s="0" t="n">
        <v>0</v>
      </c>
      <c r="RU242" s="0" t="n">
        <v>0</v>
      </c>
      <c r="SF242" s="18"/>
      <c r="SX242" s="0" t="n">
        <v>0</v>
      </c>
      <c r="UI242" s="16" t="n">
        <v>6.72</v>
      </c>
      <c r="UJ242" s="16" t="n">
        <v>1</v>
      </c>
      <c r="UK242" s="16" t="n">
        <v>2</v>
      </c>
      <c r="UL242" s="16"/>
      <c r="UM242" s="16" t="n">
        <f aca="false">3.73*3</f>
        <v>11.19</v>
      </c>
      <c r="UN242" s="16"/>
      <c r="UO242" s="16"/>
      <c r="UP242" s="16"/>
      <c r="UQ242" s="16"/>
      <c r="UR242" s="16"/>
      <c r="US242" s="16"/>
      <c r="UT242" s="16" t="n">
        <v>10.6</v>
      </c>
      <c r="UU242" s="16" t="n">
        <v>12.44</v>
      </c>
      <c r="UV242" s="16"/>
      <c r="UW242" s="16"/>
      <c r="UX242" s="16" t="n">
        <v>0</v>
      </c>
      <c r="UY242" s="16" t="n">
        <v>0</v>
      </c>
      <c r="UZ242" s="16" t="n">
        <v>0</v>
      </c>
      <c r="VA242" s="0" t="n">
        <v>0</v>
      </c>
      <c r="VB242" s="0" t="s">
        <v>278</v>
      </c>
      <c r="VC242" s="0" t="n">
        <v>51.5</v>
      </c>
      <c r="VD242" s="16" t="n">
        <v>63.4</v>
      </c>
      <c r="VE242" s="16" t="n">
        <v>80.4</v>
      </c>
      <c r="VF242" s="16" t="n">
        <v>18.1</v>
      </c>
      <c r="VG242" s="0" t="n">
        <v>83.5</v>
      </c>
      <c r="VH242" s="0" t="n">
        <v>5.36</v>
      </c>
      <c r="VI242" s="0" t="n">
        <v>8.46</v>
      </c>
      <c r="VJ242" s="0" t="n">
        <v>0</v>
      </c>
      <c r="VK242" s="0" t="n">
        <v>2.69</v>
      </c>
      <c r="VL242" s="0" t="n">
        <v>0</v>
      </c>
      <c r="VM242" s="0" t="n">
        <v>0</v>
      </c>
      <c r="VN242" s="0" t="n">
        <v>0</v>
      </c>
      <c r="VO242" s="0" t="n">
        <v>0</v>
      </c>
      <c r="VP242" s="0" t="n">
        <v>0</v>
      </c>
      <c r="VQ242" s="0" t="n">
        <v>0</v>
      </c>
      <c r="VR242" s="0" t="n">
        <v>0</v>
      </c>
      <c r="VS242" s="0" t="n">
        <v>0.99</v>
      </c>
      <c r="VT242" s="0" t="n">
        <v>13.55</v>
      </c>
      <c r="VU242" s="0" t="n">
        <v>16.2</v>
      </c>
      <c r="VV242" s="0" t="n">
        <v>0</v>
      </c>
      <c r="VW242" s="0" t="n">
        <v>0</v>
      </c>
      <c r="VX242" s="0" t="n">
        <v>0</v>
      </c>
      <c r="WK242" s="0" t="n">
        <v>18.4</v>
      </c>
      <c r="WL242" s="0" t="n">
        <v>1</v>
      </c>
      <c r="WM242" s="0" t="n">
        <v>47</v>
      </c>
      <c r="WN242" s="0" t="n">
        <v>1</v>
      </c>
      <c r="WO242" s="0" t="n">
        <v>0.9</v>
      </c>
      <c r="WP242" s="0" t="n">
        <v>3</v>
      </c>
      <c r="WQ242" s="0" t="n">
        <v>35</v>
      </c>
      <c r="WR242" s="0" t="n">
        <v>3</v>
      </c>
      <c r="WS242" s="0" t="n">
        <f aca="false">0.94</f>
        <v>0.94</v>
      </c>
      <c r="WT242" s="0" t="n">
        <v>3</v>
      </c>
      <c r="WU242" s="0" t="n">
        <v>68</v>
      </c>
      <c r="WV242" s="0" t="n">
        <v>1</v>
      </c>
      <c r="WW242" s="18" t="n">
        <v>6.22</v>
      </c>
      <c r="WX242" s="0" t="n">
        <v>1</v>
      </c>
      <c r="XO242" s="0" t="n">
        <v>0</v>
      </c>
      <c r="YZ242" s="16" t="n">
        <v>3.75</v>
      </c>
      <c r="ZA242" s="16" t="n">
        <v>1</v>
      </c>
      <c r="ZB242" s="16" t="n">
        <v>1</v>
      </c>
      <c r="ZC242" s="16"/>
      <c r="ZD242" s="16" t="n">
        <f aca="false">2.49+0.05+0.03</f>
        <v>2.57</v>
      </c>
      <c r="ZE242" s="16" t="n">
        <v>2</v>
      </c>
      <c r="ZF242" s="16"/>
      <c r="ZG242" s="16" t="n">
        <v>2.49</v>
      </c>
      <c r="ZH242" s="16"/>
      <c r="ZI242" s="16"/>
      <c r="ZJ242" s="16"/>
      <c r="ZK242" s="16" t="n">
        <v>11.1</v>
      </c>
      <c r="ZL242" s="16" t="n">
        <v>18.47</v>
      </c>
      <c r="ZM242" s="16"/>
      <c r="ZN242" s="16"/>
      <c r="ZO242" s="16" t="n">
        <v>0</v>
      </c>
      <c r="ZP242" s="16" t="n">
        <v>0</v>
      </c>
      <c r="ZQ242" s="16" t="n">
        <v>0</v>
      </c>
      <c r="ZR242" s="0" t="n">
        <v>0</v>
      </c>
      <c r="ZS242" s="0" t="s">
        <v>279</v>
      </c>
      <c r="ZT242" s="0" t="n">
        <v>33.5</v>
      </c>
      <c r="ZU242" s="16" t="n">
        <v>54</v>
      </c>
      <c r="ZV242" s="16" t="n">
        <v>80.4</v>
      </c>
      <c r="ZW242" s="16" t="n">
        <v>9.6</v>
      </c>
      <c r="ZX242" s="0" t="n">
        <v>86.69</v>
      </c>
      <c r="ZY242" s="0" t="n">
        <v>8.34</v>
      </c>
      <c r="ZZ242" s="0" t="n">
        <v>4.97</v>
      </c>
      <c r="AAA242" s="0" t="n">
        <v>0</v>
      </c>
      <c r="AAB242" s="0" t="n">
        <v>0</v>
      </c>
      <c r="AAC242" s="0" t="n">
        <v>0</v>
      </c>
      <c r="AAD242" s="0" t="n">
        <v>0</v>
      </c>
      <c r="AAE242" s="0" t="n">
        <v>0</v>
      </c>
      <c r="AAF242" s="0" t="n">
        <v>0</v>
      </c>
      <c r="AAG242" s="0" t="n">
        <v>0</v>
      </c>
      <c r="AAH242" s="0" t="n">
        <v>0</v>
      </c>
      <c r="AAI242" s="0" t="n">
        <v>0</v>
      </c>
      <c r="AAJ242" s="0" t="n">
        <v>12.83</v>
      </c>
      <c r="AAK242" s="0" t="n">
        <v>6.09</v>
      </c>
      <c r="AAL242" s="0" t="n">
        <v>0</v>
      </c>
      <c r="AAM242" s="0" t="n">
        <v>0</v>
      </c>
      <c r="AAN242" s="0" t="n">
        <v>0</v>
      </c>
      <c r="AAO242" s="0" t="n">
        <v>0</v>
      </c>
      <c r="ABB242" s="0" t="n">
        <v>11.3</v>
      </c>
      <c r="ABC242" s="0" t="n">
        <v>1</v>
      </c>
      <c r="ABD242" s="0" t="n">
        <v>47</v>
      </c>
      <c r="ABE242" s="0" t="n">
        <v>1</v>
      </c>
      <c r="ABF242" s="0" t="n">
        <v>0.9</v>
      </c>
      <c r="ABG242" s="0" t="n">
        <v>3</v>
      </c>
      <c r="ABH242" s="0" t="n">
        <v>35</v>
      </c>
      <c r="ABI242" s="0" t="n">
        <v>2</v>
      </c>
      <c r="ABJ242" s="0" t="n">
        <v>0.92</v>
      </c>
      <c r="ABK242" s="0" t="n">
        <v>3</v>
      </c>
      <c r="ABN242" s="18"/>
      <c r="ACF242" s="0" t="n">
        <v>0</v>
      </c>
      <c r="ADQ242" s="16" t="n">
        <v>3.75</v>
      </c>
      <c r="ADR242" s="16" t="n">
        <v>1</v>
      </c>
      <c r="ADS242" s="16" t="n">
        <v>1</v>
      </c>
      <c r="ADT242" s="16"/>
      <c r="ADU242" s="16" t="n">
        <f aca="false">2.49+0.05+0.03</f>
        <v>2.57</v>
      </c>
      <c r="ADV242" s="16" t="n">
        <v>2</v>
      </c>
      <c r="ADW242" s="16"/>
      <c r="ADX242" s="16" t="n">
        <v>2.49</v>
      </c>
      <c r="ADY242" s="16"/>
      <c r="ADZ242" s="16"/>
      <c r="AEA242" s="16"/>
      <c r="AEB242" s="16" t="n">
        <v>8.81</v>
      </c>
      <c r="AEC242" s="16" t="n">
        <v>6.01</v>
      </c>
      <c r="AED242" s="16"/>
      <c r="AEE242" s="16"/>
      <c r="AEF242" s="16" t="n">
        <v>0</v>
      </c>
      <c r="AEG242" s="16" t="n">
        <v>0</v>
      </c>
      <c r="AEH242" s="16" t="n">
        <v>0</v>
      </c>
      <c r="AEI242" s="0" t="n">
        <v>0</v>
      </c>
      <c r="AEJ242" s="0" t="s">
        <v>280</v>
      </c>
      <c r="AEK242" s="0" t="n">
        <v>79</v>
      </c>
      <c r="AEL242" s="16" t="n">
        <v>63.9</v>
      </c>
      <c r="AEM242" s="16" t="n">
        <v>80.4</v>
      </c>
      <c r="AEN242" s="16" t="n">
        <v>11.2</v>
      </c>
      <c r="AEO242" s="0" t="n">
        <v>77.43</v>
      </c>
      <c r="AEP242" s="0" t="n">
        <v>22.57</v>
      </c>
      <c r="AEQ242" s="0" t="n">
        <v>0</v>
      </c>
      <c r="AER242" s="0" t="n">
        <v>0</v>
      </c>
      <c r="AES242" s="0" t="n">
        <v>0</v>
      </c>
      <c r="AET242" s="0" t="n">
        <v>0</v>
      </c>
      <c r="AEU242" s="0" t="n">
        <v>0</v>
      </c>
      <c r="AEV242" s="0" t="n">
        <v>0</v>
      </c>
      <c r="AEW242" s="0" t="n">
        <v>0</v>
      </c>
      <c r="AEX242" s="0" t="n">
        <v>0</v>
      </c>
      <c r="AEY242" s="0" t="n">
        <v>0</v>
      </c>
      <c r="AEZ242" s="0" t="n">
        <v>0</v>
      </c>
      <c r="AFA242" s="0" t="n">
        <v>0</v>
      </c>
      <c r="AFB242" s="0" t="n">
        <v>45.87</v>
      </c>
      <c r="AFC242" s="0" t="n">
        <v>0</v>
      </c>
      <c r="AFD242" s="0" t="n">
        <v>0</v>
      </c>
      <c r="AFE242" s="0" t="n">
        <v>0</v>
      </c>
      <c r="AFF242" s="0" t="n">
        <v>0</v>
      </c>
      <c r="AFS242" s="0" t="n">
        <v>56.3</v>
      </c>
      <c r="AFT242" s="0" t="n">
        <v>1</v>
      </c>
      <c r="AFU242" s="0" t="n">
        <v>47</v>
      </c>
      <c r="AFV242" s="0" t="n">
        <v>18</v>
      </c>
      <c r="AFW242" s="0" t="n">
        <f aca="false">13.43+9.14</f>
        <v>22.57</v>
      </c>
      <c r="AFX242" s="0" t="n">
        <v>3</v>
      </c>
      <c r="AGE242" s="18"/>
      <c r="AGW242" s="0" t="n">
        <v>0</v>
      </c>
      <c r="AIH242" s="16" t="n">
        <v>0</v>
      </c>
      <c r="AII242" s="16" t="n">
        <v>0</v>
      </c>
      <c r="AIJ242" s="16"/>
      <c r="AIK242" s="16"/>
      <c r="AIL242" s="16"/>
      <c r="AIM242" s="16"/>
      <c r="AIN242" s="16"/>
      <c r="AIO242" s="16"/>
      <c r="AIP242" s="16"/>
      <c r="AIQ242" s="16"/>
      <c r="AIR242" s="16"/>
      <c r="AIS242" s="16" t="n">
        <v>11.54</v>
      </c>
      <c r="AIT242" s="16" t="n">
        <v>22.57</v>
      </c>
      <c r="AIU242" s="16"/>
      <c r="AIV242" s="16"/>
      <c r="AIW242" s="16" t="n">
        <v>0</v>
      </c>
      <c r="AIX242" s="16" t="n">
        <v>0</v>
      </c>
      <c r="AIY242" s="16" t="n">
        <v>0</v>
      </c>
      <c r="AIZ242" s="0" t="n">
        <v>0</v>
      </c>
      <c r="AJA242" s="0" t="s">
        <v>281</v>
      </c>
      <c r="AJB242" s="0" t="n">
        <v>42.5</v>
      </c>
      <c r="AJC242" s="16" t="n">
        <v>76.4</v>
      </c>
      <c r="AJD242" s="16" t="n">
        <v>80.4</v>
      </c>
      <c r="AJE242" s="16" t="n">
        <v>15.3</v>
      </c>
      <c r="AJF242" s="0" t="n">
        <v>73.6</v>
      </c>
      <c r="AJG242" s="0" t="n">
        <v>20.42</v>
      </c>
      <c r="AJH242" s="0" t="n">
        <v>3.69</v>
      </c>
      <c r="AJI242" s="0" t="n">
        <v>0</v>
      </c>
      <c r="AJJ242" s="0" t="n">
        <v>2.28</v>
      </c>
      <c r="AJK242" s="0" t="n">
        <v>0</v>
      </c>
      <c r="AJL242" s="0" t="n">
        <v>0</v>
      </c>
      <c r="AJM242" s="0" t="n">
        <v>0</v>
      </c>
      <c r="AJN242" s="0" t="n">
        <v>0</v>
      </c>
      <c r="AJO242" s="0" t="n">
        <v>0</v>
      </c>
      <c r="AJP242" s="0" t="n">
        <v>0</v>
      </c>
      <c r="AJQ242" s="0" t="n">
        <v>0</v>
      </c>
      <c r="AJR242" s="0" t="n">
        <v>0</v>
      </c>
      <c r="AJS242" s="0" t="n">
        <v>35.36</v>
      </c>
      <c r="AJT242" s="0" t="n">
        <v>16.37</v>
      </c>
      <c r="AJU242" s="0" t="n">
        <v>0</v>
      </c>
      <c r="AJV242" s="0" t="n">
        <v>4.4</v>
      </c>
      <c r="AJW242" s="0" t="n">
        <v>2</v>
      </c>
      <c r="AJX242" s="0" t="n">
        <v>10</v>
      </c>
      <c r="AJY242" s="0" t="n">
        <v>0.9</v>
      </c>
      <c r="AKD242" s="0" t="n">
        <v>10</v>
      </c>
      <c r="AKE242" s="0" t="n">
        <v>0.9</v>
      </c>
      <c r="AKJ242" s="0" t="n">
        <v>9.7</v>
      </c>
      <c r="AKK242" s="0" t="n">
        <v>1</v>
      </c>
      <c r="AKL242" s="0" t="n">
        <v>68</v>
      </c>
      <c r="AKM242" s="0" t="n">
        <v>2</v>
      </c>
      <c r="AKN242" s="0" t="n">
        <f aca="false">3.34+5.29</f>
        <v>8.63</v>
      </c>
      <c r="AKO242" s="0" t="n">
        <v>1</v>
      </c>
      <c r="AKP242" s="0" t="n">
        <v>34</v>
      </c>
      <c r="AKQ242" s="0" t="n">
        <v>86</v>
      </c>
      <c r="AKR242" s="0" t="n">
        <f aca="false">0.8+0.6</f>
        <v>1.4</v>
      </c>
      <c r="AKS242" s="0" t="n">
        <v>1</v>
      </c>
      <c r="AKT242" s="0" t="n">
        <v>47</v>
      </c>
      <c r="AKU242" s="0" t="n">
        <v>1</v>
      </c>
      <c r="AKV242" s="18" t="n">
        <v>1.52</v>
      </c>
      <c r="AKW242" s="0" t="n">
        <v>3</v>
      </c>
      <c r="ALN242" s="0" t="n">
        <v>0</v>
      </c>
    </row>
    <row r="243" customFormat="false" ht="13.8" hidden="false" customHeight="false" outlineLevel="0" collapsed="false">
      <c r="A243" s="1" t="s">
        <v>761</v>
      </c>
      <c r="B243" s="12" t="n">
        <v>42908</v>
      </c>
      <c r="C243" s="0" t="n">
        <v>2</v>
      </c>
      <c r="D243" s="13" t="n">
        <v>42776</v>
      </c>
      <c r="E243" s="12" t="n">
        <v>32979</v>
      </c>
      <c r="F243" s="14" t="n">
        <f aca="false">(B243-E243)/365.25</f>
        <v>27.1841204654346</v>
      </c>
      <c r="G243" s="14" t="n">
        <f aca="false">(B243-D243)/365.25</f>
        <v>0.361396303901437</v>
      </c>
      <c r="H243" s="19" t="s">
        <v>217</v>
      </c>
      <c r="I243" s="15" t="s">
        <v>272</v>
      </c>
      <c r="J243" s="21" t="s">
        <v>183</v>
      </c>
      <c r="K243" s="21" t="n">
        <v>8</v>
      </c>
      <c r="L243" s="19" t="n">
        <v>59</v>
      </c>
      <c r="M243" s="0" t="n">
        <v>1.76</v>
      </c>
      <c r="N243" s="16" t="n">
        <f aca="false">L243/(M243*M243)</f>
        <v>19.0470041322314</v>
      </c>
      <c r="O243" s="19" t="n">
        <v>0</v>
      </c>
      <c r="P243" s="19" t="n">
        <v>0</v>
      </c>
      <c r="Q243" s="19" t="n">
        <v>0</v>
      </c>
      <c r="R243" s="26" t="n">
        <v>0</v>
      </c>
      <c r="S243" s="26" t="n">
        <v>0</v>
      </c>
      <c r="T243" s="26" t="n">
        <v>0</v>
      </c>
      <c r="U243" s="19" t="n">
        <v>0</v>
      </c>
      <c r="V243" s="19" t="n">
        <v>0</v>
      </c>
      <c r="W243" s="19" t="n">
        <v>1</v>
      </c>
      <c r="X243" s="19" t="n">
        <v>0</v>
      </c>
      <c r="Y243" s="19" t="n">
        <v>1</v>
      </c>
      <c r="Z243" s="19" t="n">
        <v>2</v>
      </c>
      <c r="AA243" s="19" t="n">
        <v>90</v>
      </c>
      <c r="AB243" s="19" t="s">
        <v>308</v>
      </c>
      <c r="AC243" s="19" t="n">
        <v>1</v>
      </c>
      <c r="AD243" s="19" t="n">
        <v>10</v>
      </c>
      <c r="AE243" s="19" t="n">
        <v>1</v>
      </c>
      <c r="AF243" s="19" t="n">
        <v>0</v>
      </c>
      <c r="AG243" s="19" t="n">
        <v>0</v>
      </c>
      <c r="AH243" s="19" t="n">
        <v>0</v>
      </c>
      <c r="AI243" s="19" t="n">
        <v>0</v>
      </c>
      <c r="AJ243" s="19" t="n">
        <v>0</v>
      </c>
      <c r="AK243" s="19" t="n">
        <v>0</v>
      </c>
      <c r="AL243" s="19" t="n">
        <v>0</v>
      </c>
      <c r="AM243" s="19" t="n">
        <v>0</v>
      </c>
      <c r="AN243" s="19" t="n">
        <v>0</v>
      </c>
      <c r="AO243" s="19" t="n">
        <v>0</v>
      </c>
      <c r="AP243" s="19" t="n">
        <v>0</v>
      </c>
      <c r="AQ243" s="19" t="n">
        <v>0</v>
      </c>
      <c r="AR243" s="19" t="n">
        <v>0</v>
      </c>
      <c r="AS243" s="19" t="n">
        <v>1</v>
      </c>
      <c r="AT243" s="19" t="n">
        <v>0</v>
      </c>
      <c r="AU243" s="19" t="n">
        <v>1</v>
      </c>
      <c r="AV243" s="19" t="n">
        <v>5</v>
      </c>
      <c r="AW243" s="19" t="n">
        <v>0</v>
      </c>
      <c r="AX243" s="19" t="n">
        <v>0</v>
      </c>
      <c r="AY243" s="19" t="n">
        <v>0</v>
      </c>
      <c r="AZ243" s="19" t="n">
        <v>0</v>
      </c>
      <c r="BA243" s="19" t="n">
        <v>0</v>
      </c>
      <c r="BB243" s="19" t="n">
        <v>1</v>
      </c>
      <c r="BC243" s="19" t="n">
        <v>1</v>
      </c>
      <c r="BD243" s="19" t="n">
        <v>1</v>
      </c>
      <c r="BE243" s="19" t="n">
        <v>7</v>
      </c>
      <c r="BF243" s="19" t="n">
        <v>0</v>
      </c>
      <c r="BG243" s="19" t="n">
        <v>0</v>
      </c>
      <c r="BH243" s="19" t="n">
        <v>0</v>
      </c>
      <c r="BI243" s="19" t="n">
        <v>0</v>
      </c>
      <c r="BJ243" s="19" t="n">
        <v>0</v>
      </c>
      <c r="BK243" s="19" t="n">
        <v>0</v>
      </c>
      <c r="BL243" s="19" t="n">
        <v>0</v>
      </c>
      <c r="BM243" s="19" t="n">
        <v>0</v>
      </c>
      <c r="BN243" s="19" t="n">
        <v>0</v>
      </c>
      <c r="BO243" s="19" t="n">
        <v>0</v>
      </c>
      <c r="BP243" s="19" t="n">
        <v>0</v>
      </c>
      <c r="BQ243" s="19" t="n">
        <v>0</v>
      </c>
      <c r="BR243" s="19" t="n">
        <v>1</v>
      </c>
      <c r="BS243" s="19" t="n">
        <v>1</v>
      </c>
      <c r="BT243" s="19" t="n">
        <v>4</v>
      </c>
      <c r="BU243" s="19" t="n">
        <v>5</v>
      </c>
      <c r="BV243" s="19" t="n">
        <v>2</v>
      </c>
      <c r="BW243" s="19" t="n">
        <v>2</v>
      </c>
      <c r="BX243" s="19" t="n">
        <v>4</v>
      </c>
      <c r="BY243" s="19" t="n">
        <v>4</v>
      </c>
      <c r="BZ243" s="19" t="n">
        <v>4</v>
      </c>
      <c r="CA243" s="19" t="n">
        <v>5</v>
      </c>
      <c r="CB243" s="19" t="n">
        <v>5</v>
      </c>
      <c r="CC243" s="19" t="n">
        <v>5</v>
      </c>
      <c r="CD243" s="19" t="n">
        <v>4</v>
      </c>
      <c r="CE243" s="19" t="n">
        <v>5</v>
      </c>
      <c r="CF243" s="19" t="n">
        <v>5</v>
      </c>
      <c r="CG243" s="19" t="n">
        <v>5</v>
      </c>
      <c r="CH243" s="19" t="n">
        <v>5</v>
      </c>
      <c r="CI243" s="19" t="n">
        <v>5</v>
      </c>
      <c r="CJ243" s="19" t="n">
        <v>1</v>
      </c>
      <c r="CK243" s="19" t="n">
        <v>10</v>
      </c>
      <c r="CL243" s="0" t="s">
        <v>274</v>
      </c>
      <c r="CM243" s="0" t="n">
        <v>19.5</v>
      </c>
      <c r="CN243" s="16" t="n">
        <v>74.3</v>
      </c>
      <c r="CO243" s="16" t="n">
        <v>80.4</v>
      </c>
      <c r="CP243" s="16" t="n">
        <v>7.8</v>
      </c>
      <c r="CQ243" s="0" t="n">
        <v>89.52</v>
      </c>
      <c r="CR243" s="0" t="n">
        <v>8.69</v>
      </c>
      <c r="CS243" s="0" t="n">
        <v>1.79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18.73</v>
      </c>
      <c r="DD243" s="0" t="n">
        <v>9.35</v>
      </c>
      <c r="DE243" s="0" t="n">
        <v>0</v>
      </c>
      <c r="DF243" s="0" t="n">
        <v>0</v>
      </c>
      <c r="DG243" s="0" t="n">
        <v>0</v>
      </c>
      <c r="DU243" s="0" t="n">
        <v>3.92</v>
      </c>
      <c r="DV243" s="0" t="n">
        <v>1</v>
      </c>
      <c r="DW243" s="0" t="n">
        <v>52</v>
      </c>
      <c r="DX243" s="0" t="n">
        <v>4</v>
      </c>
      <c r="DY243" s="0" t="n">
        <f aca="false">1.01*2+0.56+0.9</f>
        <v>3.48</v>
      </c>
      <c r="DZ243" s="0" t="n">
        <v>2</v>
      </c>
      <c r="EG243" s="18"/>
      <c r="EY243" s="0" t="n">
        <v>1</v>
      </c>
      <c r="EZ243" s="0" t="n">
        <v>50</v>
      </c>
      <c r="FA243" s="0" t="n">
        <v>1</v>
      </c>
      <c r="FB243" s="0" t="n">
        <v>1.9</v>
      </c>
      <c r="FC243" s="0" t="n">
        <v>3</v>
      </c>
      <c r="GJ243" s="16" t="n">
        <v>2.24</v>
      </c>
      <c r="GK243" s="16" t="n">
        <v>1</v>
      </c>
      <c r="GL243" s="16" t="n">
        <v>2</v>
      </c>
      <c r="GM243" s="16"/>
      <c r="GN243" s="16" t="n">
        <f aca="false">1.87*2</f>
        <v>3.74</v>
      </c>
      <c r="GO243" s="16"/>
      <c r="GP243" s="16"/>
      <c r="GQ243" s="16"/>
      <c r="GR243" s="16"/>
      <c r="GS243" s="16"/>
      <c r="GT243" s="16"/>
      <c r="GU243" s="16" t="n">
        <v>5.49</v>
      </c>
      <c r="GV243" s="16" t="n">
        <f aca="false">1.01*2+0.56+1.87*2+0.9</f>
        <v>7.22</v>
      </c>
      <c r="GW243" s="16"/>
      <c r="GX243" s="16"/>
      <c r="GY243" s="16" t="n">
        <v>0</v>
      </c>
      <c r="GZ243" s="16" t="n">
        <v>0</v>
      </c>
      <c r="HA243" s="16" t="n">
        <v>0</v>
      </c>
      <c r="HB243" s="0" t="n">
        <v>0</v>
      </c>
      <c r="HC243" s="0" t="s">
        <v>275</v>
      </c>
      <c r="HD243" s="0" t="n">
        <v>19.5</v>
      </c>
      <c r="HE243" s="16" t="n">
        <v>74.6</v>
      </c>
      <c r="HF243" s="16" t="n">
        <v>80.4</v>
      </c>
      <c r="HG243" s="16" t="n">
        <v>7.8</v>
      </c>
      <c r="HH243" s="0" t="n">
        <v>89.29</v>
      </c>
      <c r="HI243" s="0" t="n">
        <v>8.92</v>
      </c>
      <c r="HJ243" s="0" t="n">
        <v>1.79</v>
      </c>
      <c r="HK243" s="0" t="n">
        <v>0</v>
      </c>
      <c r="HL243" s="0" t="n">
        <v>0</v>
      </c>
      <c r="HM243" s="0" t="n">
        <v>0</v>
      </c>
      <c r="HN243" s="0" t="n">
        <v>0</v>
      </c>
      <c r="HO243" s="0" t="n">
        <v>0</v>
      </c>
      <c r="HP243" s="0" t="n">
        <v>0</v>
      </c>
      <c r="HQ243" s="0" t="n">
        <v>0</v>
      </c>
      <c r="HR243" s="0" t="n">
        <v>0</v>
      </c>
      <c r="HS243" s="0" t="n">
        <v>0</v>
      </c>
      <c r="HT243" s="0" t="n">
        <v>18.95</v>
      </c>
      <c r="HU243" s="0" t="n">
        <v>9.35</v>
      </c>
      <c r="HV243" s="0" t="n">
        <v>0</v>
      </c>
      <c r="HW243" s="0" t="n">
        <v>0</v>
      </c>
      <c r="HX243" s="0" t="n">
        <v>0</v>
      </c>
      <c r="IL243" s="0" t="n">
        <v>3.9</v>
      </c>
      <c r="IM243" s="0" t="n">
        <v>1</v>
      </c>
      <c r="IN243" s="0" t="n">
        <v>52</v>
      </c>
      <c r="IO243" s="0" t="n">
        <v>4</v>
      </c>
      <c r="IP243" s="0" t="n">
        <f aca="false">1.01*2+0.56+0.9</f>
        <v>3.48</v>
      </c>
      <c r="IQ243" s="0" t="n">
        <v>3</v>
      </c>
      <c r="IX243" s="18"/>
      <c r="JP243" s="0" t="n">
        <v>1</v>
      </c>
      <c r="JQ243" s="0" t="n">
        <v>50</v>
      </c>
      <c r="JR243" s="0" t="n">
        <v>1</v>
      </c>
      <c r="JS243" s="0" t="n">
        <v>1.9</v>
      </c>
      <c r="JT243" s="0" t="n">
        <v>3</v>
      </c>
      <c r="LA243" s="16" t="n">
        <v>2.24</v>
      </c>
      <c r="LB243" s="16" t="n">
        <v>1</v>
      </c>
      <c r="LC243" s="16" t="n">
        <v>2</v>
      </c>
      <c r="LD243" s="16"/>
      <c r="LE243" s="16" t="n">
        <f aca="false">1.87*2</f>
        <v>3.74</v>
      </c>
      <c r="LF243" s="16"/>
      <c r="LG243" s="16"/>
      <c r="LH243" s="16"/>
      <c r="LI243" s="16"/>
      <c r="LJ243" s="16"/>
      <c r="LK243" s="16"/>
      <c r="LL243" s="16" t="n">
        <v>6.49</v>
      </c>
      <c r="LM243" s="16" t="n">
        <f aca="false">1.01*2+0.56+1.87*2+0.9</f>
        <v>7.22</v>
      </c>
      <c r="LN243" s="16"/>
      <c r="LO243" s="16"/>
      <c r="LP243" s="16" t="n">
        <v>0</v>
      </c>
      <c r="LQ243" s="16" t="n">
        <v>0</v>
      </c>
      <c r="LR243" s="16" t="n">
        <v>0</v>
      </c>
      <c r="LS243" s="0" t="n">
        <v>0</v>
      </c>
      <c r="LT243" s="0" t="s">
        <v>276</v>
      </c>
      <c r="LU243" s="0" t="n">
        <v>22.5</v>
      </c>
      <c r="LV243" s="16" t="n">
        <v>73.4</v>
      </c>
      <c r="LW243" s="16" t="n">
        <v>80.4</v>
      </c>
      <c r="LX243" s="16" t="n">
        <v>10.4</v>
      </c>
      <c r="LY243" s="0" t="n">
        <v>88.12</v>
      </c>
      <c r="LZ243" s="0" t="n">
        <v>6.29</v>
      </c>
      <c r="MA243" s="0" t="n">
        <v>4.25</v>
      </c>
      <c r="MB243" s="0" t="n">
        <v>0</v>
      </c>
      <c r="MC243" s="0" t="n">
        <v>1.34</v>
      </c>
      <c r="MD243" s="0" t="n">
        <v>0</v>
      </c>
      <c r="ME243" s="0" t="n">
        <v>0</v>
      </c>
      <c r="MF243" s="0" t="n">
        <v>0</v>
      </c>
      <c r="MG243" s="0" t="n">
        <v>0</v>
      </c>
      <c r="MH243" s="0" t="n">
        <v>0</v>
      </c>
      <c r="MI243" s="0" t="n">
        <v>0</v>
      </c>
      <c r="MJ243" s="0" t="n">
        <v>0</v>
      </c>
      <c r="MK243" s="0" t="n">
        <v>2.46</v>
      </c>
      <c r="ML243" s="0" t="n">
        <v>13.2</v>
      </c>
      <c r="MM243" s="0" t="n">
        <v>0</v>
      </c>
      <c r="MN243" s="0" t="n">
        <v>0</v>
      </c>
      <c r="MO243" s="0" t="n">
        <v>0</v>
      </c>
      <c r="NC243" s="0" t="n">
        <v>0</v>
      </c>
      <c r="NO243" s="18"/>
      <c r="PR243" s="16" t="n">
        <v>2.24</v>
      </c>
      <c r="PS243" s="16" t="n">
        <v>1</v>
      </c>
      <c r="PT243" s="16" t="n">
        <v>2</v>
      </c>
      <c r="PU243" s="16" t="n">
        <v>3.73</v>
      </c>
      <c r="PV243" s="16"/>
      <c r="PW243" s="16"/>
      <c r="PX243" s="16"/>
      <c r="PY243" s="16"/>
      <c r="PZ243" s="16"/>
      <c r="QA243" s="16"/>
      <c r="QB243" s="16"/>
      <c r="QC243" s="16" t="n">
        <v>9.68</v>
      </c>
      <c r="QD243" s="16" t="n">
        <f aca="false">2.01+1.34+2.69+3.73+0.81</f>
        <v>10.58</v>
      </c>
      <c r="QE243" s="16"/>
      <c r="QF243" s="16"/>
      <c r="QG243" s="16" t="n">
        <v>0</v>
      </c>
      <c r="QH243" s="16" t="n">
        <v>0</v>
      </c>
      <c r="QI243" s="16" t="n">
        <v>0.16</v>
      </c>
      <c r="QJ243" s="0" t="n">
        <v>0</v>
      </c>
      <c r="QK243" s="0" t="s">
        <v>277</v>
      </c>
      <c r="QL243" s="0" t="n">
        <v>29.5</v>
      </c>
      <c r="QM243" s="16" t="n">
        <v>53.8</v>
      </c>
      <c r="QN243" s="16" t="n">
        <v>80.4</v>
      </c>
      <c r="QO243" s="16" t="n">
        <v>12.1</v>
      </c>
      <c r="QP243" s="0" t="n">
        <v>86.6</v>
      </c>
      <c r="QQ243" s="0" t="n">
        <v>8.48</v>
      </c>
      <c r="QR243" s="0" t="n">
        <v>4.93</v>
      </c>
      <c r="QS243" s="0" t="n">
        <v>0</v>
      </c>
      <c r="QT243" s="0" t="n">
        <v>0</v>
      </c>
      <c r="QU243" s="0" t="n">
        <v>0</v>
      </c>
      <c r="QV243" s="0" t="n">
        <v>0</v>
      </c>
      <c r="QW243" s="0" t="n">
        <v>0</v>
      </c>
      <c r="QX243" s="0" t="n">
        <v>0</v>
      </c>
      <c r="QY243" s="0" t="n">
        <v>0</v>
      </c>
      <c r="QZ243" s="0" t="n">
        <v>0</v>
      </c>
      <c r="RA243" s="0" t="n">
        <v>0</v>
      </c>
      <c r="RB243" s="0" t="n">
        <v>2.02</v>
      </c>
      <c r="RC243" s="0" t="n">
        <v>19.56</v>
      </c>
      <c r="RD243" s="0" t="n">
        <v>0.25</v>
      </c>
      <c r="RE243" s="0" t="n">
        <v>0</v>
      </c>
      <c r="RF243" s="0" t="n">
        <v>0</v>
      </c>
      <c r="RG243" s="0" t="n">
        <v>0</v>
      </c>
      <c r="RH243" s="0" t="n">
        <v>0</v>
      </c>
      <c r="RN243" s="0" t="n">
        <v>0</v>
      </c>
      <c r="RT243" s="0" t="n">
        <v>0</v>
      </c>
      <c r="RU243" s="0" t="n">
        <v>0</v>
      </c>
      <c r="SF243" s="18"/>
      <c r="SX243" s="0" t="n">
        <v>0</v>
      </c>
      <c r="UI243" s="16" t="n">
        <v>6.72</v>
      </c>
      <c r="UJ243" s="16" t="n">
        <v>1</v>
      </c>
      <c r="UK243" s="16" t="n">
        <v>2</v>
      </c>
      <c r="UL243" s="16"/>
      <c r="UM243" s="16" t="n">
        <f aca="false">3.73*3</f>
        <v>11.19</v>
      </c>
      <c r="UN243" s="16"/>
      <c r="UO243" s="16"/>
      <c r="UP243" s="16"/>
      <c r="UQ243" s="16"/>
      <c r="UR243" s="16"/>
      <c r="US243" s="16"/>
      <c r="UT243" s="16" t="n">
        <v>10.6</v>
      </c>
      <c r="UU243" s="16" t="n">
        <v>12.44</v>
      </c>
      <c r="UV243" s="16"/>
      <c r="UW243" s="16"/>
      <c r="UX243" s="16" t="n">
        <v>0</v>
      </c>
      <c r="UY243" s="16" t="n">
        <v>0</v>
      </c>
      <c r="UZ243" s="16" t="n">
        <v>0</v>
      </c>
      <c r="VA243" s="0" t="n">
        <v>0</v>
      </c>
      <c r="VB243" s="0" t="s">
        <v>278</v>
      </c>
      <c r="VC243" s="0" t="n">
        <v>51.5</v>
      </c>
      <c r="VD243" s="16" t="n">
        <v>63.4</v>
      </c>
      <c r="VE243" s="16" t="n">
        <v>80.4</v>
      </c>
      <c r="VF243" s="16" t="n">
        <v>18.1</v>
      </c>
      <c r="VG243" s="0" t="n">
        <v>83.5</v>
      </c>
      <c r="VH243" s="0" t="n">
        <v>5.36</v>
      </c>
      <c r="VI243" s="0" t="n">
        <v>8.46</v>
      </c>
      <c r="VJ243" s="0" t="n">
        <v>0</v>
      </c>
      <c r="VK243" s="0" t="n">
        <v>2.69</v>
      </c>
      <c r="VL243" s="0" t="n">
        <v>0</v>
      </c>
      <c r="VM243" s="0" t="n">
        <v>0</v>
      </c>
      <c r="VN243" s="0" t="n">
        <v>0</v>
      </c>
      <c r="VO243" s="0" t="n">
        <v>0</v>
      </c>
      <c r="VP243" s="0" t="n">
        <v>0</v>
      </c>
      <c r="VQ243" s="0" t="n">
        <v>0</v>
      </c>
      <c r="VR243" s="0" t="n">
        <v>0</v>
      </c>
      <c r="VS243" s="0" t="n">
        <v>0.99</v>
      </c>
      <c r="VT243" s="0" t="n">
        <v>13.55</v>
      </c>
      <c r="VU243" s="0" t="n">
        <v>16.2</v>
      </c>
      <c r="VV243" s="0" t="n">
        <v>0</v>
      </c>
      <c r="VW243" s="0" t="n">
        <v>0</v>
      </c>
      <c r="VX243" s="0" t="n">
        <v>0</v>
      </c>
      <c r="WK243" s="0" t="n">
        <v>18.4</v>
      </c>
      <c r="WL243" s="0" t="n">
        <v>1</v>
      </c>
      <c r="WM243" s="0" t="n">
        <v>47</v>
      </c>
      <c r="WN243" s="0" t="n">
        <v>1</v>
      </c>
      <c r="WO243" s="0" t="n">
        <v>0.9</v>
      </c>
      <c r="WP243" s="0" t="n">
        <v>3</v>
      </c>
      <c r="WQ243" s="0" t="n">
        <v>35</v>
      </c>
      <c r="WR243" s="0" t="n">
        <v>3</v>
      </c>
      <c r="WS243" s="0" t="n">
        <f aca="false">0.94</f>
        <v>0.94</v>
      </c>
      <c r="WT243" s="0" t="n">
        <v>3</v>
      </c>
      <c r="WU243" s="0" t="n">
        <v>68</v>
      </c>
      <c r="WV243" s="0" t="n">
        <v>1</v>
      </c>
      <c r="WW243" s="18" t="n">
        <v>6.22</v>
      </c>
      <c r="WX243" s="0" t="n">
        <v>1</v>
      </c>
      <c r="XO243" s="0" t="n">
        <v>0</v>
      </c>
      <c r="YZ243" s="16" t="n">
        <v>3.75</v>
      </c>
      <c r="ZA243" s="16" t="n">
        <v>1</v>
      </c>
      <c r="ZB243" s="16" t="n">
        <v>1</v>
      </c>
      <c r="ZC243" s="16"/>
      <c r="ZD243" s="16" t="n">
        <f aca="false">2.49+0.05+0.03</f>
        <v>2.57</v>
      </c>
      <c r="ZE243" s="16" t="n">
        <v>2</v>
      </c>
      <c r="ZF243" s="16"/>
      <c r="ZG243" s="16" t="n">
        <v>2.49</v>
      </c>
      <c r="ZH243" s="16"/>
      <c r="ZI243" s="16"/>
      <c r="ZJ243" s="16"/>
      <c r="ZK243" s="16" t="n">
        <v>11.1</v>
      </c>
      <c r="ZL243" s="16" t="n">
        <v>18.47</v>
      </c>
      <c r="ZM243" s="16"/>
      <c r="ZN243" s="16"/>
      <c r="ZO243" s="16" t="n">
        <v>0</v>
      </c>
      <c r="ZP243" s="16" t="n">
        <v>0</v>
      </c>
      <c r="ZQ243" s="16" t="n">
        <v>0</v>
      </c>
      <c r="ZR243" s="0" t="n">
        <v>0</v>
      </c>
      <c r="ZS243" s="0" t="s">
        <v>279</v>
      </c>
      <c r="ZT243" s="0" t="n">
        <v>33.5</v>
      </c>
      <c r="ZU243" s="16" t="n">
        <v>54</v>
      </c>
      <c r="ZV243" s="16" t="n">
        <v>80.4</v>
      </c>
      <c r="ZW243" s="16" t="n">
        <v>9.6</v>
      </c>
      <c r="ZX243" s="0" t="n">
        <v>86.69</v>
      </c>
      <c r="ZY243" s="0" t="n">
        <v>8.34</v>
      </c>
      <c r="ZZ243" s="0" t="n">
        <v>4.97</v>
      </c>
      <c r="AAA243" s="0" t="n">
        <v>0</v>
      </c>
      <c r="AAB243" s="0" t="n">
        <v>0</v>
      </c>
      <c r="AAC243" s="0" t="n">
        <v>0</v>
      </c>
      <c r="AAD243" s="0" t="n">
        <v>0</v>
      </c>
      <c r="AAE243" s="0" t="n">
        <v>0</v>
      </c>
      <c r="AAF243" s="0" t="n">
        <v>0</v>
      </c>
      <c r="AAG243" s="0" t="n">
        <v>0</v>
      </c>
      <c r="AAH243" s="0" t="n">
        <v>0</v>
      </c>
      <c r="AAI243" s="0" t="n">
        <v>0</v>
      </c>
      <c r="AAJ243" s="0" t="n">
        <v>12.83</v>
      </c>
      <c r="AAK243" s="0" t="n">
        <v>6.09</v>
      </c>
      <c r="AAL243" s="0" t="n">
        <v>0</v>
      </c>
      <c r="AAM243" s="0" t="n">
        <v>0</v>
      </c>
      <c r="AAN243" s="0" t="n">
        <v>0</v>
      </c>
      <c r="AAO243" s="0" t="n">
        <v>0</v>
      </c>
      <c r="ABB243" s="0" t="n">
        <v>11.3</v>
      </c>
      <c r="ABC243" s="0" t="n">
        <v>1</v>
      </c>
      <c r="ABD243" s="0" t="n">
        <v>47</v>
      </c>
      <c r="ABE243" s="0" t="n">
        <v>1</v>
      </c>
      <c r="ABF243" s="0" t="n">
        <v>0.9</v>
      </c>
      <c r="ABG243" s="0" t="n">
        <v>3</v>
      </c>
      <c r="ABH243" s="0" t="n">
        <v>35</v>
      </c>
      <c r="ABI243" s="0" t="n">
        <v>2</v>
      </c>
      <c r="ABJ243" s="0" t="n">
        <v>0.92</v>
      </c>
      <c r="ABK243" s="0" t="n">
        <v>3</v>
      </c>
      <c r="ABN243" s="18"/>
      <c r="ACF243" s="0" t="n">
        <v>0</v>
      </c>
      <c r="ADQ243" s="16" t="n">
        <v>3.75</v>
      </c>
      <c r="ADR243" s="16" t="n">
        <v>1</v>
      </c>
      <c r="ADS243" s="16" t="n">
        <v>1</v>
      </c>
      <c r="ADT243" s="16"/>
      <c r="ADU243" s="16" t="n">
        <f aca="false">2.49+0.05+0.03</f>
        <v>2.57</v>
      </c>
      <c r="ADV243" s="16" t="n">
        <v>2</v>
      </c>
      <c r="ADW243" s="16"/>
      <c r="ADX243" s="16" t="n">
        <v>2.49</v>
      </c>
      <c r="ADY243" s="16"/>
      <c r="ADZ243" s="16"/>
      <c r="AEA243" s="16"/>
      <c r="AEB243" s="16" t="n">
        <v>8.81</v>
      </c>
      <c r="AEC243" s="16" t="n">
        <v>6.01</v>
      </c>
      <c r="AED243" s="16"/>
      <c r="AEE243" s="16"/>
      <c r="AEF243" s="16" t="n">
        <v>0</v>
      </c>
      <c r="AEG243" s="16" t="n">
        <v>0</v>
      </c>
      <c r="AEH243" s="16" t="n">
        <v>0</v>
      </c>
      <c r="AEI243" s="0" t="n">
        <v>0</v>
      </c>
      <c r="AEJ243" s="0" t="s">
        <v>280</v>
      </c>
      <c r="AEK243" s="0" t="n">
        <v>79</v>
      </c>
      <c r="AEL243" s="16" t="n">
        <v>63.9</v>
      </c>
      <c r="AEM243" s="16" t="n">
        <v>80.4</v>
      </c>
      <c r="AEN243" s="16" t="n">
        <v>11.2</v>
      </c>
      <c r="AEO243" s="0" t="n">
        <v>77.43</v>
      </c>
      <c r="AEP243" s="0" t="n">
        <v>22.57</v>
      </c>
      <c r="AEQ243" s="0" t="n">
        <v>0</v>
      </c>
      <c r="AER243" s="0" t="n">
        <v>0</v>
      </c>
      <c r="AES243" s="0" t="n">
        <v>0</v>
      </c>
      <c r="AET243" s="0" t="n">
        <v>0</v>
      </c>
      <c r="AEU243" s="0" t="n">
        <v>0</v>
      </c>
      <c r="AEV243" s="0" t="n">
        <v>0</v>
      </c>
      <c r="AEW243" s="0" t="n">
        <v>0</v>
      </c>
      <c r="AEX243" s="0" t="n">
        <v>0</v>
      </c>
      <c r="AEY243" s="0" t="n">
        <v>0</v>
      </c>
      <c r="AEZ243" s="0" t="n">
        <v>0</v>
      </c>
      <c r="AFA243" s="0" t="n">
        <v>0</v>
      </c>
      <c r="AFB243" s="0" t="n">
        <v>45.87</v>
      </c>
      <c r="AFC243" s="0" t="n">
        <v>0</v>
      </c>
      <c r="AFD243" s="0" t="n">
        <v>0</v>
      </c>
      <c r="AFE243" s="0" t="n">
        <v>0</v>
      </c>
      <c r="AFF243" s="0" t="n">
        <v>0</v>
      </c>
      <c r="AFS243" s="0" t="n">
        <v>56.3</v>
      </c>
      <c r="AFT243" s="0" t="n">
        <v>1</v>
      </c>
      <c r="AFU243" s="0" t="n">
        <v>47</v>
      </c>
      <c r="AFV243" s="0" t="n">
        <v>18</v>
      </c>
      <c r="AFW243" s="0" t="n">
        <f aca="false">13.43+9.14</f>
        <v>22.57</v>
      </c>
      <c r="AFX243" s="0" t="n">
        <v>3</v>
      </c>
      <c r="AGE243" s="18"/>
      <c r="AGW243" s="0" t="n">
        <v>0</v>
      </c>
      <c r="AIH243" s="16" t="n">
        <v>0</v>
      </c>
      <c r="AII243" s="16" t="n">
        <v>0</v>
      </c>
      <c r="AIJ243" s="16"/>
      <c r="AIK243" s="16"/>
      <c r="AIL243" s="16"/>
      <c r="AIM243" s="16"/>
      <c r="AIN243" s="16"/>
      <c r="AIO243" s="16"/>
      <c r="AIP243" s="16"/>
      <c r="AIQ243" s="16"/>
      <c r="AIR243" s="16"/>
      <c r="AIS243" s="16" t="n">
        <v>11.54</v>
      </c>
      <c r="AIT243" s="16" t="n">
        <v>22.57</v>
      </c>
      <c r="AIU243" s="16"/>
      <c r="AIV243" s="16"/>
      <c r="AIW243" s="16" t="n">
        <v>0</v>
      </c>
      <c r="AIX243" s="16" t="n">
        <v>0</v>
      </c>
      <c r="AIY243" s="16" t="n">
        <v>0</v>
      </c>
      <c r="AIZ243" s="0" t="n">
        <v>0</v>
      </c>
      <c r="AJA243" s="0" t="s">
        <v>281</v>
      </c>
      <c r="AJB243" s="0" t="n">
        <v>42.5</v>
      </c>
      <c r="AJC243" s="16" t="n">
        <v>76.4</v>
      </c>
      <c r="AJD243" s="16" t="n">
        <v>80.4</v>
      </c>
      <c r="AJE243" s="16" t="n">
        <v>15.3</v>
      </c>
      <c r="AJF243" s="0" t="n">
        <v>73.6</v>
      </c>
      <c r="AJG243" s="0" t="n">
        <v>20.42</v>
      </c>
      <c r="AJH243" s="0" t="n">
        <v>3.69</v>
      </c>
      <c r="AJI243" s="0" t="n">
        <v>0</v>
      </c>
      <c r="AJJ243" s="0" t="n">
        <v>2.28</v>
      </c>
      <c r="AJK243" s="0" t="n">
        <v>0</v>
      </c>
      <c r="AJL243" s="0" t="n">
        <v>0</v>
      </c>
      <c r="AJM243" s="0" t="n">
        <v>0</v>
      </c>
      <c r="AJN243" s="0" t="n">
        <v>0</v>
      </c>
      <c r="AJO243" s="0" t="n">
        <v>0</v>
      </c>
      <c r="AJP243" s="0" t="n">
        <v>0</v>
      </c>
      <c r="AJQ243" s="0" t="n">
        <v>0</v>
      </c>
      <c r="AJR243" s="0" t="n">
        <v>0</v>
      </c>
      <c r="AJS243" s="0" t="n">
        <v>35.36</v>
      </c>
      <c r="AJT243" s="0" t="n">
        <v>16.37</v>
      </c>
      <c r="AJU243" s="0" t="n">
        <v>0</v>
      </c>
      <c r="AJV243" s="0" t="n">
        <v>4.4</v>
      </c>
      <c r="AJW243" s="0" t="n">
        <v>2</v>
      </c>
      <c r="AJX243" s="0" t="n">
        <v>10</v>
      </c>
      <c r="AJY243" s="0" t="n">
        <v>0.9</v>
      </c>
      <c r="AKD243" s="0" t="n">
        <v>10</v>
      </c>
      <c r="AKE243" s="0" t="n">
        <v>0.9</v>
      </c>
      <c r="AKJ243" s="0" t="n">
        <v>9.7</v>
      </c>
      <c r="AKK243" s="0" t="n">
        <v>1</v>
      </c>
      <c r="AKL243" s="0" t="n">
        <v>68</v>
      </c>
      <c r="AKM243" s="0" t="n">
        <v>2</v>
      </c>
      <c r="AKN243" s="0" t="n">
        <f aca="false">3.34+5.29</f>
        <v>8.63</v>
      </c>
      <c r="AKO243" s="0" t="n">
        <v>1</v>
      </c>
      <c r="AKP243" s="0" t="n">
        <v>34</v>
      </c>
      <c r="AKQ243" s="0" t="n">
        <v>86</v>
      </c>
      <c r="AKR243" s="0" t="n">
        <f aca="false">0.8+0.6</f>
        <v>1.4</v>
      </c>
      <c r="AKS243" s="0" t="n">
        <v>1</v>
      </c>
      <c r="AKT243" s="0" t="n">
        <v>47</v>
      </c>
      <c r="AKU243" s="0" t="n">
        <v>1</v>
      </c>
      <c r="AKV243" s="18" t="n">
        <v>1.52</v>
      </c>
      <c r="AKW243" s="0" t="n">
        <v>3</v>
      </c>
      <c r="ALN243" s="0" t="n">
        <v>0</v>
      </c>
    </row>
    <row r="244" customFormat="false" ht="13.8" hidden="false" customHeight="false" outlineLevel="0" collapsed="false">
      <c r="A244" s="1" t="s">
        <v>762</v>
      </c>
      <c r="B244" s="12" t="n">
        <v>42910</v>
      </c>
      <c r="C244" s="0" t="n">
        <v>2</v>
      </c>
      <c r="D244" s="13" t="n">
        <v>34946</v>
      </c>
      <c r="E244" s="12" t="n">
        <v>25123</v>
      </c>
      <c r="F244" s="14" t="n">
        <f aca="false">(B244-E244)/365.25</f>
        <v>48.6981519507187</v>
      </c>
      <c r="G244" s="14" t="n">
        <f aca="false">(B244-D244)/365.25</f>
        <v>21.8042436687201</v>
      </c>
      <c r="H244" s="19" t="s">
        <v>217</v>
      </c>
      <c r="I244" s="15" t="s">
        <v>272</v>
      </c>
      <c r="J244" s="21" t="s">
        <v>183</v>
      </c>
      <c r="K244" s="21" t="n">
        <v>8</v>
      </c>
      <c r="L244" s="19" t="n">
        <v>80</v>
      </c>
      <c r="M244" s="0" t="n">
        <v>1.8</v>
      </c>
      <c r="N244" s="16" t="n">
        <f aca="false">L244/(M244*M244)</f>
        <v>24.6913580246914</v>
      </c>
      <c r="O244" s="19" t="n">
        <v>0</v>
      </c>
      <c r="P244" s="19" t="n">
        <v>0</v>
      </c>
      <c r="Q244" s="19" t="n">
        <v>0</v>
      </c>
      <c r="R244" s="26" t="n">
        <v>0</v>
      </c>
      <c r="S244" s="26" t="n">
        <v>0</v>
      </c>
      <c r="T244" s="26" t="n">
        <v>0</v>
      </c>
      <c r="U244" s="19" t="n">
        <v>0</v>
      </c>
      <c r="V244" s="19" t="n">
        <v>0</v>
      </c>
      <c r="W244" s="19" t="n">
        <v>1</v>
      </c>
      <c r="X244" s="19" t="n">
        <v>0</v>
      </c>
      <c r="Y244" s="19" t="n">
        <v>0</v>
      </c>
      <c r="Z244" s="19" t="n">
        <v>0</v>
      </c>
      <c r="AA244" s="19" t="n">
        <v>0</v>
      </c>
      <c r="AB244" s="19" t="n">
        <v>0</v>
      </c>
      <c r="AC244" s="19" t="n">
        <v>1</v>
      </c>
      <c r="AD244" s="19" t="n">
        <v>20</v>
      </c>
      <c r="AE244" s="19" t="n">
        <v>0</v>
      </c>
      <c r="AF244" s="19" t="n">
        <v>0</v>
      </c>
      <c r="AG244" s="19" t="n">
        <v>0</v>
      </c>
      <c r="AH244" s="19" t="n">
        <v>0</v>
      </c>
      <c r="AI244" s="19" t="n">
        <v>0</v>
      </c>
      <c r="AJ244" s="19" t="n">
        <v>0</v>
      </c>
      <c r="AK244" s="19" t="n">
        <v>0</v>
      </c>
      <c r="AL244" s="19" t="n">
        <v>0</v>
      </c>
      <c r="AM244" s="19" t="n">
        <v>0</v>
      </c>
      <c r="AN244" s="19" t="n">
        <v>0</v>
      </c>
      <c r="AO244" s="19" t="n">
        <v>0</v>
      </c>
      <c r="AP244" s="19" t="n">
        <v>0</v>
      </c>
      <c r="AQ244" s="19" t="n">
        <v>0</v>
      </c>
      <c r="AR244" s="19" t="n">
        <v>0</v>
      </c>
      <c r="AS244" s="19" t="n">
        <v>0</v>
      </c>
      <c r="AT244" s="19" t="n">
        <v>0</v>
      </c>
      <c r="AU244" s="19" t="n">
        <v>0</v>
      </c>
      <c r="AV244" s="19" t="n">
        <v>0</v>
      </c>
      <c r="AW244" s="19" t="n">
        <v>0</v>
      </c>
      <c r="AX244" s="19" t="n">
        <v>0</v>
      </c>
      <c r="AY244" s="19" t="n">
        <v>0</v>
      </c>
      <c r="AZ244" s="19" t="n">
        <v>0</v>
      </c>
      <c r="BA244" s="19" t="n">
        <v>0</v>
      </c>
      <c r="BB244" s="19" t="n">
        <v>1</v>
      </c>
      <c r="BC244" s="19" t="n">
        <v>1</v>
      </c>
      <c r="BD244" s="19" t="n">
        <v>1</v>
      </c>
      <c r="BE244" s="19" t="n">
        <v>10</v>
      </c>
      <c r="BF244" s="19" t="n">
        <v>0</v>
      </c>
      <c r="BG244" s="19" t="n">
        <v>0</v>
      </c>
      <c r="BH244" s="19" t="n">
        <v>0</v>
      </c>
      <c r="BI244" s="19" t="n">
        <v>0</v>
      </c>
      <c r="BJ244" s="19" t="n">
        <v>0</v>
      </c>
      <c r="BK244" s="19" t="n">
        <v>0</v>
      </c>
      <c r="BL244" s="19" t="n">
        <v>0</v>
      </c>
      <c r="BM244" s="19" t="n">
        <v>0</v>
      </c>
      <c r="BN244" s="19" t="n">
        <v>0</v>
      </c>
      <c r="BO244" s="19" t="n">
        <v>0</v>
      </c>
      <c r="BP244" s="19" t="n">
        <v>0</v>
      </c>
      <c r="BQ244" s="19" t="n">
        <v>0</v>
      </c>
      <c r="BR244" s="19" t="n">
        <v>4</v>
      </c>
      <c r="BS244" s="19" t="n">
        <v>4</v>
      </c>
      <c r="BT244" s="19" t="n">
        <v>5</v>
      </c>
      <c r="BU244" s="19" t="n">
        <v>5</v>
      </c>
      <c r="BV244" s="19" t="n">
        <v>5</v>
      </c>
      <c r="BW244" s="19" t="n">
        <v>4</v>
      </c>
      <c r="BX244" s="19" t="n">
        <v>5</v>
      </c>
      <c r="BY244" s="19" t="n">
        <v>5</v>
      </c>
      <c r="BZ244" s="19" t="n">
        <v>3</v>
      </c>
      <c r="CA244" s="19" t="n">
        <v>3</v>
      </c>
      <c r="CB244" s="19" t="n">
        <v>3</v>
      </c>
      <c r="CC244" s="19" t="n">
        <v>3</v>
      </c>
      <c r="CD244" s="19" t="n">
        <v>2</v>
      </c>
      <c r="CE244" s="19" t="n">
        <v>3</v>
      </c>
      <c r="CF244" s="19" t="n">
        <v>4</v>
      </c>
      <c r="CG244" s="19" t="n">
        <v>4</v>
      </c>
      <c r="CH244" s="19" t="n">
        <v>2</v>
      </c>
      <c r="CI244" s="19" t="n">
        <v>3</v>
      </c>
      <c r="CJ244" s="19" t="n">
        <v>3</v>
      </c>
      <c r="CK244" s="19" t="n">
        <v>10</v>
      </c>
      <c r="CL244" s="0" t="s">
        <v>274</v>
      </c>
      <c r="CM244" s="0" t="n">
        <v>19.5</v>
      </c>
      <c r="CN244" s="16" t="n">
        <v>74.3</v>
      </c>
      <c r="CO244" s="16" t="n">
        <v>80.4</v>
      </c>
      <c r="CP244" s="16" t="n">
        <v>7.8</v>
      </c>
      <c r="CQ244" s="0" t="n">
        <v>89.52</v>
      </c>
      <c r="CR244" s="0" t="n">
        <v>8.69</v>
      </c>
      <c r="CS244" s="0" t="n">
        <v>1.79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18.73</v>
      </c>
      <c r="DD244" s="0" t="n">
        <v>9.35</v>
      </c>
      <c r="DE244" s="0" t="n">
        <v>0</v>
      </c>
      <c r="DF244" s="0" t="n">
        <v>0</v>
      </c>
      <c r="DG244" s="0" t="n">
        <v>0</v>
      </c>
      <c r="DU244" s="0" t="n">
        <v>3.92</v>
      </c>
      <c r="DV244" s="0" t="n">
        <v>1</v>
      </c>
      <c r="DW244" s="0" t="n">
        <v>52</v>
      </c>
      <c r="DX244" s="0" t="n">
        <v>4</v>
      </c>
      <c r="DY244" s="0" t="n">
        <f aca="false">1.01*2+0.56+0.9</f>
        <v>3.48</v>
      </c>
      <c r="DZ244" s="0" t="n">
        <v>2</v>
      </c>
      <c r="EG244" s="18"/>
      <c r="EY244" s="0" t="n">
        <v>1</v>
      </c>
      <c r="EZ244" s="0" t="n">
        <v>50</v>
      </c>
      <c r="FA244" s="0" t="n">
        <v>1</v>
      </c>
      <c r="FB244" s="0" t="n">
        <v>1.9</v>
      </c>
      <c r="FC244" s="0" t="n">
        <v>3</v>
      </c>
      <c r="GJ244" s="16" t="n">
        <v>2.24</v>
      </c>
      <c r="GK244" s="16" t="n">
        <v>1</v>
      </c>
      <c r="GL244" s="16" t="n">
        <v>2</v>
      </c>
      <c r="GM244" s="16"/>
      <c r="GN244" s="16" t="n">
        <f aca="false">1.87*2</f>
        <v>3.74</v>
      </c>
      <c r="GO244" s="16"/>
      <c r="GP244" s="16"/>
      <c r="GQ244" s="16"/>
      <c r="GR244" s="16"/>
      <c r="GS244" s="16"/>
      <c r="GT244" s="16"/>
      <c r="GU244" s="16" t="n">
        <v>5.49</v>
      </c>
      <c r="GV244" s="16" t="n">
        <f aca="false">1.01*2+0.56+1.87*2+0.9</f>
        <v>7.22</v>
      </c>
      <c r="GW244" s="16"/>
      <c r="GX244" s="16"/>
      <c r="GY244" s="16" t="n">
        <v>0</v>
      </c>
      <c r="GZ244" s="16" t="n">
        <v>0</v>
      </c>
      <c r="HA244" s="16" t="n">
        <v>0</v>
      </c>
      <c r="HB244" s="0" t="n">
        <v>0</v>
      </c>
      <c r="HC244" s="0" t="s">
        <v>275</v>
      </c>
      <c r="HD244" s="0" t="n">
        <v>19.5</v>
      </c>
      <c r="HE244" s="16" t="n">
        <v>74.6</v>
      </c>
      <c r="HF244" s="16" t="n">
        <v>80.4</v>
      </c>
      <c r="HG244" s="16" t="n">
        <v>7.8</v>
      </c>
      <c r="HH244" s="0" t="n">
        <v>89.29</v>
      </c>
      <c r="HI244" s="0" t="n">
        <v>8.92</v>
      </c>
      <c r="HJ244" s="0" t="n">
        <v>1.79</v>
      </c>
      <c r="HK244" s="0" t="n">
        <v>0</v>
      </c>
      <c r="HL244" s="0" t="n">
        <v>0</v>
      </c>
      <c r="HM244" s="0" t="n">
        <v>0</v>
      </c>
      <c r="HN244" s="0" t="n">
        <v>0</v>
      </c>
      <c r="HO244" s="0" t="n">
        <v>0</v>
      </c>
      <c r="HP244" s="0" t="n">
        <v>0</v>
      </c>
      <c r="HQ244" s="0" t="n">
        <v>0</v>
      </c>
      <c r="HR244" s="0" t="n">
        <v>0</v>
      </c>
      <c r="HS244" s="0" t="n">
        <v>0</v>
      </c>
      <c r="HT244" s="0" t="n">
        <v>18.95</v>
      </c>
      <c r="HU244" s="0" t="n">
        <v>9.35</v>
      </c>
      <c r="HV244" s="0" t="n">
        <v>0</v>
      </c>
      <c r="HW244" s="0" t="n">
        <v>0</v>
      </c>
      <c r="HX244" s="0" t="n">
        <v>0</v>
      </c>
      <c r="IL244" s="0" t="n">
        <v>3.9</v>
      </c>
      <c r="IM244" s="0" t="n">
        <v>1</v>
      </c>
      <c r="IN244" s="0" t="n">
        <v>52</v>
      </c>
      <c r="IO244" s="0" t="n">
        <v>4</v>
      </c>
      <c r="IP244" s="0" t="n">
        <f aca="false">1.01*2+0.56+0.9</f>
        <v>3.48</v>
      </c>
      <c r="IQ244" s="0" t="n">
        <v>3</v>
      </c>
      <c r="IX244" s="18"/>
      <c r="JP244" s="0" t="n">
        <v>1</v>
      </c>
      <c r="JQ244" s="0" t="n">
        <v>50</v>
      </c>
      <c r="JR244" s="0" t="n">
        <v>1</v>
      </c>
      <c r="JS244" s="0" t="n">
        <v>1.9</v>
      </c>
      <c r="JT244" s="0" t="n">
        <v>3</v>
      </c>
      <c r="LA244" s="16" t="n">
        <v>2.24</v>
      </c>
      <c r="LB244" s="16" t="n">
        <v>1</v>
      </c>
      <c r="LC244" s="16" t="n">
        <v>2</v>
      </c>
      <c r="LD244" s="16"/>
      <c r="LE244" s="16" t="n">
        <f aca="false">1.87*2</f>
        <v>3.74</v>
      </c>
      <c r="LF244" s="16"/>
      <c r="LG244" s="16"/>
      <c r="LH244" s="16"/>
      <c r="LI244" s="16"/>
      <c r="LJ244" s="16"/>
      <c r="LK244" s="16"/>
      <c r="LL244" s="16" t="n">
        <v>6.49</v>
      </c>
      <c r="LM244" s="16" t="n">
        <f aca="false">1.01*2+0.56+1.87*2+0.9</f>
        <v>7.22</v>
      </c>
      <c r="LN244" s="16"/>
      <c r="LO244" s="16"/>
      <c r="LP244" s="16" t="n">
        <v>0</v>
      </c>
      <c r="LQ244" s="16" t="n">
        <v>0</v>
      </c>
      <c r="LR244" s="16" t="n">
        <v>0</v>
      </c>
      <c r="LS244" s="0" t="n">
        <v>0</v>
      </c>
      <c r="LT244" s="0" t="s">
        <v>276</v>
      </c>
      <c r="LU244" s="0" t="n">
        <v>22.5</v>
      </c>
      <c r="LV244" s="16" t="n">
        <v>73.4</v>
      </c>
      <c r="LW244" s="16" t="n">
        <v>80.4</v>
      </c>
      <c r="LX244" s="16" t="n">
        <v>10.4</v>
      </c>
      <c r="LY244" s="0" t="n">
        <v>88.12</v>
      </c>
      <c r="LZ244" s="0" t="n">
        <v>6.29</v>
      </c>
      <c r="MA244" s="0" t="n">
        <v>4.25</v>
      </c>
      <c r="MB244" s="0" t="n">
        <v>0</v>
      </c>
      <c r="MC244" s="0" t="n">
        <v>1.34</v>
      </c>
      <c r="MD244" s="0" t="n">
        <v>0</v>
      </c>
      <c r="ME244" s="0" t="n">
        <v>0</v>
      </c>
      <c r="MF244" s="0" t="n">
        <v>0</v>
      </c>
      <c r="MG244" s="0" t="n">
        <v>0</v>
      </c>
      <c r="MH244" s="0" t="n">
        <v>0</v>
      </c>
      <c r="MI244" s="0" t="n">
        <v>0</v>
      </c>
      <c r="MJ244" s="0" t="n">
        <v>0</v>
      </c>
      <c r="MK244" s="0" t="n">
        <v>2.46</v>
      </c>
      <c r="ML244" s="0" t="n">
        <v>13.2</v>
      </c>
      <c r="MM244" s="0" t="n">
        <v>0</v>
      </c>
      <c r="MN244" s="0" t="n">
        <v>0</v>
      </c>
      <c r="MO244" s="0" t="n">
        <v>0</v>
      </c>
      <c r="NC244" s="0" t="n">
        <v>0</v>
      </c>
      <c r="NO244" s="18"/>
      <c r="PR244" s="16" t="n">
        <v>2.24</v>
      </c>
      <c r="PS244" s="16" t="n">
        <v>1</v>
      </c>
      <c r="PT244" s="16" t="n">
        <v>2</v>
      </c>
      <c r="PU244" s="16" t="n">
        <v>3.73</v>
      </c>
      <c r="PV244" s="16"/>
      <c r="PW244" s="16"/>
      <c r="PX244" s="16"/>
      <c r="PY244" s="16"/>
      <c r="PZ244" s="16"/>
      <c r="QA244" s="16"/>
      <c r="QB244" s="16"/>
      <c r="QC244" s="16" t="n">
        <v>9.68</v>
      </c>
      <c r="QD244" s="16" t="n">
        <f aca="false">2.01+1.34+2.69+3.73+0.81</f>
        <v>10.58</v>
      </c>
      <c r="QE244" s="16"/>
      <c r="QF244" s="16"/>
      <c r="QG244" s="16" t="n">
        <v>0</v>
      </c>
      <c r="QH244" s="16" t="n">
        <v>0</v>
      </c>
      <c r="QI244" s="16" t="n">
        <v>0.16</v>
      </c>
      <c r="QJ244" s="0" t="n">
        <v>0</v>
      </c>
      <c r="QK244" s="0" t="s">
        <v>277</v>
      </c>
      <c r="QL244" s="0" t="n">
        <v>29.5</v>
      </c>
      <c r="QM244" s="16" t="n">
        <v>53.8</v>
      </c>
      <c r="QN244" s="16" t="n">
        <v>80.4</v>
      </c>
      <c r="QO244" s="16" t="n">
        <v>12.1</v>
      </c>
      <c r="QP244" s="0" t="n">
        <v>86.6</v>
      </c>
      <c r="QQ244" s="0" t="n">
        <v>8.48</v>
      </c>
      <c r="QR244" s="0" t="n">
        <v>4.93</v>
      </c>
      <c r="QS244" s="0" t="n">
        <v>0</v>
      </c>
      <c r="QT244" s="0" t="n">
        <v>0</v>
      </c>
      <c r="QU244" s="0" t="n">
        <v>0</v>
      </c>
      <c r="QV244" s="0" t="n">
        <v>0</v>
      </c>
      <c r="QW244" s="0" t="n">
        <v>0</v>
      </c>
      <c r="QX244" s="0" t="n">
        <v>0</v>
      </c>
      <c r="QY244" s="0" t="n">
        <v>0</v>
      </c>
      <c r="QZ244" s="0" t="n">
        <v>0</v>
      </c>
      <c r="RA244" s="0" t="n">
        <v>0</v>
      </c>
      <c r="RB244" s="0" t="n">
        <v>2.02</v>
      </c>
      <c r="RC244" s="0" t="n">
        <v>19.56</v>
      </c>
      <c r="RD244" s="0" t="n">
        <v>0.25</v>
      </c>
      <c r="RE244" s="0" t="n">
        <v>0</v>
      </c>
      <c r="RF244" s="0" t="n">
        <v>0</v>
      </c>
      <c r="RG244" s="0" t="n">
        <v>0</v>
      </c>
      <c r="RH244" s="0" t="n">
        <v>0</v>
      </c>
      <c r="RN244" s="0" t="n">
        <v>0</v>
      </c>
      <c r="RT244" s="0" t="n">
        <v>0</v>
      </c>
      <c r="RU244" s="0" t="n">
        <v>0</v>
      </c>
      <c r="SF244" s="18"/>
      <c r="SX244" s="0" t="n">
        <v>0</v>
      </c>
      <c r="UI244" s="16" t="n">
        <v>6.72</v>
      </c>
      <c r="UJ244" s="16" t="n">
        <v>1</v>
      </c>
      <c r="UK244" s="16" t="n">
        <v>2</v>
      </c>
      <c r="UL244" s="16"/>
      <c r="UM244" s="16" t="n">
        <f aca="false">3.73*3</f>
        <v>11.19</v>
      </c>
      <c r="UN244" s="16"/>
      <c r="UO244" s="16"/>
      <c r="UP244" s="16"/>
      <c r="UQ244" s="16"/>
      <c r="UR244" s="16"/>
      <c r="US244" s="16"/>
      <c r="UT244" s="16" t="n">
        <v>10.6</v>
      </c>
      <c r="UU244" s="16" t="n">
        <v>12.44</v>
      </c>
      <c r="UV244" s="16"/>
      <c r="UW244" s="16"/>
      <c r="UX244" s="16" t="n">
        <v>0</v>
      </c>
      <c r="UY244" s="16" t="n">
        <v>0</v>
      </c>
      <c r="UZ244" s="16" t="n">
        <v>0</v>
      </c>
      <c r="VA244" s="0" t="n">
        <v>0</v>
      </c>
      <c r="VB244" s="0" t="s">
        <v>278</v>
      </c>
      <c r="VC244" s="0" t="n">
        <v>51.5</v>
      </c>
      <c r="VD244" s="16" t="n">
        <v>63.4</v>
      </c>
      <c r="VE244" s="16" t="n">
        <v>80.4</v>
      </c>
      <c r="VF244" s="16" t="n">
        <v>18.1</v>
      </c>
      <c r="VG244" s="0" t="n">
        <v>83.5</v>
      </c>
      <c r="VH244" s="0" t="n">
        <v>5.36</v>
      </c>
      <c r="VI244" s="0" t="n">
        <v>8.46</v>
      </c>
      <c r="VJ244" s="0" t="n">
        <v>0</v>
      </c>
      <c r="VK244" s="0" t="n">
        <v>2.69</v>
      </c>
      <c r="VL244" s="0" t="n">
        <v>0</v>
      </c>
      <c r="VM244" s="0" t="n">
        <v>0</v>
      </c>
      <c r="VN244" s="0" t="n">
        <v>0</v>
      </c>
      <c r="VO244" s="0" t="n">
        <v>0</v>
      </c>
      <c r="VP244" s="0" t="n">
        <v>0</v>
      </c>
      <c r="VQ244" s="0" t="n">
        <v>0</v>
      </c>
      <c r="VR244" s="0" t="n">
        <v>0</v>
      </c>
      <c r="VS244" s="0" t="n">
        <v>0.99</v>
      </c>
      <c r="VT244" s="0" t="n">
        <v>13.55</v>
      </c>
      <c r="VU244" s="0" t="n">
        <v>16.2</v>
      </c>
      <c r="VV244" s="0" t="n">
        <v>0</v>
      </c>
      <c r="VW244" s="0" t="n">
        <v>0</v>
      </c>
      <c r="VX244" s="0" t="n">
        <v>0</v>
      </c>
      <c r="WK244" s="0" t="n">
        <v>18.4</v>
      </c>
      <c r="WL244" s="0" t="n">
        <v>1</v>
      </c>
      <c r="WM244" s="0" t="n">
        <v>47</v>
      </c>
      <c r="WN244" s="0" t="n">
        <v>1</v>
      </c>
      <c r="WO244" s="0" t="n">
        <v>0.9</v>
      </c>
      <c r="WP244" s="0" t="n">
        <v>3</v>
      </c>
      <c r="WQ244" s="0" t="n">
        <v>35</v>
      </c>
      <c r="WR244" s="0" t="n">
        <v>3</v>
      </c>
      <c r="WS244" s="0" t="n">
        <f aca="false">0.94</f>
        <v>0.94</v>
      </c>
      <c r="WT244" s="0" t="n">
        <v>3</v>
      </c>
      <c r="WU244" s="0" t="n">
        <v>68</v>
      </c>
      <c r="WV244" s="0" t="n">
        <v>1</v>
      </c>
      <c r="WW244" s="18" t="n">
        <v>6.22</v>
      </c>
      <c r="WX244" s="0" t="n">
        <v>1</v>
      </c>
      <c r="XO244" s="0" t="n">
        <v>0</v>
      </c>
      <c r="YZ244" s="16" t="n">
        <v>3.75</v>
      </c>
      <c r="ZA244" s="16" t="n">
        <v>1</v>
      </c>
      <c r="ZB244" s="16" t="n">
        <v>1</v>
      </c>
      <c r="ZC244" s="16"/>
      <c r="ZD244" s="16" t="n">
        <f aca="false">2.49+0.05+0.03</f>
        <v>2.57</v>
      </c>
      <c r="ZE244" s="16" t="n">
        <v>2</v>
      </c>
      <c r="ZF244" s="16"/>
      <c r="ZG244" s="16" t="n">
        <v>2.49</v>
      </c>
      <c r="ZH244" s="16"/>
      <c r="ZI244" s="16"/>
      <c r="ZJ244" s="16"/>
      <c r="ZK244" s="16" t="n">
        <v>11.1</v>
      </c>
      <c r="ZL244" s="16" t="n">
        <v>18.47</v>
      </c>
      <c r="ZM244" s="16"/>
      <c r="ZN244" s="16"/>
      <c r="ZO244" s="16" t="n">
        <v>0</v>
      </c>
      <c r="ZP244" s="16" t="n">
        <v>0</v>
      </c>
      <c r="ZQ244" s="16" t="n">
        <v>0</v>
      </c>
      <c r="ZR244" s="0" t="n">
        <v>0</v>
      </c>
      <c r="ZS244" s="0" t="s">
        <v>279</v>
      </c>
      <c r="ZT244" s="0" t="n">
        <v>33.5</v>
      </c>
      <c r="ZU244" s="16" t="n">
        <v>54</v>
      </c>
      <c r="ZV244" s="16" t="n">
        <v>80.4</v>
      </c>
      <c r="ZW244" s="16" t="n">
        <v>9.6</v>
      </c>
      <c r="ZX244" s="0" t="n">
        <v>86.69</v>
      </c>
      <c r="ZY244" s="0" t="n">
        <v>8.34</v>
      </c>
      <c r="ZZ244" s="0" t="n">
        <v>4.97</v>
      </c>
      <c r="AAA244" s="0" t="n">
        <v>0</v>
      </c>
      <c r="AAB244" s="0" t="n">
        <v>0</v>
      </c>
      <c r="AAC244" s="0" t="n">
        <v>0</v>
      </c>
      <c r="AAD244" s="0" t="n">
        <v>0</v>
      </c>
      <c r="AAE244" s="0" t="n">
        <v>0</v>
      </c>
      <c r="AAF244" s="0" t="n">
        <v>0</v>
      </c>
      <c r="AAG244" s="0" t="n">
        <v>0</v>
      </c>
      <c r="AAH244" s="0" t="n">
        <v>0</v>
      </c>
      <c r="AAI244" s="0" t="n">
        <v>0</v>
      </c>
      <c r="AAJ244" s="0" t="n">
        <v>12.83</v>
      </c>
      <c r="AAK244" s="0" t="n">
        <v>6.09</v>
      </c>
      <c r="AAL244" s="0" t="n">
        <v>0</v>
      </c>
      <c r="AAM244" s="0" t="n">
        <v>0</v>
      </c>
      <c r="AAN244" s="0" t="n">
        <v>0</v>
      </c>
      <c r="AAO244" s="0" t="n">
        <v>0</v>
      </c>
      <c r="ABB244" s="0" t="n">
        <v>11.3</v>
      </c>
      <c r="ABC244" s="0" t="n">
        <v>1</v>
      </c>
      <c r="ABD244" s="0" t="n">
        <v>47</v>
      </c>
      <c r="ABE244" s="0" t="n">
        <v>1</v>
      </c>
      <c r="ABF244" s="0" t="n">
        <v>0.9</v>
      </c>
      <c r="ABG244" s="0" t="n">
        <v>3</v>
      </c>
      <c r="ABH244" s="0" t="n">
        <v>35</v>
      </c>
      <c r="ABI244" s="0" t="n">
        <v>2</v>
      </c>
      <c r="ABJ244" s="0" t="n">
        <v>0.92</v>
      </c>
      <c r="ABK244" s="0" t="n">
        <v>3</v>
      </c>
      <c r="ABN244" s="18"/>
      <c r="ACF244" s="0" t="n">
        <v>0</v>
      </c>
      <c r="ADQ244" s="16" t="n">
        <v>3.75</v>
      </c>
      <c r="ADR244" s="16" t="n">
        <v>1</v>
      </c>
      <c r="ADS244" s="16" t="n">
        <v>1</v>
      </c>
      <c r="ADT244" s="16"/>
      <c r="ADU244" s="16" t="n">
        <f aca="false">2.49+0.05+0.03</f>
        <v>2.57</v>
      </c>
      <c r="ADV244" s="16" t="n">
        <v>2</v>
      </c>
      <c r="ADW244" s="16"/>
      <c r="ADX244" s="16" t="n">
        <v>2.49</v>
      </c>
      <c r="ADY244" s="16"/>
      <c r="ADZ244" s="16"/>
      <c r="AEA244" s="16"/>
      <c r="AEB244" s="16" t="n">
        <v>8.81</v>
      </c>
      <c r="AEC244" s="16" t="n">
        <v>6.01</v>
      </c>
      <c r="AED244" s="16"/>
      <c r="AEE244" s="16"/>
      <c r="AEF244" s="16" t="n">
        <v>0</v>
      </c>
      <c r="AEG244" s="16" t="n">
        <v>0</v>
      </c>
      <c r="AEH244" s="16" t="n">
        <v>0</v>
      </c>
      <c r="AEI244" s="0" t="n">
        <v>0</v>
      </c>
      <c r="AEJ244" s="0" t="s">
        <v>280</v>
      </c>
      <c r="AEK244" s="0" t="n">
        <v>79</v>
      </c>
      <c r="AEL244" s="16" t="n">
        <v>63.9</v>
      </c>
      <c r="AEM244" s="16" t="n">
        <v>80.4</v>
      </c>
      <c r="AEN244" s="16" t="n">
        <v>11.2</v>
      </c>
      <c r="AEO244" s="0" t="n">
        <v>77.43</v>
      </c>
      <c r="AEP244" s="0" t="n">
        <v>22.57</v>
      </c>
      <c r="AEQ244" s="0" t="n">
        <v>0</v>
      </c>
      <c r="AER244" s="0" t="n">
        <v>0</v>
      </c>
      <c r="AES244" s="0" t="n">
        <v>0</v>
      </c>
      <c r="AET244" s="0" t="n">
        <v>0</v>
      </c>
      <c r="AEU244" s="0" t="n">
        <v>0</v>
      </c>
      <c r="AEV244" s="0" t="n">
        <v>0</v>
      </c>
      <c r="AEW244" s="0" t="n">
        <v>0</v>
      </c>
      <c r="AEX244" s="0" t="n">
        <v>0</v>
      </c>
      <c r="AEY244" s="0" t="n">
        <v>0</v>
      </c>
      <c r="AEZ244" s="0" t="n">
        <v>0</v>
      </c>
      <c r="AFA244" s="0" t="n">
        <v>0</v>
      </c>
      <c r="AFB244" s="0" t="n">
        <v>45.87</v>
      </c>
      <c r="AFC244" s="0" t="n">
        <v>0</v>
      </c>
      <c r="AFD244" s="0" t="n">
        <v>0</v>
      </c>
      <c r="AFE244" s="0" t="n">
        <v>0</v>
      </c>
      <c r="AFF244" s="0" t="n">
        <v>0</v>
      </c>
      <c r="AFS244" s="0" t="n">
        <v>56.3</v>
      </c>
      <c r="AFT244" s="0" t="n">
        <v>1</v>
      </c>
      <c r="AFU244" s="0" t="n">
        <v>47</v>
      </c>
      <c r="AFV244" s="0" t="n">
        <v>18</v>
      </c>
      <c r="AFW244" s="0" t="n">
        <f aca="false">13.43+9.14</f>
        <v>22.57</v>
      </c>
      <c r="AFX244" s="0" t="n">
        <v>3</v>
      </c>
      <c r="AGE244" s="18"/>
      <c r="AGW244" s="0" t="n">
        <v>0</v>
      </c>
      <c r="AIH244" s="16" t="n">
        <v>0</v>
      </c>
      <c r="AII244" s="16" t="n">
        <v>0</v>
      </c>
      <c r="AIJ244" s="16"/>
      <c r="AIK244" s="16"/>
      <c r="AIL244" s="16"/>
      <c r="AIM244" s="16"/>
      <c r="AIN244" s="16"/>
      <c r="AIO244" s="16"/>
      <c r="AIP244" s="16"/>
      <c r="AIQ244" s="16"/>
      <c r="AIR244" s="16"/>
      <c r="AIS244" s="16" t="n">
        <v>11.54</v>
      </c>
      <c r="AIT244" s="16" t="n">
        <v>22.57</v>
      </c>
      <c r="AIU244" s="16"/>
      <c r="AIV244" s="16"/>
      <c r="AIW244" s="16" t="n">
        <v>0</v>
      </c>
      <c r="AIX244" s="16" t="n">
        <v>0</v>
      </c>
      <c r="AIY244" s="16" t="n">
        <v>0</v>
      </c>
      <c r="AIZ244" s="0" t="n">
        <v>0</v>
      </c>
      <c r="AJA244" s="0" t="s">
        <v>281</v>
      </c>
      <c r="AJB244" s="0" t="n">
        <v>42.5</v>
      </c>
      <c r="AJC244" s="16" t="n">
        <v>76.4</v>
      </c>
      <c r="AJD244" s="16" t="n">
        <v>80.4</v>
      </c>
      <c r="AJE244" s="16" t="n">
        <v>15.3</v>
      </c>
      <c r="AJF244" s="0" t="n">
        <v>73.6</v>
      </c>
      <c r="AJG244" s="0" t="n">
        <v>20.42</v>
      </c>
      <c r="AJH244" s="0" t="n">
        <v>3.69</v>
      </c>
      <c r="AJI244" s="0" t="n">
        <v>0</v>
      </c>
      <c r="AJJ244" s="0" t="n">
        <v>2.28</v>
      </c>
      <c r="AJK244" s="0" t="n">
        <v>0</v>
      </c>
      <c r="AJL244" s="0" t="n">
        <v>0</v>
      </c>
      <c r="AJM244" s="0" t="n">
        <v>0</v>
      </c>
      <c r="AJN244" s="0" t="n">
        <v>0</v>
      </c>
      <c r="AJO244" s="0" t="n">
        <v>0</v>
      </c>
      <c r="AJP244" s="0" t="n">
        <v>0</v>
      </c>
      <c r="AJQ244" s="0" t="n">
        <v>0</v>
      </c>
      <c r="AJR244" s="0" t="n">
        <v>0</v>
      </c>
      <c r="AJS244" s="0" t="n">
        <v>35.36</v>
      </c>
      <c r="AJT244" s="0" t="n">
        <v>16.37</v>
      </c>
      <c r="AJU244" s="0" t="n">
        <v>0</v>
      </c>
      <c r="AJV244" s="0" t="n">
        <v>4.4</v>
      </c>
      <c r="AJW244" s="0" t="n">
        <v>2</v>
      </c>
      <c r="AJX244" s="0" t="n">
        <v>10</v>
      </c>
      <c r="AJY244" s="0" t="n">
        <v>0.9</v>
      </c>
      <c r="AKD244" s="0" t="n">
        <v>10</v>
      </c>
      <c r="AKE244" s="0" t="n">
        <v>0.9</v>
      </c>
      <c r="AKJ244" s="0" t="n">
        <v>9.7</v>
      </c>
      <c r="AKK244" s="0" t="n">
        <v>1</v>
      </c>
      <c r="AKL244" s="0" t="n">
        <v>68</v>
      </c>
      <c r="AKM244" s="0" t="n">
        <v>2</v>
      </c>
      <c r="AKN244" s="0" t="n">
        <f aca="false">3.34+5.29</f>
        <v>8.63</v>
      </c>
      <c r="AKO244" s="0" t="n">
        <v>1</v>
      </c>
      <c r="AKP244" s="0" t="n">
        <v>34</v>
      </c>
      <c r="AKQ244" s="0" t="n">
        <v>86</v>
      </c>
      <c r="AKR244" s="0" t="n">
        <f aca="false">0.8+0.6</f>
        <v>1.4</v>
      </c>
      <c r="AKS244" s="0" t="n">
        <v>1</v>
      </c>
      <c r="AKT244" s="0" t="n">
        <v>47</v>
      </c>
      <c r="AKU244" s="0" t="n">
        <v>1</v>
      </c>
      <c r="AKV244" s="18" t="n">
        <v>1.52</v>
      </c>
      <c r="AKW244" s="0" t="n">
        <v>3</v>
      </c>
      <c r="ALN244" s="0" t="n">
        <v>0</v>
      </c>
    </row>
    <row r="245" customFormat="false" ht="13.8" hidden="false" customHeight="false" outlineLevel="0" collapsed="false">
      <c r="A245" s="1" t="s">
        <v>763</v>
      </c>
      <c r="B245" s="12" t="n">
        <v>42909</v>
      </c>
      <c r="C245" s="0" t="n">
        <v>1</v>
      </c>
      <c r="D245" s="13" t="n">
        <v>42811</v>
      </c>
      <c r="E245" s="13" t="n">
        <v>26464</v>
      </c>
      <c r="F245" s="14" t="n">
        <f aca="false">(B245-E245)/365.25</f>
        <v>45.0239561943874</v>
      </c>
      <c r="G245" s="14" t="n">
        <f aca="false">(B245-D245)/365.25</f>
        <v>0.268309377138946</v>
      </c>
      <c r="H245" s="19" t="s">
        <v>217</v>
      </c>
      <c r="I245" s="15" t="s">
        <v>272</v>
      </c>
      <c r="J245" s="21" t="s">
        <v>183</v>
      </c>
      <c r="K245" s="21" t="n">
        <v>8</v>
      </c>
      <c r="L245" s="19" t="n">
        <v>72</v>
      </c>
      <c r="M245" s="0" t="n">
        <v>1.65</v>
      </c>
      <c r="N245" s="16" t="n">
        <f aca="false">L245/(M245*M245)</f>
        <v>26.4462809917355</v>
      </c>
      <c r="O245" s="19" t="n">
        <v>0</v>
      </c>
      <c r="P245" s="19" t="n">
        <v>0</v>
      </c>
      <c r="Q245" s="19" t="n">
        <v>0</v>
      </c>
      <c r="R245" s="26" t="n">
        <v>0</v>
      </c>
      <c r="S245" s="26" t="n">
        <v>0</v>
      </c>
      <c r="T245" s="26" t="n">
        <v>0</v>
      </c>
      <c r="U245" s="19" t="n">
        <v>0</v>
      </c>
      <c r="V245" s="19" t="n">
        <v>0</v>
      </c>
      <c r="W245" s="19" t="n">
        <v>0</v>
      </c>
      <c r="X245" s="19" t="n">
        <v>0</v>
      </c>
      <c r="Y245" s="19" t="n">
        <v>0</v>
      </c>
      <c r="Z245" s="19" t="n">
        <v>0</v>
      </c>
      <c r="AA245" s="19" t="n">
        <v>0</v>
      </c>
      <c r="AB245" s="19" t="n">
        <v>0</v>
      </c>
      <c r="AC245" s="19" t="n">
        <v>0</v>
      </c>
      <c r="AD245" s="19" t="n">
        <v>0</v>
      </c>
      <c r="AE245" s="19" t="n">
        <v>0</v>
      </c>
      <c r="AF245" s="19" t="n">
        <v>0</v>
      </c>
      <c r="AG245" s="19" t="n">
        <v>0</v>
      </c>
      <c r="AH245" s="19" t="n">
        <v>0</v>
      </c>
      <c r="AI245" s="19" t="n">
        <v>0</v>
      </c>
      <c r="AJ245" s="19" t="n">
        <v>0</v>
      </c>
      <c r="AK245" s="19" t="n">
        <v>0</v>
      </c>
      <c r="AL245" s="19" t="n">
        <v>0</v>
      </c>
      <c r="AM245" s="19" t="n">
        <v>0</v>
      </c>
      <c r="AN245" s="19" t="n">
        <v>0</v>
      </c>
      <c r="AO245" s="19" t="n">
        <v>0</v>
      </c>
      <c r="AP245" s="19" t="n">
        <v>0</v>
      </c>
      <c r="AQ245" s="19" t="n">
        <v>0</v>
      </c>
      <c r="AR245" s="19" t="n">
        <v>0</v>
      </c>
      <c r="AS245" s="19" t="n">
        <v>1</v>
      </c>
      <c r="AT245" s="19" t="n">
        <v>0</v>
      </c>
      <c r="AU245" s="19" t="n">
        <v>0</v>
      </c>
      <c r="AV245" s="19" t="n">
        <v>0</v>
      </c>
      <c r="AW245" s="19" t="n">
        <v>0</v>
      </c>
      <c r="AX245" s="19" t="n">
        <v>0</v>
      </c>
      <c r="AY245" s="19" t="n">
        <v>0</v>
      </c>
      <c r="AZ245" s="19" t="n">
        <v>0</v>
      </c>
      <c r="BA245" s="19" t="n">
        <v>0</v>
      </c>
      <c r="BB245" s="19" t="n">
        <v>0</v>
      </c>
      <c r="BC245" s="19" t="n">
        <v>0</v>
      </c>
      <c r="BD245" s="19" t="n">
        <v>0</v>
      </c>
      <c r="BE245" s="19" t="n">
        <v>0</v>
      </c>
      <c r="BF245" s="19" t="n">
        <v>0</v>
      </c>
      <c r="BG245" s="19" t="n">
        <v>0</v>
      </c>
      <c r="BH245" s="19" t="n">
        <v>0</v>
      </c>
      <c r="BI245" s="19" t="n">
        <v>0</v>
      </c>
      <c r="BJ245" s="19" t="n">
        <v>0</v>
      </c>
      <c r="BK245" s="19" t="n">
        <v>0</v>
      </c>
      <c r="BL245" s="19" t="n">
        <v>0</v>
      </c>
      <c r="BM245" s="19" t="n">
        <v>0</v>
      </c>
      <c r="BN245" s="19" t="n">
        <v>0</v>
      </c>
      <c r="BO245" s="19" t="n">
        <v>0</v>
      </c>
      <c r="BP245" s="19" t="n">
        <v>0</v>
      </c>
      <c r="BQ245" s="19" t="n">
        <v>0</v>
      </c>
      <c r="BR245" s="19" t="n">
        <v>1</v>
      </c>
      <c r="BS245" s="19" t="n">
        <v>1</v>
      </c>
      <c r="BT245" s="19" t="n">
        <v>4</v>
      </c>
      <c r="BU245" s="19" t="n">
        <v>4</v>
      </c>
      <c r="BV245" s="19" t="n">
        <v>1</v>
      </c>
      <c r="BW245" s="19" t="n">
        <v>1</v>
      </c>
      <c r="BX245" s="19" t="n">
        <v>1</v>
      </c>
      <c r="BY245" s="19" t="n">
        <v>2</v>
      </c>
      <c r="BZ245" s="19" t="n">
        <v>4</v>
      </c>
      <c r="CA245" s="19" t="n">
        <v>4</v>
      </c>
      <c r="CB245" s="19" t="n">
        <v>4</v>
      </c>
      <c r="CC245" s="19" t="n">
        <v>5</v>
      </c>
      <c r="CD245" s="19" t="n">
        <v>5</v>
      </c>
      <c r="CE245" s="19" t="n">
        <v>5</v>
      </c>
      <c r="CF245" s="19" t="n">
        <v>5</v>
      </c>
      <c r="CG245" s="19" t="n">
        <v>5</v>
      </c>
      <c r="CH245" s="19" t="n">
        <v>5</v>
      </c>
      <c r="CI245" s="19" t="n">
        <v>5</v>
      </c>
      <c r="CJ245" s="19" t="n">
        <v>5</v>
      </c>
      <c r="CK245" s="19" t="n">
        <v>10</v>
      </c>
      <c r="CL245" s="0" t="s">
        <v>274</v>
      </c>
      <c r="CM245" s="0" t="n">
        <v>19.5</v>
      </c>
      <c r="CN245" s="16" t="n">
        <v>74.3</v>
      </c>
      <c r="CO245" s="16" t="n">
        <v>80.4</v>
      </c>
      <c r="CP245" s="16" t="n">
        <v>7.8</v>
      </c>
      <c r="CQ245" s="0" t="n">
        <v>89.52</v>
      </c>
      <c r="CR245" s="0" t="n">
        <v>8.69</v>
      </c>
      <c r="CS245" s="0" t="n">
        <v>1.79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18.73</v>
      </c>
      <c r="DD245" s="0" t="n">
        <v>9.35</v>
      </c>
      <c r="DE245" s="0" t="n">
        <v>0</v>
      </c>
      <c r="DF245" s="0" t="n">
        <v>0</v>
      </c>
      <c r="DG245" s="0" t="n">
        <v>0</v>
      </c>
      <c r="DU245" s="0" t="n">
        <v>3.92</v>
      </c>
      <c r="DV245" s="0" t="n">
        <v>1</v>
      </c>
      <c r="DW245" s="0" t="n">
        <v>52</v>
      </c>
      <c r="DX245" s="0" t="n">
        <v>4</v>
      </c>
      <c r="DY245" s="0" t="n">
        <f aca="false">1.01*2+0.56+0.9</f>
        <v>3.48</v>
      </c>
      <c r="DZ245" s="0" t="n">
        <v>2</v>
      </c>
      <c r="EG245" s="18"/>
      <c r="EY245" s="0" t="n">
        <v>1</v>
      </c>
      <c r="EZ245" s="0" t="n">
        <v>50</v>
      </c>
      <c r="FA245" s="0" t="n">
        <v>1</v>
      </c>
      <c r="FB245" s="0" t="n">
        <v>1.9</v>
      </c>
      <c r="FC245" s="0" t="n">
        <v>3</v>
      </c>
      <c r="GJ245" s="16" t="n">
        <v>2.24</v>
      </c>
      <c r="GK245" s="16" t="n">
        <v>1</v>
      </c>
      <c r="GL245" s="16" t="n">
        <v>2</v>
      </c>
      <c r="GM245" s="16"/>
      <c r="GN245" s="16" t="n">
        <f aca="false">1.87*2</f>
        <v>3.74</v>
      </c>
      <c r="GO245" s="16"/>
      <c r="GP245" s="16"/>
      <c r="GQ245" s="16"/>
      <c r="GR245" s="16"/>
      <c r="GS245" s="16"/>
      <c r="GT245" s="16"/>
      <c r="GU245" s="16" t="n">
        <v>5.49</v>
      </c>
      <c r="GV245" s="16" t="n">
        <f aca="false">1.01*2+0.56+1.87*2+0.9</f>
        <v>7.22</v>
      </c>
      <c r="GW245" s="16"/>
      <c r="GX245" s="16"/>
      <c r="GY245" s="16" t="n">
        <v>0</v>
      </c>
      <c r="GZ245" s="16" t="n">
        <v>0</v>
      </c>
      <c r="HA245" s="16" t="n">
        <v>0</v>
      </c>
      <c r="HB245" s="0" t="n">
        <v>0</v>
      </c>
      <c r="HC245" s="0" t="s">
        <v>275</v>
      </c>
      <c r="HD245" s="0" t="n">
        <v>19.5</v>
      </c>
      <c r="HE245" s="16" t="n">
        <v>74.6</v>
      </c>
      <c r="HF245" s="16" t="n">
        <v>80.4</v>
      </c>
      <c r="HG245" s="16" t="n">
        <v>7.8</v>
      </c>
      <c r="HH245" s="0" t="n">
        <v>89.29</v>
      </c>
      <c r="HI245" s="0" t="n">
        <v>8.92</v>
      </c>
      <c r="HJ245" s="0" t="n">
        <v>1.79</v>
      </c>
      <c r="HK245" s="0" t="n">
        <v>0</v>
      </c>
      <c r="HL245" s="0" t="n">
        <v>0</v>
      </c>
      <c r="HM245" s="0" t="n">
        <v>0</v>
      </c>
      <c r="HN245" s="0" t="n">
        <v>0</v>
      </c>
      <c r="HO245" s="0" t="n">
        <v>0</v>
      </c>
      <c r="HP245" s="0" t="n">
        <v>0</v>
      </c>
      <c r="HQ245" s="0" t="n">
        <v>0</v>
      </c>
      <c r="HR245" s="0" t="n">
        <v>0</v>
      </c>
      <c r="HS245" s="0" t="n">
        <v>0</v>
      </c>
      <c r="HT245" s="0" t="n">
        <v>18.95</v>
      </c>
      <c r="HU245" s="0" t="n">
        <v>9.35</v>
      </c>
      <c r="HV245" s="0" t="n">
        <v>0</v>
      </c>
      <c r="HW245" s="0" t="n">
        <v>0</v>
      </c>
      <c r="HX245" s="0" t="n">
        <v>0</v>
      </c>
      <c r="IL245" s="0" t="n">
        <v>3.9</v>
      </c>
      <c r="IM245" s="0" t="n">
        <v>1</v>
      </c>
      <c r="IN245" s="0" t="n">
        <v>52</v>
      </c>
      <c r="IO245" s="0" t="n">
        <v>4</v>
      </c>
      <c r="IP245" s="0" t="n">
        <f aca="false">1.01*2+0.56+0.9</f>
        <v>3.48</v>
      </c>
      <c r="IQ245" s="0" t="n">
        <v>3</v>
      </c>
      <c r="IX245" s="18"/>
      <c r="JP245" s="0" t="n">
        <v>1</v>
      </c>
      <c r="JQ245" s="0" t="n">
        <v>50</v>
      </c>
      <c r="JR245" s="0" t="n">
        <v>1</v>
      </c>
      <c r="JS245" s="0" t="n">
        <v>1.9</v>
      </c>
      <c r="JT245" s="0" t="n">
        <v>3</v>
      </c>
      <c r="LA245" s="16" t="n">
        <v>2.24</v>
      </c>
      <c r="LB245" s="16" t="n">
        <v>1</v>
      </c>
      <c r="LC245" s="16" t="n">
        <v>2</v>
      </c>
      <c r="LD245" s="16"/>
      <c r="LE245" s="16" t="n">
        <f aca="false">1.87*2</f>
        <v>3.74</v>
      </c>
      <c r="LF245" s="16"/>
      <c r="LG245" s="16"/>
      <c r="LH245" s="16"/>
      <c r="LI245" s="16"/>
      <c r="LJ245" s="16"/>
      <c r="LK245" s="16"/>
      <c r="LL245" s="16" t="n">
        <v>6.49</v>
      </c>
      <c r="LM245" s="16" t="n">
        <f aca="false">1.01*2+0.56+1.87*2+0.9</f>
        <v>7.22</v>
      </c>
      <c r="LN245" s="16"/>
      <c r="LO245" s="16"/>
      <c r="LP245" s="16" t="n">
        <v>0</v>
      </c>
      <c r="LQ245" s="16" t="n">
        <v>0</v>
      </c>
      <c r="LR245" s="16" t="n">
        <v>0</v>
      </c>
      <c r="LS245" s="0" t="n">
        <v>0</v>
      </c>
      <c r="LT245" s="0" t="s">
        <v>276</v>
      </c>
      <c r="LU245" s="0" t="n">
        <v>22.5</v>
      </c>
      <c r="LV245" s="16" t="n">
        <v>73.4</v>
      </c>
      <c r="LW245" s="16" t="n">
        <v>80.4</v>
      </c>
      <c r="LX245" s="16" t="n">
        <v>10.4</v>
      </c>
      <c r="LY245" s="0" t="n">
        <v>88.12</v>
      </c>
      <c r="LZ245" s="0" t="n">
        <v>6.29</v>
      </c>
      <c r="MA245" s="0" t="n">
        <v>4.25</v>
      </c>
      <c r="MB245" s="0" t="n">
        <v>0</v>
      </c>
      <c r="MC245" s="0" t="n">
        <v>1.34</v>
      </c>
      <c r="MD245" s="0" t="n">
        <v>0</v>
      </c>
      <c r="ME245" s="0" t="n">
        <v>0</v>
      </c>
      <c r="MF245" s="0" t="n">
        <v>0</v>
      </c>
      <c r="MG245" s="0" t="n">
        <v>0</v>
      </c>
      <c r="MH245" s="0" t="n">
        <v>0</v>
      </c>
      <c r="MI245" s="0" t="n">
        <v>0</v>
      </c>
      <c r="MJ245" s="0" t="n">
        <v>0</v>
      </c>
      <c r="MK245" s="0" t="n">
        <v>2.46</v>
      </c>
      <c r="ML245" s="0" t="n">
        <v>13.2</v>
      </c>
      <c r="MM245" s="0" t="n">
        <v>0</v>
      </c>
      <c r="MN245" s="0" t="n">
        <v>0</v>
      </c>
      <c r="MO245" s="0" t="n">
        <v>0</v>
      </c>
      <c r="NC245" s="0" t="n">
        <v>0</v>
      </c>
      <c r="NO245" s="18"/>
      <c r="PR245" s="16" t="n">
        <v>2.24</v>
      </c>
      <c r="PS245" s="16" t="n">
        <v>1</v>
      </c>
      <c r="PT245" s="16" t="n">
        <v>2</v>
      </c>
      <c r="PU245" s="16" t="n">
        <v>3.73</v>
      </c>
      <c r="PV245" s="16"/>
      <c r="PW245" s="16"/>
      <c r="PX245" s="16"/>
      <c r="PY245" s="16"/>
      <c r="PZ245" s="16"/>
      <c r="QA245" s="16"/>
      <c r="QB245" s="16"/>
      <c r="QC245" s="16" t="n">
        <v>9.68</v>
      </c>
      <c r="QD245" s="16" t="n">
        <f aca="false">2.01+1.34+2.69+3.73+0.81</f>
        <v>10.58</v>
      </c>
      <c r="QE245" s="16"/>
      <c r="QF245" s="16"/>
      <c r="QG245" s="16" t="n">
        <v>0</v>
      </c>
      <c r="QH245" s="16" t="n">
        <v>0</v>
      </c>
      <c r="QI245" s="16" t="n">
        <v>0.16</v>
      </c>
      <c r="QJ245" s="0" t="n">
        <v>0</v>
      </c>
      <c r="QK245" s="0" t="s">
        <v>277</v>
      </c>
      <c r="QL245" s="0" t="n">
        <v>29.5</v>
      </c>
      <c r="QM245" s="16" t="n">
        <v>53.8</v>
      </c>
      <c r="QN245" s="16" t="n">
        <v>80.4</v>
      </c>
      <c r="QO245" s="16" t="n">
        <v>12.1</v>
      </c>
      <c r="QP245" s="0" t="n">
        <v>86.6</v>
      </c>
      <c r="QQ245" s="0" t="n">
        <v>8.48</v>
      </c>
      <c r="QR245" s="0" t="n">
        <v>4.93</v>
      </c>
      <c r="QS245" s="0" t="n">
        <v>0</v>
      </c>
      <c r="QT245" s="0" t="n">
        <v>0</v>
      </c>
      <c r="QU245" s="0" t="n">
        <v>0</v>
      </c>
      <c r="QV245" s="0" t="n">
        <v>0</v>
      </c>
      <c r="QW245" s="0" t="n">
        <v>0</v>
      </c>
      <c r="QX245" s="0" t="n">
        <v>0</v>
      </c>
      <c r="QY245" s="0" t="n">
        <v>0</v>
      </c>
      <c r="QZ245" s="0" t="n">
        <v>0</v>
      </c>
      <c r="RA245" s="0" t="n">
        <v>0</v>
      </c>
      <c r="RB245" s="0" t="n">
        <v>2.02</v>
      </c>
      <c r="RC245" s="0" t="n">
        <v>19.56</v>
      </c>
      <c r="RD245" s="0" t="n">
        <v>0.25</v>
      </c>
      <c r="RE245" s="0" t="n">
        <v>0</v>
      </c>
      <c r="RF245" s="0" t="n">
        <v>0</v>
      </c>
      <c r="RG245" s="0" t="n">
        <v>0</v>
      </c>
      <c r="RH245" s="0" t="n">
        <v>0</v>
      </c>
      <c r="RN245" s="0" t="n">
        <v>0</v>
      </c>
      <c r="RT245" s="0" t="n">
        <v>0</v>
      </c>
      <c r="RU245" s="0" t="n">
        <v>0</v>
      </c>
      <c r="SF245" s="18"/>
      <c r="SX245" s="0" t="n">
        <v>0</v>
      </c>
      <c r="UI245" s="16" t="n">
        <v>6.72</v>
      </c>
      <c r="UJ245" s="16" t="n">
        <v>1</v>
      </c>
      <c r="UK245" s="16" t="n">
        <v>2</v>
      </c>
      <c r="UL245" s="16"/>
      <c r="UM245" s="16" t="n">
        <f aca="false">3.73*3</f>
        <v>11.19</v>
      </c>
      <c r="UN245" s="16"/>
      <c r="UO245" s="16"/>
      <c r="UP245" s="16"/>
      <c r="UQ245" s="16"/>
      <c r="UR245" s="16"/>
      <c r="US245" s="16"/>
      <c r="UT245" s="16" t="n">
        <v>10.6</v>
      </c>
      <c r="UU245" s="16" t="n">
        <v>12.44</v>
      </c>
      <c r="UV245" s="16"/>
      <c r="UW245" s="16"/>
      <c r="UX245" s="16" t="n">
        <v>0</v>
      </c>
      <c r="UY245" s="16" t="n">
        <v>0</v>
      </c>
      <c r="UZ245" s="16" t="n">
        <v>0</v>
      </c>
      <c r="VA245" s="0" t="n">
        <v>0</v>
      </c>
      <c r="VB245" s="0" t="s">
        <v>278</v>
      </c>
      <c r="VC245" s="0" t="n">
        <v>51.5</v>
      </c>
      <c r="VD245" s="16" t="n">
        <v>63.4</v>
      </c>
      <c r="VE245" s="16" t="n">
        <v>80.4</v>
      </c>
      <c r="VF245" s="16" t="n">
        <v>18.1</v>
      </c>
      <c r="VG245" s="0" t="n">
        <v>83.5</v>
      </c>
      <c r="VH245" s="0" t="n">
        <v>5.36</v>
      </c>
      <c r="VI245" s="0" t="n">
        <v>8.46</v>
      </c>
      <c r="VJ245" s="0" t="n">
        <v>0</v>
      </c>
      <c r="VK245" s="0" t="n">
        <v>2.69</v>
      </c>
      <c r="VL245" s="0" t="n">
        <v>0</v>
      </c>
      <c r="VM245" s="0" t="n">
        <v>0</v>
      </c>
      <c r="VN245" s="0" t="n">
        <v>0</v>
      </c>
      <c r="VO245" s="0" t="n">
        <v>0</v>
      </c>
      <c r="VP245" s="0" t="n">
        <v>0</v>
      </c>
      <c r="VQ245" s="0" t="n">
        <v>0</v>
      </c>
      <c r="VR245" s="0" t="n">
        <v>0</v>
      </c>
      <c r="VS245" s="0" t="n">
        <v>0.99</v>
      </c>
      <c r="VT245" s="0" t="n">
        <v>13.55</v>
      </c>
      <c r="VU245" s="0" t="n">
        <v>16.2</v>
      </c>
      <c r="VV245" s="0" t="n">
        <v>0</v>
      </c>
      <c r="VW245" s="0" t="n">
        <v>0</v>
      </c>
      <c r="VX245" s="0" t="n">
        <v>0</v>
      </c>
      <c r="WK245" s="0" t="n">
        <v>18.4</v>
      </c>
      <c r="WL245" s="0" t="n">
        <v>1</v>
      </c>
      <c r="WM245" s="0" t="n">
        <v>47</v>
      </c>
      <c r="WN245" s="0" t="n">
        <v>1</v>
      </c>
      <c r="WO245" s="0" t="n">
        <v>0.9</v>
      </c>
      <c r="WP245" s="0" t="n">
        <v>3</v>
      </c>
      <c r="WQ245" s="0" t="n">
        <v>35</v>
      </c>
      <c r="WR245" s="0" t="n">
        <v>3</v>
      </c>
      <c r="WS245" s="0" t="n">
        <f aca="false">0.94</f>
        <v>0.94</v>
      </c>
      <c r="WT245" s="0" t="n">
        <v>3</v>
      </c>
      <c r="WU245" s="0" t="n">
        <v>68</v>
      </c>
      <c r="WV245" s="0" t="n">
        <v>1</v>
      </c>
      <c r="WW245" s="18" t="n">
        <v>6.22</v>
      </c>
      <c r="WX245" s="0" t="n">
        <v>1</v>
      </c>
      <c r="XO245" s="0" t="n">
        <v>0</v>
      </c>
      <c r="YZ245" s="16" t="n">
        <v>3.75</v>
      </c>
      <c r="ZA245" s="16" t="n">
        <v>1</v>
      </c>
      <c r="ZB245" s="16" t="n">
        <v>1</v>
      </c>
      <c r="ZC245" s="16"/>
      <c r="ZD245" s="16" t="n">
        <f aca="false">2.49+0.05+0.03</f>
        <v>2.57</v>
      </c>
      <c r="ZE245" s="16" t="n">
        <v>2</v>
      </c>
      <c r="ZF245" s="16"/>
      <c r="ZG245" s="16" t="n">
        <v>2.49</v>
      </c>
      <c r="ZH245" s="16"/>
      <c r="ZI245" s="16"/>
      <c r="ZJ245" s="16"/>
      <c r="ZK245" s="16" t="n">
        <v>11.1</v>
      </c>
      <c r="ZL245" s="16" t="n">
        <v>18.47</v>
      </c>
      <c r="ZM245" s="16"/>
      <c r="ZN245" s="16"/>
      <c r="ZO245" s="16" t="n">
        <v>0</v>
      </c>
      <c r="ZP245" s="16" t="n">
        <v>0</v>
      </c>
      <c r="ZQ245" s="16" t="n">
        <v>0</v>
      </c>
      <c r="ZR245" s="0" t="n">
        <v>0</v>
      </c>
      <c r="ZS245" s="0" t="s">
        <v>279</v>
      </c>
      <c r="ZT245" s="0" t="n">
        <v>33.5</v>
      </c>
      <c r="ZU245" s="16" t="n">
        <v>54</v>
      </c>
      <c r="ZV245" s="16" t="n">
        <v>80.4</v>
      </c>
      <c r="ZW245" s="16" t="n">
        <v>9.6</v>
      </c>
      <c r="ZX245" s="0" t="n">
        <v>86.69</v>
      </c>
      <c r="ZY245" s="0" t="n">
        <v>8.34</v>
      </c>
      <c r="ZZ245" s="0" t="n">
        <v>4.97</v>
      </c>
      <c r="AAA245" s="0" t="n">
        <v>0</v>
      </c>
      <c r="AAB245" s="0" t="n">
        <v>0</v>
      </c>
      <c r="AAC245" s="0" t="n">
        <v>0</v>
      </c>
      <c r="AAD245" s="0" t="n">
        <v>0</v>
      </c>
      <c r="AAE245" s="0" t="n">
        <v>0</v>
      </c>
      <c r="AAF245" s="0" t="n">
        <v>0</v>
      </c>
      <c r="AAG245" s="0" t="n">
        <v>0</v>
      </c>
      <c r="AAH245" s="0" t="n">
        <v>0</v>
      </c>
      <c r="AAI245" s="0" t="n">
        <v>0</v>
      </c>
      <c r="AAJ245" s="0" t="n">
        <v>12.83</v>
      </c>
      <c r="AAK245" s="0" t="n">
        <v>6.09</v>
      </c>
      <c r="AAL245" s="0" t="n">
        <v>0</v>
      </c>
      <c r="AAM245" s="0" t="n">
        <v>0</v>
      </c>
      <c r="AAN245" s="0" t="n">
        <v>0</v>
      </c>
      <c r="AAO245" s="0" t="n">
        <v>0</v>
      </c>
      <c r="ABB245" s="0" t="n">
        <v>11.3</v>
      </c>
      <c r="ABC245" s="0" t="n">
        <v>1</v>
      </c>
      <c r="ABD245" s="0" t="n">
        <v>47</v>
      </c>
      <c r="ABE245" s="0" t="n">
        <v>1</v>
      </c>
      <c r="ABF245" s="0" t="n">
        <v>0.9</v>
      </c>
      <c r="ABG245" s="0" t="n">
        <v>3</v>
      </c>
      <c r="ABH245" s="0" t="n">
        <v>35</v>
      </c>
      <c r="ABI245" s="0" t="n">
        <v>2</v>
      </c>
      <c r="ABJ245" s="0" t="n">
        <v>0.92</v>
      </c>
      <c r="ABK245" s="0" t="n">
        <v>3</v>
      </c>
      <c r="ABN245" s="18"/>
      <c r="ACF245" s="0" t="n">
        <v>0</v>
      </c>
      <c r="ADQ245" s="16" t="n">
        <v>3.75</v>
      </c>
      <c r="ADR245" s="16" t="n">
        <v>1</v>
      </c>
      <c r="ADS245" s="16" t="n">
        <v>1</v>
      </c>
      <c r="ADT245" s="16"/>
      <c r="ADU245" s="16" t="n">
        <f aca="false">2.49+0.05+0.03</f>
        <v>2.57</v>
      </c>
      <c r="ADV245" s="16" t="n">
        <v>2</v>
      </c>
      <c r="ADW245" s="16"/>
      <c r="ADX245" s="16" t="n">
        <v>2.49</v>
      </c>
      <c r="ADY245" s="16"/>
      <c r="ADZ245" s="16"/>
      <c r="AEA245" s="16"/>
      <c r="AEB245" s="16" t="n">
        <v>8.81</v>
      </c>
      <c r="AEC245" s="16" t="n">
        <v>6.01</v>
      </c>
      <c r="AED245" s="16"/>
      <c r="AEE245" s="16"/>
      <c r="AEF245" s="16" t="n">
        <v>0</v>
      </c>
      <c r="AEG245" s="16" t="n">
        <v>0</v>
      </c>
      <c r="AEH245" s="16" t="n">
        <v>0</v>
      </c>
      <c r="AEI245" s="0" t="n">
        <v>0</v>
      </c>
      <c r="AEJ245" s="0" t="s">
        <v>280</v>
      </c>
      <c r="AEK245" s="0" t="n">
        <v>79</v>
      </c>
      <c r="AEL245" s="16" t="n">
        <v>63.9</v>
      </c>
      <c r="AEM245" s="16" t="n">
        <v>80.4</v>
      </c>
      <c r="AEN245" s="16" t="n">
        <v>11.2</v>
      </c>
      <c r="AEO245" s="0" t="n">
        <v>77.43</v>
      </c>
      <c r="AEP245" s="0" t="n">
        <v>22.57</v>
      </c>
      <c r="AEQ245" s="0" t="n">
        <v>0</v>
      </c>
      <c r="AER245" s="0" t="n">
        <v>0</v>
      </c>
      <c r="AES245" s="0" t="n">
        <v>0</v>
      </c>
      <c r="AET245" s="0" t="n">
        <v>0</v>
      </c>
      <c r="AEU245" s="0" t="n">
        <v>0</v>
      </c>
      <c r="AEV245" s="0" t="n">
        <v>0</v>
      </c>
      <c r="AEW245" s="0" t="n">
        <v>0</v>
      </c>
      <c r="AEX245" s="0" t="n">
        <v>0</v>
      </c>
      <c r="AEY245" s="0" t="n">
        <v>0</v>
      </c>
      <c r="AEZ245" s="0" t="n">
        <v>0</v>
      </c>
      <c r="AFA245" s="0" t="n">
        <v>0</v>
      </c>
      <c r="AFB245" s="0" t="n">
        <v>45.87</v>
      </c>
      <c r="AFC245" s="0" t="n">
        <v>0</v>
      </c>
      <c r="AFD245" s="0" t="n">
        <v>0</v>
      </c>
      <c r="AFE245" s="0" t="n">
        <v>0</v>
      </c>
      <c r="AFF245" s="0" t="n">
        <v>0</v>
      </c>
      <c r="AFS245" s="0" t="n">
        <v>56.3</v>
      </c>
      <c r="AFT245" s="0" t="n">
        <v>1</v>
      </c>
      <c r="AFU245" s="0" t="n">
        <v>47</v>
      </c>
      <c r="AFV245" s="0" t="n">
        <v>18</v>
      </c>
      <c r="AFW245" s="0" t="n">
        <f aca="false">13.43+9.14</f>
        <v>22.57</v>
      </c>
      <c r="AFX245" s="0" t="n">
        <v>3</v>
      </c>
      <c r="AGE245" s="18"/>
      <c r="AGW245" s="0" t="n">
        <v>0</v>
      </c>
      <c r="AIH245" s="16" t="n">
        <v>0</v>
      </c>
      <c r="AII245" s="16" t="n">
        <v>0</v>
      </c>
      <c r="AIJ245" s="16"/>
      <c r="AIK245" s="16"/>
      <c r="AIL245" s="16"/>
      <c r="AIM245" s="16"/>
      <c r="AIN245" s="16"/>
      <c r="AIO245" s="16"/>
      <c r="AIP245" s="16"/>
      <c r="AIQ245" s="16"/>
      <c r="AIR245" s="16"/>
      <c r="AIS245" s="16" t="n">
        <v>11.54</v>
      </c>
      <c r="AIT245" s="16" t="n">
        <v>22.57</v>
      </c>
      <c r="AIU245" s="16"/>
      <c r="AIV245" s="16"/>
      <c r="AIW245" s="16" t="n">
        <v>0</v>
      </c>
      <c r="AIX245" s="16" t="n">
        <v>0</v>
      </c>
      <c r="AIY245" s="16" t="n">
        <v>0</v>
      </c>
      <c r="AIZ245" s="0" t="n">
        <v>0</v>
      </c>
      <c r="AJA245" s="0" t="s">
        <v>281</v>
      </c>
      <c r="AJB245" s="0" t="n">
        <v>42.5</v>
      </c>
      <c r="AJC245" s="16" t="n">
        <v>76.4</v>
      </c>
      <c r="AJD245" s="16" t="n">
        <v>80.4</v>
      </c>
      <c r="AJE245" s="16" t="n">
        <v>15.3</v>
      </c>
      <c r="AJF245" s="0" t="n">
        <v>73.6</v>
      </c>
      <c r="AJG245" s="0" t="n">
        <v>20.42</v>
      </c>
      <c r="AJH245" s="0" t="n">
        <v>3.69</v>
      </c>
      <c r="AJI245" s="0" t="n">
        <v>0</v>
      </c>
      <c r="AJJ245" s="0" t="n">
        <v>2.28</v>
      </c>
      <c r="AJK245" s="0" t="n">
        <v>0</v>
      </c>
      <c r="AJL245" s="0" t="n">
        <v>0</v>
      </c>
      <c r="AJM245" s="0" t="n">
        <v>0</v>
      </c>
      <c r="AJN245" s="0" t="n">
        <v>0</v>
      </c>
      <c r="AJO245" s="0" t="n">
        <v>0</v>
      </c>
      <c r="AJP245" s="0" t="n">
        <v>0</v>
      </c>
      <c r="AJQ245" s="0" t="n">
        <v>0</v>
      </c>
      <c r="AJR245" s="0" t="n">
        <v>0</v>
      </c>
      <c r="AJS245" s="0" t="n">
        <v>35.36</v>
      </c>
      <c r="AJT245" s="0" t="n">
        <v>16.37</v>
      </c>
      <c r="AJU245" s="0" t="n">
        <v>0</v>
      </c>
      <c r="AJV245" s="0" t="n">
        <v>4.4</v>
      </c>
      <c r="AJW245" s="0" t="n">
        <v>2</v>
      </c>
      <c r="AJX245" s="0" t="n">
        <v>10</v>
      </c>
      <c r="AJY245" s="0" t="n">
        <v>0.9</v>
      </c>
      <c r="AKD245" s="0" t="n">
        <v>10</v>
      </c>
      <c r="AKE245" s="0" t="n">
        <v>0.9</v>
      </c>
      <c r="AKJ245" s="0" t="n">
        <v>9.7</v>
      </c>
      <c r="AKK245" s="0" t="n">
        <v>1</v>
      </c>
      <c r="AKL245" s="0" t="n">
        <v>68</v>
      </c>
      <c r="AKM245" s="0" t="n">
        <v>2</v>
      </c>
      <c r="AKN245" s="0" t="n">
        <f aca="false">3.34+5.29</f>
        <v>8.63</v>
      </c>
      <c r="AKO245" s="0" t="n">
        <v>1</v>
      </c>
      <c r="AKP245" s="0" t="n">
        <v>34</v>
      </c>
      <c r="AKQ245" s="0" t="n">
        <v>86</v>
      </c>
      <c r="AKR245" s="0" t="n">
        <f aca="false">0.8+0.6</f>
        <v>1.4</v>
      </c>
      <c r="AKS245" s="0" t="n">
        <v>1</v>
      </c>
      <c r="AKT245" s="0" t="n">
        <v>47</v>
      </c>
      <c r="AKU245" s="0" t="n">
        <v>1</v>
      </c>
      <c r="AKV245" s="18" t="n">
        <v>1.52</v>
      </c>
      <c r="AKW245" s="0" t="n">
        <v>3</v>
      </c>
      <c r="ALN245" s="0" t="n">
        <v>0</v>
      </c>
    </row>
    <row r="246" customFormat="false" ht="13.8" hidden="false" customHeight="false" outlineLevel="0" collapsed="false">
      <c r="A246" s="1" t="s">
        <v>764</v>
      </c>
      <c r="B246" s="12" t="n">
        <v>42908</v>
      </c>
      <c r="C246" s="0" t="n">
        <v>2</v>
      </c>
      <c r="D246" s="13" t="n">
        <v>34973</v>
      </c>
      <c r="E246" s="12" t="n">
        <v>25401</v>
      </c>
      <c r="F246" s="14" t="n">
        <f aca="false">(B246-E246)/365.25</f>
        <v>47.9315537303217</v>
      </c>
      <c r="G246" s="14" t="n">
        <f aca="false">(B246-D246)/365.25</f>
        <v>21.7248459958932</v>
      </c>
      <c r="H246" s="19" t="s">
        <v>217</v>
      </c>
      <c r="I246" s="15" t="s">
        <v>402</v>
      </c>
      <c r="J246" s="21" t="s">
        <v>183</v>
      </c>
      <c r="K246" s="21" t="n">
        <v>8</v>
      </c>
      <c r="L246" s="19" t="n">
        <v>62</v>
      </c>
      <c r="M246" s="0" t="n">
        <v>1.7</v>
      </c>
      <c r="N246" s="16" t="n">
        <f aca="false">L246/(M246*M246)</f>
        <v>21.4532871972318</v>
      </c>
      <c r="O246" s="19" t="n">
        <v>0</v>
      </c>
      <c r="P246" s="19" t="n">
        <v>0</v>
      </c>
      <c r="Q246" s="19" t="n">
        <v>0</v>
      </c>
      <c r="R246" s="26" t="n">
        <v>0</v>
      </c>
      <c r="S246" s="26" t="n">
        <v>0</v>
      </c>
      <c r="T246" s="26" t="n">
        <v>0</v>
      </c>
      <c r="U246" s="19" t="n">
        <v>1</v>
      </c>
      <c r="V246" s="19" t="n">
        <v>6</v>
      </c>
      <c r="W246" s="19" t="n">
        <v>1</v>
      </c>
      <c r="X246" s="19" t="n">
        <v>1</v>
      </c>
      <c r="Y246" s="19" t="n">
        <v>0</v>
      </c>
      <c r="Z246" s="19" t="n">
        <v>0</v>
      </c>
      <c r="AA246" s="19" t="n">
        <v>0</v>
      </c>
      <c r="AB246" s="19" t="n">
        <v>0</v>
      </c>
      <c r="AC246" s="19" t="n">
        <v>1</v>
      </c>
      <c r="AD246" s="19" t="n">
        <v>15</v>
      </c>
      <c r="AE246" s="19" t="n">
        <v>1</v>
      </c>
      <c r="AF246" s="19" t="n">
        <v>1</v>
      </c>
      <c r="AG246" s="19" t="n">
        <v>1</v>
      </c>
      <c r="AH246" s="19" t="n">
        <v>4</v>
      </c>
      <c r="AI246" s="19" t="n">
        <v>0</v>
      </c>
      <c r="AJ246" s="19" t="n">
        <v>0</v>
      </c>
      <c r="AK246" s="19" t="n">
        <v>0</v>
      </c>
      <c r="AL246" s="19" t="n">
        <v>0</v>
      </c>
      <c r="AM246" s="19" t="n">
        <v>0</v>
      </c>
      <c r="AN246" s="19" t="n">
        <v>2</v>
      </c>
      <c r="AO246" s="19" t="n">
        <v>2</v>
      </c>
      <c r="AP246" s="19" t="n">
        <v>2</v>
      </c>
      <c r="AQ246" s="19" t="n">
        <v>0</v>
      </c>
      <c r="AR246" s="19" t="n">
        <v>4</v>
      </c>
      <c r="AS246" s="19" t="n">
        <v>0</v>
      </c>
      <c r="AT246" s="19" t="n">
        <v>0</v>
      </c>
      <c r="AU246" s="19" t="n">
        <v>0</v>
      </c>
      <c r="AV246" s="19" t="n">
        <v>0</v>
      </c>
      <c r="AW246" s="19" t="n">
        <v>0</v>
      </c>
      <c r="AX246" s="19" t="n">
        <v>1</v>
      </c>
      <c r="AY246" s="19" t="n">
        <v>1</v>
      </c>
      <c r="AZ246" s="19" t="n">
        <v>1</v>
      </c>
      <c r="BA246" s="19" t="n">
        <v>8</v>
      </c>
      <c r="BB246" s="19" t="n">
        <v>1</v>
      </c>
      <c r="BC246" s="19" t="n">
        <v>1</v>
      </c>
      <c r="BD246" s="19" t="n">
        <v>1</v>
      </c>
      <c r="BE246" s="19" t="n">
        <v>8</v>
      </c>
      <c r="BF246" s="19" t="n">
        <v>1</v>
      </c>
      <c r="BG246" s="19" t="n">
        <v>1</v>
      </c>
      <c r="BH246" s="19" t="n">
        <v>1</v>
      </c>
      <c r="BI246" s="19" t="n">
        <v>8</v>
      </c>
      <c r="BJ246" s="19" t="n">
        <v>0</v>
      </c>
      <c r="BK246" s="19" t="n">
        <v>0</v>
      </c>
      <c r="BL246" s="19" t="n">
        <v>0</v>
      </c>
      <c r="BM246" s="19" t="n">
        <v>0</v>
      </c>
      <c r="BN246" s="19" t="n">
        <v>1</v>
      </c>
      <c r="BO246" s="19" t="n">
        <v>1</v>
      </c>
      <c r="BP246" s="19" t="n">
        <v>1</v>
      </c>
      <c r="BQ246" s="19" t="n">
        <v>8</v>
      </c>
      <c r="BR246" s="19" t="n">
        <v>3</v>
      </c>
      <c r="BS246" s="19" t="n">
        <v>3</v>
      </c>
      <c r="BT246" s="19" t="n">
        <v>4</v>
      </c>
      <c r="BU246" s="19" t="n">
        <v>5</v>
      </c>
      <c r="BV246" s="19" t="n">
        <v>3</v>
      </c>
      <c r="BW246" s="19" t="n">
        <v>5</v>
      </c>
      <c r="BX246" s="19" t="n">
        <v>4</v>
      </c>
      <c r="BY246" s="19" t="n">
        <v>4</v>
      </c>
      <c r="BZ246" s="19" t="n">
        <v>3</v>
      </c>
      <c r="CA246" s="19" t="n">
        <v>2</v>
      </c>
      <c r="CB246" s="19" t="n">
        <v>4</v>
      </c>
      <c r="CC246" s="19" t="n">
        <v>5</v>
      </c>
      <c r="CD246" s="19" t="n">
        <v>2</v>
      </c>
      <c r="CE246" s="19" t="n">
        <v>2</v>
      </c>
      <c r="CF246" s="19" t="n">
        <v>3</v>
      </c>
      <c r="CG246" s="19" t="n">
        <v>4</v>
      </c>
      <c r="CH246" s="19" t="n">
        <v>2</v>
      </c>
      <c r="CI246" s="19" t="n">
        <v>3</v>
      </c>
      <c r="CJ246" s="19" t="n">
        <v>2</v>
      </c>
      <c r="CK246" s="19" t="n">
        <v>4</v>
      </c>
      <c r="CL246" s="0" t="s">
        <v>403</v>
      </c>
      <c r="CM246" s="0" t="n">
        <v>21.5</v>
      </c>
      <c r="CN246" s="16" t="n">
        <v>78.4</v>
      </c>
      <c r="CO246" s="16" t="n">
        <v>80.4</v>
      </c>
      <c r="CP246" s="16" t="n">
        <v>9.6</v>
      </c>
      <c r="CQ246" s="0" t="n">
        <v>84.68</v>
      </c>
      <c r="CR246" s="0" t="n">
        <v>14.18</v>
      </c>
      <c r="CS246" s="0" t="n">
        <v>1.12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9.51</v>
      </c>
      <c r="DD246" s="0" t="n">
        <v>25.42</v>
      </c>
      <c r="DE246" s="0" t="n">
        <v>0</v>
      </c>
      <c r="DF246" s="0" t="n">
        <v>0</v>
      </c>
      <c r="DG246" s="0" t="n">
        <v>0</v>
      </c>
      <c r="DH246" s="0" t="n">
        <v>2</v>
      </c>
      <c r="DI246" s="0" t="n">
        <v>5</v>
      </c>
      <c r="DO246" s="0" t="n">
        <v>5</v>
      </c>
      <c r="DU246" s="0" t="n">
        <v>3.2</v>
      </c>
      <c r="DV246" s="0" t="n">
        <v>1</v>
      </c>
      <c r="DW246" s="0" t="n">
        <v>52</v>
      </c>
      <c r="DX246" s="0" t="n">
        <v>3</v>
      </c>
      <c r="DY246" s="0" t="n">
        <f aca="false">0.07+0.76</f>
        <v>0.83</v>
      </c>
      <c r="DZ246" s="0" t="n">
        <v>2</v>
      </c>
      <c r="EA246" s="0" t="n">
        <v>103</v>
      </c>
      <c r="EB246" s="0" t="n">
        <v>3</v>
      </c>
      <c r="EC246" s="0" t="n">
        <f aca="false">0.36+0.34</f>
        <v>0.7</v>
      </c>
      <c r="ED246" s="0" t="n">
        <v>1</v>
      </c>
      <c r="EE246" s="0" t="n">
        <v>68</v>
      </c>
      <c r="EF246" s="0" t="n">
        <v>2</v>
      </c>
      <c r="EG246" s="18" t="n">
        <f aca="false">0.24</f>
        <v>0.24</v>
      </c>
      <c r="EH246" s="0" t="n">
        <v>1</v>
      </c>
      <c r="EI246" s="0" t="n">
        <v>34</v>
      </c>
      <c r="EJ246" s="0" t="n">
        <v>2</v>
      </c>
      <c r="EK246" s="0" t="n">
        <f aca="false">0.24</f>
        <v>0.24</v>
      </c>
      <c r="EL246" s="0" t="n">
        <v>1</v>
      </c>
      <c r="EY246" s="0" t="n">
        <v>0</v>
      </c>
      <c r="GJ246" s="16" t="n">
        <v>0.36</v>
      </c>
      <c r="GK246" s="16" t="n">
        <v>1</v>
      </c>
      <c r="GL246" s="16" t="n">
        <v>1</v>
      </c>
      <c r="GM246" s="16"/>
      <c r="GN246" s="16" t="n">
        <v>1.52</v>
      </c>
      <c r="GO246" s="16"/>
      <c r="GP246" s="16"/>
      <c r="GQ246" s="16"/>
      <c r="GR246" s="16"/>
      <c r="GS246" s="16"/>
      <c r="GT246" s="16"/>
      <c r="GU246" s="16" t="n">
        <v>8.32</v>
      </c>
      <c r="GV246" s="16" t="n">
        <v>8.31</v>
      </c>
      <c r="GW246" s="16"/>
      <c r="GX246" s="16"/>
      <c r="GY246" s="16" t="n">
        <v>0</v>
      </c>
      <c r="GZ246" s="16" t="n">
        <v>0</v>
      </c>
      <c r="HA246" s="16" t="n">
        <v>0</v>
      </c>
      <c r="HB246" s="0" t="n">
        <v>0</v>
      </c>
      <c r="HC246" s="0" t="s">
        <v>404</v>
      </c>
      <c r="HD246" s="0" t="n">
        <v>50.5</v>
      </c>
      <c r="HE246" s="16" t="n">
        <v>95.8</v>
      </c>
      <c r="HF246" s="16" t="n">
        <v>80.4</v>
      </c>
      <c r="HG246" s="16" t="n">
        <v>22.6</v>
      </c>
      <c r="HH246" s="0" t="n">
        <v>70.65</v>
      </c>
      <c r="HI246" s="0" t="n">
        <v>13.02</v>
      </c>
      <c r="HJ246" s="0" t="n">
        <v>16.33</v>
      </c>
      <c r="HK246" s="0" t="n">
        <v>0</v>
      </c>
      <c r="HL246" s="0" t="n">
        <v>0</v>
      </c>
      <c r="HM246" s="0" t="n">
        <v>0</v>
      </c>
      <c r="HN246" s="0" t="n">
        <v>0</v>
      </c>
      <c r="HO246" s="0" t="n">
        <v>0</v>
      </c>
      <c r="HP246" s="0" t="n">
        <v>0</v>
      </c>
      <c r="HQ246" s="0" t="n">
        <v>0</v>
      </c>
      <c r="HR246" s="0" t="n">
        <v>0</v>
      </c>
      <c r="HS246" s="0" t="n">
        <v>0</v>
      </c>
      <c r="HT246" s="0" t="n">
        <v>3.81</v>
      </c>
      <c r="HU246" s="0" t="n">
        <v>53.36</v>
      </c>
      <c r="HV246" s="0" t="n">
        <v>0</v>
      </c>
      <c r="HW246" s="0" t="n">
        <v>0</v>
      </c>
      <c r="HX246" s="0" t="n">
        <v>7.8</v>
      </c>
      <c r="HY246" s="0" t="n">
        <v>2</v>
      </c>
      <c r="HZ246" s="0" t="n">
        <v>10</v>
      </c>
      <c r="IA246" s="0" t="n">
        <v>2.69</v>
      </c>
      <c r="IF246" s="0" t="n">
        <v>10</v>
      </c>
      <c r="IG246" s="0" t="n">
        <v>2.69</v>
      </c>
      <c r="IL246" s="0" t="n">
        <v>0</v>
      </c>
      <c r="IM246" s="0" t="n">
        <v>0</v>
      </c>
      <c r="IX246" s="18"/>
      <c r="JP246" s="0" t="n">
        <v>0</v>
      </c>
      <c r="LA246" s="16" t="n">
        <v>10.02</v>
      </c>
      <c r="LB246" s="16" t="n">
        <v>1</v>
      </c>
      <c r="LC246" s="16" t="n">
        <v>2</v>
      </c>
      <c r="LD246" s="16"/>
      <c r="LE246" s="16" t="n">
        <f aca="false">0.05*4+0.33*4+1.5*4+0.76*4+1.14*4</f>
        <v>15.12</v>
      </c>
      <c r="LF246" s="16"/>
      <c r="LG246" s="16"/>
      <c r="LH246" s="16"/>
      <c r="LI246" s="16"/>
      <c r="LJ246" s="16"/>
      <c r="LK246" s="16"/>
      <c r="LL246" s="16" t="n">
        <v>9.92</v>
      </c>
      <c r="LM246" s="16" t="n">
        <v>20.94</v>
      </c>
      <c r="LN246" s="16"/>
      <c r="LO246" s="16"/>
      <c r="LP246" s="16" t="n">
        <v>0</v>
      </c>
      <c r="LQ246" s="16" t="n">
        <v>0</v>
      </c>
      <c r="LR246" s="16" t="n">
        <v>0</v>
      </c>
      <c r="LS246" s="0" t="n">
        <v>0</v>
      </c>
      <c r="LT246" s="0" t="s">
        <v>405</v>
      </c>
      <c r="LU246" s="0" t="n">
        <v>57.5</v>
      </c>
      <c r="LV246" s="16" t="n">
        <v>93.3</v>
      </c>
      <c r="LW246" s="16" t="n">
        <v>80.4</v>
      </c>
      <c r="LX246" s="16" t="n">
        <v>37.2</v>
      </c>
      <c r="LY246" s="0" t="n">
        <v>37.4</v>
      </c>
      <c r="LZ246" s="0" t="n">
        <v>31.73</v>
      </c>
      <c r="MA246" s="0" t="n">
        <v>29.89</v>
      </c>
      <c r="MB246" s="0" t="n">
        <v>0</v>
      </c>
      <c r="MC246" s="0" t="n">
        <v>0.98</v>
      </c>
      <c r="MD246" s="0" t="n">
        <v>0</v>
      </c>
      <c r="ME246" s="0" t="n">
        <v>0</v>
      </c>
      <c r="MF246" s="0" t="n">
        <v>0</v>
      </c>
      <c r="MG246" s="0" t="n">
        <v>0</v>
      </c>
      <c r="MH246" s="0" t="n">
        <v>0</v>
      </c>
      <c r="MI246" s="0" t="n">
        <v>0</v>
      </c>
      <c r="MJ246" s="0" t="n">
        <v>0</v>
      </c>
      <c r="MK246" s="0" t="n">
        <v>21.26</v>
      </c>
      <c r="ML246" s="0" t="n">
        <v>57.4</v>
      </c>
      <c r="MM246" s="0" t="n">
        <v>0</v>
      </c>
      <c r="MN246" s="0" t="n">
        <v>0</v>
      </c>
      <c r="MO246" s="0" t="n">
        <v>0</v>
      </c>
      <c r="MP246" s="0" t="n">
        <v>0</v>
      </c>
      <c r="NC246" s="0" t="n">
        <v>2.3</v>
      </c>
      <c r="ND246" s="0" t="n">
        <v>1</v>
      </c>
      <c r="NE246" s="0" t="n">
        <v>35</v>
      </c>
      <c r="NF246" s="0" t="n">
        <v>1</v>
      </c>
      <c r="NG246" s="0" t="n">
        <v>0.49</v>
      </c>
      <c r="NH246" s="0" t="n">
        <v>3</v>
      </c>
      <c r="NO246" s="18"/>
      <c r="OG246" s="0" t="n">
        <v>0</v>
      </c>
      <c r="PR246" s="16" t="n">
        <v>2.91</v>
      </c>
      <c r="PS246" s="16" t="n">
        <v>1</v>
      </c>
      <c r="PT246" s="16" t="n">
        <v>1</v>
      </c>
      <c r="PU246" s="16"/>
      <c r="PV246" s="16" t="n">
        <f aca="false">2.49+0.21+0.47*2+2.49+0.26+0.53+0.01+4.77+14.32+1.53+3.06+0.13</f>
        <v>30.74</v>
      </c>
      <c r="PW246" s="16"/>
      <c r="PX246" s="16"/>
      <c r="PY246" s="16"/>
      <c r="PZ246" s="16"/>
      <c r="QA246" s="16"/>
      <c r="QB246" s="16"/>
      <c r="QC246" s="16" t="n">
        <v>14.81</v>
      </c>
      <c r="QD246" s="16" t="n">
        <v>52.45</v>
      </c>
      <c r="QE246" s="16"/>
      <c r="QF246" s="16"/>
      <c r="QG246" s="16" t="n">
        <v>0</v>
      </c>
      <c r="QH246" s="16" t="n">
        <v>0</v>
      </c>
      <c r="QI246" s="16" t="n">
        <v>0</v>
      </c>
      <c r="QJ246" s="0" t="n">
        <v>0</v>
      </c>
      <c r="QK246" s="0" t="s">
        <v>406</v>
      </c>
      <c r="QL246" s="0" t="n">
        <v>12.5</v>
      </c>
      <c r="QM246" s="16" t="n">
        <v>69.9</v>
      </c>
      <c r="QN246" s="16" t="n">
        <v>80.4</v>
      </c>
      <c r="QO246" s="16" t="n">
        <v>9</v>
      </c>
      <c r="QP246" s="0" t="n">
        <v>90.9</v>
      </c>
      <c r="QQ246" s="0" t="n">
        <v>7.98</v>
      </c>
      <c r="QR246" s="0" t="n">
        <v>1.12</v>
      </c>
      <c r="QS246" s="0" t="n">
        <v>4.56</v>
      </c>
      <c r="QT246" s="0" t="n">
        <v>17.67</v>
      </c>
      <c r="QU246" s="0" t="n">
        <v>0</v>
      </c>
      <c r="QV246" s="0" t="n">
        <v>0</v>
      </c>
      <c r="QW246" s="0" t="n">
        <v>0</v>
      </c>
      <c r="QX246" s="0" t="n">
        <v>0</v>
      </c>
      <c r="QY246" s="0" t="n">
        <v>0</v>
      </c>
      <c r="QZ246" s="0" t="n">
        <v>0</v>
      </c>
      <c r="RA246" s="0" t="n">
        <v>0</v>
      </c>
      <c r="RB246" s="0" t="n">
        <v>4.56</v>
      </c>
      <c r="RC246" s="0" t="n">
        <v>17.67</v>
      </c>
      <c r="RD246" s="0" t="n">
        <v>0</v>
      </c>
      <c r="RE246" s="0" t="n">
        <v>0</v>
      </c>
      <c r="RF246" s="0" t="n">
        <v>0</v>
      </c>
      <c r="RG246" s="0" t="n">
        <v>0</v>
      </c>
      <c r="RT246" s="0" t="n">
        <v>0</v>
      </c>
      <c r="RU246" s="0" t="n">
        <v>0</v>
      </c>
      <c r="SF246" s="18"/>
      <c r="SX246" s="0" t="n">
        <v>0</v>
      </c>
      <c r="UI246" s="16" t="n">
        <v>0</v>
      </c>
      <c r="UJ246" s="16" t="n">
        <v>0</v>
      </c>
      <c r="UK246" s="16"/>
      <c r="UL246" s="16"/>
      <c r="UM246" s="16"/>
      <c r="UN246" s="16"/>
      <c r="UO246" s="16"/>
      <c r="UP246" s="16"/>
      <c r="UQ246" s="16"/>
      <c r="UR246" s="16"/>
      <c r="US246" s="16"/>
      <c r="UT246" s="16" t="n">
        <v>3.41</v>
      </c>
      <c r="UU246" s="16" t="n">
        <v>3.41</v>
      </c>
      <c r="UV246" s="16"/>
      <c r="UW246" s="16"/>
      <c r="UX246" s="16" t="n">
        <v>0</v>
      </c>
      <c r="UY246" s="16" t="n">
        <v>0</v>
      </c>
      <c r="UZ246" s="16" t="n">
        <v>0</v>
      </c>
      <c r="VA246" s="0" t="n">
        <v>0</v>
      </c>
      <c r="VB246" s="0" t="s">
        <v>407</v>
      </c>
      <c r="VC246" s="0" t="n">
        <v>17</v>
      </c>
      <c r="VD246" s="16" t="n">
        <v>84.3</v>
      </c>
      <c r="VE246" s="16" t="n">
        <v>80.4</v>
      </c>
      <c r="VF246" s="16" t="n">
        <v>9.8</v>
      </c>
      <c r="VG246" s="0" t="n">
        <v>84.81</v>
      </c>
      <c r="VH246" s="0" t="n">
        <v>14.07</v>
      </c>
      <c r="VI246" s="0" t="n">
        <v>1.12</v>
      </c>
      <c r="VJ246" s="0" t="n">
        <v>0</v>
      </c>
      <c r="VK246" s="0" t="n">
        <v>0</v>
      </c>
      <c r="VL246" s="0" t="n">
        <v>0</v>
      </c>
      <c r="VM246" s="0" t="n">
        <v>0</v>
      </c>
      <c r="VN246" s="0" t="n">
        <v>0</v>
      </c>
      <c r="VO246" s="0" t="n">
        <v>0</v>
      </c>
      <c r="VP246" s="0" t="n">
        <v>0</v>
      </c>
      <c r="VQ246" s="0" t="n">
        <v>0</v>
      </c>
      <c r="VR246" s="0" t="n">
        <v>0</v>
      </c>
      <c r="VS246" s="0" t="n">
        <v>7.34</v>
      </c>
      <c r="VT246" s="0" t="n">
        <v>26.23</v>
      </c>
      <c r="VU246" s="0" t="n">
        <v>0</v>
      </c>
      <c r="VV246" s="0" t="n">
        <v>0</v>
      </c>
      <c r="VW246" s="0" t="n">
        <v>0</v>
      </c>
      <c r="VX246" s="0" t="n">
        <v>0</v>
      </c>
      <c r="WK246" s="0" t="n">
        <v>0</v>
      </c>
      <c r="WL246" s="0" t="n">
        <v>0</v>
      </c>
      <c r="WW246" s="18"/>
      <c r="XO246" s="0" t="n">
        <v>0</v>
      </c>
      <c r="YZ246" s="16" t="n">
        <v>1.51</v>
      </c>
      <c r="ZA246" s="16" t="n">
        <v>1</v>
      </c>
      <c r="ZB246" s="16" t="n">
        <v>2</v>
      </c>
      <c r="ZC246" s="16"/>
      <c r="ZD246" s="16" t="n">
        <f aca="false">0.99+4.04</f>
        <v>5.03</v>
      </c>
      <c r="ZE246" s="16"/>
      <c r="ZF246" s="16"/>
      <c r="ZG246" s="16"/>
      <c r="ZH246" s="16"/>
      <c r="ZI246" s="16"/>
      <c r="ZJ246" s="16"/>
      <c r="ZK246" s="16" t="n">
        <v>5.5</v>
      </c>
      <c r="ZL246" s="16" t="n">
        <v>9.84</v>
      </c>
      <c r="ZM246" s="16"/>
      <c r="ZN246" s="16"/>
      <c r="ZO246" s="16" t="n">
        <v>0</v>
      </c>
      <c r="ZP246" s="16" t="n">
        <v>0</v>
      </c>
      <c r="ZQ246" s="16" t="n">
        <v>0</v>
      </c>
      <c r="ZR246" s="0" t="n">
        <v>0</v>
      </c>
      <c r="ZS246" s="0" t="s">
        <v>408</v>
      </c>
      <c r="ZT246" s="0" t="n">
        <v>26</v>
      </c>
      <c r="ZU246" s="16" t="n">
        <v>75.1</v>
      </c>
      <c r="ZV246" s="16" t="n">
        <v>80.4</v>
      </c>
      <c r="ZW246" s="16" t="n">
        <v>10.7</v>
      </c>
      <c r="ZX246" s="0" t="n">
        <v>76.38</v>
      </c>
      <c r="ZY246" s="0" t="n">
        <v>22.5</v>
      </c>
      <c r="ZZ246" s="0" t="n">
        <v>1.12</v>
      </c>
      <c r="AAA246" s="0" t="n">
        <v>0</v>
      </c>
      <c r="AAB246" s="0" t="n">
        <v>0</v>
      </c>
      <c r="AAC246" s="0" t="n">
        <v>0</v>
      </c>
      <c r="AAD246" s="0" t="n">
        <v>0</v>
      </c>
      <c r="AAE246" s="0" t="n">
        <v>0</v>
      </c>
      <c r="AAF246" s="0" t="n">
        <v>0</v>
      </c>
      <c r="AAG246" s="0" t="n">
        <v>0</v>
      </c>
      <c r="AAH246" s="0" t="n">
        <v>0</v>
      </c>
      <c r="AAI246" s="0" t="n">
        <v>0</v>
      </c>
      <c r="AAJ246" s="0" t="n">
        <v>10.84</v>
      </c>
      <c r="AAK246" s="0" t="n">
        <v>26.14</v>
      </c>
      <c r="AAL246" s="0" t="n">
        <v>0</v>
      </c>
      <c r="AAM246" s="0" t="n">
        <v>0</v>
      </c>
      <c r="AAN246" s="0" t="n">
        <v>0</v>
      </c>
      <c r="AAO246" s="0" t="n">
        <v>0</v>
      </c>
      <c r="ABB246" s="0" t="n">
        <v>2.5</v>
      </c>
      <c r="ABC246" s="0" t="n">
        <v>1</v>
      </c>
      <c r="ABD246" s="0" t="n">
        <v>68</v>
      </c>
      <c r="ABE246" s="0" t="n">
        <v>1</v>
      </c>
      <c r="ABF246" s="0" t="n">
        <f aca="false">1.34</f>
        <v>1.34</v>
      </c>
      <c r="ABG246" s="0" t="n">
        <v>1</v>
      </c>
      <c r="ABH246" s="0" t="n">
        <v>52</v>
      </c>
      <c r="ABI246" s="0" t="n">
        <v>2</v>
      </c>
      <c r="ABJ246" s="0" t="n">
        <v>0.45</v>
      </c>
      <c r="ABK246" s="0" t="n">
        <v>2</v>
      </c>
      <c r="ABN246" s="18"/>
      <c r="ACF246" s="0" t="n">
        <v>0</v>
      </c>
      <c r="ADQ246" s="16" t="n">
        <v>1.21</v>
      </c>
      <c r="ADR246" s="16" t="n">
        <v>1</v>
      </c>
      <c r="ADS246" s="16" t="n">
        <v>2</v>
      </c>
      <c r="ADT246" s="16"/>
      <c r="ADU246" s="16" t="n">
        <v>4.04</v>
      </c>
      <c r="ADV246" s="16"/>
      <c r="ADW246" s="16"/>
      <c r="ADX246" s="16"/>
      <c r="ADY246" s="16"/>
      <c r="ADZ246" s="16"/>
      <c r="AEA246" s="16"/>
      <c r="AEB246" s="16" t="n">
        <v>11.17</v>
      </c>
      <c r="AEC246" s="16" t="n">
        <v>19.84</v>
      </c>
      <c r="AED246" s="16"/>
      <c r="AEE246" s="16"/>
      <c r="AEF246" s="16" t="n">
        <v>0</v>
      </c>
      <c r="AEG246" s="16" t="n">
        <v>0</v>
      </c>
      <c r="AEH246" s="16" t="n">
        <v>0</v>
      </c>
      <c r="AEI246" s="0" t="n">
        <v>0</v>
      </c>
      <c r="AEJ246" s="0" t="s">
        <v>409</v>
      </c>
      <c r="AEK246" s="0" t="n">
        <v>23</v>
      </c>
      <c r="AEL246" s="16" t="n">
        <v>90.8</v>
      </c>
      <c r="AEM246" s="16" t="n">
        <v>80.4</v>
      </c>
      <c r="AEN246" s="16" t="n">
        <v>11.6</v>
      </c>
      <c r="AEO246" s="0" t="n">
        <v>71.46</v>
      </c>
      <c r="AEP246" s="0" t="n">
        <v>27.42</v>
      </c>
      <c r="AEQ246" s="0" t="n">
        <v>1.12</v>
      </c>
      <c r="AER246" s="0" t="n">
        <v>0</v>
      </c>
      <c r="AES246" s="0" t="n">
        <v>0</v>
      </c>
      <c r="AET246" s="0" t="n">
        <v>0</v>
      </c>
      <c r="AEU246" s="0" t="n">
        <v>0</v>
      </c>
      <c r="AEV246" s="0" t="n">
        <v>0</v>
      </c>
      <c r="AEW246" s="0" t="n">
        <v>0</v>
      </c>
      <c r="AEX246" s="0" t="n">
        <v>0</v>
      </c>
      <c r="AEY246" s="0" t="n">
        <v>0</v>
      </c>
      <c r="AEZ246" s="0" t="n">
        <v>0</v>
      </c>
      <c r="AFA246" s="0" t="n">
        <v>11.58</v>
      </c>
      <c r="AFB246" s="0" t="n">
        <v>41.25</v>
      </c>
      <c r="AFC246" s="0" t="n">
        <v>0</v>
      </c>
      <c r="AFD246" s="0" t="n">
        <v>0</v>
      </c>
      <c r="AFE246" s="0" t="n">
        <v>0</v>
      </c>
      <c r="AFF246" s="0" t="n">
        <v>0</v>
      </c>
      <c r="AFS246" s="0" t="n">
        <v>1.7</v>
      </c>
      <c r="AFT246" s="0" t="n">
        <v>1</v>
      </c>
      <c r="AFU246" s="0" t="n">
        <v>35</v>
      </c>
      <c r="AFV246" s="0" t="n">
        <v>1</v>
      </c>
      <c r="AFW246" s="0" t="n">
        <v>0.05</v>
      </c>
      <c r="AFX246" s="0" t="n">
        <v>3</v>
      </c>
      <c r="AFY246" s="0" t="n">
        <v>103</v>
      </c>
      <c r="AFZ246" s="0" t="n">
        <v>5</v>
      </c>
      <c r="AGA246" s="0" t="n">
        <v>0.25</v>
      </c>
      <c r="AGB246" s="0" t="n">
        <v>1</v>
      </c>
      <c r="AGC246" s="0" t="n">
        <v>68</v>
      </c>
      <c r="AGD246" s="0" t="n">
        <v>4</v>
      </c>
      <c r="AGE246" s="18" t="n">
        <v>0.26</v>
      </c>
      <c r="AGF246" s="0" t="n">
        <v>1</v>
      </c>
      <c r="AGG246" s="0" t="n">
        <v>52</v>
      </c>
      <c r="AGH246" s="0" t="n">
        <v>4</v>
      </c>
      <c r="AGI246" s="0" t="n">
        <f aca="false">0.09+0.05+0.04</f>
        <v>0.18</v>
      </c>
      <c r="AGJ246" s="0" t="n">
        <v>2</v>
      </c>
      <c r="AGW246" s="0" t="n">
        <v>0</v>
      </c>
      <c r="AIH246" s="16" t="n">
        <v>0.04</v>
      </c>
      <c r="AII246" s="16" t="n">
        <v>1</v>
      </c>
      <c r="AIJ246" s="16" t="n">
        <v>1</v>
      </c>
      <c r="AIK246" s="16"/>
      <c r="AIL246" s="16" t="n">
        <v>0.13</v>
      </c>
      <c r="AIM246" s="16"/>
      <c r="AIN246" s="16"/>
      <c r="AIO246" s="16"/>
      <c r="AIP246" s="16"/>
      <c r="AIQ246" s="16"/>
      <c r="AIR246" s="16"/>
      <c r="AIS246" s="16" t="n">
        <v>9.52</v>
      </c>
      <c r="AIT246" s="16" t="n">
        <v>21.65</v>
      </c>
      <c r="AIU246" s="16"/>
      <c r="AIV246" s="16"/>
      <c r="AIW246" s="16" t="n">
        <v>0</v>
      </c>
      <c r="AIX246" s="16" t="n">
        <v>0</v>
      </c>
      <c r="AIY246" s="16" t="n">
        <v>0</v>
      </c>
      <c r="AIZ246" s="0" t="n">
        <v>0</v>
      </c>
      <c r="AJA246" s="0" t="s">
        <v>410</v>
      </c>
      <c r="AJB246" s="0" t="n">
        <v>24</v>
      </c>
      <c r="AJC246" s="16" t="n">
        <v>82.9</v>
      </c>
      <c r="AJD246" s="16" t="n">
        <v>80.4</v>
      </c>
      <c r="AJE246" s="16" t="n">
        <v>9.6</v>
      </c>
      <c r="AJF246" s="0" t="n">
        <v>86.23</v>
      </c>
      <c r="AJG246" s="0" t="n">
        <v>11.76</v>
      </c>
      <c r="AJH246" s="0" t="n">
        <v>0</v>
      </c>
      <c r="AJI246" s="0" t="n">
        <v>0</v>
      </c>
      <c r="AJJ246" s="0" t="n">
        <v>1.01</v>
      </c>
      <c r="AJK246" s="0" t="n">
        <v>1.01</v>
      </c>
      <c r="AJL246" s="0" t="n">
        <v>0</v>
      </c>
      <c r="AJM246" s="0" t="n">
        <v>0</v>
      </c>
      <c r="AJN246" s="0" t="n">
        <v>0</v>
      </c>
      <c r="AJO246" s="0" t="n">
        <v>0</v>
      </c>
      <c r="AJP246" s="0" t="n">
        <v>0</v>
      </c>
      <c r="AJQ246" s="0" t="n">
        <v>0</v>
      </c>
      <c r="AJR246" s="0" t="n">
        <v>8.84</v>
      </c>
      <c r="AJS246" s="0" t="n">
        <v>23.37</v>
      </c>
      <c r="AJT246" s="0" t="n">
        <v>0</v>
      </c>
      <c r="AJU246" s="0" t="n">
        <v>0</v>
      </c>
      <c r="AJV246" s="0" t="n">
        <v>0</v>
      </c>
      <c r="AJW246" s="0" t="n">
        <v>0</v>
      </c>
      <c r="AKJ246" s="0" t="n">
        <v>0</v>
      </c>
      <c r="AKK246" s="0" t="n">
        <v>1</v>
      </c>
      <c r="AKL246" s="0" t="n">
        <v>52</v>
      </c>
      <c r="AKM246" s="0" t="n">
        <v>1</v>
      </c>
      <c r="AKN246" s="0" t="n">
        <v>0.02</v>
      </c>
      <c r="AKO246" s="0" t="n">
        <v>2</v>
      </c>
      <c r="AKV246" s="18"/>
      <c r="ALN246" s="0" t="n">
        <v>0</v>
      </c>
    </row>
    <row r="247" customFormat="false" ht="13.8" hidden="false" customHeight="false" outlineLevel="0" collapsed="false">
      <c r="A247" s="1" t="s">
        <v>765</v>
      </c>
      <c r="B247" s="12" t="n">
        <v>42908</v>
      </c>
      <c r="C247" s="0" t="n">
        <v>2</v>
      </c>
      <c r="D247" s="13" t="n">
        <v>40693</v>
      </c>
      <c r="E247" s="12" t="n">
        <v>32985</v>
      </c>
      <c r="F247" s="14" t="n">
        <f aca="false">(B247-E247)/365.25</f>
        <v>27.1676933607118</v>
      </c>
      <c r="G247" s="14" t="n">
        <f aca="false">(B247-D247)/365.25</f>
        <v>6.0643394934976</v>
      </c>
      <c r="H247" s="19" t="s">
        <v>217</v>
      </c>
      <c r="I247" s="15" t="s">
        <v>402</v>
      </c>
      <c r="J247" s="21" t="s">
        <v>183</v>
      </c>
      <c r="K247" s="21" t="n">
        <v>8</v>
      </c>
      <c r="L247" s="19" t="n">
        <v>80</v>
      </c>
      <c r="M247" s="0" t="n">
        <v>1.68</v>
      </c>
      <c r="N247" s="16" t="n">
        <f aca="false">L247/(M247*M247)</f>
        <v>28.3446712018141</v>
      </c>
      <c r="O247" s="19" t="n">
        <v>0</v>
      </c>
      <c r="P247" s="19" t="n">
        <v>0</v>
      </c>
      <c r="Q247" s="19" t="n">
        <v>0</v>
      </c>
      <c r="R247" s="26" t="n">
        <v>0</v>
      </c>
      <c r="S247" s="26" t="n">
        <v>0</v>
      </c>
      <c r="T247" s="26" t="n">
        <v>0</v>
      </c>
      <c r="U247" s="26" t="n">
        <v>0</v>
      </c>
      <c r="V247" s="26" t="n">
        <v>0</v>
      </c>
      <c r="W247" s="19" t="n">
        <v>0</v>
      </c>
      <c r="X247" s="19" t="n">
        <v>0</v>
      </c>
      <c r="Y247" s="19" t="n">
        <v>0</v>
      </c>
      <c r="Z247" s="19" t="n">
        <v>0</v>
      </c>
      <c r="AA247" s="19" t="n">
        <v>0</v>
      </c>
      <c r="AB247" s="19" t="n">
        <v>0</v>
      </c>
      <c r="AC247" s="19" t="n">
        <v>0</v>
      </c>
      <c r="AD247" s="19" t="n">
        <v>0</v>
      </c>
      <c r="AE247" s="19" t="n">
        <v>0</v>
      </c>
      <c r="AF247" s="19" t="n">
        <v>0</v>
      </c>
      <c r="AG247" s="19" t="n">
        <v>0</v>
      </c>
      <c r="AH247" s="19" t="n">
        <v>0</v>
      </c>
      <c r="AI247" s="19" t="n">
        <v>0</v>
      </c>
      <c r="AJ247" s="19" t="n">
        <v>0</v>
      </c>
      <c r="AK247" s="19" t="n">
        <v>0</v>
      </c>
      <c r="AL247" s="19" t="n">
        <v>0</v>
      </c>
      <c r="AM247" s="19" t="n">
        <v>0</v>
      </c>
      <c r="AN247" s="19" t="n">
        <v>0</v>
      </c>
      <c r="AO247" s="19" t="n">
        <v>0</v>
      </c>
      <c r="AP247" s="19" t="n">
        <v>0</v>
      </c>
      <c r="AQ247" s="19" t="n">
        <v>0</v>
      </c>
      <c r="AR247" s="19" t="n">
        <v>0</v>
      </c>
      <c r="AS247" s="19" t="n">
        <v>0</v>
      </c>
      <c r="AT247" s="19" t="n">
        <v>0</v>
      </c>
      <c r="AU247" s="19" t="n">
        <v>0</v>
      </c>
      <c r="AV247" s="19" t="n">
        <v>0</v>
      </c>
      <c r="AW247" s="19" t="n">
        <v>0</v>
      </c>
      <c r="AX247" s="19" t="n">
        <v>0</v>
      </c>
      <c r="AY247" s="19" t="n">
        <v>0</v>
      </c>
      <c r="AZ247" s="19" t="n">
        <v>0</v>
      </c>
      <c r="BA247" s="19" t="n">
        <v>0</v>
      </c>
      <c r="BB247" s="19" t="n">
        <v>0</v>
      </c>
      <c r="BC247" s="19" t="n">
        <v>0</v>
      </c>
      <c r="BD247" s="19" t="n">
        <v>0</v>
      </c>
      <c r="BE247" s="19" t="n">
        <v>0</v>
      </c>
      <c r="BF247" s="19" t="n">
        <v>0</v>
      </c>
      <c r="BG247" s="19" t="n">
        <v>0</v>
      </c>
      <c r="BH247" s="19" t="n">
        <v>0</v>
      </c>
      <c r="BI247" s="19" t="n">
        <v>0</v>
      </c>
      <c r="BJ247" s="19" t="n">
        <v>0</v>
      </c>
      <c r="BK247" s="19" t="n">
        <v>0</v>
      </c>
      <c r="BL247" s="19" t="n">
        <v>0</v>
      </c>
      <c r="BM247" s="19" t="n">
        <v>0</v>
      </c>
      <c r="BN247" s="19" t="n">
        <v>0</v>
      </c>
      <c r="BO247" s="19" t="n">
        <v>0</v>
      </c>
      <c r="BP247" s="19" t="n">
        <v>0</v>
      </c>
      <c r="BQ247" s="19" t="n">
        <v>0</v>
      </c>
      <c r="BR247" s="19" t="n">
        <v>3</v>
      </c>
      <c r="BS247" s="19" t="n">
        <v>3</v>
      </c>
      <c r="BT247" s="19" t="n">
        <v>2</v>
      </c>
      <c r="BU247" s="19" t="n">
        <v>2</v>
      </c>
      <c r="BV247" s="19" t="n">
        <v>1</v>
      </c>
      <c r="BW247" s="19" t="n">
        <v>1</v>
      </c>
      <c r="BX247" s="19" t="n">
        <v>1</v>
      </c>
      <c r="BY247" s="19" t="n">
        <v>2</v>
      </c>
      <c r="BZ247" s="19" t="n">
        <v>1</v>
      </c>
      <c r="CA247" s="19" t="n">
        <v>2</v>
      </c>
      <c r="CB247" s="19" t="n">
        <v>3</v>
      </c>
      <c r="CC247" s="19" t="n">
        <v>4</v>
      </c>
      <c r="CD247" s="19" t="n">
        <v>1</v>
      </c>
      <c r="CE247" s="19" t="n">
        <v>3</v>
      </c>
      <c r="CF247" s="19" t="n">
        <v>4</v>
      </c>
      <c r="CG247" s="19" t="n">
        <v>3</v>
      </c>
      <c r="CH247" s="19" t="n">
        <v>3</v>
      </c>
      <c r="CI247" s="19" t="n">
        <v>3</v>
      </c>
      <c r="CJ247" s="19" t="n">
        <v>3</v>
      </c>
      <c r="CK247" s="19" t="n">
        <v>10</v>
      </c>
      <c r="CL247" s="0" t="s">
        <v>403</v>
      </c>
      <c r="CM247" s="0" t="n">
        <v>21.5</v>
      </c>
      <c r="CN247" s="16" t="n">
        <v>78.4</v>
      </c>
      <c r="CO247" s="16" t="n">
        <v>80.4</v>
      </c>
      <c r="CP247" s="16" t="n">
        <v>9.6</v>
      </c>
      <c r="CQ247" s="0" t="n">
        <v>84.68</v>
      </c>
      <c r="CR247" s="0" t="n">
        <v>14.18</v>
      </c>
      <c r="CS247" s="0" t="n">
        <v>1.12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9.51</v>
      </c>
      <c r="DD247" s="0" t="n">
        <v>25.42</v>
      </c>
      <c r="DE247" s="0" t="n">
        <v>0</v>
      </c>
      <c r="DF247" s="0" t="n">
        <v>0</v>
      </c>
      <c r="DG247" s="0" t="n">
        <v>0</v>
      </c>
      <c r="DH247" s="0" t="n">
        <v>2</v>
      </c>
      <c r="DI247" s="0" t="n">
        <v>5</v>
      </c>
      <c r="DO247" s="0" t="n">
        <v>5</v>
      </c>
      <c r="DU247" s="0" t="n">
        <v>3.2</v>
      </c>
      <c r="DV247" s="0" t="n">
        <v>1</v>
      </c>
      <c r="DW247" s="0" t="n">
        <v>52</v>
      </c>
      <c r="DX247" s="0" t="n">
        <v>3</v>
      </c>
      <c r="DY247" s="0" t="n">
        <f aca="false">0.07+0.76</f>
        <v>0.83</v>
      </c>
      <c r="DZ247" s="0" t="n">
        <v>2</v>
      </c>
      <c r="EA247" s="0" t="n">
        <v>103</v>
      </c>
      <c r="EB247" s="0" t="n">
        <v>3</v>
      </c>
      <c r="EC247" s="0" t="n">
        <f aca="false">0.36+0.34</f>
        <v>0.7</v>
      </c>
      <c r="ED247" s="0" t="n">
        <v>1</v>
      </c>
      <c r="EE247" s="0" t="n">
        <v>68</v>
      </c>
      <c r="EF247" s="0" t="n">
        <v>2</v>
      </c>
      <c r="EG247" s="18" t="n">
        <f aca="false">0.24</f>
        <v>0.24</v>
      </c>
      <c r="EH247" s="0" t="n">
        <v>1</v>
      </c>
      <c r="EI247" s="0" t="n">
        <v>34</v>
      </c>
      <c r="EJ247" s="0" t="n">
        <v>2</v>
      </c>
      <c r="EK247" s="0" t="n">
        <f aca="false">0.24</f>
        <v>0.24</v>
      </c>
      <c r="EL247" s="0" t="n">
        <v>1</v>
      </c>
      <c r="EY247" s="0" t="n">
        <v>0</v>
      </c>
      <c r="GJ247" s="16" t="n">
        <v>0.36</v>
      </c>
      <c r="GK247" s="16" t="n">
        <v>1</v>
      </c>
      <c r="GL247" s="16" t="n">
        <v>1</v>
      </c>
      <c r="GM247" s="16"/>
      <c r="GN247" s="16" t="n">
        <v>1.52</v>
      </c>
      <c r="GO247" s="16"/>
      <c r="GP247" s="16"/>
      <c r="GQ247" s="16"/>
      <c r="GR247" s="16"/>
      <c r="GS247" s="16"/>
      <c r="GT247" s="16"/>
      <c r="GU247" s="16" t="n">
        <v>8.32</v>
      </c>
      <c r="GV247" s="16" t="n">
        <v>8.31</v>
      </c>
      <c r="GW247" s="16"/>
      <c r="GX247" s="16"/>
      <c r="GY247" s="16" t="n">
        <v>0</v>
      </c>
      <c r="GZ247" s="16" t="n">
        <v>0</v>
      </c>
      <c r="HA247" s="16" t="n">
        <v>0</v>
      </c>
      <c r="HB247" s="0" t="n">
        <v>0</v>
      </c>
      <c r="HC247" s="0" t="s">
        <v>404</v>
      </c>
      <c r="HD247" s="0" t="n">
        <v>50.5</v>
      </c>
      <c r="HE247" s="16" t="n">
        <v>95.8</v>
      </c>
      <c r="HF247" s="16" t="n">
        <v>80.4</v>
      </c>
      <c r="HG247" s="16" t="n">
        <v>22.6</v>
      </c>
      <c r="HH247" s="0" t="n">
        <v>70.65</v>
      </c>
      <c r="HI247" s="0" t="n">
        <v>13.02</v>
      </c>
      <c r="HJ247" s="0" t="n">
        <v>16.33</v>
      </c>
      <c r="HK247" s="0" t="n">
        <v>0</v>
      </c>
      <c r="HL247" s="0" t="n">
        <v>0</v>
      </c>
      <c r="HM247" s="0" t="n">
        <v>0</v>
      </c>
      <c r="HN247" s="0" t="n">
        <v>0</v>
      </c>
      <c r="HO247" s="0" t="n">
        <v>0</v>
      </c>
      <c r="HP247" s="0" t="n">
        <v>0</v>
      </c>
      <c r="HQ247" s="0" t="n">
        <v>0</v>
      </c>
      <c r="HR247" s="0" t="n">
        <v>0</v>
      </c>
      <c r="HS247" s="0" t="n">
        <v>0</v>
      </c>
      <c r="HT247" s="0" t="n">
        <v>3.81</v>
      </c>
      <c r="HU247" s="0" t="n">
        <v>53.36</v>
      </c>
      <c r="HV247" s="0" t="n">
        <v>0</v>
      </c>
      <c r="HW247" s="0" t="n">
        <v>0</v>
      </c>
      <c r="HX247" s="0" t="n">
        <v>7.8</v>
      </c>
      <c r="HY247" s="0" t="n">
        <v>2</v>
      </c>
      <c r="HZ247" s="0" t="n">
        <v>10</v>
      </c>
      <c r="IA247" s="0" t="n">
        <v>2.69</v>
      </c>
      <c r="IF247" s="0" t="n">
        <v>10</v>
      </c>
      <c r="IG247" s="0" t="n">
        <v>2.69</v>
      </c>
      <c r="IL247" s="0" t="n">
        <v>0</v>
      </c>
      <c r="IM247" s="0" t="n">
        <v>0</v>
      </c>
      <c r="IX247" s="18"/>
      <c r="JP247" s="0" t="n">
        <v>0</v>
      </c>
      <c r="LA247" s="16" t="n">
        <v>10.02</v>
      </c>
      <c r="LB247" s="16" t="n">
        <v>1</v>
      </c>
      <c r="LC247" s="16" t="n">
        <v>2</v>
      </c>
      <c r="LD247" s="16"/>
      <c r="LE247" s="16" t="n">
        <f aca="false">0.05*4+0.33*4+1.5*4+0.76*4+1.14*4</f>
        <v>15.12</v>
      </c>
      <c r="LF247" s="16"/>
      <c r="LG247" s="16"/>
      <c r="LH247" s="16"/>
      <c r="LI247" s="16"/>
      <c r="LJ247" s="16"/>
      <c r="LK247" s="16"/>
      <c r="LL247" s="16" t="n">
        <v>9.92</v>
      </c>
      <c r="LM247" s="16" t="n">
        <v>20.94</v>
      </c>
      <c r="LN247" s="16"/>
      <c r="LO247" s="16"/>
      <c r="LP247" s="16" t="n">
        <v>0</v>
      </c>
      <c r="LQ247" s="16" t="n">
        <v>0</v>
      </c>
      <c r="LR247" s="16" t="n">
        <v>0</v>
      </c>
      <c r="LS247" s="0" t="n">
        <v>0</v>
      </c>
      <c r="LT247" s="0" t="s">
        <v>405</v>
      </c>
      <c r="LU247" s="0" t="n">
        <v>57.5</v>
      </c>
      <c r="LV247" s="16" t="n">
        <v>93.3</v>
      </c>
      <c r="LW247" s="16" t="n">
        <v>80.4</v>
      </c>
      <c r="LX247" s="16" t="n">
        <v>37.2</v>
      </c>
      <c r="LY247" s="0" t="n">
        <v>37.4</v>
      </c>
      <c r="LZ247" s="0" t="n">
        <v>31.73</v>
      </c>
      <c r="MA247" s="0" t="n">
        <v>29.89</v>
      </c>
      <c r="MB247" s="0" t="n">
        <v>0</v>
      </c>
      <c r="MC247" s="0" t="n">
        <v>0.98</v>
      </c>
      <c r="MD247" s="0" t="n">
        <v>0</v>
      </c>
      <c r="ME247" s="0" t="n">
        <v>0</v>
      </c>
      <c r="MF247" s="0" t="n">
        <v>0</v>
      </c>
      <c r="MG247" s="0" t="n">
        <v>0</v>
      </c>
      <c r="MH247" s="0" t="n">
        <v>0</v>
      </c>
      <c r="MI247" s="0" t="n">
        <v>0</v>
      </c>
      <c r="MJ247" s="0" t="n">
        <v>0</v>
      </c>
      <c r="MK247" s="0" t="n">
        <v>21.26</v>
      </c>
      <c r="ML247" s="0" t="n">
        <v>57.4</v>
      </c>
      <c r="MM247" s="0" t="n">
        <v>0</v>
      </c>
      <c r="MN247" s="0" t="n">
        <v>0</v>
      </c>
      <c r="MO247" s="0" t="n">
        <v>0</v>
      </c>
      <c r="MP247" s="0" t="n">
        <v>0</v>
      </c>
      <c r="NC247" s="0" t="n">
        <v>2.3</v>
      </c>
      <c r="ND247" s="0" t="n">
        <v>1</v>
      </c>
      <c r="NE247" s="0" t="n">
        <v>35</v>
      </c>
      <c r="NF247" s="0" t="n">
        <v>1</v>
      </c>
      <c r="NG247" s="0" t="n">
        <v>0.49</v>
      </c>
      <c r="NH247" s="0" t="n">
        <v>3</v>
      </c>
      <c r="NO247" s="18"/>
      <c r="OG247" s="0" t="n">
        <v>0</v>
      </c>
      <c r="PR247" s="16" t="n">
        <v>2.91</v>
      </c>
      <c r="PS247" s="16" t="n">
        <v>1</v>
      </c>
      <c r="PT247" s="16" t="n">
        <v>1</v>
      </c>
      <c r="PU247" s="16"/>
      <c r="PV247" s="16" t="n">
        <f aca="false">2.49+0.21+0.47*2+2.49+0.26+0.53+0.01+4.77+14.32+1.53+3.06+0.13</f>
        <v>30.74</v>
      </c>
      <c r="PW247" s="16"/>
      <c r="PX247" s="16"/>
      <c r="PY247" s="16"/>
      <c r="PZ247" s="16"/>
      <c r="QA247" s="16"/>
      <c r="QB247" s="16"/>
      <c r="QC247" s="16" t="n">
        <v>14.81</v>
      </c>
      <c r="QD247" s="16" t="n">
        <v>52.45</v>
      </c>
      <c r="QE247" s="16"/>
      <c r="QF247" s="16"/>
      <c r="QG247" s="16" t="n">
        <v>0</v>
      </c>
      <c r="QH247" s="16" t="n">
        <v>0</v>
      </c>
      <c r="QI247" s="16" t="n">
        <v>0</v>
      </c>
      <c r="QJ247" s="0" t="n">
        <v>0</v>
      </c>
      <c r="QK247" s="0" t="s">
        <v>406</v>
      </c>
      <c r="QL247" s="0" t="n">
        <v>12.5</v>
      </c>
      <c r="QM247" s="16" t="n">
        <v>69.9</v>
      </c>
      <c r="QN247" s="16" t="n">
        <v>80.4</v>
      </c>
      <c r="QO247" s="16" t="n">
        <v>9</v>
      </c>
      <c r="QP247" s="0" t="n">
        <v>90.9</v>
      </c>
      <c r="QQ247" s="0" t="n">
        <v>7.98</v>
      </c>
      <c r="QR247" s="0" t="n">
        <v>1.12</v>
      </c>
      <c r="QS247" s="0" t="n">
        <v>4.56</v>
      </c>
      <c r="QT247" s="0" t="n">
        <v>17.67</v>
      </c>
      <c r="QU247" s="0" t="n">
        <v>0</v>
      </c>
      <c r="QV247" s="0" t="n">
        <v>0</v>
      </c>
      <c r="QW247" s="0" t="n">
        <v>0</v>
      </c>
      <c r="QX247" s="0" t="n">
        <v>0</v>
      </c>
      <c r="QY247" s="0" t="n">
        <v>0</v>
      </c>
      <c r="QZ247" s="0" t="n">
        <v>0</v>
      </c>
      <c r="RA247" s="0" t="n">
        <v>0</v>
      </c>
      <c r="RB247" s="0" t="n">
        <v>4.56</v>
      </c>
      <c r="RC247" s="0" t="n">
        <v>17.67</v>
      </c>
      <c r="RD247" s="0" t="n">
        <v>0</v>
      </c>
      <c r="RE247" s="0" t="n">
        <v>0</v>
      </c>
      <c r="RF247" s="0" t="n">
        <v>0</v>
      </c>
      <c r="RG247" s="0" t="n">
        <v>0</v>
      </c>
      <c r="RT247" s="0" t="n">
        <v>0</v>
      </c>
      <c r="RU247" s="0" t="n">
        <v>0</v>
      </c>
      <c r="SF247" s="18"/>
      <c r="SX247" s="0" t="n">
        <v>0</v>
      </c>
      <c r="UI247" s="16" t="n">
        <v>0</v>
      </c>
      <c r="UJ247" s="16" t="n">
        <v>0</v>
      </c>
      <c r="UK247" s="16"/>
      <c r="UL247" s="16"/>
      <c r="UM247" s="16"/>
      <c r="UN247" s="16"/>
      <c r="UO247" s="16"/>
      <c r="UP247" s="16"/>
      <c r="UQ247" s="16"/>
      <c r="UR247" s="16"/>
      <c r="US247" s="16"/>
      <c r="UT247" s="16" t="n">
        <v>3.41</v>
      </c>
      <c r="UU247" s="16" t="n">
        <v>3.41</v>
      </c>
      <c r="UV247" s="16"/>
      <c r="UW247" s="16"/>
      <c r="UX247" s="16" t="n">
        <v>0</v>
      </c>
      <c r="UY247" s="16" t="n">
        <v>0</v>
      </c>
      <c r="UZ247" s="16" t="n">
        <v>0</v>
      </c>
      <c r="VA247" s="0" t="n">
        <v>0</v>
      </c>
      <c r="VB247" s="0" t="s">
        <v>407</v>
      </c>
      <c r="VC247" s="0" t="n">
        <v>17</v>
      </c>
      <c r="VD247" s="16" t="n">
        <v>84.3</v>
      </c>
      <c r="VE247" s="16" t="n">
        <v>80.4</v>
      </c>
      <c r="VF247" s="16" t="n">
        <v>9.8</v>
      </c>
      <c r="VG247" s="0" t="n">
        <v>84.81</v>
      </c>
      <c r="VH247" s="0" t="n">
        <v>14.07</v>
      </c>
      <c r="VI247" s="0" t="n">
        <v>1.12</v>
      </c>
      <c r="VJ247" s="0" t="n">
        <v>0</v>
      </c>
      <c r="VK247" s="0" t="n">
        <v>0</v>
      </c>
      <c r="VL247" s="0" t="n">
        <v>0</v>
      </c>
      <c r="VM247" s="0" t="n">
        <v>0</v>
      </c>
      <c r="VN247" s="0" t="n">
        <v>0</v>
      </c>
      <c r="VO247" s="0" t="n">
        <v>0</v>
      </c>
      <c r="VP247" s="0" t="n">
        <v>0</v>
      </c>
      <c r="VQ247" s="0" t="n">
        <v>0</v>
      </c>
      <c r="VR247" s="0" t="n">
        <v>0</v>
      </c>
      <c r="VS247" s="0" t="n">
        <v>7.34</v>
      </c>
      <c r="VT247" s="0" t="n">
        <v>26.23</v>
      </c>
      <c r="VU247" s="0" t="n">
        <v>0</v>
      </c>
      <c r="VV247" s="0" t="n">
        <v>0</v>
      </c>
      <c r="VW247" s="0" t="n">
        <v>0</v>
      </c>
      <c r="VX247" s="0" t="n">
        <v>0</v>
      </c>
      <c r="WK247" s="0" t="n">
        <v>0</v>
      </c>
      <c r="WL247" s="0" t="n">
        <v>0</v>
      </c>
      <c r="WW247" s="18"/>
      <c r="XO247" s="0" t="n">
        <v>0</v>
      </c>
      <c r="YZ247" s="16" t="n">
        <v>1.51</v>
      </c>
      <c r="ZA247" s="16" t="n">
        <v>1</v>
      </c>
      <c r="ZB247" s="16" t="n">
        <v>2</v>
      </c>
      <c r="ZC247" s="16"/>
      <c r="ZD247" s="16" t="n">
        <f aca="false">0.99+4.04</f>
        <v>5.03</v>
      </c>
      <c r="ZE247" s="16"/>
      <c r="ZF247" s="16"/>
      <c r="ZG247" s="16"/>
      <c r="ZH247" s="16"/>
      <c r="ZI247" s="16"/>
      <c r="ZJ247" s="16"/>
      <c r="ZK247" s="16" t="n">
        <v>5.5</v>
      </c>
      <c r="ZL247" s="16" t="n">
        <v>9.84</v>
      </c>
      <c r="ZM247" s="16"/>
      <c r="ZN247" s="16"/>
      <c r="ZO247" s="16" t="n">
        <v>0</v>
      </c>
      <c r="ZP247" s="16" t="n">
        <v>0</v>
      </c>
      <c r="ZQ247" s="16" t="n">
        <v>0</v>
      </c>
      <c r="ZR247" s="0" t="n">
        <v>0</v>
      </c>
      <c r="ZS247" s="0" t="s">
        <v>408</v>
      </c>
      <c r="ZT247" s="0" t="n">
        <v>26</v>
      </c>
      <c r="ZU247" s="16" t="n">
        <v>75.1</v>
      </c>
      <c r="ZV247" s="16" t="n">
        <v>80.4</v>
      </c>
      <c r="ZW247" s="16" t="n">
        <v>10.7</v>
      </c>
      <c r="ZX247" s="0" t="n">
        <v>76.38</v>
      </c>
      <c r="ZY247" s="0" t="n">
        <v>22.5</v>
      </c>
      <c r="ZZ247" s="0" t="n">
        <v>1.12</v>
      </c>
      <c r="AAA247" s="0" t="n">
        <v>0</v>
      </c>
      <c r="AAB247" s="0" t="n">
        <v>0</v>
      </c>
      <c r="AAC247" s="0" t="n">
        <v>0</v>
      </c>
      <c r="AAD247" s="0" t="n">
        <v>0</v>
      </c>
      <c r="AAE247" s="0" t="n">
        <v>0</v>
      </c>
      <c r="AAF247" s="0" t="n">
        <v>0</v>
      </c>
      <c r="AAG247" s="0" t="n">
        <v>0</v>
      </c>
      <c r="AAH247" s="0" t="n">
        <v>0</v>
      </c>
      <c r="AAI247" s="0" t="n">
        <v>0</v>
      </c>
      <c r="AAJ247" s="0" t="n">
        <v>10.84</v>
      </c>
      <c r="AAK247" s="0" t="n">
        <v>26.14</v>
      </c>
      <c r="AAL247" s="0" t="n">
        <v>0</v>
      </c>
      <c r="AAM247" s="0" t="n">
        <v>0</v>
      </c>
      <c r="AAN247" s="0" t="n">
        <v>0</v>
      </c>
      <c r="AAO247" s="0" t="n">
        <v>0</v>
      </c>
      <c r="ABB247" s="0" t="n">
        <v>2.5</v>
      </c>
      <c r="ABC247" s="0" t="n">
        <v>1</v>
      </c>
      <c r="ABD247" s="0" t="n">
        <v>68</v>
      </c>
      <c r="ABE247" s="0" t="n">
        <v>1</v>
      </c>
      <c r="ABF247" s="0" t="n">
        <f aca="false">1.34</f>
        <v>1.34</v>
      </c>
      <c r="ABG247" s="0" t="n">
        <v>1</v>
      </c>
      <c r="ABH247" s="0" t="n">
        <v>52</v>
      </c>
      <c r="ABI247" s="0" t="n">
        <v>2</v>
      </c>
      <c r="ABJ247" s="0" t="n">
        <v>0.45</v>
      </c>
      <c r="ABK247" s="0" t="n">
        <v>2</v>
      </c>
      <c r="ABN247" s="18"/>
      <c r="ACF247" s="0" t="n">
        <v>0</v>
      </c>
      <c r="ADQ247" s="16" t="n">
        <v>1.21</v>
      </c>
      <c r="ADR247" s="16" t="n">
        <v>1</v>
      </c>
      <c r="ADS247" s="16" t="n">
        <v>2</v>
      </c>
      <c r="ADT247" s="16"/>
      <c r="ADU247" s="16" t="n">
        <v>4.04</v>
      </c>
      <c r="ADV247" s="16"/>
      <c r="ADW247" s="16"/>
      <c r="ADX247" s="16"/>
      <c r="ADY247" s="16"/>
      <c r="ADZ247" s="16"/>
      <c r="AEA247" s="16"/>
      <c r="AEB247" s="16" t="n">
        <v>11.17</v>
      </c>
      <c r="AEC247" s="16" t="n">
        <v>19.84</v>
      </c>
      <c r="AED247" s="16"/>
      <c r="AEE247" s="16"/>
      <c r="AEF247" s="16" t="n">
        <v>0</v>
      </c>
      <c r="AEG247" s="16" t="n">
        <v>0</v>
      </c>
      <c r="AEH247" s="16" t="n">
        <v>0</v>
      </c>
      <c r="AEI247" s="0" t="n">
        <v>0</v>
      </c>
      <c r="AEJ247" s="0" t="s">
        <v>409</v>
      </c>
      <c r="AEK247" s="0" t="n">
        <v>23</v>
      </c>
      <c r="AEL247" s="16" t="n">
        <v>90.8</v>
      </c>
      <c r="AEM247" s="16" t="n">
        <v>80.4</v>
      </c>
      <c r="AEN247" s="16" t="n">
        <v>11.6</v>
      </c>
      <c r="AEO247" s="0" t="n">
        <v>71.46</v>
      </c>
      <c r="AEP247" s="0" t="n">
        <v>27.42</v>
      </c>
      <c r="AEQ247" s="0" t="n">
        <v>1.12</v>
      </c>
      <c r="AER247" s="0" t="n">
        <v>0</v>
      </c>
      <c r="AES247" s="0" t="n">
        <v>0</v>
      </c>
      <c r="AET247" s="0" t="n">
        <v>0</v>
      </c>
      <c r="AEU247" s="0" t="n">
        <v>0</v>
      </c>
      <c r="AEV247" s="0" t="n">
        <v>0</v>
      </c>
      <c r="AEW247" s="0" t="n">
        <v>0</v>
      </c>
      <c r="AEX247" s="0" t="n">
        <v>0</v>
      </c>
      <c r="AEY247" s="0" t="n">
        <v>0</v>
      </c>
      <c r="AEZ247" s="0" t="n">
        <v>0</v>
      </c>
      <c r="AFA247" s="0" t="n">
        <v>11.58</v>
      </c>
      <c r="AFB247" s="0" t="n">
        <v>41.25</v>
      </c>
      <c r="AFC247" s="0" t="n">
        <v>0</v>
      </c>
      <c r="AFD247" s="0" t="n">
        <v>0</v>
      </c>
      <c r="AFE247" s="0" t="n">
        <v>0</v>
      </c>
      <c r="AFF247" s="0" t="n">
        <v>0</v>
      </c>
      <c r="AFS247" s="0" t="n">
        <v>1.7</v>
      </c>
      <c r="AFT247" s="0" t="n">
        <v>1</v>
      </c>
      <c r="AFU247" s="0" t="n">
        <v>35</v>
      </c>
      <c r="AFV247" s="0" t="n">
        <v>1</v>
      </c>
      <c r="AFW247" s="0" t="n">
        <v>0.05</v>
      </c>
      <c r="AFX247" s="0" t="n">
        <v>3</v>
      </c>
      <c r="AFY247" s="0" t="n">
        <v>103</v>
      </c>
      <c r="AFZ247" s="0" t="n">
        <v>5</v>
      </c>
      <c r="AGA247" s="0" t="n">
        <v>0.25</v>
      </c>
      <c r="AGB247" s="0" t="n">
        <v>1</v>
      </c>
      <c r="AGC247" s="0" t="n">
        <v>68</v>
      </c>
      <c r="AGD247" s="0" t="n">
        <v>4</v>
      </c>
      <c r="AGE247" s="18" t="n">
        <v>0.26</v>
      </c>
      <c r="AGF247" s="0" t="n">
        <v>1</v>
      </c>
      <c r="AGG247" s="0" t="n">
        <v>52</v>
      </c>
      <c r="AGH247" s="0" t="n">
        <v>4</v>
      </c>
      <c r="AGI247" s="0" t="n">
        <f aca="false">0.09+0.05+0.04</f>
        <v>0.18</v>
      </c>
      <c r="AGJ247" s="0" t="n">
        <v>2</v>
      </c>
      <c r="AGW247" s="0" t="n">
        <v>0</v>
      </c>
      <c r="AIH247" s="16" t="n">
        <v>0.04</v>
      </c>
      <c r="AII247" s="16" t="n">
        <v>1</v>
      </c>
      <c r="AIJ247" s="16" t="n">
        <v>1</v>
      </c>
      <c r="AIK247" s="16"/>
      <c r="AIL247" s="16" t="n">
        <v>0.13</v>
      </c>
      <c r="AIM247" s="16"/>
      <c r="AIN247" s="16"/>
      <c r="AIO247" s="16"/>
      <c r="AIP247" s="16"/>
      <c r="AIQ247" s="16"/>
      <c r="AIR247" s="16"/>
      <c r="AIS247" s="16" t="n">
        <v>9.52</v>
      </c>
      <c r="AIT247" s="16" t="n">
        <v>21.65</v>
      </c>
      <c r="AIU247" s="16"/>
      <c r="AIV247" s="16"/>
      <c r="AIW247" s="16" t="n">
        <v>0</v>
      </c>
      <c r="AIX247" s="16" t="n">
        <v>0</v>
      </c>
      <c r="AIY247" s="16" t="n">
        <v>0</v>
      </c>
      <c r="AIZ247" s="0" t="n">
        <v>0</v>
      </c>
      <c r="AJA247" s="0" t="s">
        <v>410</v>
      </c>
      <c r="AJB247" s="0" t="n">
        <v>24</v>
      </c>
      <c r="AJC247" s="16" t="n">
        <v>82.9</v>
      </c>
      <c r="AJD247" s="16" t="n">
        <v>80.4</v>
      </c>
      <c r="AJE247" s="16" t="n">
        <v>9.6</v>
      </c>
      <c r="AJF247" s="0" t="n">
        <v>86.23</v>
      </c>
      <c r="AJG247" s="0" t="n">
        <v>11.76</v>
      </c>
      <c r="AJH247" s="0" t="n">
        <v>0</v>
      </c>
      <c r="AJI247" s="0" t="n">
        <v>0</v>
      </c>
      <c r="AJJ247" s="0" t="n">
        <v>1.01</v>
      </c>
      <c r="AJK247" s="0" t="n">
        <v>1.01</v>
      </c>
      <c r="AJL247" s="0" t="n">
        <v>0</v>
      </c>
      <c r="AJM247" s="0" t="n">
        <v>0</v>
      </c>
      <c r="AJN247" s="0" t="n">
        <v>0</v>
      </c>
      <c r="AJO247" s="0" t="n">
        <v>0</v>
      </c>
      <c r="AJP247" s="0" t="n">
        <v>0</v>
      </c>
      <c r="AJQ247" s="0" t="n">
        <v>0</v>
      </c>
      <c r="AJR247" s="0" t="n">
        <v>8.84</v>
      </c>
      <c r="AJS247" s="0" t="n">
        <v>23.37</v>
      </c>
      <c r="AJT247" s="0" t="n">
        <v>0</v>
      </c>
      <c r="AJU247" s="0" t="n">
        <v>0</v>
      </c>
      <c r="AJV247" s="0" t="n">
        <v>0</v>
      </c>
      <c r="AJW247" s="0" t="n">
        <v>0</v>
      </c>
      <c r="AKJ247" s="0" t="n">
        <v>0</v>
      </c>
      <c r="AKK247" s="0" t="n">
        <v>1</v>
      </c>
      <c r="AKL247" s="0" t="n">
        <v>52</v>
      </c>
      <c r="AKM247" s="0" t="n">
        <v>1</v>
      </c>
      <c r="AKN247" s="0" t="n">
        <v>0.02</v>
      </c>
      <c r="AKO247" s="0" t="n">
        <v>2</v>
      </c>
      <c r="AKV247" s="18"/>
      <c r="ALN247" s="0" t="n">
        <v>0</v>
      </c>
    </row>
    <row r="248" customFormat="false" ht="13.8" hidden="false" customHeight="false" outlineLevel="0" collapsed="false">
      <c r="A248" s="1" t="s">
        <v>766</v>
      </c>
      <c r="B248" s="12" t="n">
        <v>42908</v>
      </c>
      <c r="C248" s="0" t="n">
        <v>2</v>
      </c>
      <c r="D248" s="13" t="n">
        <v>34834</v>
      </c>
      <c r="E248" s="12" t="n">
        <v>25213</v>
      </c>
      <c r="F248" s="14" t="n">
        <f aca="false">(B248-E248)/365.25</f>
        <v>48.4462696783025</v>
      </c>
      <c r="G248" s="14" t="n">
        <f aca="false">(B248-D248)/365.25</f>
        <v>22.1054072553046</v>
      </c>
      <c r="H248" s="19" t="s">
        <v>217</v>
      </c>
      <c r="I248" s="15" t="s">
        <v>402</v>
      </c>
      <c r="J248" s="21" t="s">
        <v>183</v>
      </c>
      <c r="K248" s="21" t="n">
        <v>8</v>
      </c>
      <c r="L248" s="19" t="n">
        <v>92</v>
      </c>
      <c r="M248" s="0" t="n">
        <v>1.83</v>
      </c>
      <c r="N248" s="16" t="n">
        <f aca="false">L248/(M248*M248)</f>
        <v>27.4717071277136</v>
      </c>
      <c r="O248" s="19" t="n">
        <v>0</v>
      </c>
      <c r="P248" s="19" t="n">
        <v>0</v>
      </c>
      <c r="Q248" s="19" t="n">
        <v>0</v>
      </c>
      <c r="R248" s="26" t="n">
        <v>0</v>
      </c>
      <c r="S248" s="26" t="n">
        <v>0</v>
      </c>
      <c r="T248" s="26" t="n">
        <v>0</v>
      </c>
      <c r="U248" s="26" t="n">
        <v>0</v>
      </c>
      <c r="V248" s="26" t="n">
        <v>0</v>
      </c>
      <c r="W248" s="19" t="n">
        <v>0</v>
      </c>
      <c r="X248" s="19" t="n">
        <v>0</v>
      </c>
      <c r="Y248" s="19" t="n">
        <v>1</v>
      </c>
      <c r="Z248" s="19" t="n">
        <v>2</v>
      </c>
      <c r="AA248" s="19" t="n">
        <v>120</v>
      </c>
      <c r="AB248" s="19" t="s">
        <v>767</v>
      </c>
      <c r="AC248" s="19" t="n">
        <v>0</v>
      </c>
      <c r="AD248" s="19" t="n">
        <v>0</v>
      </c>
      <c r="AE248" s="19" t="n">
        <v>0</v>
      </c>
      <c r="AF248" s="19" t="n">
        <v>0</v>
      </c>
      <c r="AG248" s="19" t="n">
        <v>0</v>
      </c>
      <c r="AH248" s="19" t="n">
        <v>0</v>
      </c>
      <c r="AI248" s="19" t="n">
        <v>0</v>
      </c>
      <c r="AJ248" s="19" t="n">
        <v>0</v>
      </c>
      <c r="AK248" s="19" t="n">
        <v>0</v>
      </c>
      <c r="AL248" s="19" t="n">
        <v>0</v>
      </c>
      <c r="AM248" s="19" t="n">
        <v>0</v>
      </c>
      <c r="AN248" s="19" t="n">
        <v>0</v>
      </c>
      <c r="AO248" s="19" t="n">
        <v>0</v>
      </c>
      <c r="AP248" s="19" t="n">
        <v>0</v>
      </c>
      <c r="AQ248" s="19" t="n">
        <v>0</v>
      </c>
      <c r="AR248" s="19" t="n">
        <v>0</v>
      </c>
      <c r="AS248" s="19" t="n">
        <v>0</v>
      </c>
      <c r="AT248" s="19" t="n">
        <v>0</v>
      </c>
      <c r="AU248" s="19" t="n">
        <v>0</v>
      </c>
      <c r="AV248" s="19" t="n">
        <v>0</v>
      </c>
      <c r="AW248" s="19" t="n">
        <v>0</v>
      </c>
      <c r="AX248" s="19" t="n">
        <v>0</v>
      </c>
      <c r="AY248" s="19" t="n">
        <v>0</v>
      </c>
      <c r="AZ248" s="19" t="n">
        <v>0</v>
      </c>
      <c r="BA248" s="19" t="n">
        <v>0</v>
      </c>
      <c r="BB248" s="19" t="n">
        <v>1</v>
      </c>
      <c r="BC248" s="19" t="n">
        <v>1</v>
      </c>
      <c r="BD248" s="19" t="n">
        <v>0</v>
      </c>
      <c r="BE248" s="19" t="n">
        <v>0</v>
      </c>
      <c r="BF248" s="19" t="n">
        <v>1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19" t="n">
        <v>0</v>
      </c>
      <c r="BL248" s="19" t="n">
        <v>0</v>
      </c>
      <c r="BM248" s="19" t="n">
        <v>0</v>
      </c>
      <c r="BN248" s="19" t="n">
        <v>0</v>
      </c>
      <c r="BO248" s="19" t="n">
        <v>0</v>
      </c>
      <c r="BP248" s="19" t="n">
        <v>0</v>
      </c>
      <c r="BQ248" s="19" t="n">
        <v>0</v>
      </c>
      <c r="BR248" s="19" t="n">
        <v>3</v>
      </c>
      <c r="BS248" s="19" t="n">
        <v>3</v>
      </c>
      <c r="BT248" s="19" t="n">
        <v>5</v>
      </c>
      <c r="BU248" s="19" t="n">
        <v>5</v>
      </c>
      <c r="BV248" s="19" t="n">
        <v>3</v>
      </c>
      <c r="BW248" s="19" t="n">
        <v>5</v>
      </c>
      <c r="BX248" s="19" t="n">
        <v>5</v>
      </c>
      <c r="BY248" s="19" t="n">
        <v>4</v>
      </c>
      <c r="BZ248" s="19" t="n">
        <v>3</v>
      </c>
      <c r="CA248" s="19" t="n">
        <v>2</v>
      </c>
      <c r="CB248" s="19" t="n">
        <v>5</v>
      </c>
      <c r="CC248" s="19" t="n">
        <v>5</v>
      </c>
      <c r="CD248" s="19" t="n">
        <v>3</v>
      </c>
      <c r="CE248" s="19" t="n">
        <v>3</v>
      </c>
      <c r="CF248" s="19" t="n">
        <v>4</v>
      </c>
      <c r="CG248" s="19" t="n">
        <v>5</v>
      </c>
      <c r="CH248" s="19" t="n">
        <v>2</v>
      </c>
      <c r="CI248" s="19" t="n">
        <v>5</v>
      </c>
      <c r="CJ248" s="19" t="n">
        <v>4</v>
      </c>
      <c r="CK248" s="19" t="n">
        <v>9</v>
      </c>
      <c r="CL248" s="0" t="s">
        <v>403</v>
      </c>
      <c r="CM248" s="0" t="n">
        <v>21.5</v>
      </c>
      <c r="CN248" s="16" t="n">
        <v>78.4</v>
      </c>
      <c r="CO248" s="16" t="n">
        <v>80.4</v>
      </c>
      <c r="CP248" s="16" t="n">
        <v>9.6</v>
      </c>
      <c r="CQ248" s="0" t="n">
        <v>84.68</v>
      </c>
      <c r="CR248" s="0" t="n">
        <v>14.18</v>
      </c>
      <c r="CS248" s="0" t="n">
        <v>1.12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9.51</v>
      </c>
      <c r="DD248" s="0" t="n">
        <v>25.42</v>
      </c>
      <c r="DE248" s="0" t="n">
        <v>0</v>
      </c>
      <c r="DF248" s="0" t="n">
        <v>0</v>
      </c>
      <c r="DG248" s="0" t="n">
        <v>0</v>
      </c>
      <c r="DH248" s="0" t="n">
        <v>2</v>
      </c>
      <c r="DI248" s="0" t="n">
        <v>5</v>
      </c>
      <c r="DO248" s="0" t="n">
        <v>5</v>
      </c>
      <c r="DU248" s="0" t="n">
        <v>3.2</v>
      </c>
      <c r="DV248" s="0" t="n">
        <v>1</v>
      </c>
      <c r="DW248" s="0" t="n">
        <v>52</v>
      </c>
      <c r="DX248" s="0" t="n">
        <v>3</v>
      </c>
      <c r="DY248" s="0" t="n">
        <f aca="false">0.07+0.76</f>
        <v>0.83</v>
      </c>
      <c r="DZ248" s="0" t="n">
        <v>2</v>
      </c>
      <c r="EA248" s="0" t="n">
        <v>103</v>
      </c>
      <c r="EB248" s="0" t="n">
        <v>3</v>
      </c>
      <c r="EC248" s="0" t="n">
        <f aca="false">0.36+0.34</f>
        <v>0.7</v>
      </c>
      <c r="ED248" s="0" t="n">
        <v>1</v>
      </c>
      <c r="EE248" s="0" t="n">
        <v>68</v>
      </c>
      <c r="EF248" s="0" t="n">
        <v>2</v>
      </c>
      <c r="EG248" s="18" t="n">
        <f aca="false">0.24</f>
        <v>0.24</v>
      </c>
      <c r="EH248" s="0" t="n">
        <v>1</v>
      </c>
      <c r="EI248" s="0" t="n">
        <v>34</v>
      </c>
      <c r="EJ248" s="0" t="n">
        <v>2</v>
      </c>
      <c r="EK248" s="0" t="n">
        <f aca="false">0.24</f>
        <v>0.24</v>
      </c>
      <c r="EL248" s="0" t="n">
        <v>1</v>
      </c>
      <c r="EY248" s="0" t="n">
        <v>0</v>
      </c>
      <c r="GJ248" s="16" t="n">
        <v>0.36</v>
      </c>
      <c r="GK248" s="16" t="n">
        <v>1</v>
      </c>
      <c r="GL248" s="16" t="n">
        <v>1</v>
      </c>
      <c r="GM248" s="16"/>
      <c r="GN248" s="16" t="n">
        <v>1.52</v>
      </c>
      <c r="GO248" s="16"/>
      <c r="GP248" s="16"/>
      <c r="GQ248" s="16"/>
      <c r="GR248" s="16"/>
      <c r="GS248" s="16"/>
      <c r="GT248" s="16"/>
      <c r="GU248" s="16" t="n">
        <v>8.32</v>
      </c>
      <c r="GV248" s="16" t="n">
        <v>8.31</v>
      </c>
      <c r="GW248" s="16"/>
      <c r="GX248" s="16"/>
      <c r="GY248" s="16" t="n">
        <v>0</v>
      </c>
      <c r="GZ248" s="16" t="n">
        <v>0</v>
      </c>
      <c r="HA248" s="16" t="n">
        <v>0</v>
      </c>
      <c r="HB248" s="0" t="n">
        <v>0</v>
      </c>
      <c r="HC248" s="0" t="s">
        <v>404</v>
      </c>
      <c r="HD248" s="0" t="n">
        <v>50.5</v>
      </c>
      <c r="HE248" s="16" t="n">
        <v>95.8</v>
      </c>
      <c r="HF248" s="16" t="n">
        <v>80.4</v>
      </c>
      <c r="HG248" s="16" t="n">
        <v>22.6</v>
      </c>
      <c r="HH248" s="0" t="n">
        <v>70.65</v>
      </c>
      <c r="HI248" s="0" t="n">
        <v>13.02</v>
      </c>
      <c r="HJ248" s="0" t="n">
        <v>16.33</v>
      </c>
      <c r="HK248" s="0" t="n">
        <v>0</v>
      </c>
      <c r="HL248" s="0" t="n">
        <v>0</v>
      </c>
      <c r="HM248" s="0" t="n">
        <v>0</v>
      </c>
      <c r="HN248" s="0" t="n">
        <v>0</v>
      </c>
      <c r="HO248" s="0" t="n">
        <v>0</v>
      </c>
      <c r="HP248" s="0" t="n">
        <v>0</v>
      </c>
      <c r="HQ248" s="0" t="n">
        <v>0</v>
      </c>
      <c r="HR248" s="0" t="n">
        <v>0</v>
      </c>
      <c r="HS248" s="0" t="n">
        <v>0</v>
      </c>
      <c r="HT248" s="0" t="n">
        <v>3.81</v>
      </c>
      <c r="HU248" s="0" t="n">
        <v>53.36</v>
      </c>
      <c r="HV248" s="0" t="n">
        <v>0</v>
      </c>
      <c r="HW248" s="0" t="n">
        <v>0</v>
      </c>
      <c r="HX248" s="0" t="n">
        <v>7.8</v>
      </c>
      <c r="HY248" s="0" t="n">
        <v>2</v>
      </c>
      <c r="HZ248" s="0" t="n">
        <v>10</v>
      </c>
      <c r="IA248" s="0" t="n">
        <v>2.69</v>
      </c>
      <c r="IF248" s="0" t="n">
        <v>10</v>
      </c>
      <c r="IG248" s="0" t="n">
        <v>2.69</v>
      </c>
      <c r="IL248" s="0" t="n">
        <v>0</v>
      </c>
      <c r="IM248" s="0" t="n">
        <v>0</v>
      </c>
      <c r="IX248" s="18"/>
      <c r="JP248" s="0" t="n">
        <v>0</v>
      </c>
      <c r="LA248" s="16" t="n">
        <v>10.02</v>
      </c>
      <c r="LB248" s="16" t="n">
        <v>1</v>
      </c>
      <c r="LC248" s="16" t="n">
        <v>2</v>
      </c>
      <c r="LD248" s="16"/>
      <c r="LE248" s="16" t="n">
        <f aca="false">0.05*4+0.33*4+1.5*4+0.76*4+1.14*4</f>
        <v>15.12</v>
      </c>
      <c r="LF248" s="16"/>
      <c r="LG248" s="16"/>
      <c r="LH248" s="16"/>
      <c r="LI248" s="16"/>
      <c r="LJ248" s="16"/>
      <c r="LK248" s="16"/>
      <c r="LL248" s="16" t="n">
        <v>9.92</v>
      </c>
      <c r="LM248" s="16" t="n">
        <v>20.94</v>
      </c>
      <c r="LN248" s="16"/>
      <c r="LO248" s="16"/>
      <c r="LP248" s="16" t="n">
        <v>0</v>
      </c>
      <c r="LQ248" s="16" t="n">
        <v>0</v>
      </c>
      <c r="LR248" s="16" t="n">
        <v>0</v>
      </c>
      <c r="LS248" s="0" t="n">
        <v>0</v>
      </c>
      <c r="LT248" s="0" t="s">
        <v>405</v>
      </c>
      <c r="LU248" s="0" t="n">
        <v>57.5</v>
      </c>
      <c r="LV248" s="16" t="n">
        <v>93.3</v>
      </c>
      <c r="LW248" s="16" t="n">
        <v>80.4</v>
      </c>
      <c r="LX248" s="16" t="n">
        <v>37.2</v>
      </c>
      <c r="LY248" s="0" t="n">
        <v>37.4</v>
      </c>
      <c r="LZ248" s="0" t="n">
        <v>31.73</v>
      </c>
      <c r="MA248" s="0" t="n">
        <v>29.89</v>
      </c>
      <c r="MB248" s="0" t="n">
        <v>0</v>
      </c>
      <c r="MC248" s="0" t="n">
        <v>0.98</v>
      </c>
      <c r="MD248" s="0" t="n">
        <v>0</v>
      </c>
      <c r="ME248" s="0" t="n">
        <v>0</v>
      </c>
      <c r="MF248" s="0" t="n">
        <v>0</v>
      </c>
      <c r="MG248" s="0" t="n">
        <v>0</v>
      </c>
      <c r="MH248" s="0" t="n">
        <v>0</v>
      </c>
      <c r="MI248" s="0" t="n">
        <v>0</v>
      </c>
      <c r="MJ248" s="0" t="n">
        <v>0</v>
      </c>
      <c r="MK248" s="0" t="n">
        <v>21.26</v>
      </c>
      <c r="ML248" s="0" t="n">
        <v>57.4</v>
      </c>
      <c r="MM248" s="0" t="n">
        <v>0</v>
      </c>
      <c r="MN248" s="0" t="n">
        <v>0</v>
      </c>
      <c r="MO248" s="0" t="n">
        <v>0</v>
      </c>
      <c r="MP248" s="0" t="n">
        <v>0</v>
      </c>
      <c r="NC248" s="0" t="n">
        <v>2.3</v>
      </c>
      <c r="ND248" s="0" t="n">
        <v>1</v>
      </c>
      <c r="NE248" s="0" t="n">
        <v>35</v>
      </c>
      <c r="NF248" s="0" t="n">
        <v>1</v>
      </c>
      <c r="NG248" s="0" t="n">
        <v>0.49</v>
      </c>
      <c r="NH248" s="0" t="n">
        <v>3</v>
      </c>
      <c r="NO248" s="18"/>
      <c r="OG248" s="0" t="n">
        <v>0</v>
      </c>
      <c r="PR248" s="16" t="n">
        <v>2.91</v>
      </c>
      <c r="PS248" s="16" t="n">
        <v>1</v>
      </c>
      <c r="PT248" s="16" t="n">
        <v>1</v>
      </c>
      <c r="PU248" s="16"/>
      <c r="PV248" s="16" t="n">
        <f aca="false">2.49+0.21+0.47*2+2.49+0.26+0.53+0.01+4.77+14.32+1.53+3.06+0.13</f>
        <v>30.74</v>
      </c>
      <c r="PW248" s="16"/>
      <c r="PX248" s="16"/>
      <c r="PY248" s="16"/>
      <c r="PZ248" s="16"/>
      <c r="QA248" s="16"/>
      <c r="QB248" s="16"/>
      <c r="QC248" s="16" t="n">
        <v>14.81</v>
      </c>
      <c r="QD248" s="16" t="n">
        <v>52.45</v>
      </c>
      <c r="QE248" s="16"/>
      <c r="QF248" s="16"/>
      <c r="QG248" s="16" t="n">
        <v>0</v>
      </c>
      <c r="QH248" s="16" t="n">
        <v>0</v>
      </c>
      <c r="QI248" s="16" t="n">
        <v>0</v>
      </c>
      <c r="QJ248" s="0" t="n">
        <v>0</v>
      </c>
      <c r="QK248" s="0" t="s">
        <v>406</v>
      </c>
      <c r="QL248" s="0" t="n">
        <v>12.5</v>
      </c>
      <c r="QM248" s="16" t="n">
        <v>69.9</v>
      </c>
      <c r="QN248" s="16" t="n">
        <v>80.4</v>
      </c>
      <c r="QO248" s="16" t="n">
        <v>9</v>
      </c>
      <c r="QP248" s="0" t="n">
        <v>90.9</v>
      </c>
      <c r="QQ248" s="0" t="n">
        <v>7.98</v>
      </c>
      <c r="QR248" s="0" t="n">
        <v>1.12</v>
      </c>
      <c r="QS248" s="0" t="n">
        <v>4.56</v>
      </c>
      <c r="QT248" s="0" t="n">
        <v>17.67</v>
      </c>
      <c r="QU248" s="0" t="n">
        <v>0</v>
      </c>
      <c r="QV248" s="0" t="n">
        <v>0</v>
      </c>
      <c r="QW248" s="0" t="n">
        <v>0</v>
      </c>
      <c r="QX248" s="0" t="n">
        <v>0</v>
      </c>
      <c r="QY248" s="0" t="n">
        <v>0</v>
      </c>
      <c r="QZ248" s="0" t="n">
        <v>0</v>
      </c>
      <c r="RA248" s="0" t="n">
        <v>0</v>
      </c>
      <c r="RB248" s="0" t="n">
        <v>4.56</v>
      </c>
      <c r="RC248" s="0" t="n">
        <v>17.67</v>
      </c>
      <c r="RD248" s="0" t="n">
        <v>0</v>
      </c>
      <c r="RE248" s="0" t="n">
        <v>0</v>
      </c>
      <c r="RF248" s="0" t="n">
        <v>0</v>
      </c>
      <c r="RG248" s="0" t="n">
        <v>0</v>
      </c>
      <c r="RT248" s="0" t="n">
        <v>0</v>
      </c>
      <c r="RU248" s="0" t="n">
        <v>0</v>
      </c>
      <c r="SF248" s="18"/>
      <c r="SX248" s="0" t="n">
        <v>0</v>
      </c>
      <c r="UI248" s="16" t="n">
        <v>0</v>
      </c>
      <c r="UJ248" s="16" t="n">
        <v>0</v>
      </c>
      <c r="UK248" s="16"/>
      <c r="UL248" s="16"/>
      <c r="UM248" s="16"/>
      <c r="UN248" s="16"/>
      <c r="UO248" s="16"/>
      <c r="UP248" s="16"/>
      <c r="UQ248" s="16"/>
      <c r="UR248" s="16"/>
      <c r="US248" s="16"/>
      <c r="UT248" s="16" t="n">
        <v>3.41</v>
      </c>
      <c r="UU248" s="16" t="n">
        <v>3.41</v>
      </c>
      <c r="UV248" s="16"/>
      <c r="UW248" s="16"/>
      <c r="UX248" s="16" t="n">
        <v>0</v>
      </c>
      <c r="UY248" s="16" t="n">
        <v>0</v>
      </c>
      <c r="UZ248" s="16" t="n">
        <v>0</v>
      </c>
      <c r="VA248" s="0" t="n">
        <v>0</v>
      </c>
      <c r="VB248" s="0" t="s">
        <v>407</v>
      </c>
      <c r="VC248" s="0" t="n">
        <v>17</v>
      </c>
      <c r="VD248" s="16" t="n">
        <v>84.3</v>
      </c>
      <c r="VE248" s="16" t="n">
        <v>80.4</v>
      </c>
      <c r="VF248" s="16" t="n">
        <v>9.8</v>
      </c>
      <c r="VG248" s="0" t="n">
        <v>84.81</v>
      </c>
      <c r="VH248" s="0" t="n">
        <v>14.07</v>
      </c>
      <c r="VI248" s="0" t="n">
        <v>1.12</v>
      </c>
      <c r="VJ248" s="0" t="n">
        <v>0</v>
      </c>
      <c r="VK248" s="0" t="n">
        <v>0</v>
      </c>
      <c r="VL248" s="0" t="n">
        <v>0</v>
      </c>
      <c r="VM248" s="0" t="n">
        <v>0</v>
      </c>
      <c r="VN248" s="0" t="n">
        <v>0</v>
      </c>
      <c r="VO248" s="0" t="n">
        <v>0</v>
      </c>
      <c r="VP248" s="0" t="n">
        <v>0</v>
      </c>
      <c r="VQ248" s="0" t="n">
        <v>0</v>
      </c>
      <c r="VR248" s="0" t="n">
        <v>0</v>
      </c>
      <c r="VS248" s="0" t="n">
        <v>7.34</v>
      </c>
      <c r="VT248" s="0" t="n">
        <v>26.23</v>
      </c>
      <c r="VU248" s="0" t="n">
        <v>0</v>
      </c>
      <c r="VV248" s="0" t="n">
        <v>0</v>
      </c>
      <c r="VW248" s="0" t="n">
        <v>0</v>
      </c>
      <c r="VX248" s="0" t="n">
        <v>0</v>
      </c>
      <c r="WK248" s="0" t="n">
        <v>0</v>
      </c>
      <c r="WL248" s="0" t="n">
        <v>0</v>
      </c>
      <c r="WW248" s="18"/>
      <c r="XO248" s="0" t="n">
        <v>0</v>
      </c>
      <c r="YZ248" s="16" t="n">
        <v>1.51</v>
      </c>
      <c r="ZA248" s="16" t="n">
        <v>1</v>
      </c>
      <c r="ZB248" s="16" t="n">
        <v>2</v>
      </c>
      <c r="ZC248" s="16"/>
      <c r="ZD248" s="16" t="n">
        <f aca="false">0.99+4.04</f>
        <v>5.03</v>
      </c>
      <c r="ZE248" s="16"/>
      <c r="ZF248" s="16"/>
      <c r="ZG248" s="16"/>
      <c r="ZH248" s="16"/>
      <c r="ZI248" s="16"/>
      <c r="ZJ248" s="16"/>
      <c r="ZK248" s="16" t="n">
        <v>5.5</v>
      </c>
      <c r="ZL248" s="16" t="n">
        <v>9.84</v>
      </c>
      <c r="ZM248" s="16"/>
      <c r="ZN248" s="16"/>
      <c r="ZO248" s="16" t="n">
        <v>0</v>
      </c>
      <c r="ZP248" s="16" t="n">
        <v>0</v>
      </c>
      <c r="ZQ248" s="16" t="n">
        <v>0</v>
      </c>
      <c r="ZR248" s="0" t="n">
        <v>0</v>
      </c>
      <c r="ZS248" s="0" t="s">
        <v>408</v>
      </c>
      <c r="ZT248" s="0" t="n">
        <v>26</v>
      </c>
      <c r="ZU248" s="16" t="n">
        <v>75.1</v>
      </c>
      <c r="ZV248" s="16" t="n">
        <v>80.4</v>
      </c>
      <c r="ZW248" s="16" t="n">
        <v>10.7</v>
      </c>
      <c r="ZX248" s="0" t="n">
        <v>76.38</v>
      </c>
      <c r="ZY248" s="0" t="n">
        <v>22.5</v>
      </c>
      <c r="ZZ248" s="0" t="n">
        <v>1.12</v>
      </c>
      <c r="AAA248" s="0" t="n">
        <v>0</v>
      </c>
      <c r="AAB248" s="0" t="n">
        <v>0</v>
      </c>
      <c r="AAC248" s="0" t="n">
        <v>0</v>
      </c>
      <c r="AAD248" s="0" t="n">
        <v>0</v>
      </c>
      <c r="AAE248" s="0" t="n">
        <v>0</v>
      </c>
      <c r="AAF248" s="0" t="n">
        <v>0</v>
      </c>
      <c r="AAG248" s="0" t="n">
        <v>0</v>
      </c>
      <c r="AAH248" s="0" t="n">
        <v>0</v>
      </c>
      <c r="AAI248" s="0" t="n">
        <v>0</v>
      </c>
      <c r="AAJ248" s="0" t="n">
        <v>10.84</v>
      </c>
      <c r="AAK248" s="0" t="n">
        <v>26.14</v>
      </c>
      <c r="AAL248" s="0" t="n">
        <v>0</v>
      </c>
      <c r="AAM248" s="0" t="n">
        <v>0</v>
      </c>
      <c r="AAN248" s="0" t="n">
        <v>0</v>
      </c>
      <c r="AAO248" s="0" t="n">
        <v>0</v>
      </c>
      <c r="ABB248" s="0" t="n">
        <v>2.5</v>
      </c>
      <c r="ABC248" s="0" t="n">
        <v>1</v>
      </c>
      <c r="ABD248" s="0" t="n">
        <v>68</v>
      </c>
      <c r="ABE248" s="0" t="n">
        <v>1</v>
      </c>
      <c r="ABF248" s="0" t="n">
        <f aca="false">1.34</f>
        <v>1.34</v>
      </c>
      <c r="ABG248" s="0" t="n">
        <v>1</v>
      </c>
      <c r="ABH248" s="0" t="n">
        <v>52</v>
      </c>
      <c r="ABI248" s="0" t="n">
        <v>2</v>
      </c>
      <c r="ABJ248" s="0" t="n">
        <v>0.45</v>
      </c>
      <c r="ABK248" s="0" t="n">
        <v>2</v>
      </c>
      <c r="ABN248" s="18"/>
      <c r="ACF248" s="0" t="n">
        <v>0</v>
      </c>
      <c r="ADQ248" s="16" t="n">
        <v>1.21</v>
      </c>
      <c r="ADR248" s="16" t="n">
        <v>1</v>
      </c>
      <c r="ADS248" s="16" t="n">
        <v>2</v>
      </c>
      <c r="ADT248" s="16"/>
      <c r="ADU248" s="16" t="n">
        <v>4.04</v>
      </c>
      <c r="ADV248" s="16"/>
      <c r="ADW248" s="16"/>
      <c r="ADX248" s="16"/>
      <c r="ADY248" s="16"/>
      <c r="ADZ248" s="16"/>
      <c r="AEA248" s="16"/>
      <c r="AEB248" s="16" t="n">
        <v>11.17</v>
      </c>
      <c r="AEC248" s="16" t="n">
        <v>19.84</v>
      </c>
      <c r="AED248" s="16"/>
      <c r="AEE248" s="16"/>
      <c r="AEF248" s="16" t="n">
        <v>0</v>
      </c>
      <c r="AEG248" s="16" t="n">
        <v>0</v>
      </c>
      <c r="AEH248" s="16" t="n">
        <v>0</v>
      </c>
      <c r="AEI248" s="0" t="n">
        <v>0</v>
      </c>
      <c r="AEJ248" s="0" t="s">
        <v>409</v>
      </c>
      <c r="AEK248" s="0" t="n">
        <v>23</v>
      </c>
      <c r="AEL248" s="16" t="n">
        <v>90.8</v>
      </c>
      <c r="AEM248" s="16" t="n">
        <v>80.4</v>
      </c>
      <c r="AEN248" s="16" t="n">
        <v>11.6</v>
      </c>
      <c r="AEO248" s="0" t="n">
        <v>71.46</v>
      </c>
      <c r="AEP248" s="0" t="n">
        <v>27.42</v>
      </c>
      <c r="AEQ248" s="0" t="n">
        <v>1.12</v>
      </c>
      <c r="AER248" s="0" t="n">
        <v>0</v>
      </c>
      <c r="AES248" s="0" t="n">
        <v>0</v>
      </c>
      <c r="AET248" s="0" t="n">
        <v>0</v>
      </c>
      <c r="AEU248" s="0" t="n">
        <v>0</v>
      </c>
      <c r="AEV248" s="0" t="n">
        <v>0</v>
      </c>
      <c r="AEW248" s="0" t="n">
        <v>0</v>
      </c>
      <c r="AEX248" s="0" t="n">
        <v>0</v>
      </c>
      <c r="AEY248" s="0" t="n">
        <v>0</v>
      </c>
      <c r="AEZ248" s="0" t="n">
        <v>0</v>
      </c>
      <c r="AFA248" s="0" t="n">
        <v>11.58</v>
      </c>
      <c r="AFB248" s="0" t="n">
        <v>41.25</v>
      </c>
      <c r="AFC248" s="0" t="n">
        <v>0</v>
      </c>
      <c r="AFD248" s="0" t="n">
        <v>0</v>
      </c>
      <c r="AFE248" s="0" t="n">
        <v>0</v>
      </c>
      <c r="AFF248" s="0" t="n">
        <v>0</v>
      </c>
      <c r="AFS248" s="0" t="n">
        <v>1.7</v>
      </c>
      <c r="AFT248" s="0" t="n">
        <v>1</v>
      </c>
      <c r="AFU248" s="0" t="n">
        <v>35</v>
      </c>
      <c r="AFV248" s="0" t="n">
        <v>1</v>
      </c>
      <c r="AFW248" s="0" t="n">
        <v>0.05</v>
      </c>
      <c r="AFX248" s="0" t="n">
        <v>3</v>
      </c>
      <c r="AFY248" s="0" t="n">
        <v>103</v>
      </c>
      <c r="AFZ248" s="0" t="n">
        <v>5</v>
      </c>
      <c r="AGA248" s="0" t="n">
        <v>0.25</v>
      </c>
      <c r="AGB248" s="0" t="n">
        <v>1</v>
      </c>
      <c r="AGC248" s="0" t="n">
        <v>68</v>
      </c>
      <c r="AGD248" s="0" t="n">
        <v>4</v>
      </c>
      <c r="AGE248" s="18" t="n">
        <v>0.26</v>
      </c>
      <c r="AGF248" s="0" t="n">
        <v>1</v>
      </c>
      <c r="AGG248" s="0" t="n">
        <v>52</v>
      </c>
      <c r="AGH248" s="0" t="n">
        <v>4</v>
      </c>
      <c r="AGI248" s="0" t="n">
        <f aca="false">0.09+0.05+0.04</f>
        <v>0.18</v>
      </c>
      <c r="AGJ248" s="0" t="n">
        <v>2</v>
      </c>
      <c r="AGW248" s="0" t="n">
        <v>0</v>
      </c>
      <c r="AIH248" s="16" t="n">
        <v>0.04</v>
      </c>
      <c r="AII248" s="16" t="n">
        <v>1</v>
      </c>
      <c r="AIJ248" s="16" t="n">
        <v>1</v>
      </c>
      <c r="AIK248" s="16"/>
      <c r="AIL248" s="16" t="n">
        <v>0.13</v>
      </c>
      <c r="AIM248" s="16"/>
      <c r="AIN248" s="16"/>
      <c r="AIO248" s="16"/>
      <c r="AIP248" s="16"/>
      <c r="AIQ248" s="16"/>
      <c r="AIR248" s="16"/>
      <c r="AIS248" s="16" t="n">
        <v>9.52</v>
      </c>
      <c r="AIT248" s="16" t="n">
        <v>21.65</v>
      </c>
      <c r="AIU248" s="16"/>
      <c r="AIV248" s="16"/>
      <c r="AIW248" s="16" t="n">
        <v>0</v>
      </c>
      <c r="AIX248" s="16" t="n">
        <v>0</v>
      </c>
      <c r="AIY248" s="16" t="n">
        <v>0</v>
      </c>
      <c r="AIZ248" s="0" t="n">
        <v>0</v>
      </c>
      <c r="AJA248" s="0" t="s">
        <v>410</v>
      </c>
      <c r="AJB248" s="0" t="n">
        <v>24</v>
      </c>
      <c r="AJC248" s="16" t="n">
        <v>82.9</v>
      </c>
      <c r="AJD248" s="16" t="n">
        <v>80.4</v>
      </c>
      <c r="AJE248" s="16" t="n">
        <v>9.6</v>
      </c>
      <c r="AJF248" s="0" t="n">
        <v>86.23</v>
      </c>
      <c r="AJG248" s="0" t="n">
        <v>11.76</v>
      </c>
      <c r="AJH248" s="0" t="n">
        <v>0</v>
      </c>
      <c r="AJI248" s="0" t="n">
        <v>0</v>
      </c>
      <c r="AJJ248" s="0" t="n">
        <v>1.01</v>
      </c>
      <c r="AJK248" s="0" t="n">
        <v>1.01</v>
      </c>
      <c r="AJL248" s="0" t="n">
        <v>0</v>
      </c>
      <c r="AJM248" s="0" t="n">
        <v>0</v>
      </c>
      <c r="AJN248" s="0" t="n">
        <v>0</v>
      </c>
      <c r="AJO248" s="0" t="n">
        <v>0</v>
      </c>
      <c r="AJP248" s="0" t="n">
        <v>0</v>
      </c>
      <c r="AJQ248" s="0" t="n">
        <v>0</v>
      </c>
      <c r="AJR248" s="0" t="n">
        <v>8.84</v>
      </c>
      <c r="AJS248" s="0" t="n">
        <v>23.37</v>
      </c>
      <c r="AJT248" s="0" t="n">
        <v>0</v>
      </c>
      <c r="AJU248" s="0" t="n">
        <v>0</v>
      </c>
      <c r="AJV248" s="0" t="n">
        <v>0</v>
      </c>
      <c r="AJW248" s="0" t="n">
        <v>0</v>
      </c>
      <c r="AKJ248" s="0" t="n">
        <v>0</v>
      </c>
      <c r="AKK248" s="0" t="n">
        <v>1</v>
      </c>
      <c r="AKL248" s="0" t="n">
        <v>52</v>
      </c>
      <c r="AKM248" s="0" t="n">
        <v>1</v>
      </c>
      <c r="AKN248" s="0" t="n">
        <v>0.02</v>
      </c>
      <c r="AKO248" s="0" t="n">
        <v>2</v>
      </c>
      <c r="AKV248" s="18"/>
      <c r="ALN248" s="0" t="n">
        <v>0</v>
      </c>
    </row>
    <row r="249" customFormat="false" ht="13.8" hidden="false" customHeight="false" outlineLevel="0" collapsed="false">
      <c r="A249" s="1" t="s">
        <v>768</v>
      </c>
      <c r="B249" s="12" t="n">
        <v>42909</v>
      </c>
      <c r="C249" s="0" t="n">
        <v>1</v>
      </c>
      <c r="D249" s="13" t="n">
        <v>42811</v>
      </c>
      <c r="E249" s="12" t="n">
        <v>33917</v>
      </c>
      <c r="F249" s="14" t="n">
        <f aca="false">(B249-E249)/365.25</f>
        <v>24.6187542778919</v>
      </c>
      <c r="G249" s="14" t="n">
        <f aca="false">(B249-D249)/365.25</f>
        <v>0.268309377138946</v>
      </c>
      <c r="H249" s="19" t="s">
        <v>217</v>
      </c>
      <c r="I249" s="15" t="s">
        <v>402</v>
      </c>
      <c r="J249" s="21" t="s">
        <v>183</v>
      </c>
      <c r="K249" s="21" t="n">
        <v>8</v>
      </c>
      <c r="L249" s="19" t="n">
        <v>50</v>
      </c>
      <c r="M249" s="0" t="n">
        <v>1.58</v>
      </c>
      <c r="N249" s="16" t="n">
        <f aca="false">L249/(M249*M249)</f>
        <v>20.0288415318058</v>
      </c>
      <c r="O249" s="19" t="n">
        <v>0</v>
      </c>
      <c r="P249" s="19" t="n">
        <v>0</v>
      </c>
      <c r="Q249" s="19" t="n">
        <v>0</v>
      </c>
      <c r="R249" s="26" t="n">
        <v>0</v>
      </c>
      <c r="S249" s="26" t="n">
        <v>0</v>
      </c>
      <c r="T249" s="26" t="n">
        <v>0</v>
      </c>
      <c r="U249" s="26" t="n">
        <v>0</v>
      </c>
      <c r="V249" s="26" t="n">
        <v>0</v>
      </c>
      <c r="W249" s="19" t="n">
        <v>1</v>
      </c>
      <c r="X249" s="19" t="n">
        <v>0</v>
      </c>
      <c r="Y249" s="19" t="n">
        <v>0</v>
      </c>
      <c r="Z249" s="19" t="n">
        <v>0</v>
      </c>
      <c r="AA249" s="19" t="n">
        <v>0</v>
      </c>
      <c r="AB249" s="19" t="n">
        <v>0</v>
      </c>
      <c r="AC249" s="19" t="n">
        <v>1</v>
      </c>
      <c r="AD249" s="19" t="n">
        <v>11</v>
      </c>
      <c r="AE249" s="19" t="n">
        <v>1</v>
      </c>
      <c r="AF249" s="19" t="n">
        <v>0</v>
      </c>
      <c r="AG249" s="19" t="n">
        <v>0</v>
      </c>
      <c r="AH249" s="19" t="n">
        <v>0</v>
      </c>
      <c r="AI249" s="19" t="n">
        <v>0</v>
      </c>
      <c r="AJ249" s="19" t="n">
        <v>0</v>
      </c>
      <c r="AK249" s="19" t="n">
        <v>0</v>
      </c>
      <c r="AL249" s="19" t="n">
        <v>0</v>
      </c>
      <c r="AM249" s="19" t="n">
        <v>0</v>
      </c>
      <c r="AN249" s="19" t="n">
        <v>0</v>
      </c>
      <c r="AO249" s="19" t="n">
        <v>0</v>
      </c>
      <c r="AP249" s="19" t="n">
        <v>0</v>
      </c>
      <c r="AQ249" s="19" t="n">
        <v>0</v>
      </c>
      <c r="AR249" s="19" t="n">
        <v>0</v>
      </c>
      <c r="AS249" s="19" t="n">
        <v>0</v>
      </c>
      <c r="AT249" s="19" t="n">
        <v>0</v>
      </c>
      <c r="AU249" s="19" t="n">
        <v>0</v>
      </c>
      <c r="AV249" s="19" t="n">
        <v>0</v>
      </c>
      <c r="AW249" s="19" t="n">
        <v>0</v>
      </c>
      <c r="AX249" s="19" t="n">
        <v>1</v>
      </c>
      <c r="AY249" s="19" t="n">
        <v>1</v>
      </c>
      <c r="AZ249" s="19" t="n">
        <v>0</v>
      </c>
      <c r="BA249" s="19" t="n">
        <v>0</v>
      </c>
      <c r="BB249" s="19" t="n">
        <v>1</v>
      </c>
      <c r="BC249" s="19" t="n">
        <v>0</v>
      </c>
      <c r="BD249" s="19" t="n">
        <v>0</v>
      </c>
      <c r="BE249" s="19" t="n">
        <v>0</v>
      </c>
      <c r="BF249" s="19" t="n">
        <v>0</v>
      </c>
      <c r="BG249" s="19" t="n">
        <v>0</v>
      </c>
      <c r="BH249" s="19" t="n">
        <v>0</v>
      </c>
      <c r="BI249" s="19" t="n">
        <v>0</v>
      </c>
      <c r="BJ249" s="19" t="n">
        <v>0</v>
      </c>
      <c r="BK249" s="19" t="n">
        <v>0</v>
      </c>
      <c r="BL249" s="19" t="n">
        <v>0</v>
      </c>
      <c r="BM249" s="19" t="n">
        <v>0</v>
      </c>
      <c r="BN249" s="19" t="n">
        <v>0</v>
      </c>
      <c r="BO249" s="19" t="n">
        <v>0</v>
      </c>
      <c r="BP249" s="19" t="n">
        <v>0</v>
      </c>
      <c r="BQ249" s="19" t="n">
        <v>0</v>
      </c>
      <c r="BR249" s="19" t="n">
        <v>1</v>
      </c>
      <c r="BS249" s="19" t="n">
        <v>3</v>
      </c>
      <c r="BT249" s="19" t="n">
        <v>4</v>
      </c>
      <c r="BU249" s="19" t="n">
        <v>5</v>
      </c>
      <c r="BV249" s="19" t="n">
        <v>3</v>
      </c>
      <c r="BW249" s="19" t="n">
        <v>2</v>
      </c>
      <c r="BX249" s="19" t="n">
        <v>2</v>
      </c>
      <c r="BY249" s="19" t="n">
        <v>5</v>
      </c>
      <c r="BZ249" s="19" t="n">
        <v>5</v>
      </c>
      <c r="CA249" s="19" t="n">
        <v>5</v>
      </c>
      <c r="CB249" s="19" t="n">
        <v>5</v>
      </c>
      <c r="CC249" s="19" t="n">
        <v>5</v>
      </c>
      <c r="CD249" s="19" t="n">
        <v>4</v>
      </c>
      <c r="CE249" s="19" t="n">
        <v>5</v>
      </c>
      <c r="CF249" s="19" t="n">
        <v>5</v>
      </c>
      <c r="CG249" s="19" t="n">
        <v>5</v>
      </c>
      <c r="CH249" s="19" t="n">
        <v>5</v>
      </c>
      <c r="CI249" s="19" t="n">
        <v>5</v>
      </c>
      <c r="CJ249" s="19" t="n">
        <v>5</v>
      </c>
      <c r="CK249" s="19" t="n">
        <v>10</v>
      </c>
      <c r="CL249" s="0" t="s">
        <v>403</v>
      </c>
      <c r="CM249" s="0" t="n">
        <v>21.5</v>
      </c>
      <c r="CN249" s="16" t="n">
        <v>78.4</v>
      </c>
      <c r="CO249" s="16" t="n">
        <v>80.4</v>
      </c>
      <c r="CP249" s="16" t="n">
        <v>9.6</v>
      </c>
      <c r="CQ249" s="0" t="n">
        <v>84.68</v>
      </c>
      <c r="CR249" s="0" t="n">
        <v>14.18</v>
      </c>
      <c r="CS249" s="0" t="n">
        <v>1.12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9.51</v>
      </c>
      <c r="DD249" s="0" t="n">
        <v>25.42</v>
      </c>
      <c r="DE249" s="0" t="n">
        <v>0</v>
      </c>
      <c r="DF249" s="0" t="n">
        <v>0</v>
      </c>
      <c r="DG249" s="0" t="n">
        <v>0</v>
      </c>
      <c r="DH249" s="0" t="n">
        <v>2</v>
      </c>
      <c r="DI249" s="0" t="n">
        <v>5</v>
      </c>
      <c r="DO249" s="0" t="n">
        <v>5</v>
      </c>
      <c r="DU249" s="0" t="n">
        <v>3.2</v>
      </c>
      <c r="DV249" s="0" t="n">
        <v>1</v>
      </c>
      <c r="DW249" s="0" t="n">
        <v>52</v>
      </c>
      <c r="DX249" s="0" t="n">
        <v>3</v>
      </c>
      <c r="DY249" s="0" t="n">
        <f aca="false">0.07+0.76</f>
        <v>0.83</v>
      </c>
      <c r="DZ249" s="0" t="n">
        <v>2</v>
      </c>
      <c r="EA249" s="0" t="n">
        <v>103</v>
      </c>
      <c r="EB249" s="0" t="n">
        <v>3</v>
      </c>
      <c r="EC249" s="0" t="n">
        <f aca="false">0.36+0.34</f>
        <v>0.7</v>
      </c>
      <c r="ED249" s="0" t="n">
        <v>1</v>
      </c>
      <c r="EE249" s="0" t="n">
        <v>68</v>
      </c>
      <c r="EF249" s="0" t="n">
        <v>2</v>
      </c>
      <c r="EG249" s="18" t="n">
        <f aca="false">0.24</f>
        <v>0.24</v>
      </c>
      <c r="EH249" s="0" t="n">
        <v>1</v>
      </c>
      <c r="EI249" s="0" t="n">
        <v>34</v>
      </c>
      <c r="EJ249" s="0" t="n">
        <v>2</v>
      </c>
      <c r="EK249" s="0" t="n">
        <f aca="false">0.24</f>
        <v>0.24</v>
      </c>
      <c r="EL249" s="0" t="n">
        <v>1</v>
      </c>
      <c r="EY249" s="0" t="n">
        <v>0</v>
      </c>
      <c r="GJ249" s="16" t="n">
        <v>0.36</v>
      </c>
      <c r="GK249" s="16" t="n">
        <v>1</v>
      </c>
      <c r="GL249" s="16" t="n">
        <v>1</v>
      </c>
      <c r="GM249" s="16"/>
      <c r="GN249" s="16" t="n">
        <v>1.52</v>
      </c>
      <c r="GO249" s="16"/>
      <c r="GP249" s="16"/>
      <c r="GQ249" s="16"/>
      <c r="GR249" s="16"/>
      <c r="GS249" s="16"/>
      <c r="GT249" s="16"/>
      <c r="GU249" s="16" t="n">
        <v>8.32</v>
      </c>
      <c r="GV249" s="16" t="n">
        <v>8.31</v>
      </c>
      <c r="GW249" s="16"/>
      <c r="GX249" s="16"/>
      <c r="GY249" s="16" t="n">
        <v>0</v>
      </c>
      <c r="GZ249" s="16" t="n">
        <v>0</v>
      </c>
      <c r="HA249" s="16" t="n">
        <v>0</v>
      </c>
      <c r="HB249" s="0" t="n">
        <v>0</v>
      </c>
      <c r="HC249" s="0" t="s">
        <v>404</v>
      </c>
      <c r="HD249" s="0" t="n">
        <v>50.5</v>
      </c>
      <c r="HE249" s="16" t="n">
        <v>95.8</v>
      </c>
      <c r="HF249" s="16" t="n">
        <v>80.4</v>
      </c>
      <c r="HG249" s="16" t="n">
        <v>22.6</v>
      </c>
      <c r="HH249" s="0" t="n">
        <v>70.65</v>
      </c>
      <c r="HI249" s="0" t="n">
        <v>13.02</v>
      </c>
      <c r="HJ249" s="0" t="n">
        <v>16.33</v>
      </c>
      <c r="HK249" s="0" t="n">
        <v>0</v>
      </c>
      <c r="HL249" s="0" t="n">
        <v>0</v>
      </c>
      <c r="HM249" s="0" t="n">
        <v>0</v>
      </c>
      <c r="HN249" s="0" t="n">
        <v>0</v>
      </c>
      <c r="HO249" s="0" t="n">
        <v>0</v>
      </c>
      <c r="HP249" s="0" t="n">
        <v>0</v>
      </c>
      <c r="HQ249" s="0" t="n">
        <v>0</v>
      </c>
      <c r="HR249" s="0" t="n">
        <v>0</v>
      </c>
      <c r="HS249" s="0" t="n">
        <v>0</v>
      </c>
      <c r="HT249" s="0" t="n">
        <v>3.81</v>
      </c>
      <c r="HU249" s="0" t="n">
        <v>53.36</v>
      </c>
      <c r="HV249" s="0" t="n">
        <v>0</v>
      </c>
      <c r="HW249" s="0" t="n">
        <v>0</v>
      </c>
      <c r="HX249" s="0" t="n">
        <v>7.8</v>
      </c>
      <c r="HY249" s="0" t="n">
        <v>2</v>
      </c>
      <c r="HZ249" s="0" t="n">
        <v>10</v>
      </c>
      <c r="IA249" s="0" t="n">
        <v>2.69</v>
      </c>
      <c r="IF249" s="0" t="n">
        <v>10</v>
      </c>
      <c r="IG249" s="0" t="n">
        <v>2.69</v>
      </c>
      <c r="IL249" s="0" t="n">
        <v>0</v>
      </c>
      <c r="IM249" s="0" t="n">
        <v>0</v>
      </c>
      <c r="IX249" s="18"/>
      <c r="JP249" s="0" t="n">
        <v>0</v>
      </c>
      <c r="LA249" s="16" t="n">
        <v>10.02</v>
      </c>
      <c r="LB249" s="16" t="n">
        <v>1</v>
      </c>
      <c r="LC249" s="16" t="n">
        <v>2</v>
      </c>
      <c r="LD249" s="16"/>
      <c r="LE249" s="16" t="n">
        <f aca="false">0.05*4+0.33*4+1.5*4+0.76*4+1.14*4</f>
        <v>15.12</v>
      </c>
      <c r="LF249" s="16"/>
      <c r="LG249" s="16"/>
      <c r="LH249" s="16"/>
      <c r="LI249" s="16"/>
      <c r="LJ249" s="16"/>
      <c r="LK249" s="16"/>
      <c r="LL249" s="16" t="n">
        <v>9.92</v>
      </c>
      <c r="LM249" s="16" t="n">
        <v>20.94</v>
      </c>
      <c r="LN249" s="16"/>
      <c r="LO249" s="16"/>
      <c r="LP249" s="16" t="n">
        <v>0</v>
      </c>
      <c r="LQ249" s="16" t="n">
        <v>0</v>
      </c>
      <c r="LR249" s="16" t="n">
        <v>0</v>
      </c>
      <c r="LS249" s="0" t="n">
        <v>0</v>
      </c>
      <c r="LT249" s="0" t="s">
        <v>405</v>
      </c>
      <c r="LU249" s="0" t="n">
        <v>57.5</v>
      </c>
      <c r="LV249" s="16" t="n">
        <v>93.3</v>
      </c>
      <c r="LW249" s="16" t="n">
        <v>80.4</v>
      </c>
      <c r="LX249" s="16" t="n">
        <v>37.2</v>
      </c>
      <c r="LY249" s="0" t="n">
        <v>37.4</v>
      </c>
      <c r="LZ249" s="0" t="n">
        <v>31.73</v>
      </c>
      <c r="MA249" s="0" t="n">
        <v>29.89</v>
      </c>
      <c r="MB249" s="0" t="n">
        <v>0</v>
      </c>
      <c r="MC249" s="0" t="n">
        <v>0.98</v>
      </c>
      <c r="MD249" s="0" t="n">
        <v>0</v>
      </c>
      <c r="ME249" s="0" t="n">
        <v>0</v>
      </c>
      <c r="MF249" s="0" t="n">
        <v>0</v>
      </c>
      <c r="MG249" s="0" t="n">
        <v>0</v>
      </c>
      <c r="MH249" s="0" t="n">
        <v>0</v>
      </c>
      <c r="MI249" s="0" t="n">
        <v>0</v>
      </c>
      <c r="MJ249" s="0" t="n">
        <v>0</v>
      </c>
      <c r="MK249" s="0" t="n">
        <v>21.26</v>
      </c>
      <c r="ML249" s="0" t="n">
        <v>57.4</v>
      </c>
      <c r="MM249" s="0" t="n">
        <v>0</v>
      </c>
      <c r="MN249" s="0" t="n">
        <v>0</v>
      </c>
      <c r="MO249" s="0" t="n">
        <v>0</v>
      </c>
      <c r="MP249" s="0" t="n">
        <v>0</v>
      </c>
      <c r="NC249" s="0" t="n">
        <v>2.3</v>
      </c>
      <c r="ND249" s="0" t="n">
        <v>1</v>
      </c>
      <c r="NE249" s="0" t="n">
        <v>35</v>
      </c>
      <c r="NF249" s="0" t="n">
        <v>1</v>
      </c>
      <c r="NG249" s="0" t="n">
        <v>0.49</v>
      </c>
      <c r="NH249" s="0" t="n">
        <v>3</v>
      </c>
      <c r="NO249" s="18"/>
      <c r="OG249" s="0" t="n">
        <v>0</v>
      </c>
      <c r="PR249" s="16" t="n">
        <v>2.91</v>
      </c>
      <c r="PS249" s="16" t="n">
        <v>1</v>
      </c>
      <c r="PT249" s="16" t="n">
        <v>1</v>
      </c>
      <c r="PU249" s="16"/>
      <c r="PV249" s="16" t="n">
        <f aca="false">2.49+0.21+0.47*2+2.49+0.26+0.53+0.01+4.77+14.32+1.53+3.06+0.13</f>
        <v>30.74</v>
      </c>
      <c r="PW249" s="16"/>
      <c r="PX249" s="16"/>
      <c r="PY249" s="16"/>
      <c r="PZ249" s="16"/>
      <c r="QA249" s="16"/>
      <c r="QB249" s="16"/>
      <c r="QC249" s="16" t="n">
        <v>14.81</v>
      </c>
      <c r="QD249" s="16" t="n">
        <v>52.45</v>
      </c>
      <c r="QE249" s="16"/>
      <c r="QF249" s="16"/>
      <c r="QG249" s="16" t="n">
        <v>0</v>
      </c>
      <c r="QH249" s="16" t="n">
        <v>0</v>
      </c>
      <c r="QI249" s="16" t="n">
        <v>0</v>
      </c>
      <c r="QJ249" s="0" t="n">
        <v>0</v>
      </c>
      <c r="QK249" s="0" t="s">
        <v>406</v>
      </c>
      <c r="QL249" s="0" t="n">
        <v>12.5</v>
      </c>
      <c r="QM249" s="16" t="n">
        <v>69.9</v>
      </c>
      <c r="QN249" s="16" t="n">
        <v>80.4</v>
      </c>
      <c r="QO249" s="16" t="n">
        <v>9</v>
      </c>
      <c r="QP249" s="0" t="n">
        <v>90.9</v>
      </c>
      <c r="QQ249" s="0" t="n">
        <v>7.98</v>
      </c>
      <c r="QR249" s="0" t="n">
        <v>1.12</v>
      </c>
      <c r="QS249" s="0" t="n">
        <v>4.56</v>
      </c>
      <c r="QT249" s="0" t="n">
        <v>17.67</v>
      </c>
      <c r="QU249" s="0" t="n">
        <v>0</v>
      </c>
      <c r="QV249" s="0" t="n">
        <v>0</v>
      </c>
      <c r="QW249" s="0" t="n">
        <v>0</v>
      </c>
      <c r="QX249" s="0" t="n">
        <v>0</v>
      </c>
      <c r="QY249" s="0" t="n">
        <v>0</v>
      </c>
      <c r="QZ249" s="0" t="n">
        <v>0</v>
      </c>
      <c r="RA249" s="0" t="n">
        <v>0</v>
      </c>
      <c r="RB249" s="0" t="n">
        <v>4.56</v>
      </c>
      <c r="RC249" s="0" t="n">
        <v>17.67</v>
      </c>
      <c r="RD249" s="0" t="n">
        <v>0</v>
      </c>
      <c r="RE249" s="0" t="n">
        <v>0</v>
      </c>
      <c r="RF249" s="0" t="n">
        <v>0</v>
      </c>
      <c r="RG249" s="0" t="n">
        <v>0</v>
      </c>
      <c r="RT249" s="0" t="n">
        <v>0</v>
      </c>
      <c r="RU249" s="0" t="n">
        <v>0</v>
      </c>
      <c r="SF249" s="18"/>
      <c r="SX249" s="0" t="n">
        <v>0</v>
      </c>
      <c r="UI249" s="16" t="n">
        <v>0</v>
      </c>
      <c r="UJ249" s="16" t="n">
        <v>0</v>
      </c>
      <c r="UK249" s="16"/>
      <c r="UL249" s="16"/>
      <c r="UM249" s="16"/>
      <c r="UN249" s="16"/>
      <c r="UO249" s="16"/>
      <c r="UP249" s="16"/>
      <c r="UQ249" s="16"/>
      <c r="UR249" s="16"/>
      <c r="US249" s="16"/>
      <c r="UT249" s="16" t="n">
        <v>3.41</v>
      </c>
      <c r="UU249" s="16" t="n">
        <v>3.41</v>
      </c>
      <c r="UV249" s="16"/>
      <c r="UW249" s="16"/>
      <c r="UX249" s="16" t="n">
        <v>0</v>
      </c>
      <c r="UY249" s="16" t="n">
        <v>0</v>
      </c>
      <c r="UZ249" s="16" t="n">
        <v>0</v>
      </c>
      <c r="VA249" s="0" t="n">
        <v>0</v>
      </c>
      <c r="VB249" s="0" t="s">
        <v>407</v>
      </c>
      <c r="VC249" s="0" t="n">
        <v>17</v>
      </c>
      <c r="VD249" s="16" t="n">
        <v>84.3</v>
      </c>
      <c r="VE249" s="16" t="n">
        <v>80.4</v>
      </c>
      <c r="VF249" s="16" t="n">
        <v>9.8</v>
      </c>
      <c r="VG249" s="0" t="n">
        <v>84.81</v>
      </c>
      <c r="VH249" s="0" t="n">
        <v>14.07</v>
      </c>
      <c r="VI249" s="0" t="n">
        <v>1.12</v>
      </c>
      <c r="VJ249" s="0" t="n">
        <v>0</v>
      </c>
      <c r="VK249" s="0" t="n">
        <v>0</v>
      </c>
      <c r="VL249" s="0" t="n">
        <v>0</v>
      </c>
      <c r="VM249" s="0" t="n">
        <v>0</v>
      </c>
      <c r="VN249" s="0" t="n">
        <v>0</v>
      </c>
      <c r="VO249" s="0" t="n">
        <v>0</v>
      </c>
      <c r="VP249" s="0" t="n">
        <v>0</v>
      </c>
      <c r="VQ249" s="0" t="n">
        <v>0</v>
      </c>
      <c r="VR249" s="0" t="n">
        <v>0</v>
      </c>
      <c r="VS249" s="0" t="n">
        <v>7.34</v>
      </c>
      <c r="VT249" s="0" t="n">
        <v>26.23</v>
      </c>
      <c r="VU249" s="0" t="n">
        <v>0</v>
      </c>
      <c r="VV249" s="0" t="n">
        <v>0</v>
      </c>
      <c r="VW249" s="0" t="n">
        <v>0</v>
      </c>
      <c r="VX249" s="0" t="n">
        <v>0</v>
      </c>
      <c r="WK249" s="0" t="n">
        <v>0</v>
      </c>
      <c r="WL249" s="0" t="n">
        <v>0</v>
      </c>
      <c r="WW249" s="18"/>
      <c r="XO249" s="0" t="n">
        <v>0</v>
      </c>
      <c r="YZ249" s="16" t="n">
        <v>1.51</v>
      </c>
      <c r="ZA249" s="16" t="n">
        <v>1</v>
      </c>
      <c r="ZB249" s="16" t="n">
        <v>2</v>
      </c>
      <c r="ZC249" s="16"/>
      <c r="ZD249" s="16" t="n">
        <f aca="false">0.99+4.04</f>
        <v>5.03</v>
      </c>
      <c r="ZE249" s="16"/>
      <c r="ZF249" s="16"/>
      <c r="ZG249" s="16"/>
      <c r="ZH249" s="16"/>
      <c r="ZI249" s="16"/>
      <c r="ZJ249" s="16"/>
      <c r="ZK249" s="16" t="n">
        <v>5.5</v>
      </c>
      <c r="ZL249" s="16" t="n">
        <v>9.84</v>
      </c>
      <c r="ZM249" s="16"/>
      <c r="ZN249" s="16"/>
      <c r="ZO249" s="16" t="n">
        <v>0</v>
      </c>
      <c r="ZP249" s="16" t="n">
        <v>0</v>
      </c>
      <c r="ZQ249" s="16" t="n">
        <v>0</v>
      </c>
      <c r="ZR249" s="0" t="n">
        <v>0</v>
      </c>
      <c r="ZS249" s="0" t="s">
        <v>408</v>
      </c>
      <c r="ZT249" s="0" t="n">
        <v>26</v>
      </c>
      <c r="ZU249" s="16" t="n">
        <v>75.1</v>
      </c>
      <c r="ZV249" s="16" t="n">
        <v>80.4</v>
      </c>
      <c r="ZW249" s="16" t="n">
        <v>10.7</v>
      </c>
      <c r="ZX249" s="0" t="n">
        <v>76.38</v>
      </c>
      <c r="ZY249" s="0" t="n">
        <v>22.5</v>
      </c>
      <c r="ZZ249" s="0" t="n">
        <v>1.12</v>
      </c>
      <c r="AAA249" s="0" t="n">
        <v>0</v>
      </c>
      <c r="AAB249" s="0" t="n">
        <v>0</v>
      </c>
      <c r="AAC249" s="0" t="n">
        <v>0</v>
      </c>
      <c r="AAD249" s="0" t="n">
        <v>0</v>
      </c>
      <c r="AAE249" s="0" t="n">
        <v>0</v>
      </c>
      <c r="AAF249" s="0" t="n">
        <v>0</v>
      </c>
      <c r="AAG249" s="0" t="n">
        <v>0</v>
      </c>
      <c r="AAH249" s="0" t="n">
        <v>0</v>
      </c>
      <c r="AAI249" s="0" t="n">
        <v>0</v>
      </c>
      <c r="AAJ249" s="0" t="n">
        <v>10.84</v>
      </c>
      <c r="AAK249" s="0" t="n">
        <v>26.14</v>
      </c>
      <c r="AAL249" s="0" t="n">
        <v>0</v>
      </c>
      <c r="AAM249" s="0" t="n">
        <v>0</v>
      </c>
      <c r="AAN249" s="0" t="n">
        <v>0</v>
      </c>
      <c r="AAO249" s="0" t="n">
        <v>0</v>
      </c>
      <c r="ABB249" s="0" t="n">
        <v>2.5</v>
      </c>
      <c r="ABC249" s="0" t="n">
        <v>1</v>
      </c>
      <c r="ABD249" s="0" t="n">
        <v>68</v>
      </c>
      <c r="ABE249" s="0" t="n">
        <v>1</v>
      </c>
      <c r="ABF249" s="0" t="n">
        <f aca="false">1.34</f>
        <v>1.34</v>
      </c>
      <c r="ABG249" s="0" t="n">
        <v>1</v>
      </c>
      <c r="ABH249" s="0" t="n">
        <v>52</v>
      </c>
      <c r="ABI249" s="0" t="n">
        <v>2</v>
      </c>
      <c r="ABJ249" s="0" t="n">
        <v>0.45</v>
      </c>
      <c r="ABK249" s="0" t="n">
        <v>2</v>
      </c>
      <c r="ABN249" s="18"/>
      <c r="ACF249" s="0" t="n">
        <v>0</v>
      </c>
      <c r="ADQ249" s="16" t="n">
        <v>1.21</v>
      </c>
      <c r="ADR249" s="16" t="n">
        <v>1</v>
      </c>
      <c r="ADS249" s="16" t="n">
        <v>2</v>
      </c>
      <c r="ADT249" s="16"/>
      <c r="ADU249" s="16" t="n">
        <v>4.04</v>
      </c>
      <c r="ADV249" s="16"/>
      <c r="ADW249" s="16"/>
      <c r="ADX249" s="16"/>
      <c r="ADY249" s="16"/>
      <c r="ADZ249" s="16"/>
      <c r="AEA249" s="16"/>
      <c r="AEB249" s="16" t="n">
        <v>11.17</v>
      </c>
      <c r="AEC249" s="16" t="n">
        <v>19.84</v>
      </c>
      <c r="AED249" s="16"/>
      <c r="AEE249" s="16"/>
      <c r="AEF249" s="16" t="n">
        <v>0</v>
      </c>
      <c r="AEG249" s="16" t="n">
        <v>0</v>
      </c>
      <c r="AEH249" s="16" t="n">
        <v>0</v>
      </c>
      <c r="AEI249" s="0" t="n">
        <v>0</v>
      </c>
      <c r="AEJ249" s="0" t="s">
        <v>409</v>
      </c>
      <c r="AEK249" s="0" t="n">
        <v>23</v>
      </c>
      <c r="AEL249" s="16" t="n">
        <v>90.8</v>
      </c>
      <c r="AEM249" s="16" t="n">
        <v>80.4</v>
      </c>
      <c r="AEN249" s="16" t="n">
        <v>11.6</v>
      </c>
      <c r="AEO249" s="0" t="n">
        <v>71.46</v>
      </c>
      <c r="AEP249" s="0" t="n">
        <v>27.42</v>
      </c>
      <c r="AEQ249" s="0" t="n">
        <v>1.12</v>
      </c>
      <c r="AER249" s="0" t="n">
        <v>0</v>
      </c>
      <c r="AES249" s="0" t="n">
        <v>0</v>
      </c>
      <c r="AET249" s="0" t="n">
        <v>0</v>
      </c>
      <c r="AEU249" s="0" t="n">
        <v>0</v>
      </c>
      <c r="AEV249" s="0" t="n">
        <v>0</v>
      </c>
      <c r="AEW249" s="0" t="n">
        <v>0</v>
      </c>
      <c r="AEX249" s="0" t="n">
        <v>0</v>
      </c>
      <c r="AEY249" s="0" t="n">
        <v>0</v>
      </c>
      <c r="AEZ249" s="0" t="n">
        <v>0</v>
      </c>
      <c r="AFA249" s="0" t="n">
        <v>11.58</v>
      </c>
      <c r="AFB249" s="0" t="n">
        <v>41.25</v>
      </c>
      <c r="AFC249" s="0" t="n">
        <v>0</v>
      </c>
      <c r="AFD249" s="0" t="n">
        <v>0</v>
      </c>
      <c r="AFE249" s="0" t="n">
        <v>0</v>
      </c>
      <c r="AFF249" s="0" t="n">
        <v>0</v>
      </c>
      <c r="AFS249" s="0" t="n">
        <v>1.7</v>
      </c>
      <c r="AFT249" s="0" t="n">
        <v>1</v>
      </c>
      <c r="AFU249" s="0" t="n">
        <v>35</v>
      </c>
      <c r="AFV249" s="0" t="n">
        <v>1</v>
      </c>
      <c r="AFW249" s="0" t="n">
        <v>0.05</v>
      </c>
      <c r="AFX249" s="0" t="n">
        <v>3</v>
      </c>
      <c r="AFY249" s="0" t="n">
        <v>103</v>
      </c>
      <c r="AFZ249" s="0" t="n">
        <v>5</v>
      </c>
      <c r="AGA249" s="0" t="n">
        <v>0.25</v>
      </c>
      <c r="AGB249" s="0" t="n">
        <v>1</v>
      </c>
      <c r="AGC249" s="0" t="n">
        <v>68</v>
      </c>
      <c r="AGD249" s="0" t="n">
        <v>4</v>
      </c>
      <c r="AGE249" s="18" t="n">
        <v>0.26</v>
      </c>
      <c r="AGF249" s="0" t="n">
        <v>1</v>
      </c>
      <c r="AGG249" s="0" t="n">
        <v>52</v>
      </c>
      <c r="AGH249" s="0" t="n">
        <v>4</v>
      </c>
      <c r="AGI249" s="0" t="n">
        <f aca="false">0.09+0.05+0.04</f>
        <v>0.18</v>
      </c>
      <c r="AGJ249" s="0" t="n">
        <v>2</v>
      </c>
      <c r="AGW249" s="0" t="n">
        <v>0</v>
      </c>
      <c r="AIH249" s="16" t="n">
        <v>0.04</v>
      </c>
      <c r="AII249" s="16" t="n">
        <v>1</v>
      </c>
      <c r="AIJ249" s="16" t="n">
        <v>1</v>
      </c>
      <c r="AIK249" s="16"/>
      <c r="AIL249" s="16" t="n">
        <v>0.13</v>
      </c>
      <c r="AIM249" s="16"/>
      <c r="AIN249" s="16"/>
      <c r="AIO249" s="16"/>
      <c r="AIP249" s="16"/>
      <c r="AIQ249" s="16"/>
      <c r="AIR249" s="16"/>
      <c r="AIS249" s="16" t="n">
        <v>9.52</v>
      </c>
      <c r="AIT249" s="16" t="n">
        <v>21.65</v>
      </c>
      <c r="AIU249" s="16"/>
      <c r="AIV249" s="16"/>
      <c r="AIW249" s="16" t="n">
        <v>0</v>
      </c>
      <c r="AIX249" s="16" t="n">
        <v>0</v>
      </c>
      <c r="AIY249" s="16" t="n">
        <v>0</v>
      </c>
      <c r="AIZ249" s="0" t="n">
        <v>0</v>
      </c>
      <c r="AJA249" s="15"/>
      <c r="AJB249" s="15"/>
      <c r="AJI249" s="15"/>
      <c r="AJJ249" s="15"/>
      <c r="AJQ249" s="15"/>
      <c r="AJR249" s="15"/>
      <c r="AJY249" s="15"/>
      <c r="AJZ249" s="15"/>
      <c r="AKG249" s="15"/>
      <c r="AKH249" s="15"/>
      <c r="AKO249" s="15"/>
      <c r="AKP249" s="15"/>
      <c r="AKW249" s="15"/>
      <c r="AKX249" s="15"/>
      <c r="ALE249" s="15"/>
      <c r="ALF249" s="15"/>
      <c r="ALM249" s="15"/>
      <c r="ALN249" s="15"/>
      <c r="ALU249" s="15"/>
      <c r="ALV249" s="15"/>
      <c r="AMC249" s="15"/>
      <c r="AMD249" s="15"/>
    </row>
    <row r="250" customFormat="false" ht="13.8" hidden="false" customHeight="false" outlineLevel="0" collapsed="false">
      <c r="A250" s="1" t="s">
        <v>769</v>
      </c>
      <c r="B250" s="12" t="n">
        <v>42909</v>
      </c>
      <c r="C250" s="0" t="n">
        <v>2</v>
      </c>
      <c r="D250" s="13" t="n">
        <v>42807</v>
      </c>
      <c r="E250" s="12" t="n">
        <v>30564</v>
      </c>
      <c r="F250" s="14" t="n">
        <f aca="false">(B250-E250)/365.25</f>
        <v>33.7987679671458</v>
      </c>
      <c r="G250" s="14" t="n">
        <f aca="false">(B250-D250)/365.25</f>
        <v>0.279260780287474</v>
      </c>
      <c r="H250" s="19" t="s">
        <v>217</v>
      </c>
      <c r="I250" s="15" t="s">
        <v>402</v>
      </c>
      <c r="J250" s="21" t="s">
        <v>183</v>
      </c>
      <c r="K250" s="21" t="n">
        <v>8</v>
      </c>
      <c r="L250" s="19" t="n">
        <v>64</v>
      </c>
      <c r="M250" s="0" t="n">
        <v>1.7</v>
      </c>
      <c r="N250" s="16" t="n">
        <f aca="false">L250/(M250*M250)</f>
        <v>22.1453287197232</v>
      </c>
      <c r="O250" s="19" t="n">
        <v>0</v>
      </c>
      <c r="P250" s="19" t="n">
        <v>0</v>
      </c>
      <c r="Q250" s="19" t="n">
        <v>0</v>
      </c>
      <c r="R250" s="26" t="n">
        <v>0</v>
      </c>
      <c r="S250" s="26" t="n">
        <v>0</v>
      </c>
      <c r="T250" s="26" t="n">
        <v>0</v>
      </c>
      <c r="U250" s="26" t="n">
        <v>0</v>
      </c>
      <c r="V250" s="26" t="n">
        <v>0</v>
      </c>
      <c r="W250" s="19" t="n">
        <v>0</v>
      </c>
      <c r="X250" s="19" t="n">
        <v>0</v>
      </c>
      <c r="Y250" s="19" t="n">
        <v>0</v>
      </c>
      <c r="Z250" s="19" t="n">
        <v>0</v>
      </c>
      <c r="AA250" s="19" t="n">
        <v>0</v>
      </c>
      <c r="AB250" s="19" t="n">
        <v>0</v>
      </c>
      <c r="AC250" s="19" t="n">
        <v>1</v>
      </c>
      <c r="AD250" s="19" t="n">
        <v>12</v>
      </c>
      <c r="AE250" s="19" t="n">
        <v>0</v>
      </c>
      <c r="AF250" s="19" t="n">
        <v>0</v>
      </c>
      <c r="AG250" s="19" t="n">
        <v>0</v>
      </c>
      <c r="AH250" s="19" t="n">
        <v>0</v>
      </c>
      <c r="AI250" s="19" t="n">
        <v>0</v>
      </c>
      <c r="AJ250" s="19" t="n">
        <v>0</v>
      </c>
      <c r="AK250" s="19" t="n">
        <v>0</v>
      </c>
      <c r="AL250" s="19" t="n">
        <v>0</v>
      </c>
      <c r="AM250" s="19" t="n">
        <v>0</v>
      </c>
      <c r="AN250" s="19" t="n">
        <v>0</v>
      </c>
      <c r="AO250" s="19" t="n">
        <v>0</v>
      </c>
      <c r="AP250" s="19" t="n">
        <v>0</v>
      </c>
      <c r="AQ250" s="19" t="n">
        <v>0</v>
      </c>
      <c r="AR250" s="19" t="n">
        <v>0</v>
      </c>
      <c r="AS250" s="19" t="n">
        <v>0</v>
      </c>
      <c r="AT250" s="19" t="n">
        <v>0</v>
      </c>
      <c r="AU250" s="19" t="n">
        <v>0</v>
      </c>
      <c r="AV250" s="19" t="n">
        <v>0</v>
      </c>
      <c r="AW250" s="19" t="n">
        <v>0</v>
      </c>
      <c r="AX250" s="19" t="n">
        <v>0</v>
      </c>
      <c r="AY250" s="19" t="n">
        <v>0</v>
      </c>
      <c r="AZ250" s="19" t="n">
        <v>0</v>
      </c>
      <c r="BA250" s="19" t="n">
        <v>0</v>
      </c>
      <c r="BB250" s="19" t="n">
        <v>0</v>
      </c>
      <c r="BC250" s="19" t="n">
        <v>0</v>
      </c>
      <c r="BD250" s="19" t="n">
        <v>0</v>
      </c>
      <c r="BE250" s="19" t="n">
        <v>0</v>
      </c>
      <c r="BF250" s="19" t="n">
        <v>0</v>
      </c>
      <c r="BG250" s="19" t="n">
        <v>0</v>
      </c>
      <c r="BH250" s="19" t="n">
        <v>0</v>
      </c>
      <c r="BI250" s="19" t="n">
        <v>0</v>
      </c>
      <c r="BJ250" s="19" t="n">
        <v>0</v>
      </c>
      <c r="BK250" s="19" t="n">
        <v>0</v>
      </c>
      <c r="BL250" s="19" t="n">
        <v>0</v>
      </c>
      <c r="BM250" s="19" t="n">
        <v>0</v>
      </c>
      <c r="BN250" s="19" t="n">
        <v>0</v>
      </c>
      <c r="BO250" s="19" t="n">
        <v>0</v>
      </c>
      <c r="BP250" s="19" t="n">
        <v>0</v>
      </c>
      <c r="BQ250" s="19" t="n">
        <v>0</v>
      </c>
      <c r="BR250" s="19" t="n">
        <v>2</v>
      </c>
      <c r="BS250" s="19" t="n">
        <v>2</v>
      </c>
      <c r="BT250" s="19" t="n">
        <v>5</v>
      </c>
      <c r="BU250" s="19" t="n">
        <v>5</v>
      </c>
      <c r="BV250" s="19" t="n">
        <v>2</v>
      </c>
      <c r="BW250" s="19" t="n">
        <v>2</v>
      </c>
      <c r="BX250" s="19" t="n">
        <v>3</v>
      </c>
      <c r="BY250" s="19" t="n">
        <v>3</v>
      </c>
      <c r="BZ250" s="19" t="n">
        <v>4</v>
      </c>
      <c r="CA250" s="19" t="n">
        <v>3</v>
      </c>
      <c r="CB250" s="19" t="n">
        <v>5</v>
      </c>
      <c r="CC250" s="19" t="n">
        <v>5</v>
      </c>
      <c r="CD250" s="19" t="n">
        <v>5</v>
      </c>
      <c r="CE250" s="19" t="n">
        <v>5</v>
      </c>
      <c r="CF250" s="19" t="n">
        <v>5</v>
      </c>
      <c r="CG250" s="19" t="n">
        <v>5</v>
      </c>
      <c r="CH250" s="19" t="n">
        <v>5</v>
      </c>
      <c r="CI250" s="19" t="n">
        <v>5</v>
      </c>
      <c r="CJ250" s="19" t="n">
        <v>5</v>
      </c>
      <c r="CK250" s="19" t="n">
        <v>10</v>
      </c>
      <c r="CL250" s="0" t="s">
        <v>403</v>
      </c>
      <c r="CM250" s="0" t="n">
        <v>21.5</v>
      </c>
      <c r="CN250" s="16" t="n">
        <v>78.4</v>
      </c>
      <c r="CO250" s="16" t="n">
        <v>80.4</v>
      </c>
      <c r="CP250" s="16" t="n">
        <v>9.6</v>
      </c>
      <c r="CQ250" s="0" t="n">
        <v>84.68</v>
      </c>
      <c r="CR250" s="0" t="n">
        <v>14.18</v>
      </c>
      <c r="CS250" s="0" t="n">
        <v>1.12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9.51</v>
      </c>
      <c r="DD250" s="0" t="n">
        <v>25.42</v>
      </c>
      <c r="DE250" s="0" t="n">
        <v>0</v>
      </c>
      <c r="DF250" s="0" t="n">
        <v>0</v>
      </c>
      <c r="DG250" s="0" t="n">
        <v>0</v>
      </c>
      <c r="DH250" s="0" t="n">
        <v>2</v>
      </c>
      <c r="DI250" s="0" t="n">
        <v>5</v>
      </c>
      <c r="DO250" s="0" t="n">
        <v>5</v>
      </c>
      <c r="DU250" s="0" t="n">
        <v>3.2</v>
      </c>
      <c r="DV250" s="0" t="n">
        <v>1</v>
      </c>
      <c r="DW250" s="0" t="n">
        <v>52</v>
      </c>
      <c r="DX250" s="0" t="n">
        <v>3</v>
      </c>
      <c r="DY250" s="0" t="n">
        <f aca="false">0.07+0.76</f>
        <v>0.83</v>
      </c>
      <c r="DZ250" s="0" t="n">
        <v>2</v>
      </c>
      <c r="EA250" s="0" t="n">
        <v>103</v>
      </c>
      <c r="EB250" s="0" t="n">
        <v>3</v>
      </c>
      <c r="EC250" s="0" t="n">
        <f aca="false">0.36+0.34</f>
        <v>0.7</v>
      </c>
      <c r="ED250" s="0" t="n">
        <v>1</v>
      </c>
      <c r="EE250" s="0" t="n">
        <v>68</v>
      </c>
      <c r="EF250" s="0" t="n">
        <v>2</v>
      </c>
      <c r="EG250" s="18" t="n">
        <f aca="false">0.24</f>
        <v>0.24</v>
      </c>
      <c r="EH250" s="0" t="n">
        <v>1</v>
      </c>
      <c r="EI250" s="0" t="n">
        <v>34</v>
      </c>
      <c r="EJ250" s="0" t="n">
        <v>2</v>
      </c>
      <c r="EK250" s="0" t="n">
        <f aca="false">0.24</f>
        <v>0.24</v>
      </c>
      <c r="EL250" s="0" t="n">
        <v>1</v>
      </c>
      <c r="EY250" s="0" t="n">
        <v>0</v>
      </c>
      <c r="GJ250" s="16" t="n">
        <v>0.36</v>
      </c>
      <c r="GK250" s="16" t="n">
        <v>1</v>
      </c>
      <c r="GL250" s="16" t="n">
        <v>1</v>
      </c>
      <c r="GM250" s="16"/>
      <c r="GN250" s="16" t="n">
        <v>1.52</v>
      </c>
      <c r="GO250" s="16"/>
      <c r="GP250" s="16"/>
      <c r="GQ250" s="16"/>
      <c r="GR250" s="16"/>
      <c r="GS250" s="16"/>
      <c r="GT250" s="16"/>
      <c r="GU250" s="16" t="n">
        <v>8.32</v>
      </c>
      <c r="GV250" s="16" t="n">
        <v>8.31</v>
      </c>
      <c r="GW250" s="16"/>
      <c r="GX250" s="16"/>
      <c r="GY250" s="16" t="n">
        <v>0</v>
      </c>
      <c r="GZ250" s="16" t="n">
        <v>0</v>
      </c>
      <c r="HA250" s="16" t="n">
        <v>0</v>
      </c>
      <c r="HB250" s="0" t="n">
        <v>0</v>
      </c>
      <c r="HC250" s="0" t="s">
        <v>404</v>
      </c>
      <c r="HD250" s="0" t="n">
        <v>50.5</v>
      </c>
      <c r="HE250" s="16" t="n">
        <v>95.8</v>
      </c>
      <c r="HF250" s="16" t="n">
        <v>80.4</v>
      </c>
      <c r="HG250" s="16" t="n">
        <v>22.6</v>
      </c>
      <c r="HH250" s="0" t="n">
        <v>70.65</v>
      </c>
      <c r="HI250" s="0" t="n">
        <v>13.02</v>
      </c>
      <c r="HJ250" s="0" t="n">
        <v>16.33</v>
      </c>
      <c r="HK250" s="0" t="n">
        <v>0</v>
      </c>
      <c r="HL250" s="0" t="n">
        <v>0</v>
      </c>
      <c r="HM250" s="0" t="n">
        <v>0</v>
      </c>
      <c r="HN250" s="0" t="n">
        <v>0</v>
      </c>
      <c r="HO250" s="0" t="n">
        <v>0</v>
      </c>
      <c r="HP250" s="0" t="n">
        <v>0</v>
      </c>
      <c r="HQ250" s="0" t="n">
        <v>0</v>
      </c>
      <c r="HR250" s="0" t="n">
        <v>0</v>
      </c>
      <c r="HS250" s="0" t="n">
        <v>0</v>
      </c>
      <c r="HT250" s="0" t="n">
        <v>3.81</v>
      </c>
      <c r="HU250" s="0" t="n">
        <v>53.36</v>
      </c>
      <c r="HV250" s="0" t="n">
        <v>0</v>
      </c>
      <c r="HW250" s="0" t="n">
        <v>0</v>
      </c>
      <c r="HX250" s="0" t="n">
        <v>7.8</v>
      </c>
      <c r="HY250" s="0" t="n">
        <v>2</v>
      </c>
      <c r="HZ250" s="0" t="n">
        <v>10</v>
      </c>
      <c r="IA250" s="0" t="n">
        <v>2.69</v>
      </c>
      <c r="IF250" s="0" t="n">
        <v>10</v>
      </c>
      <c r="IG250" s="0" t="n">
        <v>2.69</v>
      </c>
      <c r="IL250" s="0" t="n">
        <v>0</v>
      </c>
      <c r="IM250" s="0" t="n">
        <v>0</v>
      </c>
      <c r="IX250" s="18"/>
      <c r="JP250" s="0" t="n">
        <v>0</v>
      </c>
      <c r="LA250" s="16" t="n">
        <v>10.02</v>
      </c>
      <c r="LB250" s="16" t="n">
        <v>1</v>
      </c>
      <c r="LC250" s="16" t="n">
        <v>2</v>
      </c>
      <c r="LD250" s="16"/>
      <c r="LE250" s="16" t="n">
        <f aca="false">0.05*4+0.33*4+1.5*4+0.76*4+1.14*4</f>
        <v>15.12</v>
      </c>
      <c r="LF250" s="16"/>
      <c r="LG250" s="16"/>
      <c r="LH250" s="16"/>
      <c r="LI250" s="16"/>
      <c r="LJ250" s="16"/>
      <c r="LK250" s="16"/>
      <c r="LL250" s="16" t="n">
        <v>9.92</v>
      </c>
      <c r="LM250" s="16" t="n">
        <v>20.94</v>
      </c>
      <c r="LN250" s="16"/>
      <c r="LO250" s="16"/>
      <c r="LP250" s="16" t="n">
        <v>0</v>
      </c>
      <c r="LQ250" s="16" t="n">
        <v>0</v>
      </c>
      <c r="LR250" s="16" t="n">
        <v>0</v>
      </c>
      <c r="LS250" s="0" t="n">
        <v>0</v>
      </c>
      <c r="LT250" s="0" t="s">
        <v>405</v>
      </c>
      <c r="LU250" s="0" t="n">
        <v>57.5</v>
      </c>
      <c r="LV250" s="16" t="n">
        <v>93.3</v>
      </c>
      <c r="LW250" s="16" t="n">
        <v>80.4</v>
      </c>
      <c r="LX250" s="16" t="n">
        <v>37.2</v>
      </c>
      <c r="LY250" s="0" t="n">
        <v>37.4</v>
      </c>
      <c r="LZ250" s="0" t="n">
        <v>31.73</v>
      </c>
      <c r="MA250" s="0" t="n">
        <v>29.89</v>
      </c>
      <c r="MB250" s="0" t="n">
        <v>0</v>
      </c>
      <c r="MC250" s="0" t="n">
        <v>0.98</v>
      </c>
      <c r="MD250" s="0" t="n">
        <v>0</v>
      </c>
      <c r="ME250" s="0" t="n">
        <v>0</v>
      </c>
      <c r="MF250" s="0" t="n">
        <v>0</v>
      </c>
      <c r="MG250" s="0" t="n">
        <v>0</v>
      </c>
      <c r="MH250" s="0" t="n">
        <v>0</v>
      </c>
      <c r="MI250" s="0" t="n">
        <v>0</v>
      </c>
      <c r="MJ250" s="0" t="n">
        <v>0</v>
      </c>
      <c r="MK250" s="0" t="n">
        <v>21.26</v>
      </c>
      <c r="ML250" s="0" t="n">
        <v>57.4</v>
      </c>
      <c r="MM250" s="0" t="n">
        <v>0</v>
      </c>
      <c r="MN250" s="0" t="n">
        <v>0</v>
      </c>
      <c r="MO250" s="0" t="n">
        <v>0</v>
      </c>
      <c r="MP250" s="0" t="n">
        <v>0</v>
      </c>
      <c r="NC250" s="0" t="n">
        <v>2.3</v>
      </c>
      <c r="ND250" s="0" t="n">
        <v>1</v>
      </c>
      <c r="NE250" s="0" t="n">
        <v>35</v>
      </c>
      <c r="NF250" s="0" t="n">
        <v>1</v>
      </c>
      <c r="NG250" s="0" t="n">
        <v>0.49</v>
      </c>
      <c r="NH250" s="0" t="n">
        <v>3</v>
      </c>
      <c r="NO250" s="18"/>
      <c r="OG250" s="0" t="n">
        <v>0</v>
      </c>
      <c r="PR250" s="16" t="n">
        <v>2.91</v>
      </c>
      <c r="PS250" s="16" t="n">
        <v>1</v>
      </c>
      <c r="PT250" s="16" t="n">
        <v>1</v>
      </c>
      <c r="PU250" s="16"/>
      <c r="PV250" s="16" t="n">
        <f aca="false">2.49+0.21+0.47*2+2.49+0.26+0.53+0.01+4.77+14.32+1.53+3.06+0.13</f>
        <v>30.74</v>
      </c>
      <c r="PW250" s="16"/>
      <c r="PX250" s="16"/>
      <c r="PY250" s="16"/>
      <c r="PZ250" s="16"/>
      <c r="QA250" s="16"/>
      <c r="QB250" s="16"/>
      <c r="QC250" s="16" t="n">
        <v>14.81</v>
      </c>
      <c r="QD250" s="16" t="n">
        <v>52.45</v>
      </c>
      <c r="QE250" s="16"/>
      <c r="QF250" s="16"/>
      <c r="QG250" s="16" t="n">
        <v>0</v>
      </c>
      <c r="QH250" s="16" t="n">
        <v>0</v>
      </c>
      <c r="QI250" s="16" t="n">
        <v>0</v>
      </c>
      <c r="QJ250" s="0" t="n">
        <v>0</v>
      </c>
      <c r="QK250" s="0" t="s">
        <v>406</v>
      </c>
      <c r="QL250" s="0" t="n">
        <v>12.5</v>
      </c>
      <c r="QM250" s="16" t="n">
        <v>69.9</v>
      </c>
      <c r="QN250" s="16" t="n">
        <v>80.4</v>
      </c>
      <c r="QO250" s="16" t="n">
        <v>9</v>
      </c>
      <c r="QP250" s="0" t="n">
        <v>90.9</v>
      </c>
      <c r="QQ250" s="0" t="n">
        <v>7.98</v>
      </c>
      <c r="QR250" s="0" t="n">
        <v>1.12</v>
      </c>
      <c r="QS250" s="0" t="n">
        <v>4.56</v>
      </c>
      <c r="QT250" s="0" t="n">
        <v>17.67</v>
      </c>
      <c r="QU250" s="0" t="n">
        <v>0</v>
      </c>
      <c r="QV250" s="0" t="n">
        <v>0</v>
      </c>
      <c r="QW250" s="0" t="n">
        <v>0</v>
      </c>
      <c r="QX250" s="0" t="n">
        <v>0</v>
      </c>
      <c r="QY250" s="0" t="n">
        <v>0</v>
      </c>
      <c r="QZ250" s="0" t="n">
        <v>0</v>
      </c>
      <c r="RA250" s="0" t="n">
        <v>0</v>
      </c>
      <c r="RB250" s="0" t="n">
        <v>4.56</v>
      </c>
      <c r="RC250" s="0" t="n">
        <v>17.67</v>
      </c>
      <c r="RD250" s="0" t="n">
        <v>0</v>
      </c>
      <c r="RE250" s="0" t="n">
        <v>0</v>
      </c>
      <c r="RF250" s="0" t="n">
        <v>0</v>
      </c>
      <c r="RG250" s="0" t="n">
        <v>0</v>
      </c>
      <c r="RT250" s="0" t="n">
        <v>0</v>
      </c>
      <c r="RU250" s="0" t="n">
        <v>0</v>
      </c>
      <c r="SF250" s="18"/>
      <c r="SX250" s="0" t="n">
        <v>0</v>
      </c>
      <c r="UI250" s="16" t="n">
        <v>0</v>
      </c>
      <c r="UJ250" s="16" t="n">
        <v>0</v>
      </c>
      <c r="UK250" s="16"/>
      <c r="UL250" s="16"/>
      <c r="UM250" s="16"/>
      <c r="UN250" s="16"/>
      <c r="UO250" s="16"/>
      <c r="UP250" s="16"/>
      <c r="UQ250" s="16"/>
      <c r="UR250" s="16"/>
      <c r="US250" s="16"/>
      <c r="UT250" s="16" t="n">
        <v>3.41</v>
      </c>
      <c r="UU250" s="16" t="n">
        <v>3.41</v>
      </c>
      <c r="UV250" s="16"/>
      <c r="UW250" s="16"/>
      <c r="UX250" s="16" t="n">
        <v>0</v>
      </c>
      <c r="UY250" s="16" t="n">
        <v>0</v>
      </c>
      <c r="UZ250" s="16" t="n">
        <v>0</v>
      </c>
      <c r="VA250" s="0" t="n">
        <v>0</v>
      </c>
      <c r="VB250" s="0" t="s">
        <v>407</v>
      </c>
      <c r="VC250" s="0" t="n">
        <v>17</v>
      </c>
      <c r="VD250" s="16" t="n">
        <v>84.3</v>
      </c>
      <c r="VE250" s="16" t="n">
        <v>80.4</v>
      </c>
      <c r="VF250" s="16" t="n">
        <v>9.8</v>
      </c>
      <c r="VG250" s="0" t="n">
        <v>84.81</v>
      </c>
      <c r="VH250" s="0" t="n">
        <v>14.07</v>
      </c>
      <c r="VI250" s="0" t="n">
        <v>1.12</v>
      </c>
      <c r="VJ250" s="0" t="n">
        <v>0</v>
      </c>
      <c r="VK250" s="0" t="n">
        <v>0</v>
      </c>
      <c r="VL250" s="0" t="n">
        <v>0</v>
      </c>
      <c r="VM250" s="0" t="n">
        <v>0</v>
      </c>
      <c r="VN250" s="0" t="n">
        <v>0</v>
      </c>
      <c r="VO250" s="0" t="n">
        <v>0</v>
      </c>
      <c r="VP250" s="0" t="n">
        <v>0</v>
      </c>
      <c r="VQ250" s="0" t="n">
        <v>0</v>
      </c>
      <c r="VR250" s="0" t="n">
        <v>0</v>
      </c>
      <c r="VS250" s="0" t="n">
        <v>7.34</v>
      </c>
      <c r="VT250" s="0" t="n">
        <v>26.23</v>
      </c>
      <c r="VU250" s="0" t="n">
        <v>0</v>
      </c>
      <c r="VV250" s="0" t="n">
        <v>0</v>
      </c>
      <c r="VW250" s="0" t="n">
        <v>0</v>
      </c>
      <c r="VX250" s="0" t="n">
        <v>0</v>
      </c>
      <c r="WK250" s="0" t="n">
        <v>0</v>
      </c>
      <c r="WL250" s="0" t="n">
        <v>0</v>
      </c>
      <c r="WW250" s="18"/>
      <c r="XO250" s="0" t="n">
        <v>0</v>
      </c>
      <c r="YZ250" s="16" t="n">
        <v>1.51</v>
      </c>
      <c r="ZA250" s="16" t="n">
        <v>1</v>
      </c>
      <c r="ZB250" s="16" t="n">
        <v>2</v>
      </c>
      <c r="ZC250" s="16"/>
      <c r="ZD250" s="16" t="n">
        <f aca="false">0.99+4.04</f>
        <v>5.03</v>
      </c>
      <c r="ZE250" s="16"/>
      <c r="ZF250" s="16"/>
      <c r="ZG250" s="16"/>
      <c r="ZH250" s="16"/>
      <c r="ZI250" s="16"/>
      <c r="ZJ250" s="16"/>
      <c r="ZK250" s="16" t="n">
        <v>5.5</v>
      </c>
      <c r="ZL250" s="16" t="n">
        <v>9.84</v>
      </c>
      <c r="ZM250" s="16"/>
      <c r="ZN250" s="16"/>
      <c r="ZO250" s="16" t="n">
        <v>0</v>
      </c>
      <c r="ZP250" s="16" t="n">
        <v>0</v>
      </c>
      <c r="ZQ250" s="16" t="n">
        <v>0</v>
      </c>
      <c r="ZR250" s="0" t="n">
        <v>0</v>
      </c>
      <c r="ZS250" s="0" t="s">
        <v>408</v>
      </c>
      <c r="ZT250" s="0" t="n">
        <v>26</v>
      </c>
      <c r="ZU250" s="16" t="n">
        <v>75.1</v>
      </c>
      <c r="ZV250" s="16" t="n">
        <v>80.4</v>
      </c>
      <c r="ZW250" s="16" t="n">
        <v>10.7</v>
      </c>
      <c r="ZX250" s="0" t="n">
        <v>76.38</v>
      </c>
      <c r="ZY250" s="0" t="n">
        <v>22.5</v>
      </c>
      <c r="ZZ250" s="0" t="n">
        <v>1.12</v>
      </c>
      <c r="AAA250" s="0" t="n">
        <v>0</v>
      </c>
      <c r="AAB250" s="0" t="n">
        <v>0</v>
      </c>
      <c r="AAC250" s="0" t="n">
        <v>0</v>
      </c>
      <c r="AAD250" s="0" t="n">
        <v>0</v>
      </c>
      <c r="AAE250" s="0" t="n">
        <v>0</v>
      </c>
      <c r="AAF250" s="0" t="n">
        <v>0</v>
      </c>
      <c r="AAG250" s="0" t="n">
        <v>0</v>
      </c>
      <c r="AAH250" s="0" t="n">
        <v>0</v>
      </c>
      <c r="AAI250" s="0" t="n">
        <v>0</v>
      </c>
      <c r="AAJ250" s="0" t="n">
        <v>10.84</v>
      </c>
      <c r="AAK250" s="0" t="n">
        <v>26.14</v>
      </c>
      <c r="AAL250" s="0" t="n">
        <v>0</v>
      </c>
      <c r="AAM250" s="0" t="n">
        <v>0</v>
      </c>
      <c r="AAN250" s="0" t="n">
        <v>0</v>
      </c>
      <c r="AAO250" s="0" t="n">
        <v>0</v>
      </c>
      <c r="ABB250" s="0" t="n">
        <v>2.5</v>
      </c>
      <c r="ABC250" s="0" t="n">
        <v>1</v>
      </c>
      <c r="ABD250" s="0" t="n">
        <v>68</v>
      </c>
      <c r="ABE250" s="0" t="n">
        <v>1</v>
      </c>
      <c r="ABF250" s="0" t="n">
        <f aca="false">1.34</f>
        <v>1.34</v>
      </c>
      <c r="ABG250" s="0" t="n">
        <v>1</v>
      </c>
      <c r="ABH250" s="0" t="n">
        <v>52</v>
      </c>
      <c r="ABI250" s="0" t="n">
        <v>2</v>
      </c>
      <c r="ABJ250" s="0" t="n">
        <v>0.45</v>
      </c>
      <c r="ABK250" s="0" t="n">
        <v>2</v>
      </c>
      <c r="ABN250" s="18"/>
      <c r="ACF250" s="0" t="n">
        <v>0</v>
      </c>
      <c r="ADQ250" s="16" t="n">
        <v>1.21</v>
      </c>
      <c r="ADR250" s="16" t="n">
        <v>1</v>
      </c>
      <c r="ADS250" s="16" t="n">
        <v>2</v>
      </c>
      <c r="ADT250" s="16"/>
      <c r="ADU250" s="16" t="n">
        <v>4.04</v>
      </c>
      <c r="ADV250" s="16"/>
      <c r="ADW250" s="16"/>
      <c r="ADX250" s="16"/>
      <c r="ADY250" s="16"/>
      <c r="ADZ250" s="16"/>
      <c r="AEA250" s="16"/>
      <c r="AEB250" s="16" t="n">
        <v>11.17</v>
      </c>
      <c r="AEC250" s="16" t="n">
        <v>19.84</v>
      </c>
      <c r="AED250" s="16"/>
      <c r="AEE250" s="16"/>
      <c r="AEF250" s="16" t="n">
        <v>0</v>
      </c>
      <c r="AEG250" s="16" t="n">
        <v>0</v>
      </c>
      <c r="AEH250" s="16" t="n">
        <v>0</v>
      </c>
      <c r="AEI250" s="0" t="n">
        <v>0</v>
      </c>
      <c r="AEJ250" s="0" t="s">
        <v>409</v>
      </c>
      <c r="AEK250" s="0" t="n">
        <v>23</v>
      </c>
      <c r="AEL250" s="16" t="n">
        <v>90.8</v>
      </c>
      <c r="AEM250" s="16" t="n">
        <v>80.4</v>
      </c>
      <c r="AEN250" s="16" t="n">
        <v>11.6</v>
      </c>
      <c r="AEO250" s="0" t="n">
        <v>71.46</v>
      </c>
      <c r="AEP250" s="0" t="n">
        <v>27.42</v>
      </c>
      <c r="AEQ250" s="0" t="n">
        <v>1.12</v>
      </c>
      <c r="AER250" s="0" t="n">
        <v>0</v>
      </c>
      <c r="AES250" s="0" t="n">
        <v>0</v>
      </c>
      <c r="AET250" s="0" t="n">
        <v>0</v>
      </c>
      <c r="AEU250" s="0" t="n">
        <v>0</v>
      </c>
      <c r="AEV250" s="0" t="n">
        <v>0</v>
      </c>
      <c r="AEW250" s="0" t="n">
        <v>0</v>
      </c>
      <c r="AEX250" s="0" t="n">
        <v>0</v>
      </c>
      <c r="AEY250" s="0" t="n">
        <v>0</v>
      </c>
      <c r="AEZ250" s="0" t="n">
        <v>0</v>
      </c>
      <c r="AFA250" s="0" t="n">
        <v>11.58</v>
      </c>
      <c r="AFB250" s="0" t="n">
        <v>41.25</v>
      </c>
      <c r="AFC250" s="0" t="n">
        <v>0</v>
      </c>
      <c r="AFD250" s="0" t="n">
        <v>0</v>
      </c>
      <c r="AFE250" s="0" t="n">
        <v>0</v>
      </c>
      <c r="AFF250" s="0" t="n">
        <v>0</v>
      </c>
      <c r="AFS250" s="0" t="n">
        <v>1.7</v>
      </c>
      <c r="AFT250" s="0" t="n">
        <v>1</v>
      </c>
      <c r="AFU250" s="0" t="n">
        <v>35</v>
      </c>
      <c r="AFV250" s="0" t="n">
        <v>1</v>
      </c>
      <c r="AFW250" s="0" t="n">
        <v>0.05</v>
      </c>
      <c r="AFX250" s="0" t="n">
        <v>3</v>
      </c>
      <c r="AFY250" s="0" t="n">
        <v>103</v>
      </c>
      <c r="AFZ250" s="0" t="n">
        <v>5</v>
      </c>
      <c r="AGA250" s="0" t="n">
        <v>0.25</v>
      </c>
      <c r="AGB250" s="0" t="n">
        <v>1</v>
      </c>
      <c r="AGC250" s="0" t="n">
        <v>68</v>
      </c>
      <c r="AGD250" s="0" t="n">
        <v>4</v>
      </c>
      <c r="AGE250" s="18" t="n">
        <v>0.26</v>
      </c>
      <c r="AGF250" s="0" t="n">
        <v>1</v>
      </c>
      <c r="AGG250" s="0" t="n">
        <v>52</v>
      </c>
      <c r="AGH250" s="0" t="n">
        <v>4</v>
      </c>
      <c r="AGI250" s="0" t="n">
        <f aca="false">0.09+0.05+0.04</f>
        <v>0.18</v>
      </c>
      <c r="AGJ250" s="0" t="n">
        <v>2</v>
      </c>
      <c r="AGW250" s="0" t="n">
        <v>0</v>
      </c>
      <c r="AIH250" s="16" t="n">
        <v>0.04</v>
      </c>
      <c r="AII250" s="16" t="n">
        <v>1</v>
      </c>
      <c r="AIJ250" s="16" t="n">
        <v>1</v>
      </c>
      <c r="AIK250" s="16"/>
      <c r="AIL250" s="16" t="n">
        <v>0.13</v>
      </c>
      <c r="AIM250" s="16"/>
      <c r="AIN250" s="16"/>
      <c r="AIO250" s="16"/>
      <c r="AIP250" s="16"/>
      <c r="AIQ250" s="16"/>
      <c r="AIR250" s="16"/>
      <c r="AIS250" s="16" t="n">
        <v>9.52</v>
      </c>
      <c r="AIT250" s="16" t="n">
        <v>21.65</v>
      </c>
      <c r="AIU250" s="16"/>
      <c r="AIV250" s="16"/>
      <c r="AIW250" s="16" t="n">
        <v>0</v>
      </c>
      <c r="AIX250" s="16" t="n">
        <v>0</v>
      </c>
      <c r="AIY250" s="16" t="n">
        <v>0</v>
      </c>
      <c r="AIZ250" s="0" t="n">
        <v>0</v>
      </c>
      <c r="AJA250" s="0" t="s">
        <v>410</v>
      </c>
      <c r="AJB250" s="0" t="n">
        <v>24</v>
      </c>
      <c r="AJC250" s="16" t="n">
        <v>82.9</v>
      </c>
      <c r="AJD250" s="16" t="n">
        <v>80.4</v>
      </c>
      <c r="AJE250" s="16" t="n">
        <v>9.6</v>
      </c>
      <c r="AJF250" s="0" t="n">
        <v>86.23</v>
      </c>
      <c r="AJG250" s="0" t="n">
        <v>11.76</v>
      </c>
      <c r="AJH250" s="0" t="n">
        <v>0</v>
      </c>
      <c r="AJI250" s="0" t="n">
        <v>0</v>
      </c>
      <c r="AJJ250" s="0" t="n">
        <v>1.01</v>
      </c>
      <c r="AJK250" s="0" t="n">
        <v>1.01</v>
      </c>
      <c r="AJL250" s="0" t="n">
        <v>0</v>
      </c>
      <c r="AJM250" s="0" t="n">
        <v>0</v>
      </c>
      <c r="AJN250" s="0" t="n">
        <v>0</v>
      </c>
      <c r="AJO250" s="0" t="n">
        <v>0</v>
      </c>
      <c r="AJP250" s="0" t="n">
        <v>0</v>
      </c>
      <c r="AJQ250" s="0" t="n">
        <v>0</v>
      </c>
      <c r="AJR250" s="0" t="n">
        <v>8.84</v>
      </c>
      <c r="AJS250" s="0" t="n">
        <v>23.37</v>
      </c>
      <c r="AJT250" s="0" t="n">
        <v>0</v>
      </c>
      <c r="AJU250" s="0" t="n">
        <v>0</v>
      </c>
      <c r="AJV250" s="0" t="n">
        <v>0</v>
      </c>
      <c r="AJW250" s="0" t="n">
        <v>0</v>
      </c>
      <c r="AKJ250" s="0" t="n">
        <v>0</v>
      </c>
      <c r="AKK250" s="0" t="n">
        <v>1</v>
      </c>
      <c r="AKL250" s="0" t="n">
        <v>52</v>
      </c>
      <c r="AKM250" s="0" t="n">
        <v>1</v>
      </c>
      <c r="AKN250" s="0" t="n">
        <v>0.02</v>
      </c>
      <c r="AKO250" s="0" t="n">
        <v>2</v>
      </c>
      <c r="AKV250" s="18"/>
      <c r="ALN250" s="0" t="n">
        <v>0</v>
      </c>
    </row>
    <row r="251" customFormat="false" ht="13.8" hidden="false" customHeight="false" outlineLevel="0" collapsed="false">
      <c r="A251" s="1" t="s">
        <v>770</v>
      </c>
      <c r="B251" s="12" t="n">
        <v>42908</v>
      </c>
      <c r="C251" s="0" t="n">
        <v>2</v>
      </c>
      <c r="D251" s="13" t="n">
        <v>35465</v>
      </c>
      <c r="E251" s="12" t="n">
        <v>27322</v>
      </c>
      <c r="F251" s="14" t="n">
        <f aca="false">(B251-E251)/365.25</f>
        <v>42.6721423682409</v>
      </c>
      <c r="G251" s="14" t="n">
        <f aca="false">(B251-D251)/365.25</f>
        <v>20.3778234086242</v>
      </c>
      <c r="H251" s="19" t="s">
        <v>217</v>
      </c>
      <c r="I251" s="15" t="s">
        <v>218</v>
      </c>
      <c r="J251" s="21" t="s">
        <v>183</v>
      </c>
      <c r="K251" s="21" t="n">
        <v>8</v>
      </c>
      <c r="L251" s="19" t="n">
        <v>102</v>
      </c>
      <c r="M251" s="0" t="n">
        <v>1.79</v>
      </c>
      <c r="N251" s="16" t="n">
        <f aca="false">L251/(M251*M251)</f>
        <v>31.8342124153428</v>
      </c>
      <c r="O251" s="19" t="n">
        <v>0</v>
      </c>
      <c r="P251" s="19" t="n">
        <v>0</v>
      </c>
      <c r="Q251" s="19" t="n">
        <v>0</v>
      </c>
      <c r="R251" s="26" t="n">
        <v>0</v>
      </c>
      <c r="S251" s="26" t="n">
        <v>0</v>
      </c>
      <c r="T251" s="26" t="n">
        <v>0</v>
      </c>
      <c r="U251" s="26" t="n">
        <v>0</v>
      </c>
      <c r="V251" s="26" t="n">
        <v>0</v>
      </c>
      <c r="W251" s="19"/>
      <c r="X251" s="19" t="n">
        <v>0</v>
      </c>
      <c r="Y251" s="19" t="n">
        <v>0</v>
      </c>
      <c r="Z251" s="19" t="n">
        <v>0</v>
      </c>
      <c r="AA251" s="19" t="n">
        <v>0</v>
      </c>
      <c r="AB251" s="19" t="n">
        <v>0</v>
      </c>
      <c r="AC251" s="19" t="n">
        <v>0</v>
      </c>
      <c r="AD251" s="19" t="n">
        <v>0</v>
      </c>
      <c r="AE251" s="19" t="n">
        <v>1</v>
      </c>
      <c r="AF251" s="19" t="n">
        <v>1</v>
      </c>
      <c r="AG251" s="19" t="n">
        <v>0</v>
      </c>
      <c r="AH251" s="19" t="n">
        <v>0</v>
      </c>
      <c r="AI251" s="19" t="n">
        <v>2</v>
      </c>
      <c r="AJ251" s="19" t="n">
        <v>2</v>
      </c>
      <c r="AK251" s="19" t="n">
        <v>2</v>
      </c>
      <c r="AL251" s="19" t="n">
        <v>0</v>
      </c>
      <c r="AM251" s="19" t="n">
        <v>7</v>
      </c>
      <c r="AN251" s="19" t="n">
        <v>0</v>
      </c>
      <c r="AO251" s="19" t="n">
        <v>0</v>
      </c>
      <c r="AP251" s="19" t="n">
        <v>0</v>
      </c>
      <c r="AQ251" s="19" t="n">
        <v>0</v>
      </c>
      <c r="AR251" s="19" t="n">
        <v>0</v>
      </c>
      <c r="AS251" s="19" t="n">
        <v>0</v>
      </c>
      <c r="AT251" s="19" t="n">
        <v>0</v>
      </c>
      <c r="AU251" s="19" t="n">
        <v>0</v>
      </c>
      <c r="AV251" s="19" t="n">
        <v>0</v>
      </c>
      <c r="AW251" s="19" t="n">
        <v>0</v>
      </c>
      <c r="AX251" s="19" t="n">
        <v>0</v>
      </c>
      <c r="AY251" s="19" t="n">
        <v>0</v>
      </c>
      <c r="AZ251" s="19" t="n">
        <v>0</v>
      </c>
      <c r="BA251" s="19" t="n">
        <v>0</v>
      </c>
      <c r="BB251" s="19" t="n">
        <v>0</v>
      </c>
      <c r="BC251" s="19" t="n">
        <v>0</v>
      </c>
      <c r="BD251" s="19" t="n">
        <v>0</v>
      </c>
      <c r="BE251" s="19" t="n">
        <v>0</v>
      </c>
      <c r="BF251" s="19" t="n">
        <v>0</v>
      </c>
      <c r="BG251" s="19" t="n">
        <v>0</v>
      </c>
      <c r="BH251" s="19" t="n">
        <v>0</v>
      </c>
      <c r="BI251" s="19" t="n">
        <v>0</v>
      </c>
      <c r="BJ251" s="19" t="n">
        <v>0</v>
      </c>
      <c r="BK251" s="19" t="n">
        <v>0</v>
      </c>
      <c r="BL251" s="19" t="n">
        <v>0</v>
      </c>
      <c r="BM251" s="19" t="n">
        <v>0</v>
      </c>
      <c r="BN251" s="19" t="n">
        <v>0</v>
      </c>
      <c r="BO251" s="19" t="n">
        <v>0</v>
      </c>
      <c r="BP251" s="19" t="n">
        <v>0</v>
      </c>
      <c r="BQ251" s="19" t="n">
        <v>0</v>
      </c>
      <c r="BR251" s="19" t="n">
        <v>3</v>
      </c>
      <c r="BS251" s="19" t="n">
        <v>2</v>
      </c>
      <c r="BT251" s="19" t="n">
        <v>3</v>
      </c>
      <c r="BU251" s="19" t="n">
        <v>4</v>
      </c>
      <c r="BV251" s="19" t="n">
        <v>3</v>
      </c>
      <c r="BW251" s="19" t="n">
        <v>3</v>
      </c>
      <c r="BX251" s="19" t="n">
        <v>3</v>
      </c>
      <c r="BY251" s="19" t="n">
        <v>3</v>
      </c>
      <c r="BZ251" s="19" t="n">
        <v>3</v>
      </c>
      <c r="CA251" s="19" t="n">
        <v>3</v>
      </c>
      <c r="CB251" s="19" t="n">
        <v>3</v>
      </c>
      <c r="CC251" s="19" t="n">
        <v>4</v>
      </c>
      <c r="CD251" s="19" t="n">
        <v>3</v>
      </c>
      <c r="CE251" s="19" t="n">
        <v>3</v>
      </c>
      <c r="CF251" s="19" t="n">
        <v>3</v>
      </c>
      <c r="CG251" s="19" t="n">
        <v>4</v>
      </c>
      <c r="CH251" s="19" t="n">
        <v>3</v>
      </c>
      <c r="CI251" s="19" t="n">
        <v>3</v>
      </c>
      <c r="CJ251" s="19" t="n">
        <v>3</v>
      </c>
      <c r="CK251" s="19" t="n">
        <v>9</v>
      </c>
      <c r="CL251" s="0" t="s">
        <v>219</v>
      </c>
      <c r="CM251" s="0" t="n">
        <v>33.5</v>
      </c>
      <c r="CN251" s="16" t="n">
        <v>91.5</v>
      </c>
      <c r="CO251" s="16" t="n">
        <v>80.4</v>
      </c>
      <c r="CP251" s="16" t="n">
        <v>20</v>
      </c>
      <c r="CQ251" s="0" t="n">
        <v>84.58</v>
      </c>
      <c r="CR251" s="17" t="n">
        <v>0</v>
      </c>
      <c r="CS251" s="0" t="n">
        <v>15.42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13.79</v>
      </c>
      <c r="DD251" s="0" t="n">
        <v>2.67</v>
      </c>
      <c r="DE251" s="0" t="n">
        <v>11.54</v>
      </c>
      <c r="DF251" s="0" t="n">
        <v>0</v>
      </c>
      <c r="DG251" s="0" t="n">
        <v>12.3</v>
      </c>
      <c r="DH251" s="0" t="n">
        <v>2</v>
      </c>
      <c r="DI251" s="0" t="n">
        <v>5</v>
      </c>
      <c r="DJ251" s="0" t="n">
        <v>2</v>
      </c>
      <c r="DO251" s="0" t="n">
        <v>5</v>
      </c>
      <c r="DP251" s="0" t="n">
        <v>2</v>
      </c>
      <c r="DU251" s="0" t="n">
        <v>0</v>
      </c>
      <c r="DV251" s="0" t="n">
        <v>1</v>
      </c>
      <c r="DW251" s="0" t="n">
        <v>34</v>
      </c>
      <c r="DX251" s="0" t="n">
        <v>2</v>
      </c>
      <c r="DY251" s="0" t="n">
        <v>0.1</v>
      </c>
      <c r="DZ251" s="0" t="n">
        <v>1</v>
      </c>
      <c r="EA251" s="0" t="n">
        <v>10</v>
      </c>
      <c r="EB251" s="0" t="n">
        <f aca="false">8*4</f>
        <v>32</v>
      </c>
      <c r="EC251" s="0" t="n">
        <f aca="false">0.06+0.01+0.4+1.7+0.24+0.14+0.96</f>
        <v>3.51</v>
      </c>
      <c r="ED251" s="0" t="n">
        <v>3</v>
      </c>
      <c r="EG251" s="18"/>
      <c r="EY251" s="0" t="n">
        <v>0</v>
      </c>
      <c r="GJ251" s="16" t="n">
        <v>0.25</v>
      </c>
      <c r="GK251" s="16" t="n">
        <v>1</v>
      </c>
      <c r="GL251" s="16" t="n">
        <v>2</v>
      </c>
      <c r="GM251" s="16"/>
      <c r="GN251" s="16" t="n">
        <v>0.55</v>
      </c>
      <c r="GO251" s="16"/>
      <c r="GP251" s="16"/>
      <c r="GQ251" s="16"/>
      <c r="GR251" s="16"/>
      <c r="GS251" s="16"/>
      <c r="GT251" s="16"/>
      <c r="GU251" s="16" t="n">
        <v>0.55</v>
      </c>
      <c r="GV251" s="16" t="n">
        <v>0.55</v>
      </c>
      <c r="GW251" s="16"/>
      <c r="GX251" s="16"/>
      <c r="GY251" s="16" t="n">
        <v>0</v>
      </c>
      <c r="GZ251" s="16" t="n">
        <v>0</v>
      </c>
      <c r="HA251" s="16" t="n">
        <v>0</v>
      </c>
      <c r="HB251" s="0" t="n">
        <v>0</v>
      </c>
      <c r="HC251" s="0" t="s">
        <v>220</v>
      </c>
      <c r="HD251" s="0" t="n">
        <v>27</v>
      </c>
      <c r="HE251" s="16" t="n">
        <v>54.4</v>
      </c>
      <c r="HF251" s="16" t="n">
        <v>80.4</v>
      </c>
      <c r="HG251" s="16" t="n">
        <v>18.1</v>
      </c>
      <c r="HH251" s="0" t="n">
        <v>81.88</v>
      </c>
      <c r="HI251" s="17" t="n">
        <v>0</v>
      </c>
      <c r="HJ251" s="0" t="n">
        <v>9.83</v>
      </c>
      <c r="HK251" s="0" t="n">
        <v>0</v>
      </c>
      <c r="HL251" s="0" t="n">
        <v>2.14</v>
      </c>
      <c r="HM251" s="0" t="n">
        <v>0</v>
      </c>
      <c r="HN251" s="0" t="n">
        <v>0</v>
      </c>
      <c r="HO251" s="0" t="n">
        <v>0</v>
      </c>
      <c r="HP251" s="0" t="n">
        <v>0</v>
      </c>
      <c r="HQ251" s="0" t="n">
        <v>0</v>
      </c>
      <c r="HR251" s="0" t="n">
        <v>0</v>
      </c>
      <c r="HS251" s="0" t="n">
        <v>0</v>
      </c>
      <c r="HT251" s="0" t="n">
        <v>2.32</v>
      </c>
      <c r="HU251" s="0" t="n">
        <v>19.66</v>
      </c>
      <c r="HV251" s="0" t="n">
        <v>3.64</v>
      </c>
      <c r="HW251" s="0" t="n">
        <v>0</v>
      </c>
      <c r="HX251" s="0" t="n">
        <v>0</v>
      </c>
      <c r="HY251" s="0" t="n">
        <v>0</v>
      </c>
      <c r="IL251" s="0" t="n">
        <v>0</v>
      </c>
      <c r="IM251" s="0" t="n">
        <v>1</v>
      </c>
      <c r="IN251" s="0" t="n">
        <v>26</v>
      </c>
      <c r="IO251" s="0" t="n">
        <v>2</v>
      </c>
      <c r="IP251" s="0" t="n">
        <v>0.05</v>
      </c>
      <c r="IQ251" s="0" t="n">
        <v>2</v>
      </c>
      <c r="IX251" s="18"/>
      <c r="JP251" s="0" t="n">
        <v>0</v>
      </c>
      <c r="LA251" s="16" t="n">
        <v>2.1</v>
      </c>
      <c r="LB251" s="16" t="n">
        <v>1</v>
      </c>
      <c r="LC251" s="16" t="n">
        <v>1</v>
      </c>
      <c r="LD251" s="16"/>
      <c r="LE251" s="16" t="n">
        <f aca="false">0.1+0.76*2+2.02+1.35*2+0.67</f>
        <v>7.01</v>
      </c>
      <c r="LF251" s="16"/>
      <c r="LG251" s="16"/>
      <c r="LH251" s="16"/>
      <c r="LI251" s="16"/>
      <c r="LJ251" s="16"/>
      <c r="LK251" s="16"/>
      <c r="LL251" s="16" t="n">
        <v>6.35</v>
      </c>
      <c r="LM251" s="16" t="n">
        <v>14.8</v>
      </c>
      <c r="LN251" s="16"/>
      <c r="LO251" s="16"/>
      <c r="LP251" s="16" t="n">
        <v>0</v>
      </c>
      <c r="LQ251" s="16" t="n">
        <v>0</v>
      </c>
      <c r="LR251" s="16" t="n">
        <v>0</v>
      </c>
      <c r="LS251" s="0" t="n">
        <v>0</v>
      </c>
      <c r="LT251" s="0" t="s">
        <v>221</v>
      </c>
      <c r="LU251" s="0" t="n">
        <v>20.5</v>
      </c>
      <c r="LV251" s="16" t="n">
        <v>76.9</v>
      </c>
      <c r="LW251" s="16" t="n">
        <v>80.4</v>
      </c>
      <c r="LX251" s="16" t="n">
        <v>9.1</v>
      </c>
      <c r="LY251" s="0" t="n">
        <v>88.58</v>
      </c>
      <c r="LZ251" s="0" t="n">
        <v>10.3</v>
      </c>
      <c r="MA251" s="0" t="n">
        <v>1.12</v>
      </c>
      <c r="MB251" s="0" t="n">
        <v>0</v>
      </c>
      <c r="MC251" s="0" t="n">
        <v>0</v>
      </c>
      <c r="MD251" s="0" t="n">
        <v>0</v>
      </c>
      <c r="ME251" s="0" t="n">
        <v>0</v>
      </c>
      <c r="MF251" s="0" t="n">
        <v>0</v>
      </c>
      <c r="MG251" s="0" t="n">
        <v>0</v>
      </c>
      <c r="MH251" s="0" t="n">
        <v>0</v>
      </c>
      <c r="MI251" s="0" t="n">
        <v>0</v>
      </c>
      <c r="MJ251" s="0" t="n">
        <v>0</v>
      </c>
      <c r="MK251" s="0" t="n">
        <v>6.33</v>
      </c>
      <c r="ML251" s="0" t="n">
        <v>16.97</v>
      </c>
      <c r="MM251" s="0" t="n">
        <v>0</v>
      </c>
      <c r="MN251" s="0" t="n">
        <v>0</v>
      </c>
      <c r="MO251" s="0" t="n">
        <v>4.1</v>
      </c>
      <c r="MP251" s="0" t="n">
        <v>2</v>
      </c>
      <c r="MQ251" s="0" t="n">
        <v>5</v>
      </c>
      <c r="MR251" s="0" t="n">
        <v>1</v>
      </c>
      <c r="MW251" s="0" t="n">
        <v>5</v>
      </c>
      <c r="MX251" s="0" t="n">
        <v>1</v>
      </c>
      <c r="NC251" s="0" t="n">
        <v>0</v>
      </c>
      <c r="ND251" s="0" t="n">
        <v>0</v>
      </c>
      <c r="NO251" s="18"/>
      <c r="OG251" s="0" t="n">
        <v>0</v>
      </c>
      <c r="PR251" s="16" t="n">
        <v>2.24</v>
      </c>
      <c r="PS251" s="16" t="n">
        <v>1</v>
      </c>
      <c r="PT251" s="16" t="n">
        <v>2</v>
      </c>
      <c r="PU251" s="16"/>
      <c r="PV251" s="16" t="n">
        <v>4.97</v>
      </c>
      <c r="PW251" s="16"/>
      <c r="PX251" s="16"/>
      <c r="PY251" s="16"/>
      <c r="PZ251" s="16"/>
      <c r="QA251" s="16"/>
      <c r="QB251" s="16"/>
      <c r="QC251" s="16" t="n">
        <v>5.1</v>
      </c>
      <c r="QD251" s="16" t="n">
        <v>5.97</v>
      </c>
      <c r="QE251" s="16"/>
      <c r="QF251" s="16"/>
      <c r="QG251" s="16" t="n">
        <v>0</v>
      </c>
      <c r="QH251" s="16" t="n">
        <v>0</v>
      </c>
      <c r="QI251" s="16" t="n">
        <v>0</v>
      </c>
      <c r="QJ251" s="0" t="n">
        <v>0</v>
      </c>
      <c r="QK251" s="0" t="s">
        <v>222</v>
      </c>
      <c r="QL251" s="0" t="n">
        <v>32.5</v>
      </c>
      <c r="QM251" s="16" t="n">
        <v>96.7</v>
      </c>
      <c r="QN251" s="16" t="n">
        <v>80.4</v>
      </c>
      <c r="QO251" s="16" t="n">
        <v>15.1</v>
      </c>
      <c r="QP251" s="0" t="n">
        <v>52.24</v>
      </c>
      <c r="QQ251" s="0" t="n">
        <v>45.43</v>
      </c>
      <c r="QR251" s="0" t="n">
        <v>1.12</v>
      </c>
      <c r="QS251" s="0" t="n">
        <v>0</v>
      </c>
      <c r="QT251" s="0" t="n">
        <v>1.2</v>
      </c>
      <c r="QU251" s="0" t="n">
        <v>0</v>
      </c>
      <c r="QV251" s="0" t="n">
        <v>0</v>
      </c>
      <c r="QW251" s="0" t="n">
        <v>0</v>
      </c>
      <c r="QX251" s="0" t="n">
        <v>0</v>
      </c>
      <c r="QY251" s="0" t="n">
        <v>0</v>
      </c>
      <c r="QZ251" s="0" t="n">
        <v>0</v>
      </c>
      <c r="RA251" s="0" t="n">
        <v>1.2</v>
      </c>
      <c r="RB251" s="0" t="n">
        <v>15.88</v>
      </c>
      <c r="RC251" s="0" t="n">
        <v>48.59</v>
      </c>
      <c r="RD251" s="0" t="n">
        <v>0</v>
      </c>
      <c r="RE251" s="0" t="n">
        <v>0</v>
      </c>
      <c r="RF251" s="0" t="n">
        <v>0</v>
      </c>
      <c r="RG251" s="0" t="n">
        <v>0</v>
      </c>
      <c r="RT251" s="0" t="n">
        <v>0</v>
      </c>
      <c r="RU251" s="0" t="n">
        <v>0</v>
      </c>
      <c r="SF251" s="18"/>
      <c r="SX251" s="0" t="n">
        <v>1</v>
      </c>
      <c r="SY251" s="0" t="n">
        <v>50</v>
      </c>
      <c r="SZ251" s="0" t="n">
        <v>2</v>
      </c>
      <c r="TA251" s="0" t="n">
        <f aca="false">3.18+12.73</f>
        <v>15.91</v>
      </c>
      <c r="TB251" s="0" t="n">
        <v>1</v>
      </c>
      <c r="UI251" s="16" t="n">
        <v>5.9</v>
      </c>
      <c r="UJ251" s="16" t="n">
        <v>1</v>
      </c>
      <c r="UK251" s="16" t="n">
        <v>2</v>
      </c>
      <c r="UL251" s="16"/>
      <c r="UM251" s="16" t="n">
        <f aca="false">0.09+0.18*3+0.13+0.53+1.07*2+1.34*2+0.17*2+3.18+12.73</f>
        <v>22.36</v>
      </c>
      <c r="UN251" s="16"/>
      <c r="UO251" s="16"/>
      <c r="UP251" s="16"/>
      <c r="UQ251" s="16"/>
      <c r="UR251" s="16"/>
      <c r="US251" s="16"/>
      <c r="UT251" s="16" t="n">
        <v>11.45</v>
      </c>
      <c r="UU251" s="16" t="n">
        <v>41.19</v>
      </c>
      <c r="UV251" s="16"/>
      <c r="UW251" s="16"/>
      <c r="UX251" s="16" t="n">
        <v>0</v>
      </c>
      <c r="UY251" s="16" t="n">
        <v>0</v>
      </c>
      <c r="UZ251" s="16" t="n">
        <v>0</v>
      </c>
      <c r="VA251" s="0" t="n">
        <v>0</v>
      </c>
      <c r="VB251" s="0" t="s">
        <v>223</v>
      </c>
      <c r="VC251" s="0" t="n">
        <v>30.5</v>
      </c>
      <c r="VD251" s="16" t="n">
        <v>68.8</v>
      </c>
      <c r="VE251" s="16" t="n">
        <v>80.4</v>
      </c>
      <c r="VF251" s="16" t="n">
        <v>16.3</v>
      </c>
      <c r="VG251" s="0" t="n">
        <v>66.28</v>
      </c>
      <c r="VH251" s="0" t="n">
        <v>20.09</v>
      </c>
      <c r="VI251" s="0" t="n">
        <v>1.81</v>
      </c>
      <c r="VJ251" s="0" t="n">
        <v>0</v>
      </c>
      <c r="VK251" s="0" t="n">
        <v>11.82</v>
      </c>
      <c r="VL251" s="0" t="n">
        <v>0</v>
      </c>
      <c r="VM251" s="0" t="n">
        <v>0</v>
      </c>
      <c r="VN251" s="0" t="n">
        <v>0</v>
      </c>
      <c r="VO251" s="0" t="n">
        <v>0</v>
      </c>
      <c r="VP251" s="0" t="n">
        <v>0</v>
      </c>
      <c r="VQ251" s="0" t="n">
        <v>0</v>
      </c>
      <c r="VR251" s="0" t="n">
        <v>0</v>
      </c>
      <c r="VS251" s="0" t="n">
        <v>13.17</v>
      </c>
      <c r="VT251" s="0" t="n">
        <v>35.75</v>
      </c>
      <c r="VU251" s="0" t="n">
        <v>0</v>
      </c>
      <c r="VV251" s="0" t="n">
        <v>0</v>
      </c>
      <c r="VW251" s="0" t="n">
        <v>0</v>
      </c>
      <c r="VX251" s="0" t="n">
        <v>0</v>
      </c>
      <c r="WK251" s="0" t="n">
        <v>0</v>
      </c>
      <c r="WL251" s="0" t="n">
        <v>1</v>
      </c>
      <c r="WM251" s="0" t="n">
        <v>52</v>
      </c>
      <c r="WN251" s="0" t="n">
        <v>1</v>
      </c>
      <c r="WO251" s="0" t="n">
        <v>0.01</v>
      </c>
      <c r="WP251" s="0" t="n">
        <v>2</v>
      </c>
      <c r="WW251" s="18"/>
      <c r="XO251" s="0" t="n">
        <v>0</v>
      </c>
      <c r="YZ251" s="16" t="n">
        <v>5.43</v>
      </c>
      <c r="ZA251" s="16" t="n">
        <v>1</v>
      </c>
      <c r="ZB251" s="16" t="n">
        <v>1</v>
      </c>
      <c r="ZC251" s="16"/>
      <c r="ZD251" s="16" t="n">
        <f aca="false">0.09*2+0.07+1.36</f>
        <v>1.61</v>
      </c>
      <c r="ZE251" s="16" t="n">
        <v>2</v>
      </c>
      <c r="ZF251" s="16"/>
      <c r="ZG251" s="16" t="n">
        <f aca="false">4.2+0.09+0.66+0.01+3.18+3.18</f>
        <v>11.32</v>
      </c>
      <c r="ZH251" s="16"/>
      <c r="ZI251" s="16"/>
      <c r="ZJ251" s="16"/>
      <c r="ZK251" s="16" t="n">
        <v>8.61</v>
      </c>
      <c r="ZL251" s="16" t="n">
        <v>26.91</v>
      </c>
      <c r="ZM251" s="16"/>
      <c r="ZN251" s="16"/>
      <c r="ZO251" s="16" t="n">
        <v>0</v>
      </c>
      <c r="ZP251" s="16" t="n">
        <v>0</v>
      </c>
      <c r="ZQ251" s="16" t="n">
        <v>0</v>
      </c>
      <c r="ZR251" s="0" t="n">
        <v>0</v>
      </c>
      <c r="ZS251" s="0" t="s">
        <v>224</v>
      </c>
      <c r="ZT251" s="0" t="n">
        <v>39.5</v>
      </c>
      <c r="ZU251" s="16" t="n">
        <v>60.8</v>
      </c>
      <c r="ZV251" s="16" t="n">
        <v>80.4</v>
      </c>
      <c r="ZW251" s="16" t="n">
        <v>22.9</v>
      </c>
      <c r="ZX251" s="0" t="n">
        <v>67.01</v>
      </c>
      <c r="ZY251" s="0" t="n">
        <v>11.71</v>
      </c>
      <c r="ZZ251" s="0" t="n">
        <v>16.61</v>
      </c>
      <c r="AAA251" s="0" t="n">
        <v>0</v>
      </c>
      <c r="AAB251" s="0" t="n">
        <v>4.67</v>
      </c>
      <c r="AAC251" s="0" t="n">
        <v>0</v>
      </c>
      <c r="AAD251" s="0" t="n">
        <v>0</v>
      </c>
      <c r="AAE251" s="0" t="n">
        <v>0</v>
      </c>
      <c r="AAF251" s="0" t="n">
        <v>0</v>
      </c>
      <c r="AAG251" s="0" t="n">
        <v>0</v>
      </c>
      <c r="AAH251" s="0" t="n">
        <v>0</v>
      </c>
      <c r="AAI251" s="0" t="n">
        <v>0</v>
      </c>
      <c r="AAJ251" s="0" t="n">
        <v>20.9</v>
      </c>
      <c r="AAK251" s="0" t="n">
        <v>25.23</v>
      </c>
      <c r="AAL251" s="0" t="n">
        <v>0.58</v>
      </c>
      <c r="AAM251" s="0" t="n">
        <v>0</v>
      </c>
      <c r="AAN251" s="0" t="n">
        <v>0</v>
      </c>
      <c r="AAO251" s="0" t="n">
        <v>0</v>
      </c>
      <c r="ABB251" s="0" t="n">
        <v>2</v>
      </c>
      <c r="ABC251" s="0" t="n">
        <v>1</v>
      </c>
      <c r="ABD251" s="0" t="n">
        <v>103</v>
      </c>
      <c r="ABE251" s="0" t="n">
        <v>2</v>
      </c>
      <c r="ABF251" s="0" t="n">
        <f aca="false">0.18+0.14</f>
        <v>0.32</v>
      </c>
      <c r="ABG251" s="0" t="n">
        <v>1</v>
      </c>
      <c r="ABH251" s="0" t="n">
        <v>68</v>
      </c>
      <c r="ABI251" s="0" t="n">
        <v>1</v>
      </c>
      <c r="ABJ251" s="0" t="n">
        <v>0.01</v>
      </c>
      <c r="ABK251" s="0" t="n">
        <v>1</v>
      </c>
      <c r="ABL251" s="0" t="n">
        <v>52</v>
      </c>
      <c r="ABM251" s="0" t="n">
        <v>3</v>
      </c>
      <c r="ABN251" s="18" t="n">
        <v>0.05</v>
      </c>
      <c r="ABO251" s="0" t="n">
        <v>2</v>
      </c>
      <c r="ACF251" s="0" t="n">
        <v>0</v>
      </c>
      <c r="ADQ251" s="16" t="n">
        <v>3.66</v>
      </c>
      <c r="ADR251" s="16" t="n">
        <v>1</v>
      </c>
      <c r="ADS251" s="16" t="n">
        <v>1</v>
      </c>
      <c r="ADT251" s="16"/>
      <c r="ADU251" s="16" t="n">
        <f aca="false">2.69*3+1.35*3+0.14*2+0.1</f>
        <v>12.5</v>
      </c>
      <c r="ADV251" s="16" t="n">
        <v>2</v>
      </c>
      <c r="ADW251" s="16"/>
      <c r="ADX251" s="16" t="n">
        <f aca="false">0.66+0.35+0.18+0.14+1.25+1.23</f>
        <v>3.81</v>
      </c>
      <c r="ADY251" s="16"/>
      <c r="ADZ251" s="16"/>
      <c r="AEA251" s="16"/>
      <c r="AEB251" s="16" t="n">
        <v>10.05</v>
      </c>
      <c r="AEC251" s="16" t="n">
        <v>27.11</v>
      </c>
      <c r="AED251" s="16"/>
      <c r="AEE251" s="16"/>
      <c r="AEF251" s="16" t="n">
        <v>0</v>
      </c>
      <c r="AEG251" s="16" t="n">
        <v>0</v>
      </c>
      <c r="AEH251" s="16" t="n">
        <v>0</v>
      </c>
      <c r="AEI251" s="0" t="n">
        <v>0</v>
      </c>
      <c r="AEJ251" s="0" t="s">
        <v>225</v>
      </c>
      <c r="AEK251" s="0" t="n">
        <v>47</v>
      </c>
      <c r="AEL251" s="16" t="n">
        <v>72.3</v>
      </c>
      <c r="AEM251" s="16" t="n">
        <v>80.4</v>
      </c>
      <c r="AEN251" s="16" t="n">
        <v>18</v>
      </c>
      <c r="AEO251" s="0" t="n">
        <v>70.55</v>
      </c>
      <c r="AEP251" s="0" t="n">
        <v>6.81</v>
      </c>
      <c r="AEQ251" s="0" t="n">
        <v>3.09</v>
      </c>
      <c r="AER251" s="0" t="n">
        <v>0</v>
      </c>
      <c r="AES251" s="0" t="n">
        <v>19.55</v>
      </c>
      <c r="AET251" s="0" t="n">
        <v>0</v>
      </c>
      <c r="AEU251" s="0" t="n">
        <v>0</v>
      </c>
      <c r="AEV251" s="0" t="n">
        <v>0</v>
      </c>
      <c r="AEW251" s="0" t="n">
        <v>0</v>
      </c>
      <c r="AEX251" s="0" t="n">
        <v>0</v>
      </c>
      <c r="AEY251" s="0" t="n">
        <v>0</v>
      </c>
      <c r="AEZ251" s="0" t="n">
        <v>0</v>
      </c>
      <c r="AFA251" s="0" t="n">
        <v>18.07</v>
      </c>
      <c r="AFB251" s="0" t="n">
        <v>30.57</v>
      </c>
      <c r="AFC251" s="0" t="n">
        <v>7.61</v>
      </c>
      <c r="AFD251" s="0" t="n">
        <v>0</v>
      </c>
      <c r="AFE251" s="0" t="n">
        <v>14</v>
      </c>
      <c r="AFF251" s="0" t="n">
        <v>2</v>
      </c>
      <c r="AFG251" s="0" t="n">
        <v>5</v>
      </c>
      <c r="AFH251" s="0" t="n">
        <v>4.47</v>
      </c>
      <c r="AFJ251" s="0" t="n">
        <v>7</v>
      </c>
      <c r="AFK251" s="0" t="n">
        <v>5.15</v>
      </c>
      <c r="AFM251" s="0" t="n">
        <v>5</v>
      </c>
      <c r="AFN251" s="0" t="n">
        <v>4.47</v>
      </c>
      <c r="AFP251" s="0" t="n">
        <v>7</v>
      </c>
      <c r="AFQ251" s="0" t="n">
        <v>5.15</v>
      </c>
      <c r="AFS251" s="0" t="n">
        <v>0</v>
      </c>
      <c r="AFT251" s="0" t="n">
        <v>0</v>
      </c>
      <c r="AGE251" s="18"/>
      <c r="AGW251" s="0" t="n">
        <v>0</v>
      </c>
      <c r="AIH251" s="16" t="n">
        <v>4.21</v>
      </c>
      <c r="AII251" s="16" t="n">
        <v>1</v>
      </c>
      <c r="AIJ251" s="16" t="n">
        <v>2</v>
      </c>
      <c r="AIK251" s="16"/>
      <c r="AIL251" s="16" t="n">
        <f aca="false">7.46+1.59+0.6</f>
        <v>9.65</v>
      </c>
      <c r="AIM251" s="16"/>
      <c r="AIN251" s="16"/>
      <c r="AIO251" s="16"/>
      <c r="AIP251" s="16"/>
      <c r="AIQ251" s="16"/>
      <c r="AIR251" s="16"/>
      <c r="AIS251" s="16" t="n">
        <v>10.63</v>
      </c>
      <c r="AIT251" s="16" t="n">
        <v>36.38</v>
      </c>
      <c r="AIU251" s="16"/>
      <c r="AIV251" s="16"/>
      <c r="AIW251" s="16" t="n">
        <v>0</v>
      </c>
      <c r="AIX251" s="16" t="n">
        <v>0</v>
      </c>
      <c r="AIY251" s="16" t="n">
        <v>0</v>
      </c>
      <c r="AIZ251" s="0" t="n">
        <v>0</v>
      </c>
      <c r="AJA251" s="0" t="s">
        <v>226</v>
      </c>
      <c r="AJB251" s="0" t="n">
        <v>19</v>
      </c>
      <c r="AJC251" s="16" t="n">
        <v>82.6</v>
      </c>
      <c r="AJD251" s="16" t="n">
        <v>80.4</v>
      </c>
      <c r="AJE251" s="16" t="n">
        <v>7.7</v>
      </c>
      <c r="AJF251" s="0" t="n">
        <v>86.83</v>
      </c>
      <c r="AJG251" s="0" t="n">
        <v>12.69</v>
      </c>
      <c r="AJH251" s="0" t="n">
        <v>0</v>
      </c>
      <c r="AJI251" s="0" t="n">
        <v>0</v>
      </c>
      <c r="AJJ251" s="0" t="n">
        <v>0.48</v>
      </c>
      <c r="AJK251" s="0" t="n">
        <v>0</v>
      </c>
      <c r="AJL251" s="0" t="n">
        <v>0</v>
      </c>
      <c r="AJM251" s="0" t="n">
        <v>0</v>
      </c>
      <c r="AJN251" s="0" t="n">
        <v>0</v>
      </c>
      <c r="AJO251" s="0" t="n">
        <v>0</v>
      </c>
      <c r="AJP251" s="0" t="n">
        <v>0</v>
      </c>
      <c r="AJQ251" s="0" t="n">
        <v>0</v>
      </c>
      <c r="AJR251" s="0" t="n">
        <v>7.16</v>
      </c>
      <c r="AJS251" s="0" t="n">
        <v>10.76</v>
      </c>
      <c r="AJT251" s="0" t="n">
        <v>0</v>
      </c>
      <c r="AJU251" s="0" t="n">
        <v>0</v>
      </c>
      <c r="AJV251" s="0" t="n">
        <v>3.4</v>
      </c>
      <c r="AJW251" s="0" t="n">
        <v>2</v>
      </c>
      <c r="AJX251" s="0" t="n">
        <v>11.9</v>
      </c>
      <c r="AJY251" s="0" t="n">
        <v>0.48</v>
      </c>
      <c r="AKD251" s="0" t="n">
        <v>11.9</v>
      </c>
      <c r="AKE251" s="0" t="n">
        <v>0.48</v>
      </c>
      <c r="AKJ251" s="0" t="n">
        <v>0</v>
      </c>
      <c r="AKK251" s="0" t="n">
        <v>1</v>
      </c>
      <c r="AKL251" s="0" t="n">
        <v>34</v>
      </c>
      <c r="AKM251" s="0" t="n">
        <v>2</v>
      </c>
      <c r="AKN251" s="0" t="n">
        <f aca="false">0.84*2</f>
        <v>1.68</v>
      </c>
      <c r="AKO251" s="0" t="n">
        <v>1</v>
      </c>
      <c r="AKV251" s="18"/>
      <c r="ALN251" s="0" t="n">
        <v>0</v>
      </c>
    </row>
    <row r="252" customFormat="false" ht="13.8" hidden="false" customHeight="false" outlineLevel="0" collapsed="false">
      <c r="A252" s="1" t="s">
        <v>771</v>
      </c>
      <c r="B252" s="12" t="n">
        <v>42909</v>
      </c>
      <c r="C252" s="0" t="n">
        <v>2</v>
      </c>
      <c r="D252" s="13" t="n">
        <v>35009</v>
      </c>
      <c r="E252" s="12" t="n">
        <v>27190</v>
      </c>
      <c r="F252" s="14" t="n">
        <f aca="false">(B252-E252)/365.25</f>
        <v>43.0362765229295</v>
      </c>
      <c r="G252" s="14" t="n">
        <f aca="false">(B252-D252)/365.25</f>
        <v>21.6290212183436</v>
      </c>
      <c r="H252" s="19" t="s">
        <v>217</v>
      </c>
      <c r="I252" s="15" t="s">
        <v>218</v>
      </c>
      <c r="J252" s="15" t="s">
        <v>183</v>
      </c>
      <c r="K252" s="21" t="n">
        <v>8</v>
      </c>
      <c r="L252" s="19" t="n">
        <v>80</v>
      </c>
      <c r="M252" s="0" t="n">
        <v>1.6</v>
      </c>
      <c r="N252" s="16" t="n">
        <f aca="false">L252/(M252*M252)</f>
        <v>31.25</v>
      </c>
      <c r="O252" s="19" t="n">
        <v>0</v>
      </c>
      <c r="P252" s="19" t="n">
        <v>0</v>
      </c>
      <c r="Q252" s="19" t="n">
        <v>0</v>
      </c>
      <c r="R252" s="26" t="n">
        <v>0</v>
      </c>
      <c r="S252" s="26" t="n">
        <v>0</v>
      </c>
      <c r="T252" s="26" t="n">
        <v>0</v>
      </c>
      <c r="U252" s="26" t="n">
        <v>0</v>
      </c>
      <c r="V252" s="26" t="n">
        <v>0</v>
      </c>
      <c r="W252" s="19" t="n">
        <v>1</v>
      </c>
      <c r="X252" s="19" t="n">
        <v>1</v>
      </c>
      <c r="Y252" s="19" t="n">
        <v>0</v>
      </c>
      <c r="Z252" s="19" t="n">
        <v>0</v>
      </c>
      <c r="AA252" s="19" t="n">
        <v>0</v>
      </c>
      <c r="AB252" s="19" t="n">
        <v>0</v>
      </c>
      <c r="AC252" s="19" t="n">
        <v>1</v>
      </c>
      <c r="AD252" s="19" t="n">
        <v>2</v>
      </c>
      <c r="AE252" s="19" t="n">
        <v>0</v>
      </c>
      <c r="AF252" s="19" t="n">
        <v>0</v>
      </c>
      <c r="AG252" s="19" t="n">
        <v>0</v>
      </c>
      <c r="AH252" s="19" t="n">
        <v>0</v>
      </c>
      <c r="AI252" s="19" t="n">
        <v>3</v>
      </c>
      <c r="AJ252" s="19"/>
      <c r="AK252" s="19" t="n">
        <v>3</v>
      </c>
      <c r="AL252" s="19" t="n">
        <v>5</v>
      </c>
      <c r="AM252" s="19" t="n">
        <v>3</v>
      </c>
      <c r="AN252" s="19" t="n">
        <v>0</v>
      </c>
      <c r="AO252" s="19" t="n">
        <v>0</v>
      </c>
      <c r="AP252" s="19" t="n">
        <v>0</v>
      </c>
      <c r="AQ252" s="19" t="n">
        <v>0</v>
      </c>
      <c r="AR252" s="19" t="n">
        <v>0</v>
      </c>
      <c r="AS252" s="19" t="n">
        <v>0</v>
      </c>
      <c r="AT252" s="19" t="n">
        <v>0</v>
      </c>
      <c r="AU252" s="19" t="n">
        <v>0</v>
      </c>
      <c r="AV252" s="19" t="n">
        <v>0</v>
      </c>
      <c r="AW252" s="19" t="n">
        <v>0</v>
      </c>
      <c r="AX252" s="19" t="n">
        <v>0</v>
      </c>
      <c r="AY252" s="19" t="n">
        <v>0</v>
      </c>
      <c r="AZ252" s="19" t="n">
        <v>0</v>
      </c>
      <c r="BA252" s="19" t="n">
        <v>0</v>
      </c>
      <c r="BB252" s="19" t="n">
        <v>1</v>
      </c>
      <c r="BC252" s="19" t="n">
        <v>1</v>
      </c>
      <c r="BD252" s="19" t="n">
        <v>0</v>
      </c>
      <c r="BE252" s="19" t="n">
        <v>0</v>
      </c>
      <c r="BF252" s="19" t="n">
        <v>0</v>
      </c>
      <c r="BG252" s="19" t="n">
        <v>0</v>
      </c>
      <c r="BH252" s="19" t="n">
        <v>0</v>
      </c>
      <c r="BI252" s="19" t="n">
        <v>0</v>
      </c>
      <c r="BJ252" s="19" t="n">
        <v>0</v>
      </c>
      <c r="BK252" s="19" t="n">
        <v>0</v>
      </c>
      <c r="BL252" s="19" t="n">
        <v>0</v>
      </c>
      <c r="BM252" s="19" t="n">
        <v>0</v>
      </c>
      <c r="BN252" s="19" t="n">
        <v>0</v>
      </c>
      <c r="BO252" s="19" t="n">
        <v>0</v>
      </c>
      <c r="BP252" s="19" t="n">
        <v>0</v>
      </c>
      <c r="BQ252" s="19" t="n">
        <v>0</v>
      </c>
      <c r="BR252" s="19" t="n">
        <v>4</v>
      </c>
      <c r="BS252" s="19" t="n">
        <v>3</v>
      </c>
      <c r="BT252" s="19" t="n">
        <v>4</v>
      </c>
      <c r="BU252" s="19" t="n">
        <v>5</v>
      </c>
      <c r="BV252" s="19" t="n">
        <v>2</v>
      </c>
      <c r="BW252" s="19" t="n">
        <v>2</v>
      </c>
      <c r="BX252" s="19" t="n">
        <v>4</v>
      </c>
      <c r="BY252" s="19" t="n">
        <v>5</v>
      </c>
      <c r="BZ252" s="19" t="n">
        <v>5</v>
      </c>
      <c r="CA252" s="19" t="n">
        <v>3</v>
      </c>
      <c r="CB252" s="19" t="n">
        <v>3</v>
      </c>
      <c r="CC252" s="19" t="n">
        <v>5</v>
      </c>
      <c r="CD252" s="19" t="n">
        <v>3</v>
      </c>
      <c r="CE252" s="19" t="n">
        <v>3</v>
      </c>
      <c r="CF252" s="19" t="n">
        <v>3</v>
      </c>
      <c r="CG252" s="19" t="n">
        <v>4</v>
      </c>
      <c r="CH252" s="19" t="n">
        <v>4</v>
      </c>
      <c r="CI252" s="19" t="n">
        <v>4</v>
      </c>
      <c r="CJ252" s="19" t="n">
        <v>3</v>
      </c>
      <c r="CK252" s="19" t="n">
        <v>10</v>
      </c>
      <c r="CL252" s="0" t="s">
        <v>219</v>
      </c>
      <c r="CM252" s="0" t="n">
        <v>33.5</v>
      </c>
      <c r="CN252" s="16" t="n">
        <v>91.5</v>
      </c>
      <c r="CO252" s="16" t="n">
        <v>80.4</v>
      </c>
      <c r="CP252" s="16" t="n">
        <v>20</v>
      </c>
      <c r="CQ252" s="0" t="n">
        <v>84.58</v>
      </c>
      <c r="CR252" s="17" t="n">
        <v>0</v>
      </c>
      <c r="CS252" s="0" t="n">
        <v>15.42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13.79</v>
      </c>
      <c r="DD252" s="0" t="n">
        <v>2.67</v>
      </c>
      <c r="DE252" s="0" t="n">
        <v>11.54</v>
      </c>
      <c r="DF252" s="0" t="n">
        <v>0</v>
      </c>
      <c r="DG252" s="0" t="n">
        <v>12.3</v>
      </c>
      <c r="DH252" s="0" t="n">
        <v>2</v>
      </c>
      <c r="DI252" s="0" t="n">
        <v>5</v>
      </c>
      <c r="DJ252" s="0" t="n">
        <v>2</v>
      </c>
      <c r="DO252" s="0" t="n">
        <v>5</v>
      </c>
      <c r="DP252" s="0" t="n">
        <v>2</v>
      </c>
      <c r="DU252" s="0" t="n">
        <v>0</v>
      </c>
      <c r="DV252" s="0" t="n">
        <v>1</v>
      </c>
      <c r="DW252" s="0" t="n">
        <v>34</v>
      </c>
      <c r="DX252" s="0" t="n">
        <v>2</v>
      </c>
      <c r="DY252" s="0" t="n">
        <v>0.1</v>
      </c>
      <c r="DZ252" s="0" t="n">
        <v>1</v>
      </c>
      <c r="EA252" s="0" t="n">
        <v>10</v>
      </c>
      <c r="EB252" s="0" t="n">
        <f aca="false">8*4</f>
        <v>32</v>
      </c>
      <c r="EC252" s="0" t="n">
        <f aca="false">0.06+0.01+0.4+1.7+0.24+0.14+0.96</f>
        <v>3.51</v>
      </c>
      <c r="ED252" s="0" t="n">
        <v>3</v>
      </c>
      <c r="EG252" s="18"/>
      <c r="EY252" s="0" t="n">
        <v>0</v>
      </c>
      <c r="GJ252" s="16" t="n">
        <v>0.25</v>
      </c>
      <c r="GK252" s="16" t="n">
        <v>1</v>
      </c>
      <c r="GL252" s="16" t="n">
        <v>2</v>
      </c>
      <c r="GM252" s="16"/>
      <c r="GN252" s="16" t="n">
        <v>0.55</v>
      </c>
      <c r="GO252" s="16"/>
      <c r="GP252" s="16"/>
      <c r="GQ252" s="16"/>
      <c r="GR252" s="16"/>
      <c r="GS252" s="16"/>
      <c r="GT252" s="16"/>
      <c r="GU252" s="16" t="n">
        <v>0.55</v>
      </c>
      <c r="GV252" s="16" t="n">
        <v>0.55</v>
      </c>
      <c r="GW252" s="16"/>
      <c r="GX252" s="16"/>
      <c r="GY252" s="16" t="n">
        <v>0</v>
      </c>
      <c r="GZ252" s="16" t="n">
        <v>0</v>
      </c>
      <c r="HA252" s="16" t="n">
        <v>0</v>
      </c>
      <c r="HB252" s="0" t="n">
        <v>0</v>
      </c>
      <c r="HC252" s="0" t="s">
        <v>220</v>
      </c>
      <c r="HD252" s="0" t="n">
        <v>27</v>
      </c>
      <c r="HE252" s="16" t="n">
        <v>54.4</v>
      </c>
      <c r="HF252" s="16" t="n">
        <v>80.4</v>
      </c>
      <c r="HG252" s="16" t="n">
        <v>18.1</v>
      </c>
      <c r="HH252" s="0" t="n">
        <v>81.88</v>
      </c>
      <c r="HI252" s="17" t="n">
        <v>0</v>
      </c>
      <c r="HJ252" s="0" t="n">
        <v>9.83</v>
      </c>
      <c r="HK252" s="0" t="n">
        <v>0</v>
      </c>
      <c r="HL252" s="0" t="n">
        <v>2.14</v>
      </c>
      <c r="HM252" s="0" t="n">
        <v>0</v>
      </c>
      <c r="HN252" s="0" t="n">
        <v>0</v>
      </c>
      <c r="HO252" s="0" t="n">
        <v>0</v>
      </c>
      <c r="HP252" s="0" t="n">
        <v>0</v>
      </c>
      <c r="HQ252" s="0" t="n">
        <v>0</v>
      </c>
      <c r="HR252" s="0" t="n">
        <v>0</v>
      </c>
      <c r="HS252" s="0" t="n">
        <v>0</v>
      </c>
      <c r="HT252" s="0" t="n">
        <v>2.32</v>
      </c>
      <c r="HU252" s="0" t="n">
        <v>19.66</v>
      </c>
      <c r="HV252" s="0" t="n">
        <v>3.64</v>
      </c>
      <c r="HW252" s="0" t="n">
        <v>0</v>
      </c>
      <c r="HX252" s="0" t="n">
        <v>0</v>
      </c>
      <c r="HY252" s="0" t="n">
        <v>0</v>
      </c>
      <c r="IL252" s="0" t="n">
        <v>0</v>
      </c>
      <c r="IM252" s="0" t="n">
        <v>1</v>
      </c>
      <c r="IN252" s="0" t="n">
        <v>26</v>
      </c>
      <c r="IO252" s="0" t="n">
        <v>2</v>
      </c>
      <c r="IP252" s="0" t="n">
        <v>0.05</v>
      </c>
      <c r="IQ252" s="0" t="n">
        <v>2</v>
      </c>
      <c r="IX252" s="18"/>
      <c r="JP252" s="0" t="n">
        <v>0</v>
      </c>
      <c r="LA252" s="16" t="n">
        <v>2.1</v>
      </c>
      <c r="LB252" s="16" t="n">
        <v>1</v>
      </c>
      <c r="LC252" s="16" t="n">
        <v>1</v>
      </c>
      <c r="LD252" s="16"/>
      <c r="LE252" s="16" t="n">
        <f aca="false">0.1+0.76*2+2.02+1.35*2+0.67</f>
        <v>7.01</v>
      </c>
      <c r="LF252" s="16"/>
      <c r="LG252" s="16"/>
      <c r="LH252" s="16"/>
      <c r="LI252" s="16"/>
      <c r="LJ252" s="16"/>
      <c r="LK252" s="16"/>
      <c r="LL252" s="16" t="n">
        <v>6.35</v>
      </c>
      <c r="LM252" s="16" t="n">
        <v>14.8</v>
      </c>
      <c r="LN252" s="16"/>
      <c r="LO252" s="16"/>
      <c r="LP252" s="16" t="n">
        <v>0</v>
      </c>
      <c r="LQ252" s="16" t="n">
        <v>0</v>
      </c>
      <c r="LR252" s="16" t="n">
        <v>0</v>
      </c>
      <c r="LS252" s="0" t="n">
        <v>0</v>
      </c>
      <c r="LT252" s="0" t="s">
        <v>221</v>
      </c>
      <c r="LU252" s="0" t="n">
        <v>20.5</v>
      </c>
      <c r="LV252" s="16" t="n">
        <v>76.9</v>
      </c>
      <c r="LW252" s="16" t="n">
        <v>80.4</v>
      </c>
      <c r="LX252" s="16" t="n">
        <v>9.1</v>
      </c>
      <c r="LY252" s="0" t="n">
        <v>88.58</v>
      </c>
      <c r="LZ252" s="0" t="n">
        <v>10.3</v>
      </c>
      <c r="MA252" s="0" t="n">
        <v>1.12</v>
      </c>
      <c r="MB252" s="0" t="n">
        <v>0</v>
      </c>
      <c r="MC252" s="0" t="n">
        <v>0</v>
      </c>
      <c r="MD252" s="0" t="n">
        <v>0</v>
      </c>
      <c r="ME252" s="0" t="n">
        <v>0</v>
      </c>
      <c r="MF252" s="0" t="n">
        <v>0</v>
      </c>
      <c r="MG252" s="0" t="n">
        <v>0</v>
      </c>
      <c r="MH252" s="0" t="n">
        <v>0</v>
      </c>
      <c r="MI252" s="0" t="n">
        <v>0</v>
      </c>
      <c r="MJ252" s="0" t="n">
        <v>0</v>
      </c>
      <c r="MK252" s="0" t="n">
        <v>6.33</v>
      </c>
      <c r="ML252" s="0" t="n">
        <v>16.97</v>
      </c>
      <c r="MM252" s="0" t="n">
        <v>0</v>
      </c>
      <c r="MN252" s="0" t="n">
        <v>0</v>
      </c>
      <c r="MO252" s="0" t="n">
        <v>4.1</v>
      </c>
      <c r="MP252" s="0" t="n">
        <v>2</v>
      </c>
      <c r="MQ252" s="0" t="n">
        <v>5</v>
      </c>
      <c r="MR252" s="0" t="n">
        <v>1</v>
      </c>
      <c r="MW252" s="0" t="n">
        <v>5</v>
      </c>
      <c r="MX252" s="0" t="n">
        <v>1</v>
      </c>
      <c r="NC252" s="0" t="n">
        <v>0</v>
      </c>
      <c r="ND252" s="0" t="n">
        <v>0</v>
      </c>
      <c r="NO252" s="18"/>
      <c r="OG252" s="0" t="n">
        <v>0</v>
      </c>
      <c r="PR252" s="16" t="n">
        <v>2.24</v>
      </c>
      <c r="PS252" s="16" t="n">
        <v>1</v>
      </c>
      <c r="PT252" s="16" t="n">
        <v>2</v>
      </c>
      <c r="PU252" s="16"/>
      <c r="PV252" s="16" t="n">
        <v>4.97</v>
      </c>
      <c r="PW252" s="16"/>
      <c r="PX252" s="16"/>
      <c r="PY252" s="16"/>
      <c r="PZ252" s="16"/>
      <c r="QA252" s="16"/>
      <c r="QB252" s="16"/>
      <c r="QC252" s="16" t="n">
        <v>5.1</v>
      </c>
      <c r="QD252" s="16" t="n">
        <v>5.97</v>
      </c>
      <c r="QE252" s="16"/>
      <c r="QF252" s="16"/>
      <c r="QG252" s="16" t="n">
        <v>0</v>
      </c>
      <c r="QH252" s="16" t="n">
        <v>0</v>
      </c>
      <c r="QI252" s="16" t="n">
        <v>0</v>
      </c>
      <c r="QJ252" s="0" t="n">
        <v>0</v>
      </c>
      <c r="QK252" s="0" t="s">
        <v>222</v>
      </c>
      <c r="QL252" s="0" t="n">
        <v>32.5</v>
      </c>
      <c r="QM252" s="16" t="n">
        <v>96.7</v>
      </c>
      <c r="QN252" s="16" t="n">
        <v>80.4</v>
      </c>
      <c r="QO252" s="16" t="n">
        <v>15.1</v>
      </c>
      <c r="QP252" s="0" t="n">
        <v>52.24</v>
      </c>
      <c r="QQ252" s="0" t="n">
        <v>45.43</v>
      </c>
      <c r="QR252" s="0" t="n">
        <v>1.12</v>
      </c>
      <c r="QS252" s="0" t="n">
        <v>0</v>
      </c>
      <c r="QT252" s="0" t="n">
        <v>1.2</v>
      </c>
      <c r="QU252" s="0" t="n">
        <v>0</v>
      </c>
      <c r="QV252" s="0" t="n">
        <v>0</v>
      </c>
      <c r="QW252" s="0" t="n">
        <v>0</v>
      </c>
      <c r="QX252" s="0" t="n">
        <v>0</v>
      </c>
      <c r="QY252" s="0" t="n">
        <v>0</v>
      </c>
      <c r="QZ252" s="0" t="n">
        <v>0</v>
      </c>
      <c r="RA252" s="0" t="n">
        <v>1.2</v>
      </c>
      <c r="RB252" s="0" t="n">
        <v>15.88</v>
      </c>
      <c r="RC252" s="0" t="n">
        <v>48.59</v>
      </c>
      <c r="RD252" s="0" t="n">
        <v>0</v>
      </c>
      <c r="RE252" s="0" t="n">
        <v>0</v>
      </c>
      <c r="RF252" s="0" t="n">
        <v>0</v>
      </c>
      <c r="RG252" s="0" t="n">
        <v>0</v>
      </c>
      <c r="RT252" s="0" t="n">
        <v>0</v>
      </c>
      <c r="RU252" s="0" t="n">
        <v>0</v>
      </c>
      <c r="SF252" s="18"/>
      <c r="SX252" s="0" t="n">
        <v>1</v>
      </c>
      <c r="SY252" s="0" t="n">
        <v>50</v>
      </c>
      <c r="SZ252" s="0" t="n">
        <v>2</v>
      </c>
      <c r="TA252" s="0" t="n">
        <f aca="false">3.18+12.73</f>
        <v>15.91</v>
      </c>
      <c r="TB252" s="0" t="n">
        <v>1</v>
      </c>
      <c r="UI252" s="16" t="n">
        <v>5.9</v>
      </c>
      <c r="UJ252" s="16" t="n">
        <v>1</v>
      </c>
      <c r="UK252" s="16" t="n">
        <v>2</v>
      </c>
      <c r="UL252" s="16"/>
      <c r="UM252" s="16" t="n">
        <f aca="false">0.09+0.18*3+0.13+0.53+1.07*2+1.34*2+0.17*2+3.18+12.73</f>
        <v>22.36</v>
      </c>
      <c r="UN252" s="16"/>
      <c r="UO252" s="16"/>
      <c r="UP252" s="16"/>
      <c r="UQ252" s="16"/>
      <c r="UR252" s="16"/>
      <c r="US252" s="16"/>
      <c r="UT252" s="16" t="n">
        <v>11.45</v>
      </c>
      <c r="UU252" s="16" t="n">
        <v>41.19</v>
      </c>
      <c r="UV252" s="16"/>
      <c r="UW252" s="16"/>
      <c r="UX252" s="16" t="n">
        <v>0</v>
      </c>
      <c r="UY252" s="16" t="n">
        <v>0</v>
      </c>
      <c r="UZ252" s="16" t="n">
        <v>0</v>
      </c>
      <c r="VA252" s="0" t="n">
        <v>0</v>
      </c>
      <c r="VB252" s="0" t="s">
        <v>223</v>
      </c>
      <c r="VC252" s="0" t="n">
        <v>30.5</v>
      </c>
      <c r="VD252" s="16" t="n">
        <v>68.8</v>
      </c>
      <c r="VE252" s="16" t="n">
        <v>80.4</v>
      </c>
      <c r="VF252" s="16" t="n">
        <v>16.3</v>
      </c>
      <c r="VG252" s="0" t="n">
        <v>66.28</v>
      </c>
      <c r="VH252" s="0" t="n">
        <v>20.09</v>
      </c>
      <c r="VI252" s="0" t="n">
        <v>1.81</v>
      </c>
      <c r="VJ252" s="0" t="n">
        <v>0</v>
      </c>
      <c r="VK252" s="0" t="n">
        <v>11.82</v>
      </c>
      <c r="VL252" s="0" t="n">
        <v>0</v>
      </c>
      <c r="VM252" s="0" t="n">
        <v>0</v>
      </c>
      <c r="VN252" s="0" t="n">
        <v>0</v>
      </c>
      <c r="VO252" s="0" t="n">
        <v>0</v>
      </c>
      <c r="VP252" s="0" t="n">
        <v>0</v>
      </c>
      <c r="VQ252" s="0" t="n">
        <v>0</v>
      </c>
      <c r="VR252" s="0" t="n">
        <v>0</v>
      </c>
      <c r="VS252" s="0" t="n">
        <v>13.17</v>
      </c>
      <c r="VT252" s="0" t="n">
        <v>35.75</v>
      </c>
      <c r="VU252" s="0" t="n">
        <v>0</v>
      </c>
      <c r="VV252" s="0" t="n">
        <v>0</v>
      </c>
      <c r="VW252" s="0" t="n">
        <v>0</v>
      </c>
      <c r="VX252" s="0" t="n">
        <v>0</v>
      </c>
      <c r="WK252" s="0" t="n">
        <v>0</v>
      </c>
      <c r="WL252" s="0" t="n">
        <v>1</v>
      </c>
      <c r="WM252" s="0" t="n">
        <v>52</v>
      </c>
      <c r="WN252" s="0" t="n">
        <v>1</v>
      </c>
      <c r="WO252" s="0" t="n">
        <v>0.01</v>
      </c>
      <c r="WP252" s="0" t="n">
        <v>2</v>
      </c>
      <c r="WW252" s="18"/>
      <c r="XO252" s="0" t="n">
        <v>0</v>
      </c>
      <c r="YZ252" s="16" t="n">
        <v>5.43</v>
      </c>
      <c r="ZA252" s="16" t="n">
        <v>1</v>
      </c>
      <c r="ZB252" s="16" t="n">
        <v>1</v>
      </c>
      <c r="ZC252" s="16"/>
      <c r="ZD252" s="16" t="n">
        <f aca="false">0.09*2+0.07+1.36</f>
        <v>1.61</v>
      </c>
      <c r="ZE252" s="16" t="n">
        <v>2</v>
      </c>
      <c r="ZF252" s="16"/>
      <c r="ZG252" s="16" t="n">
        <f aca="false">4.2+0.09+0.66+0.01+3.18+3.18</f>
        <v>11.32</v>
      </c>
      <c r="ZH252" s="16"/>
      <c r="ZI252" s="16"/>
      <c r="ZJ252" s="16"/>
      <c r="ZK252" s="16" t="n">
        <v>8.61</v>
      </c>
      <c r="ZL252" s="16" t="n">
        <v>26.91</v>
      </c>
      <c r="ZM252" s="16"/>
      <c r="ZN252" s="16"/>
      <c r="ZO252" s="16" t="n">
        <v>0</v>
      </c>
      <c r="ZP252" s="16" t="n">
        <v>0</v>
      </c>
      <c r="ZQ252" s="16" t="n">
        <v>0</v>
      </c>
      <c r="ZR252" s="0" t="n">
        <v>0</v>
      </c>
      <c r="ZS252" s="0" t="s">
        <v>224</v>
      </c>
      <c r="ZT252" s="0" t="n">
        <v>39.5</v>
      </c>
      <c r="ZU252" s="16" t="n">
        <v>60.8</v>
      </c>
      <c r="ZV252" s="16" t="n">
        <v>80.4</v>
      </c>
      <c r="ZW252" s="16" t="n">
        <v>22.9</v>
      </c>
      <c r="ZX252" s="0" t="n">
        <v>67.01</v>
      </c>
      <c r="ZY252" s="0" t="n">
        <v>11.71</v>
      </c>
      <c r="ZZ252" s="0" t="n">
        <v>16.61</v>
      </c>
      <c r="AAA252" s="0" t="n">
        <v>0</v>
      </c>
      <c r="AAB252" s="0" t="n">
        <v>4.67</v>
      </c>
      <c r="AAC252" s="0" t="n">
        <v>0</v>
      </c>
      <c r="AAD252" s="0" t="n">
        <v>0</v>
      </c>
      <c r="AAE252" s="0" t="n">
        <v>0</v>
      </c>
      <c r="AAF252" s="0" t="n">
        <v>0</v>
      </c>
      <c r="AAG252" s="0" t="n">
        <v>0</v>
      </c>
      <c r="AAH252" s="0" t="n">
        <v>0</v>
      </c>
      <c r="AAI252" s="0" t="n">
        <v>0</v>
      </c>
      <c r="AAJ252" s="0" t="n">
        <v>20.9</v>
      </c>
      <c r="AAK252" s="0" t="n">
        <v>25.23</v>
      </c>
      <c r="AAL252" s="0" t="n">
        <v>0.58</v>
      </c>
      <c r="AAM252" s="0" t="n">
        <v>0</v>
      </c>
      <c r="AAN252" s="0" t="n">
        <v>0</v>
      </c>
      <c r="AAO252" s="0" t="n">
        <v>0</v>
      </c>
      <c r="ABB252" s="0" t="n">
        <v>2</v>
      </c>
      <c r="ABC252" s="0" t="n">
        <v>1</v>
      </c>
      <c r="ABD252" s="0" t="n">
        <v>103</v>
      </c>
      <c r="ABE252" s="0" t="n">
        <v>2</v>
      </c>
      <c r="ABF252" s="0" t="n">
        <f aca="false">0.18+0.14</f>
        <v>0.32</v>
      </c>
      <c r="ABG252" s="0" t="n">
        <v>1</v>
      </c>
      <c r="ABH252" s="0" t="n">
        <v>68</v>
      </c>
      <c r="ABI252" s="0" t="n">
        <v>1</v>
      </c>
      <c r="ABJ252" s="0" t="n">
        <v>0.01</v>
      </c>
      <c r="ABK252" s="0" t="n">
        <v>1</v>
      </c>
      <c r="ABL252" s="0" t="n">
        <v>52</v>
      </c>
      <c r="ABM252" s="0" t="n">
        <v>3</v>
      </c>
      <c r="ABN252" s="18" t="n">
        <v>0.05</v>
      </c>
      <c r="ABO252" s="0" t="n">
        <v>2</v>
      </c>
      <c r="ACF252" s="0" t="n">
        <v>0</v>
      </c>
      <c r="ADQ252" s="16" t="n">
        <v>3.66</v>
      </c>
      <c r="ADR252" s="16" t="n">
        <v>1</v>
      </c>
      <c r="ADS252" s="16" t="n">
        <v>1</v>
      </c>
      <c r="ADT252" s="16"/>
      <c r="ADU252" s="16" t="n">
        <f aca="false">2.69*3+1.35*3+0.14*2+0.1</f>
        <v>12.5</v>
      </c>
      <c r="ADV252" s="16" t="n">
        <v>2</v>
      </c>
      <c r="ADW252" s="16"/>
      <c r="ADX252" s="16" t="n">
        <f aca="false">0.66+0.35+0.18+0.14+1.25+1.23</f>
        <v>3.81</v>
      </c>
      <c r="ADY252" s="16"/>
      <c r="ADZ252" s="16"/>
      <c r="AEA252" s="16"/>
      <c r="AEB252" s="16" t="n">
        <v>10.05</v>
      </c>
      <c r="AEC252" s="16" t="n">
        <v>27.11</v>
      </c>
      <c r="AED252" s="16"/>
      <c r="AEE252" s="16"/>
      <c r="AEF252" s="16" t="n">
        <v>0</v>
      </c>
      <c r="AEG252" s="16" t="n">
        <v>0</v>
      </c>
      <c r="AEH252" s="16" t="n">
        <v>0</v>
      </c>
      <c r="AEI252" s="0" t="n">
        <v>0</v>
      </c>
      <c r="AEJ252" s="0" t="s">
        <v>225</v>
      </c>
      <c r="AEK252" s="0" t="n">
        <v>47</v>
      </c>
      <c r="AEL252" s="16" t="n">
        <v>72.3</v>
      </c>
      <c r="AEM252" s="16" t="n">
        <v>80.4</v>
      </c>
      <c r="AEN252" s="16" t="n">
        <v>18</v>
      </c>
      <c r="AEO252" s="0" t="n">
        <v>70.55</v>
      </c>
      <c r="AEP252" s="0" t="n">
        <v>6.81</v>
      </c>
      <c r="AEQ252" s="0" t="n">
        <v>3.09</v>
      </c>
      <c r="AER252" s="0" t="n">
        <v>0</v>
      </c>
      <c r="AES252" s="0" t="n">
        <v>19.55</v>
      </c>
      <c r="AET252" s="0" t="n">
        <v>0</v>
      </c>
      <c r="AEU252" s="0" t="n">
        <v>0</v>
      </c>
      <c r="AEV252" s="0" t="n">
        <v>0</v>
      </c>
      <c r="AEW252" s="0" t="n">
        <v>0</v>
      </c>
      <c r="AEX252" s="0" t="n">
        <v>0</v>
      </c>
      <c r="AEY252" s="0" t="n">
        <v>0</v>
      </c>
      <c r="AEZ252" s="0" t="n">
        <v>0</v>
      </c>
      <c r="AFA252" s="0" t="n">
        <v>18.07</v>
      </c>
      <c r="AFB252" s="0" t="n">
        <v>30.57</v>
      </c>
      <c r="AFC252" s="0" t="n">
        <v>7.61</v>
      </c>
      <c r="AFD252" s="0" t="n">
        <v>0</v>
      </c>
      <c r="AFE252" s="0" t="n">
        <v>14</v>
      </c>
      <c r="AFF252" s="0" t="n">
        <v>2</v>
      </c>
      <c r="AFG252" s="0" t="n">
        <v>5</v>
      </c>
      <c r="AFH252" s="0" t="n">
        <v>4.47</v>
      </c>
      <c r="AFJ252" s="0" t="n">
        <v>7</v>
      </c>
      <c r="AFK252" s="0" t="n">
        <v>5.15</v>
      </c>
      <c r="AFM252" s="0" t="n">
        <v>5</v>
      </c>
      <c r="AFN252" s="0" t="n">
        <v>4.47</v>
      </c>
      <c r="AFP252" s="0" t="n">
        <v>7</v>
      </c>
      <c r="AFQ252" s="0" t="n">
        <v>5.15</v>
      </c>
      <c r="AFS252" s="0" t="n">
        <v>0</v>
      </c>
      <c r="AFT252" s="0" t="n">
        <v>0</v>
      </c>
      <c r="AGE252" s="18"/>
      <c r="AGW252" s="0" t="n">
        <v>0</v>
      </c>
      <c r="AIH252" s="16" t="n">
        <v>4.21</v>
      </c>
      <c r="AII252" s="16" t="n">
        <v>1</v>
      </c>
      <c r="AIJ252" s="16" t="n">
        <v>2</v>
      </c>
      <c r="AIK252" s="16"/>
      <c r="AIL252" s="16" t="n">
        <f aca="false">7.46+1.59+0.6</f>
        <v>9.65</v>
      </c>
      <c r="AIM252" s="16"/>
      <c r="AIN252" s="16"/>
      <c r="AIO252" s="16"/>
      <c r="AIP252" s="16"/>
      <c r="AIQ252" s="16"/>
      <c r="AIR252" s="16"/>
      <c r="AIS252" s="16" t="n">
        <v>10.63</v>
      </c>
      <c r="AIT252" s="16" t="n">
        <v>36.38</v>
      </c>
      <c r="AIU252" s="16"/>
      <c r="AIV252" s="16"/>
      <c r="AIW252" s="16" t="n">
        <v>0</v>
      </c>
      <c r="AIX252" s="16" t="n">
        <v>0</v>
      </c>
      <c r="AIY252" s="16" t="n">
        <v>0</v>
      </c>
      <c r="AIZ252" s="0" t="n">
        <v>0</v>
      </c>
      <c r="AJA252" s="0" t="s">
        <v>226</v>
      </c>
      <c r="AJB252" s="0" t="n">
        <v>19</v>
      </c>
      <c r="AJC252" s="16" t="n">
        <v>82.6</v>
      </c>
      <c r="AJD252" s="16" t="n">
        <v>80.4</v>
      </c>
      <c r="AJE252" s="16" t="n">
        <v>7.7</v>
      </c>
      <c r="AJF252" s="0" t="n">
        <v>86.83</v>
      </c>
      <c r="AJG252" s="0" t="n">
        <v>12.69</v>
      </c>
      <c r="AJH252" s="0" t="n">
        <v>0</v>
      </c>
      <c r="AJI252" s="0" t="n">
        <v>0</v>
      </c>
      <c r="AJJ252" s="0" t="n">
        <v>0.48</v>
      </c>
      <c r="AJK252" s="0" t="n">
        <v>0</v>
      </c>
      <c r="AJL252" s="0" t="n">
        <v>0</v>
      </c>
      <c r="AJM252" s="0" t="n">
        <v>0</v>
      </c>
      <c r="AJN252" s="0" t="n">
        <v>0</v>
      </c>
      <c r="AJO252" s="0" t="n">
        <v>0</v>
      </c>
      <c r="AJP252" s="0" t="n">
        <v>0</v>
      </c>
      <c r="AJQ252" s="0" t="n">
        <v>0</v>
      </c>
      <c r="AJR252" s="0" t="n">
        <v>7.16</v>
      </c>
      <c r="AJS252" s="0" t="n">
        <v>10.76</v>
      </c>
      <c r="AJT252" s="0" t="n">
        <v>0</v>
      </c>
      <c r="AJU252" s="0" t="n">
        <v>0</v>
      </c>
      <c r="AJV252" s="0" t="n">
        <v>3.4</v>
      </c>
      <c r="AJW252" s="0" t="n">
        <v>2</v>
      </c>
      <c r="AJX252" s="0" t="n">
        <v>11.9</v>
      </c>
      <c r="AJY252" s="0" t="n">
        <v>0.48</v>
      </c>
      <c r="AKD252" s="0" t="n">
        <v>11.9</v>
      </c>
      <c r="AKE252" s="0" t="n">
        <v>0.48</v>
      </c>
      <c r="AKJ252" s="0" t="n">
        <v>0</v>
      </c>
      <c r="AKK252" s="0" t="n">
        <v>1</v>
      </c>
      <c r="AKL252" s="0" t="n">
        <v>34</v>
      </c>
      <c r="AKM252" s="0" t="n">
        <v>2</v>
      </c>
      <c r="AKN252" s="0" t="n">
        <f aca="false">0.84*2</f>
        <v>1.68</v>
      </c>
      <c r="AKO252" s="0" t="n">
        <v>1</v>
      </c>
      <c r="AKV252" s="18"/>
      <c r="ALN252" s="0" t="n">
        <v>0</v>
      </c>
    </row>
    <row r="253" s="24" customFormat="true" ht="13.8" hidden="false" customHeight="false" outlineLevel="0" collapsed="false">
      <c r="A253" s="22" t="s">
        <v>772</v>
      </c>
      <c r="B253" s="23" t="n">
        <v>42893</v>
      </c>
      <c r="C253" s="24" t="n">
        <v>2</v>
      </c>
      <c r="D253" s="25" t="n">
        <v>37627</v>
      </c>
      <c r="E253" s="23" t="n">
        <v>27194</v>
      </c>
      <c r="F253" s="14" t="n">
        <f aca="false">(B253-E253)/365.25</f>
        <v>42.9815195071869</v>
      </c>
      <c r="G253" s="14" t="n">
        <f aca="false">(B253-D253)/365.25</f>
        <v>14.4175222450376</v>
      </c>
      <c r="H253" s="26" t="s">
        <v>181</v>
      </c>
      <c r="I253" s="21" t="s">
        <v>283</v>
      </c>
      <c r="J253" s="21" t="s">
        <v>183</v>
      </c>
      <c r="K253" s="21" t="n">
        <v>4</v>
      </c>
      <c r="L253" s="26" t="n">
        <v>80</v>
      </c>
      <c r="M253" s="24" t="n">
        <v>1.75</v>
      </c>
      <c r="N253" s="27" t="n">
        <f aca="false">L253/(M253*M253)</f>
        <v>26.1224489795918</v>
      </c>
      <c r="O253" s="26" t="n">
        <v>0</v>
      </c>
      <c r="P253" s="26" t="n">
        <v>0</v>
      </c>
      <c r="Q253" s="26" t="n">
        <v>0</v>
      </c>
      <c r="R253" s="26" t="n">
        <v>0</v>
      </c>
      <c r="S253" s="26" t="n">
        <v>0</v>
      </c>
      <c r="T253" s="26" t="n">
        <v>0</v>
      </c>
      <c r="U253" s="26" t="n">
        <v>0</v>
      </c>
      <c r="V253" s="26" t="n">
        <v>0</v>
      </c>
      <c r="W253" s="26"/>
      <c r="X253" s="26"/>
      <c r="Y253" s="26" t="n">
        <v>0</v>
      </c>
      <c r="Z253" s="26" t="n">
        <v>0</v>
      </c>
      <c r="AA253" s="26" t="n">
        <v>0</v>
      </c>
      <c r="AB253" s="26" t="n">
        <v>0</v>
      </c>
      <c r="AC253" s="26" t="n">
        <v>1</v>
      </c>
      <c r="AD253" s="26" t="n">
        <v>10</v>
      </c>
      <c r="AE253" s="26" t="n">
        <v>0</v>
      </c>
      <c r="AF253" s="26" t="n">
        <v>0</v>
      </c>
      <c r="AG253" s="26" t="n">
        <v>0</v>
      </c>
      <c r="AH253" s="26" t="n">
        <v>0</v>
      </c>
      <c r="AI253" s="26" t="n">
        <v>0</v>
      </c>
      <c r="AJ253" s="26" t="n">
        <v>0</v>
      </c>
      <c r="AK253" s="26" t="n">
        <v>0</v>
      </c>
      <c r="AL253" s="26" t="n">
        <v>0</v>
      </c>
      <c r="AM253" s="26" t="n">
        <v>0</v>
      </c>
      <c r="AN253" s="26" t="n">
        <v>3</v>
      </c>
      <c r="AO253" s="26" t="n">
        <v>0</v>
      </c>
      <c r="AP253" s="26" t="n">
        <v>0</v>
      </c>
      <c r="AQ253" s="26" t="n">
        <v>0</v>
      </c>
      <c r="AR253" s="26" t="n">
        <v>0</v>
      </c>
      <c r="AS253" s="26" t="n">
        <v>1</v>
      </c>
      <c r="AT253" s="26" t="n">
        <v>0</v>
      </c>
      <c r="AU253" s="26" t="n">
        <v>0</v>
      </c>
      <c r="AV253" s="26" t="n">
        <v>0</v>
      </c>
      <c r="AW253" s="26" t="n">
        <v>0</v>
      </c>
      <c r="AX253" s="26" t="n">
        <v>0</v>
      </c>
      <c r="AY253" s="26" t="n">
        <v>0</v>
      </c>
      <c r="AZ253" s="26" t="n">
        <v>0</v>
      </c>
      <c r="BA253" s="26" t="n">
        <v>0</v>
      </c>
      <c r="BB253" s="26" t="n">
        <v>1</v>
      </c>
      <c r="BC253" s="26" t="n">
        <v>0</v>
      </c>
      <c r="BD253" s="26" t="n">
        <v>0</v>
      </c>
      <c r="BE253" s="26" t="n">
        <v>0</v>
      </c>
      <c r="BF253" s="26" t="n">
        <v>0</v>
      </c>
      <c r="BG253" s="26" t="n">
        <v>0</v>
      </c>
      <c r="BH253" s="26" t="n">
        <v>0</v>
      </c>
      <c r="BI253" s="26" t="n">
        <v>0</v>
      </c>
      <c r="BJ253" s="26" t="n">
        <v>1</v>
      </c>
      <c r="BK253" s="26" t="n">
        <v>0</v>
      </c>
      <c r="BL253" s="26" t="n">
        <v>0</v>
      </c>
      <c r="BM253" s="26" t="n">
        <v>0</v>
      </c>
      <c r="BN253" s="26" t="n">
        <v>0</v>
      </c>
      <c r="BO253" s="26" t="n">
        <v>0</v>
      </c>
      <c r="BP253" s="26" t="n">
        <v>0</v>
      </c>
      <c r="BQ253" s="26" t="n">
        <v>0</v>
      </c>
      <c r="BR253" s="26"/>
      <c r="BS253" s="26" t="n">
        <v>3</v>
      </c>
      <c r="BT253" s="26" t="n">
        <v>5</v>
      </c>
      <c r="BU253" s="26" t="n">
        <v>5</v>
      </c>
      <c r="BV253" s="26" t="n">
        <v>3</v>
      </c>
      <c r="BW253" s="26" t="n">
        <v>3</v>
      </c>
      <c r="BX253" s="26" t="n">
        <v>3</v>
      </c>
      <c r="BY253" s="26" t="n">
        <v>3</v>
      </c>
      <c r="BZ253" s="26" t="n">
        <v>3</v>
      </c>
      <c r="CA253" s="26" t="n">
        <v>3</v>
      </c>
      <c r="CB253" s="26" t="n">
        <v>4</v>
      </c>
      <c r="CC253" s="26" t="n">
        <v>5</v>
      </c>
      <c r="CD253" s="26" t="n">
        <v>3</v>
      </c>
      <c r="CE253" s="26" t="n">
        <v>4</v>
      </c>
      <c r="CF253" s="26" t="n">
        <v>5</v>
      </c>
      <c r="CG253" s="26" t="n">
        <v>5</v>
      </c>
      <c r="CH253" s="26" t="n">
        <v>5</v>
      </c>
      <c r="CI253" s="26" t="n">
        <v>5</v>
      </c>
      <c r="CJ253" s="26" t="n">
        <v>4</v>
      </c>
      <c r="CK253" s="26" t="n">
        <v>9</v>
      </c>
      <c r="CL253" s="24" t="s">
        <v>286</v>
      </c>
      <c r="CM253" s="24" t="n">
        <v>95.5</v>
      </c>
      <c r="CN253" s="27" t="n">
        <v>99.1</v>
      </c>
      <c r="CO253" s="27" t="n">
        <v>80.4</v>
      </c>
      <c r="CP253" s="27" t="n">
        <v>90.4</v>
      </c>
      <c r="CQ253" s="24" t="n">
        <v>24.15</v>
      </c>
      <c r="CR253" s="29" t="n">
        <v>0</v>
      </c>
      <c r="CS253" s="24" t="n">
        <v>31.26</v>
      </c>
      <c r="CT253" s="24" t="n">
        <v>44.6</v>
      </c>
      <c r="CU253" s="24" t="n">
        <v>0</v>
      </c>
      <c r="CV253" s="24" t="n">
        <v>0</v>
      </c>
      <c r="CW253" s="24" t="n">
        <v>0</v>
      </c>
      <c r="CX253" s="24" t="n">
        <v>0</v>
      </c>
      <c r="CY253" s="24" t="n">
        <v>0</v>
      </c>
      <c r="CZ253" s="24" t="n">
        <v>0</v>
      </c>
      <c r="DA253" s="24" t="n">
        <v>0</v>
      </c>
      <c r="DB253" s="24" t="n">
        <v>0</v>
      </c>
      <c r="DC253" s="24" t="n">
        <v>0</v>
      </c>
      <c r="DD253" s="24" t="n">
        <v>24.75</v>
      </c>
      <c r="DE253" s="24" t="n">
        <v>2.47</v>
      </c>
      <c r="DF253" s="24" t="n">
        <v>0</v>
      </c>
      <c r="DG253" s="24" t="n">
        <v>0</v>
      </c>
      <c r="DH253" s="24" t="n">
        <v>0</v>
      </c>
      <c r="DU253" s="24" t="n">
        <v>0.2</v>
      </c>
      <c r="DV253" s="24" t="n">
        <v>1</v>
      </c>
      <c r="DW253" s="24" t="n">
        <v>34</v>
      </c>
      <c r="DX253" s="24" t="n">
        <v>16</v>
      </c>
      <c r="DY253" s="24" t="n">
        <f aca="false">6.09+1.07</f>
        <v>7.16</v>
      </c>
      <c r="DZ253" s="24" t="n">
        <v>1</v>
      </c>
      <c r="EA253" s="24" t="n">
        <v>68</v>
      </c>
      <c r="EB253" s="24" t="n">
        <v>1</v>
      </c>
      <c r="EC253" s="24" t="n">
        <v>0.13</v>
      </c>
      <c r="ED253" s="24" t="n">
        <v>1</v>
      </c>
      <c r="EG253" s="28"/>
      <c r="EY253" s="24" t="n">
        <v>0</v>
      </c>
      <c r="GJ253" s="27" t="n">
        <v>0.63</v>
      </c>
      <c r="GK253" s="27" t="n">
        <v>1</v>
      </c>
      <c r="GL253" s="27" t="n">
        <v>1</v>
      </c>
      <c r="GM253" s="27"/>
      <c r="GN253" s="27" t="n">
        <v>1.52</v>
      </c>
      <c r="GO253" s="27"/>
      <c r="GP253" s="27"/>
      <c r="GQ253" s="27"/>
      <c r="GR253" s="27"/>
      <c r="GS253" s="27"/>
      <c r="GT253" s="27"/>
      <c r="GU253" s="27" t="n">
        <v>0</v>
      </c>
      <c r="GV253" s="27" t="n">
        <v>0</v>
      </c>
      <c r="GW253" s="27"/>
      <c r="GX253" s="27"/>
      <c r="GY253" s="27" t="n">
        <v>0</v>
      </c>
      <c r="GZ253" s="27" t="n">
        <v>0</v>
      </c>
      <c r="HA253" s="27" t="n">
        <v>0</v>
      </c>
      <c r="HB253" s="24" t="n">
        <v>0</v>
      </c>
      <c r="HC253" s="24" t="s">
        <v>287</v>
      </c>
      <c r="HD253" s="24" t="n">
        <v>61.5</v>
      </c>
      <c r="HE253" s="27" t="n">
        <v>83.5</v>
      </c>
      <c r="HF253" s="27" t="n">
        <v>80.4</v>
      </c>
      <c r="HG253" s="27" t="n">
        <v>56.1</v>
      </c>
      <c r="HH253" s="24" t="n">
        <v>51.73</v>
      </c>
      <c r="HI253" s="29" t="n">
        <v>0</v>
      </c>
      <c r="HJ253" s="24" t="n">
        <v>30.08</v>
      </c>
      <c r="HK253" s="24" t="n">
        <v>18.19</v>
      </c>
      <c r="HL253" s="24" t="n">
        <v>0</v>
      </c>
      <c r="HM253" s="24" t="n">
        <v>0</v>
      </c>
      <c r="HN253" s="24" t="n">
        <v>0</v>
      </c>
      <c r="HO253" s="24" t="n">
        <v>0</v>
      </c>
      <c r="HP253" s="24" t="n">
        <v>0</v>
      </c>
      <c r="HQ253" s="24" t="n">
        <v>0</v>
      </c>
      <c r="HR253" s="24" t="n">
        <v>0</v>
      </c>
      <c r="HS253" s="24" t="n">
        <v>0</v>
      </c>
      <c r="HT253" s="24" t="n">
        <v>0.3</v>
      </c>
      <c r="HU253" s="24" t="n">
        <v>27.59</v>
      </c>
      <c r="HV253" s="24" t="n">
        <v>0</v>
      </c>
      <c r="HW253" s="24" t="n">
        <v>0</v>
      </c>
      <c r="HX253" s="24" t="n">
        <v>0</v>
      </c>
      <c r="HY253" s="24" t="n">
        <v>0</v>
      </c>
      <c r="IL253" s="24" t="n">
        <v>0</v>
      </c>
      <c r="IM253" s="24" t="n">
        <v>0</v>
      </c>
      <c r="IX253" s="28"/>
      <c r="JP253" s="24" t="n">
        <v>0</v>
      </c>
      <c r="LA253" s="27" t="n">
        <v>1.96</v>
      </c>
      <c r="LB253" s="27" t="n">
        <v>1</v>
      </c>
      <c r="LC253" s="27" t="n">
        <v>1</v>
      </c>
      <c r="LD253" s="27"/>
      <c r="LE253" s="27" t="n">
        <f aca="false">5.53+3.68+1.71+1.12+0.74</f>
        <v>12.78</v>
      </c>
      <c r="LF253" s="27"/>
      <c r="LG253" s="27"/>
      <c r="LH253" s="27"/>
      <c r="LI253" s="27"/>
      <c r="LJ253" s="27"/>
      <c r="LK253" s="27"/>
      <c r="LL253" s="27" t="n">
        <v>0.94</v>
      </c>
      <c r="LM253" s="27" t="n">
        <v>0.94</v>
      </c>
      <c r="LN253" s="27"/>
      <c r="LO253" s="27"/>
      <c r="LP253" s="27" t="n">
        <v>0</v>
      </c>
      <c r="LQ253" s="27" t="n">
        <v>0</v>
      </c>
      <c r="LR253" s="27" t="n">
        <v>0</v>
      </c>
      <c r="LS253" s="24" t="n">
        <v>0</v>
      </c>
      <c r="LT253" s="24" t="s">
        <v>289</v>
      </c>
      <c r="LU253" s="24" t="n">
        <v>44</v>
      </c>
      <c r="LV253" s="27" t="n">
        <v>69.9</v>
      </c>
      <c r="LW253" s="27" t="n">
        <v>80.4</v>
      </c>
      <c r="LX253" s="27" t="n">
        <v>41</v>
      </c>
      <c r="LY253" s="24" t="n">
        <v>68.16</v>
      </c>
      <c r="LZ253" s="29" t="n">
        <v>0</v>
      </c>
      <c r="MA253" s="24" t="n">
        <v>11.52</v>
      </c>
      <c r="MB253" s="24" t="n">
        <v>20.32</v>
      </c>
      <c r="MC253" s="24" t="n">
        <v>0</v>
      </c>
      <c r="MD253" s="24" t="n">
        <v>0</v>
      </c>
      <c r="ME253" s="24" t="n">
        <v>0</v>
      </c>
      <c r="MF253" s="24" t="n">
        <v>0</v>
      </c>
      <c r="MG253" s="24" t="n">
        <v>0</v>
      </c>
      <c r="MH253" s="24" t="n">
        <v>0</v>
      </c>
      <c r="MI253" s="24" t="n">
        <v>0</v>
      </c>
      <c r="MJ253" s="24" t="n">
        <v>0</v>
      </c>
      <c r="MK253" s="24" t="n">
        <v>13.13</v>
      </c>
      <c r="ML253" s="24" t="n">
        <v>8.66</v>
      </c>
      <c r="MM253" s="24" t="n">
        <v>0</v>
      </c>
      <c r="MN253" s="24" t="n">
        <v>0</v>
      </c>
      <c r="MO253" s="24" t="n">
        <v>0</v>
      </c>
      <c r="MP253" s="24" t="n">
        <v>0</v>
      </c>
      <c r="NC253" s="24" t="n">
        <v>1.5</v>
      </c>
      <c r="ND253" s="24" t="n">
        <v>1</v>
      </c>
      <c r="NE253" s="24" t="n">
        <v>47</v>
      </c>
      <c r="NF253" s="24" t="n">
        <v>5</v>
      </c>
      <c r="NG253" s="24" t="n">
        <f aca="false">0.15+0.04</f>
        <v>0.19</v>
      </c>
      <c r="NH253" s="24" t="n">
        <v>3</v>
      </c>
      <c r="NI253" s="24" t="n">
        <v>25</v>
      </c>
      <c r="NJ253" s="24" t="n">
        <v>1</v>
      </c>
      <c r="NK253" s="24" t="n">
        <v>0.4</v>
      </c>
      <c r="NL253" s="24" t="n">
        <v>1</v>
      </c>
      <c r="NO253" s="28"/>
      <c r="OG253" s="24" t="n">
        <v>0</v>
      </c>
      <c r="PR253" s="27" t="n">
        <v>0.11</v>
      </c>
      <c r="PS253" s="27" t="n">
        <v>1</v>
      </c>
      <c r="PT253" s="27" t="n">
        <v>1</v>
      </c>
      <c r="PU253" s="27"/>
      <c r="PV253" s="27" t="n">
        <v>0.56</v>
      </c>
      <c r="PW253" s="27"/>
      <c r="PX253" s="27"/>
      <c r="PY253" s="27"/>
      <c r="PZ253" s="27"/>
      <c r="QA253" s="27"/>
      <c r="QB253" s="27"/>
      <c r="QC253" s="27" t="n">
        <v>0</v>
      </c>
      <c r="QD253" s="27" t="n">
        <v>0</v>
      </c>
      <c r="QE253" s="27"/>
      <c r="QF253" s="27"/>
      <c r="QG253" s="27" t="n">
        <v>0</v>
      </c>
      <c r="QH253" s="27" t="n">
        <v>0</v>
      </c>
      <c r="QI253" s="27" t="n">
        <v>0</v>
      </c>
      <c r="QJ253" s="24" t="n">
        <v>0</v>
      </c>
      <c r="QK253" s="24" t="n">
        <v>56</v>
      </c>
      <c r="QL253" s="24" t="n">
        <v>26.5</v>
      </c>
      <c r="QM253" s="27" t="n">
        <v>66.1</v>
      </c>
      <c r="QN253" s="27" t="n">
        <v>80.4</v>
      </c>
      <c r="QO253" s="27" t="n">
        <v>15</v>
      </c>
      <c r="QP253" s="24" t="n">
        <v>89</v>
      </c>
      <c r="QQ253" s="29" t="n">
        <v>0</v>
      </c>
      <c r="QR253" s="24" t="n">
        <v>7.09</v>
      </c>
      <c r="QS253" s="24" t="n">
        <v>2.12</v>
      </c>
      <c r="QT253" s="24" t="n">
        <v>0</v>
      </c>
      <c r="QU253" s="24" t="n">
        <v>0</v>
      </c>
      <c r="QV253" s="24" t="n">
        <v>0</v>
      </c>
      <c r="QW253" s="24" t="n">
        <v>0</v>
      </c>
      <c r="QX253" s="24" t="n">
        <v>0</v>
      </c>
      <c r="QY253" s="24" t="n">
        <v>0</v>
      </c>
      <c r="QZ253" s="24" t="n">
        <v>0</v>
      </c>
      <c r="RA253" s="24" t="n">
        <v>0</v>
      </c>
      <c r="RB253" s="24" t="n">
        <v>4.26</v>
      </c>
      <c r="RC253" s="24" t="n">
        <v>32.68</v>
      </c>
      <c r="RD253" s="24" t="n">
        <v>1.91</v>
      </c>
      <c r="RE253" s="24" t="n">
        <v>0</v>
      </c>
      <c r="RF253" s="24" t="n">
        <v>0</v>
      </c>
      <c r="RG253" s="24" t="n">
        <v>0</v>
      </c>
      <c r="RT253" s="24" t="n">
        <v>0</v>
      </c>
      <c r="RU253" s="24" t="n">
        <v>0</v>
      </c>
      <c r="SF253" s="28"/>
      <c r="SX253" s="24" t="n">
        <v>0</v>
      </c>
      <c r="UI253" s="27" t="n">
        <v>3.52</v>
      </c>
      <c r="UJ253" s="27" t="n">
        <v>1</v>
      </c>
      <c r="UK253" s="27" t="n">
        <v>1</v>
      </c>
      <c r="UL253" s="27"/>
      <c r="UM253" s="27" t="n">
        <f aca="false">3.13+3.17*4</f>
        <v>15.81</v>
      </c>
      <c r="UN253" s="27" t="n">
        <v>2</v>
      </c>
      <c r="UO253" s="27"/>
      <c r="UP253" s="27" t="n">
        <v>0.87</v>
      </c>
      <c r="UQ253" s="27"/>
      <c r="UR253" s="27"/>
      <c r="US253" s="27"/>
      <c r="UT253" s="27" t="n">
        <v>5.36</v>
      </c>
      <c r="UU253" s="27" t="n">
        <v>8.39</v>
      </c>
      <c r="UV253" s="27"/>
      <c r="UW253" s="27"/>
      <c r="UX253" s="27" t="n">
        <v>0</v>
      </c>
      <c r="UY253" s="27" t="n">
        <v>0</v>
      </c>
      <c r="UZ253" s="27" t="n">
        <v>0</v>
      </c>
      <c r="VA253" s="24" t="n">
        <v>0</v>
      </c>
      <c r="VB253" s="24" t="s">
        <v>291</v>
      </c>
      <c r="VC253" s="24" t="n">
        <v>35.5</v>
      </c>
      <c r="VD253" s="27" t="n">
        <v>84</v>
      </c>
      <c r="VE253" s="27" t="n">
        <v>80.4</v>
      </c>
      <c r="VF253" s="27" t="n">
        <v>10.5</v>
      </c>
      <c r="VG253" s="24" t="n">
        <v>95.42</v>
      </c>
      <c r="VH253" s="29" t="n">
        <v>0</v>
      </c>
      <c r="VI253" s="24" t="n">
        <v>4.58</v>
      </c>
      <c r="VJ253" s="24" t="n">
        <v>0</v>
      </c>
      <c r="VK253" s="24" t="n">
        <v>0</v>
      </c>
      <c r="VL253" s="24" t="n">
        <v>0</v>
      </c>
      <c r="VM253" s="24" t="n">
        <v>0</v>
      </c>
      <c r="VN253" s="24" t="n">
        <v>0</v>
      </c>
      <c r="VO253" s="24" t="n">
        <v>0</v>
      </c>
      <c r="VP253" s="24" t="n">
        <v>0</v>
      </c>
      <c r="VQ253" s="24" t="n">
        <v>0</v>
      </c>
      <c r="VR253" s="24" t="n">
        <v>0</v>
      </c>
      <c r="VS253" s="24" t="n">
        <v>17.83</v>
      </c>
      <c r="VT253" s="24" t="n">
        <v>40.99</v>
      </c>
      <c r="VU253" s="24" t="n">
        <v>9.34</v>
      </c>
      <c r="VV253" s="24" t="n">
        <v>0</v>
      </c>
      <c r="VW253" s="24" t="n">
        <v>0</v>
      </c>
      <c r="VX253" s="24" t="n">
        <v>0</v>
      </c>
      <c r="WK253" s="24" t="n">
        <v>4.4</v>
      </c>
      <c r="WL253" s="24" t="n">
        <v>1</v>
      </c>
      <c r="WM253" s="24" t="n">
        <v>34</v>
      </c>
      <c r="WN253" s="24" t="n">
        <v>10</v>
      </c>
      <c r="WO253" s="24" t="n">
        <f aca="false">8.56+1.51</f>
        <v>10.07</v>
      </c>
      <c r="WP253" s="24" t="n">
        <v>1</v>
      </c>
      <c r="WQ253" s="24" t="n">
        <v>68</v>
      </c>
      <c r="WR253" s="24" t="n">
        <v>6</v>
      </c>
      <c r="WS253" s="24" t="n">
        <f aca="false">3.43+0.6</f>
        <v>4.03</v>
      </c>
      <c r="WT253" s="24" t="n">
        <v>1</v>
      </c>
      <c r="WW253" s="28"/>
      <c r="XO253" s="24" t="n">
        <v>0</v>
      </c>
      <c r="YZ253" s="27" t="n">
        <v>1.25</v>
      </c>
      <c r="ZA253" s="27" t="n">
        <v>1</v>
      </c>
      <c r="ZB253" s="27" t="n">
        <v>1</v>
      </c>
      <c r="ZC253" s="27"/>
      <c r="ZD253" s="27" t="n">
        <f aca="false">2.09+3.13</f>
        <v>5.22</v>
      </c>
      <c r="ZE253" s="27"/>
      <c r="ZF253" s="27"/>
      <c r="ZG253" s="27"/>
      <c r="ZH253" s="27"/>
      <c r="ZI253" s="27"/>
      <c r="ZJ253" s="27"/>
      <c r="ZK253" s="27" t="n">
        <v>15.75</v>
      </c>
      <c r="ZL253" s="27" t="n">
        <v>41.8</v>
      </c>
      <c r="ZM253" s="27"/>
      <c r="ZN253" s="27"/>
      <c r="ZO253" s="27" t="n">
        <v>0</v>
      </c>
      <c r="ZP253" s="27" t="n">
        <v>0</v>
      </c>
      <c r="ZQ253" s="27" t="n">
        <v>0</v>
      </c>
      <c r="ZR253" s="24" t="n">
        <v>0</v>
      </c>
      <c r="ZS253" s="24" t="s">
        <v>773</v>
      </c>
      <c r="ZT253" s="24" t="n">
        <v>36.5</v>
      </c>
      <c r="ZU253" s="27" t="n">
        <v>76.3</v>
      </c>
      <c r="ZV253" s="27" t="n">
        <v>80.4</v>
      </c>
      <c r="ZW253" s="27" t="n">
        <v>14.5</v>
      </c>
      <c r="ZX253" s="24" t="n">
        <v>91.16</v>
      </c>
      <c r="ZY253" s="29" t="n">
        <v>0</v>
      </c>
      <c r="ZZ253" s="24" t="n">
        <v>6.16</v>
      </c>
      <c r="AAA253" s="24" t="n">
        <v>2.69</v>
      </c>
      <c r="AAB253" s="24" t="n">
        <v>0</v>
      </c>
      <c r="AAC253" s="24" t="n">
        <v>0</v>
      </c>
      <c r="AAD253" s="24" t="n">
        <v>0</v>
      </c>
      <c r="AAE253" s="24" t="n">
        <v>0</v>
      </c>
      <c r="AAF253" s="24" t="n">
        <v>0</v>
      </c>
      <c r="AAG253" s="24" t="n">
        <v>0</v>
      </c>
      <c r="AAH253" s="24" t="n">
        <v>0</v>
      </c>
      <c r="AAI253" s="24" t="n">
        <v>0</v>
      </c>
      <c r="AAJ253" s="24" t="n">
        <v>15.05</v>
      </c>
      <c r="AAK253" s="24" t="n">
        <v>31.49</v>
      </c>
      <c r="AAL253" s="24" t="n">
        <v>9.19</v>
      </c>
      <c r="AAM253" s="24" t="n">
        <v>0</v>
      </c>
      <c r="AAN253" s="24" t="n">
        <v>0</v>
      </c>
      <c r="AAO253" s="24" t="n">
        <v>0</v>
      </c>
      <c r="ABB253" s="24" t="n">
        <v>4.4</v>
      </c>
      <c r="ABC253" s="24" t="n">
        <v>1</v>
      </c>
      <c r="ABD253" s="24" t="n">
        <v>34</v>
      </c>
      <c r="ABE253" s="24" t="n">
        <v>10</v>
      </c>
      <c r="ABF253" s="24" t="n">
        <f aca="false">8.56+1.51</f>
        <v>10.07</v>
      </c>
      <c r="ABG253" s="24" t="n">
        <v>1</v>
      </c>
      <c r="ABH253" s="24" t="n">
        <v>68</v>
      </c>
      <c r="ABI253" s="24" t="n">
        <v>6</v>
      </c>
      <c r="ABJ253" s="24" t="n">
        <f aca="false">3.43+0.6</f>
        <v>4.03</v>
      </c>
      <c r="ABK253" s="24" t="n">
        <v>1</v>
      </c>
      <c r="ABN253" s="28"/>
      <c r="ACF253" s="24" t="n">
        <v>0</v>
      </c>
      <c r="ADQ253" s="27" t="n">
        <v>0</v>
      </c>
      <c r="ADR253" s="27" t="n">
        <v>0</v>
      </c>
      <c r="ADS253" s="27"/>
      <c r="ADT253" s="27"/>
      <c r="ADU253" s="27"/>
      <c r="ADV253" s="27"/>
      <c r="ADW253" s="27"/>
      <c r="ADX253" s="27"/>
      <c r="ADY253" s="27"/>
      <c r="ADZ253" s="27"/>
      <c r="AEA253" s="27"/>
      <c r="AEB253" s="27" t="n">
        <v>14.52</v>
      </c>
      <c r="AEC253" s="27" t="n">
        <v>36.5</v>
      </c>
      <c r="AED253" s="27"/>
      <c r="AEE253" s="27"/>
      <c r="AEF253" s="27" t="n">
        <v>0</v>
      </c>
      <c r="AEG253" s="27" t="n">
        <v>0</v>
      </c>
      <c r="AEH253" s="27" t="n">
        <v>0</v>
      </c>
      <c r="AEI253" s="24" t="n">
        <v>0</v>
      </c>
      <c r="AEJ253" s="24" t="s">
        <v>757</v>
      </c>
      <c r="AEK253" s="24" t="n">
        <v>36</v>
      </c>
      <c r="AEL253" s="27" t="n">
        <v>87.4</v>
      </c>
      <c r="AEM253" s="27" t="n">
        <v>80.4</v>
      </c>
      <c r="AEN253" s="27" t="n">
        <v>27.8</v>
      </c>
      <c r="AEO253" s="24" t="n">
        <v>71.12</v>
      </c>
      <c r="AEP253" s="29" t="n">
        <v>0</v>
      </c>
      <c r="AEQ253" s="24" t="n">
        <v>26.39</v>
      </c>
      <c r="AER253" s="24" t="n">
        <v>2.49</v>
      </c>
      <c r="AES253" s="24" t="n">
        <v>0</v>
      </c>
      <c r="AET253" s="24" t="n">
        <v>0</v>
      </c>
      <c r="AEU253" s="24" t="n">
        <v>0</v>
      </c>
      <c r="AEV253" s="24" t="n">
        <v>0</v>
      </c>
      <c r="AEW253" s="24" t="n">
        <v>0</v>
      </c>
      <c r="AEX253" s="24" t="n">
        <v>0</v>
      </c>
      <c r="AEY253" s="24" t="n">
        <v>0</v>
      </c>
      <c r="AEZ253" s="24" t="n">
        <v>0</v>
      </c>
      <c r="AFA253" s="24" t="n">
        <v>49.1</v>
      </c>
      <c r="AFB253" s="24" t="n">
        <v>13.54</v>
      </c>
      <c r="AFC253" s="24" t="n">
        <v>0</v>
      </c>
      <c r="AFD253" s="24" t="n">
        <v>0</v>
      </c>
      <c r="AFE253" s="24" t="n">
        <v>0</v>
      </c>
      <c r="AFF253" s="24" t="n">
        <v>0</v>
      </c>
      <c r="AFS253" s="24" t="n">
        <v>2.4</v>
      </c>
      <c r="AFT253" s="24" t="n">
        <v>0</v>
      </c>
      <c r="AGE253" s="28"/>
      <c r="AGW253" s="24" t="n">
        <v>1</v>
      </c>
      <c r="AGX253" s="24" t="n">
        <v>70</v>
      </c>
      <c r="AGY253" s="24" t="n">
        <v>2</v>
      </c>
      <c r="AGZ253" s="24" t="n">
        <f aca="false">0.83*2</f>
        <v>1.66</v>
      </c>
      <c r="AHA253" s="24" t="n">
        <v>2</v>
      </c>
      <c r="AHB253" s="24" t="n">
        <v>90</v>
      </c>
      <c r="AHC253" s="24" t="n">
        <v>2</v>
      </c>
      <c r="AHD253" s="24" t="n">
        <f aca="false">0.41*2</f>
        <v>0.82</v>
      </c>
      <c r="AHE253" s="24" t="n">
        <v>1</v>
      </c>
      <c r="AIH253" s="27" t="n">
        <v>1.59</v>
      </c>
      <c r="AII253" s="27" t="n">
        <v>1</v>
      </c>
      <c r="AIJ253" s="27" t="n">
        <v>1</v>
      </c>
      <c r="AIK253" s="27"/>
      <c r="AIL253" s="27" t="n">
        <v>12.69</v>
      </c>
      <c r="AIM253" s="27"/>
      <c r="AIN253" s="27"/>
      <c r="AIO253" s="27"/>
      <c r="AIP253" s="27"/>
      <c r="AIQ253" s="27"/>
      <c r="AIR253" s="27"/>
      <c r="AIS253" s="27" t="n">
        <v>4.19</v>
      </c>
      <c r="AIT253" s="27" t="n">
        <v>4.18</v>
      </c>
      <c r="AIU253" s="27"/>
      <c r="AIV253" s="27"/>
      <c r="AIW253" s="27" t="n">
        <v>0</v>
      </c>
      <c r="AIX253" s="27" t="n">
        <v>0</v>
      </c>
      <c r="AIY253" s="27" t="n">
        <v>0</v>
      </c>
      <c r="AIZ253" s="24" t="n">
        <v>0</v>
      </c>
      <c r="AJA253" s="21"/>
      <c r="AJB253" s="21"/>
      <c r="AJD253" s="33"/>
      <c r="AJE253" s="33"/>
      <c r="AJH253" s="33"/>
      <c r="AJI253" s="21"/>
      <c r="AJJ253" s="21"/>
      <c r="AJL253" s="33"/>
      <c r="AJM253" s="33"/>
      <c r="AJP253" s="33"/>
      <c r="AJQ253" s="21"/>
      <c r="AJR253" s="21"/>
      <c r="AJT253" s="33"/>
      <c r="AJU253" s="33"/>
      <c r="AJX253" s="33"/>
      <c r="AJY253" s="21"/>
      <c r="AJZ253" s="21"/>
      <c r="AKB253" s="33"/>
      <c r="AKC253" s="33"/>
      <c r="AKF253" s="33"/>
      <c r="AKG253" s="21"/>
      <c r="AKH253" s="21"/>
      <c r="AKJ253" s="33"/>
      <c r="AKK253" s="33"/>
      <c r="AKN253" s="33"/>
      <c r="AKO253" s="21"/>
      <c r="AKP253" s="21"/>
      <c r="AKR253" s="33"/>
      <c r="AKS253" s="33"/>
      <c r="AKV253" s="33"/>
      <c r="AKW253" s="21"/>
      <c r="AKX253" s="21"/>
      <c r="AKZ253" s="33"/>
      <c r="ALA253" s="33"/>
      <c r="ALD253" s="33"/>
      <c r="ALE253" s="21"/>
      <c r="ALF253" s="21"/>
      <c r="ALH253" s="33"/>
      <c r="ALI253" s="33"/>
      <c r="ALL253" s="33"/>
      <c r="ALM253" s="21"/>
      <c r="ALN253" s="21"/>
      <c r="ALP253" s="33"/>
      <c r="ALQ253" s="33"/>
      <c r="ALT253" s="33"/>
      <c r="ALU253" s="21"/>
      <c r="ALV253" s="21"/>
      <c r="ALX253" s="33"/>
      <c r="ALY253" s="33"/>
      <c r="AMB253" s="33"/>
      <c r="AMC253" s="21"/>
      <c r="AMD253" s="21"/>
      <c r="AMF253" s="33"/>
      <c r="AMG253" s="33"/>
      <c r="AMJ253" s="33"/>
    </row>
    <row r="254" customFormat="false" ht="13.8" hidden="false" customHeight="false" outlineLevel="0" collapsed="false">
      <c r="A254" s="22" t="s">
        <v>774</v>
      </c>
      <c r="B254" s="23" t="n">
        <v>42894</v>
      </c>
      <c r="C254" s="24" t="n">
        <v>2</v>
      </c>
      <c r="D254" s="25" t="n">
        <v>42786</v>
      </c>
      <c r="E254" s="23" t="n">
        <v>34380</v>
      </c>
      <c r="F254" s="14" t="n">
        <f aca="false">(B254-E254)/365.25</f>
        <v>23.3100616016427</v>
      </c>
      <c r="G254" s="14" t="n">
        <f aca="false">(B254-D254)/365.25</f>
        <v>0.295687885010267</v>
      </c>
      <c r="H254" s="26" t="s">
        <v>181</v>
      </c>
      <c r="I254" s="21" t="s">
        <v>283</v>
      </c>
      <c r="J254" s="21" t="s">
        <v>183</v>
      </c>
      <c r="K254" s="21" t="n">
        <v>8</v>
      </c>
      <c r="L254" s="26" t="n">
        <v>76</v>
      </c>
      <c r="M254" s="24" t="n">
        <v>1.8</v>
      </c>
      <c r="N254" s="27" t="n">
        <f aca="false">L254/(M254*M254)</f>
        <v>23.4567901234568</v>
      </c>
      <c r="O254" s="26" t="n">
        <v>0</v>
      </c>
      <c r="P254" s="26" t="n">
        <v>0</v>
      </c>
      <c r="Q254" s="26" t="n">
        <v>0</v>
      </c>
      <c r="R254" s="26" t="n">
        <v>0</v>
      </c>
      <c r="S254" s="26" t="n">
        <v>0</v>
      </c>
      <c r="T254" s="26" t="n">
        <v>0</v>
      </c>
      <c r="U254" s="26" t="n">
        <v>0</v>
      </c>
      <c r="V254" s="26" t="n">
        <v>0</v>
      </c>
      <c r="W254" s="26" t="n">
        <v>0</v>
      </c>
      <c r="X254" s="26" t="n">
        <v>0</v>
      </c>
      <c r="Y254" s="26" t="n">
        <v>0</v>
      </c>
      <c r="Z254" s="26" t="n">
        <v>0</v>
      </c>
      <c r="AA254" s="26" t="n">
        <v>0</v>
      </c>
      <c r="AB254" s="26" t="n">
        <v>0</v>
      </c>
      <c r="AC254" s="26" t="n">
        <v>0</v>
      </c>
      <c r="AD254" s="26" t="n">
        <v>0</v>
      </c>
      <c r="AE254" s="26" t="n">
        <v>0</v>
      </c>
      <c r="AF254" s="26" t="n">
        <v>0</v>
      </c>
      <c r="AG254" s="26" t="n">
        <v>0</v>
      </c>
      <c r="AH254" s="26" t="n">
        <v>0</v>
      </c>
      <c r="AI254" s="26" t="n">
        <v>0</v>
      </c>
      <c r="AJ254" s="26" t="n">
        <v>0</v>
      </c>
      <c r="AK254" s="26" t="n">
        <v>0</v>
      </c>
      <c r="AL254" s="26" t="n">
        <v>0</v>
      </c>
      <c r="AM254" s="26" t="n">
        <v>0</v>
      </c>
      <c r="AN254" s="26" t="n">
        <v>0</v>
      </c>
      <c r="AO254" s="26" t="n">
        <v>0</v>
      </c>
      <c r="AP254" s="26" t="n">
        <v>0</v>
      </c>
      <c r="AQ254" s="26" t="n">
        <v>0</v>
      </c>
      <c r="AR254" s="26" t="n">
        <v>0</v>
      </c>
      <c r="AS254" s="26" t="n">
        <v>0</v>
      </c>
      <c r="AT254" s="26" t="n">
        <v>0</v>
      </c>
      <c r="AU254" s="26" t="n">
        <v>0</v>
      </c>
      <c r="AV254" s="26" t="n">
        <v>0</v>
      </c>
      <c r="AW254" s="26" t="n">
        <v>0</v>
      </c>
      <c r="AX254" s="26" t="n">
        <v>0</v>
      </c>
      <c r="AY254" s="26" t="n">
        <v>0</v>
      </c>
      <c r="AZ254" s="26" t="n">
        <v>0</v>
      </c>
      <c r="BA254" s="26" t="n">
        <v>0</v>
      </c>
      <c r="BB254" s="26" t="n">
        <v>0</v>
      </c>
      <c r="BC254" s="26" t="n">
        <v>0</v>
      </c>
      <c r="BD254" s="26" t="n">
        <v>0</v>
      </c>
      <c r="BE254" s="26" t="n">
        <v>0</v>
      </c>
      <c r="BF254" s="26" t="n">
        <v>0</v>
      </c>
      <c r="BG254" s="26" t="n">
        <v>0</v>
      </c>
      <c r="BH254" s="26" t="n">
        <v>0</v>
      </c>
      <c r="BI254" s="26" t="n">
        <v>0</v>
      </c>
      <c r="BJ254" s="26" t="n">
        <v>0</v>
      </c>
      <c r="BK254" s="26" t="n">
        <v>0</v>
      </c>
      <c r="BL254" s="26" t="n">
        <v>0</v>
      </c>
      <c r="BM254" s="26" t="n">
        <v>0</v>
      </c>
      <c r="BN254" s="26" t="n">
        <v>0</v>
      </c>
      <c r="BO254" s="26" t="n">
        <v>0</v>
      </c>
      <c r="BP254" s="26" t="n">
        <v>0</v>
      </c>
      <c r="BQ254" s="26" t="n">
        <v>0</v>
      </c>
      <c r="BR254" s="26" t="n">
        <v>3</v>
      </c>
      <c r="BS254" s="26" t="n">
        <v>2</v>
      </c>
      <c r="BT254" s="26" t="n">
        <v>2</v>
      </c>
      <c r="BU254" s="26" t="n">
        <v>4</v>
      </c>
      <c r="BV254" s="26" t="n">
        <v>2</v>
      </c>
      <c r="BW254" s="26" t="n">
        <v>1</v>
      </c>
      <c r="BX254" s="26" t="n">
        <v>3</v>
      </c>
      <c r="BY254" s="26" t="n">
        <v>2</v>
      </c>
      <c r="BZ254" s="26" t="n">
        <v>3</v>
      </c>
      <c r="CA254" s="26" t="n">
        <v>3</v>
      </c>
      <c r="CB254" s="26" t="n">
        <v>3</v>
      </c>
      <c r="CC254" s="26" t="n">
        <v>3</v>
      </c>
      <c r="CD254" s="26" t="n">
        <v>2</v>
      </c>
      <c r="CE254" s="26" t="n">
        <v>4</v>
      </c>
      <c r="CF254" s="26" t="n">
        <v>3</v>
      </c>
      <c r="CG254" s="26" t="n">
        <v>4</v>
      </c>
      <c r="CH254" s="26" t="n">
        <v>3</v>
      </c>
      <c r="CI254" s="26" t="n">
        <v>3</v>
      </c>
      <c r="CJ254" s="26" t="n">
        <v>4</v>
      </c>
      <c r="CK254" s="26" t="n">
        <v>7</v>
      </c>
      <c r="CL254" s="24" t="s">
        <v>286</v>
      </c>
      <c r="CM254" s="24" t="n">
        <v>95.5</v>
      </c>
      <c r="CN254" s="27" t="n">
        <v>99.1</v>
      </c>
      <c r="CO254" s="27" t="n">
        <v>80.4</v>
      </c>
      <c r="CP254" s="27" t="n">
        <v>90.4</v>
      </c>
      <c r="CQ254" s="24" t="n">
        <v>24.15</v>
      </c>
      <c r="CR254" s="29" t="n">
        <v>0</v>
      </c>
      <c r="CS254" s="24" t="n">
        <v>31.26</v>
      </c>
      <c r="CT254" s="24" t="n">
        <v>44.6</v>
      </c>
      <c r="CU254" s="24" t="n">
        <v>0</v>
      </c>
      <c r="CV254" s="24" t="n">
        <v>0</v>
      </c>
      <c r="CW254" s="24" t="n">
        <v>0</v>
      </c>
      <c r="CX254" s="24" t="n">
        <v>0</v>
      </c>
      <c r="CY254" s="24" t="n">
        <v>0</v>
      </c>
      <c r="CZ254" s="24" t="n">
        <v>0</v>
      </c>
      <c r="DA254" s="24" t="n">
        <v>0</v>
      </c>
      <c r="DB254" s="24" t="n">
        <v>0</v>
      </c>
      <c r="DC254" s="24" t="n">
        <v>0</v>
      </c>
      <c r="DD254" s="24" t="n">
        <v>24.75</v>
      </c>
      <c r="DE254" s="24" t="n">
        <v>2.47</v>
      </c>
      <c r="DF254" s="24" t="n">
        <v>0</v>
      </c>
      <c r="DG254" s="24" t="n">
        <v>0</v>
      </c>
      <c r="DH254" s="24" t="n">
        <v>0</v>
      </c>
      <c r="DI254" s="24"/>
      <c r="DJ254" s="24"/>
      <c r="DK254" s="24"/>
      <c r="DL254" s="24"/>
      <c r="DM254" s="24"/>
      <c r="DN254" s="24"/>
      <c r="DO254" s="24"/>
      <c r="DP254" s="24"/>
      <c r="DQ254" s="24"/>
      <c r="DR254" s="24"/>
      <c r="DS254" s="24"/>
      <c r="DT254" s="24"/>
      <c r="DU254" s="24" t="n">
        <v>0.2</v>
      </c>
      <c r="DV254" s="24" t="n">
        <v>1</v>
      </c>
      <c r="DW254" s="24" t="n">
        <v>34</v>
      </c>
      <c r="DX254" s="24" t="n">
        <v>16</v>
      </c>
      <c r="DY254" s="24" t="n">
        <f aca="false">6.09+1.07</f>
        <v>7.16</v>
      </c>
      <c r="DZ254" s="24" t="n">
        <v>1</v>
      </c>
      <c r="EA254" s="24" t="n">
        <v>68</v>
      </c>
      <c r="EB254" s="24" t="n">
        <v>1</v>
      </c>
      <c r="EC254" s="24" t="n">
        <v>0.13</v>
      </c>
      <c r="ED254" s="24" t="n">
        <v>1</v>
      </c>
      <c r="EE254" s="24"/>
      <c r="EF254" s="24"/>
      <c r="EG254" s="28"/>
      <c r="EH254" s="24"/>
      <c r="EI254" s="24"/>
      <c r="EJ254" s="24"/>
      <c r="EK254" s="24"/>
      <c r="EL254" s="24"/>
      <c r="EM254" s="24"/>
      <c r="EN254" s="24"/>
      <c r="EO254" s="24"/>
      <c r="EP254" s="24"/>
      <c r="EQ254" s="24"/>
      <c r="ER254" s="24"/>
      <c r="ES254" s="24"/>
      <c r="ET254" s="24"/>
      <c r="EU254" s="24"/>
      <c r="EV254" s="24"/>
      <c r="EW254" s="24"/>
      <c r="EX254" s="24"/>
      <c r="EY254" s="24" t="n">
        <v>0</v>
      </c>
      <c r="EZ254" s="24"/>
      <c r="FA254" s="24"/>
      <c r="FB254" s="24"/>
      <c r="FC254" s="24"/>
      <c r="FD254" s="24"/>
      <c r="FE254" s="24"/>
      <c r="FF254" s="24"/>
      <c r="FG254" s="24"/>
      <c r="FH254" s="24"/>
      <c r="FI254" s="24"/>
      <c r="FJ254" s="24"/>
      <c r="FK254" s="24"/>
      <c r="FL254" s="24"/>
      <c r="FM254" s="24"/>
      <c r="FN254" s="24"/>
      <c r="FO254" s="24"/>
      <c r="FP254" s="24"/>
      <c r="FQ254" s="24"/>
      <c r="FR254" s="24"/>
      <c r="FS254" s="24"/>
      <c r="FT254" s="24"/>
      <c r="FU254" s="24"/>
      <c r="FV254" s="24"/>
      <c r="FW254" s="24"/>
      <c r="FX254" s="24"/>
      <c r="FY254" s="24"/>
      <c r="FZ254" s="24"/>
      <c r="GA254" s="24"/>
      <c r="GB254" s="24"/>
      <c r="GC254" s="24"/>
      <c r="GD254" s="24"/>
      <c r="GE254" s="24"/>
      <c r="GF254" s="24"/>
      <c r="GG254" s="24"/>
      <c r="GH254" s="24"/>
      <c r="GI254" s="24"/>
      <c r="GJ254" s="27" t="n">
        <v>0.63</v>
      </c>
      <c r="GK254" s="27" t="n">
        <v>1</v>
      </c>
      <c r="GL254" s="27" t="n">
        <v>1</v>
      </c>
      <c r="GM254" s="27"/>
      <c r="GN254" s="27" t="n">
        <v>1.52</v>
      </c>
      <c r="GO254" s="27"/>
      <c r="GP254" s="27"/>
      <c r="GQ254" s="27"/>
      <c r="GR254" s="27"/>
      <c r="GS254" s="27"/>
      <c r="GT254" s="27"/>
      <c r="GU254" s="27" t="n">
        <v>0</v>
      </c>
      <c r="GV254" s="27" t="n">
        <v>0</v>
      </c>
      <c r="GW254" s="27"/>
      <c r="GX254" s="27"/>
      <c r="GY254" s="27" t="n">
        <v>0</v>
      </c>
      <c r="GZ254" s="27" t="n">
        <v>0</v>
      </c>
      <c r="HA254" s="27" t="n">
        <v>0</v>
      </c>
      <c r="HB254" s="24" t="n">
        <v>0</v>
      </c>
      <c r="HC254" s="24" t="s">
        <v>287</v>
      </c>
      <c r="HD254" s="24" t="n">
        <v>61.5</v>
      </c>
      <c r="HE254" s="27" t="n">
        <v>83.5</v>
      </c>
      <c r="HF254" s="27" t="n">
        <v>80.4</v>
      </c>
      <c r="HG254" s="27" t="n">
        <v>56.1</v>
      </c>
      <c r="HH254" s="24" t="n">
        <v>51.73</v>
      </c>
      <c r="HI254" s="29" t="n">
        <v>0</v>
      </c>
      <c r="HJ254" s="24" t="n">
        <v>30.08</v>
      </c>
      <c r="HK254" s="24" t="n">
        <v>18.19</v>
      </c>
      <c r="HL254" s="24" t="n">
        <v>0</v>
      </c>
      <c r="HM254" s="24" t="n">
        <v>0</v>
      </c>
      <c r="HN254" s="24" t="n">
        <v>0</v>
      </c>
      <c r="HO254" s="24" t="n">
        <v>0</v>
      </c>
      <c r="HP254" s="24" t="n">
        <v>0</v>
      </c>
      <c r="HQ254" s="24" t="n">
        <v>0</v>
      </c>
      <c r="HR254" s="24" t="n">
        <v>0</v>
      </c>
      <c r="HS254" s="24" t="n">
        <v>0</v>
      </c>
      <c r="HT254" s="24" t="n">
        <v>0.3</v>
      </c>
      <c r="HU254" s="24" t="n">
        <v>27.59</v>
      </c>
      <c r="HV254" s="24" t="n">
        <v>0</v>
      </c>
      <c r="HW254" s="24" t="n">
        <v>0</v>
      </c>
      <c r="HX254" s="24" t="n">
        <v>0</v>
      </c>
      <c r="HY254" s="24" t="n">
        <v>0</v>
      </c>
      <c r="HZ254" s="24"/>
      <c r="IA254" s="24"/>
      <c r="IB254" s="24"/>
      <c r="IC254" s="24"/>
      <c r="ID254" s="24"/>
      <c r="IE254" s="24"/>
      <c r="IF254" s="24"/>
      <c r="IG254" s="24"/>
      <c r="IH254" s="24"/>
      <c r="II254" s="24"/>
      <c r="IJ254" s="24"/>
      <c r="IK254" s="24"/>
      <c r="IL254" s="24" t="n">
        <v>0</v>
      </c>
      <c r="IM254" s="24" t="n">
        <v>0</v>
      </c>
      <c r="IN254" s="24"/>
      <c r="IO254" s="24"/>
      <c r="IP254" s="24"/>
      <c r="IQ254" s="24"/>
      <c r="IR254" s="24"/>
      <c r="IS254" s="24"/>
      <c r="IT254" s="24"/>
      <c r="IU254" s="24"/>
      <c r="IV254" s="24"/>
      <c r="IW254" s="24"/>
      <c r="IX254" s="28"/>
      <c r="IY254" s="24"/>
      <c r="IZ254" s="24"/>
      <c r="JA254" s="24"/>
      <c r="JB254" s="24"/>
      <c r="JC254" s="24"/>
      <c r="JD254" s="24"/>
      <c r="JE254" s="24"/>
      <c r="JF254" s="24"/>
      <c r="JG254" s="24"/>
      <c r="JH254" s="24"/>
      <c r="JI254" s="24"/>
      <c r="JJ254" s="24"/>
      <c r="JK254" s="24"/>
      <c r="JL254" s="24"/>
      <c r="JM254" s="24"/>
      <c r="JN254" s="24"/>
      <c r="JO254" s="24"/>
      <c r="JP254" s="24" t="n">
        <v>0</v>
      </c>
      <c r="JQ254" s="24"/>
      <c r="JR254" s="24"/>
      <c r="JS254" s="24"/>
      <c r="JT254" s="24"/>
      <c r="JU254" s="24"/>
      <c r="JV254" s="24"/>
      <c r="JW254" s="24"/>
      <c r="JX254" s="24"/>
      <c r="JY254" s="24"/>
      <c r="JZ254" s="24"/>
      <c r="KA254" s="24"/>
      <c r="KB254" s="24"/>
      <c r="KC254" s="24"/>
      <c r="KD254" s="24"/>
      <c r="KE254" s="24"/>
      <c r="KF254" s="24"/>
      <c r="KG254" s="24"/>
      <c r="KH254" s="24"/>
      <c r="KI254" s="24"/>
      <c r="KJ254" s="24"/>
      <c r="KK254" s="24"/>
      <c r="KL254" s="24"/>
      <c r="KM254" s="24"/>
      <c r="KN254" s="24"/>
      <c r="KO254" s="24"/>
      <c r="KP254" s="24"/>
      <c r="KQ254" s="24"/>
      <c r="KR254" s="24"/>
      <c r="KS254" s="24"/>
      <c r="KT254" s="24"/>
      <c r="KU254" s="24"/>
      <c r="KV254" s="24"/>
      <c r="KW254" s="24"/>
      <c r="KX254" s="24"/>
      <c r="KY254" s="24"/>
      <c r="KZ254" s="24"/>
      <c r="LA254" s="27" t="n">
        <v>1.96</v>
      </c>
      <c r="LB254" s="27" t="n">
        <v>1</v>
      </c>
      <c r="LC254" s="27" t="n">
        <v>1</v>
      </c>
      <c r="LD254" s="27"/>
      <c r="LE254" s="27" t="n">
        <f aca="false">5.53+3.68+1.71+1.12+0.74</f>
        <v>12.78</v>
      </c>
      <c r="LF254" s="27"/>
      <c r="LG254" s="27"/>
      <c r="LH254" s="27"/>
      <c r="LI254" s="27"/>
      <c r="LJ254" s="27"/>
      <c r="LK254" s="27"/>
      <c r="LL254" s="27" t="n">
        <v>0.94</v>
      </c>
      <c r="LM254" s="27" t="n">
        <v>0.94</v>
      </c>
      <c r="LN254" s="27"/>
      <c r="LO254" s="27"/>
      <c r="LP254" s="27" t="n">
        <v>0</v>
      </c>
      <c r="LQ254" s="27" t="n">
        <v>0</v>
      </c>
      <c r="LR254" s="27" t="n">
        <v>0</v>
      </c>
      <c r="LS254" s="24" t="n">
        <v>0</v>
      </c>
      <c r="LT254" s="24" t="s">
        <v>288</v>
      </c>
      <c r="LU254" s="24" t="n">
        <v>77.5</v>
      </c>
      <c r="LV254" s="27" t="n">
        <v>87.4</v>
      </c>
      <c r="LW254" s="27" t="n">
        <v>80.4</v>
      </c>
      <c r="LX254" s="27" t="n">
        <v>53.5</v>
      </c>
      <c r="LY254" s="24" t="n">
        <v>51.28</v>
      </c>
      <c r="LZ254" s="29" t="n">
        <v>0</v>
      </c>
      <c r="MA254" s="24" t="n">
        <v>27.27</v>
      </c>
      <c r="MB254" s="24" t="n">
        <v>21.22</v>
      </c>
      <c r="MC254" s="24" t="n">
        <v>0</v>
      </c>
      <c r="MD254" s="24" t="n">
        <v>0</v>
      </c>
      <c r="ME254" s="24" t="n">
        <v>0</v>
      </c>
      <c r="MF254" s="24" t="n">
        <v>0</v>
      </c>
      <c r="MG254" s="24" t="n">
        <v>0</v>
      </c>
      <c r="MH254" s="24" t="n">
        <v>0</v>
      </c>
      <c r="MI254" s="24" t="n">
        <v>0</v>
      </c>
      <c r="MJ254" s="24" t="n">
        <v>0</v>
      </c>
      <c r="MK254" s="24" t="n">
        <v>5.93</v>
      </c>
      <c r="ML254" s="24" t="n">
        <v>4.61</v>
      </c>
      <c r="MM254" s="24" t="n">
        <v>5.38</v>
      </c>
      <c r="MN254" s="24" t="n">
        <v>0</v>
      </c>
      <c r="MO254" s="24" t="n">
        <v>15.4</v>
      </c>
      <c r="MP254" s="24" t="n">
        <v>1</v>
      </c>
      <c r="MQ254" s="24" t="n">
        <v>4</v>
      </c>
      <c r="MS254" s="24" t="n">
        <v>2</v>
      </c>
      <c r="MW254" s="24" t="n">
        <v>4</v>
      </c>
      <c r="MY254" s="24" t="n">
        <v>2</v>
      </c>
      <c r="NC254" s="24" t="n">
        <v>6.7</v>
      </c>
      <c r="ND254" s="24" t="n">
        <v>1</v>
      </c>
      <c r="NE254" s="24" t="n">
        <v>35</v>
      </c>
      <c r="NF254" s="24" t="n">
        <v>6</v>
      </c>
      <c r="NG254" s="24" t="n">
        <v>0.8</v>
      </c>
      <c r="NH254" s="24" t="n">
        <v>3</v>
      </c>
      <c r="NI254" s="24" t="n">
        <v>47</v>
      </c>
      <c r="NJ254" s="24" t="n">
        <v>1</v>
      </c>
      <c r="NK254" s="24" t="n">
        <v>0.13</v>
      </c>
      <c r="NL254" s="24" t="n">
        <v>3</v>
      </c>
      <c r="NO254" s="28"/>
      <c r="OG254" s="24" t="n">
        <v>1</v>
      </c>
      <c r="OH254" s="24" t="n">
        <v>60</v>
      </c>
      <c r="OI254" s="24" t="n">
        <v>3</v>
      </c>
      <c r="OJ254" s="24" t="n">
        <v>1.35</v>
      </c>
      <c r="OK254" s="24" t="n">
        <v>2</v>
      </c>
      <c r="PR254" s="27" t="n">
        <v>0</v>
      </c>
      <c r="PS254" s="27" t="n">
        <v>0</v>
      </c>
      <c r="PT254" s="27"/>
      <c r="PU254" s="27"/>
      <c r="PV254" s="27"/>
      <c r="PW254" s="27"/>
      <c r="PX254" s="27"/>
      <c r="PY254" s="27"/>
      <c r="PZ254" s="27"/>
      <c r="QA254" s="27"/>
      <c r="QB254" s="27"/>
      <c r="QC254" s="27" t="n">
        <v>0</v>
      </c>
      <c r="QD254" s="27" t="n">
        <v>0</v>
      </c>
      <c r="QE254" s="27"/>
      <c r="QF254" s="27"/>
      <c r="QG254" s="27" t="n">
        <v>0</v>
      </c>
      <c r="QH254" s="27" t="n">
        <v>0</v>
      </c>
      <c r="QI254" s="27" t="n">
        <v>0</v>
      </c>
      <c r="QJ254" s="24" t="n">
        <v>0</v>
      </c>
      <c r="QK254" s="24" t="s">
        <v>289</v>
      </c>
      <c r="QL254" s="24" t="n">
        <v>44</v>
      </c>
      <c r="QM254" s="27" t="n">
        <v>69.9</v>
      </c>
      <c r="QN254" s="27" t="n">
        <v>80.4</v>
      </c>
      <c r="QO254" s="27" t="n">
        <v>41</v>
      </c>
      <c r="QP254" s="24" t="n">
        <v>68.16</v>
      </c>
      <c r="QQ254" s="29" t="n">
        <v>0</v>
      </c>
      <c r="QR254" s="24" t="n">
        <v>11.52</v>
      </c>
      <c r="QS254" s="24" t="n">
        <v>20.32</v>
      </c>
      <c r="QT254" s="24" t="n">
        <v>0</v>
      </c>
      <c r="QU254" s="24" t="n">
        <v>0</v>
      </c>
      <c r="QV254" s="24" t="n">
        <v>0</v>
      </c>
      <c r="QW254" s="24" t="n">
        <v>0</v>
      </c>
      <c r="QX254" s="24" t="n">
        <v>0</v>
      </c>
      <c r="QY254" s="24" t="n">
        <v>0</v>
      </c>
      <c r="QZ254" s="24" t="n">
        <v>0</v>
      </c>
      <c r="RA254" s="24" t="n">
        <v>0</v>
      </c>
      <c r="RB254" s="24" t="n">
        <v>13.13</v>
      </c>
      <c r="RC254" s="24" t="n">
        <v>8.66</v>
      </c>
      <c r="RD254" s="24" t="n">
        <v>0</v>
      </c>
      <c r="RE254" s="24" t="n">
        <v>0</v>
      </c>
      <c r="RF254" s="24" t="n">
        <v>0</v>
      </c>
      <c r="RG254" s="24" t="n">
        <v>0</v>
      </c>
      <c r="RT254" s="24" t="n">
        <v>1.5</v>
      </c>
      <c r="RU254" s="24" t="n">
        <v>1</v>
      </c>
      <c r="RV254" s="24" t="n">
        <v>47</v>
      </c>
      <c r="RW254" s="24" t="n">
        <v>5</v>
      </c>
      <c r="RX254" s="24" t="n">
        <f aca="false">0.15+0.04</f>
        <v>0.19</v>
      </c>
      <c r="RY254" s="24" t="n">
        <v>3</v>
      </c>
      <c r="RZ254" s="24" t="n">
        <v>25</v>
      </c>
      <c r="SA254" s="24" t="n">
        <v>1</v>
      </c>
      <c r="SB254" s="24" t="n">
        <v>0.4</v>
      </c>
      <c r="SC254" s="24" t="n">
        <v>1</v>
      </c>
      <c r="SF254" s="28"/>
      <c r="SX254" s="24" t="n">
        <v>0</v>
      </c>
      <c r="UI254" s="27" t="n">
        <v>0.11</v>
      </c>
      <c r="UJ254" s="27" t="n">
        <v>1</v>
      </c>
      <c r="UK254" s="27" t="n">
        <v>1</v>
      </c>
      <c r="UL254" s="27"/>
      <c r="UM254" s="27" t="n">
        <v>0.56</v>
      </c>
      <c r="UN254" s="27"/>
      <c r="UO254" s="27"/>
      <c r="UP254" s="27"/>
      <c r="UQ254" s="27"/>
      <c r="UR254" s="27"/>
      <c r="US254" s="27"/>
      <c r="UT254" s="27" t="n">
        <v>0</v>
      </c>
      <c r="UU254" s="27" t="n">
        <v>0</v>
      </c>
      <c r="UV254" s="27"/>
      <c r="UW254" s="27"/>
      <c r="UX254" s="27" t="n">
        <v>0</v>
      </c>
      <c r="UY254" s="27" t="n">
        <v>0</v>
      </c>
      <c r="UZ254" s="27" t="n">
        <v>0</v>
      </c>
      <c r="VA254" s="24" t="n">
        <v>0</v>
      </c>
      <c r="VB254" s="24" t="s">
        <v>290</v>
      </c>
      <c r="VC254" s="24" t="n">
        <v>43</v>
      </c>
      <c r="VD254" s="27" t="n">
        <v>49.3</v>
      </c>
      <c r="VE254" s="27" t="n">
        <v>80.4</v>
      </c>
      <c r="VF254" s="27" t="n">
        <v>32.9</v>
      </c>
      <c r="VG254" s="24" t="n">
        <v>73.52</v>
      </c>
      <c r="VH254" s="29" t="n">
        <v>0</v>
      </c>
      <c r="VI254" s="24" t="n">
        <v>16.84</v>
      </c>
      <c r="VJ254" s="24" t="n">
        <v>9.64</v>
      </c>
      <c r="VK254" s="24" t="n">
        <v>0</v>
      </c>
      <c r="VL254" s="24" t="n">
        <v>0</v>
      </c>
      <c r="VM254" s="24" t="n">
        <v>0</v>
      </c>
      <c r="VN254" s="24" t="n">
        <v>0</v>
      </c>
      <c r="VO254" s="24" t="n">
        <v>0</v>
      </c>
      <c r="VP254" s="24" t="n">
        <v>0</v>
      </c>
      <c r="VQ254" s="24" t="n">
        <v>0</v>
      </c>
      <c r="VR254" s="24" t="n">
        <v>0</v>
      </c>
      <c r="VS254" s="24" t="n">
        <v>13.52</v>
      </c>
      <c r="VT254" s="24" t="n">
        <v>3.69</v>
      </c>
      <c r="VU254" s="24" t="n">
        <v>3.85</v>
      </c>
      <c r="VV254" s="24" t="n">
        <v>0</v>
      </c>
      <c r="VW254" s="24" t="n">
        <v>0</v>
      </c>
      <c r="VX254" s="24" t="n">
        <v>0</v>
      </c>
      <c r="WK254" s="24" t="n">
        <v>7.4</v>
      </c>
      <c r="WL254" s="24" t="n">
        <v>1</v>
      </c>
      <c r="WM254" s="24" t="n">
        <v>47</v>
      </c>
      <c r="WN254" s="24" t="n">
        <v>11</v>
      </c>
      <c r="WO254" s="24" t="n">
        <f aca="false">2.09+0.15+0.04</f>
        <v>2.28</v>
      </c>
      <c r="WP254" s="24" t="n">
        <v>3</v>
      </c>
      <c r="WW254" s="28"/>
      <c r="XO254" s="24" t="n">
        <v>0</v>
      </c>
      <c r="YZ254" s="27" t="n">
        <v>0.28</v>
      </c>
      <c r="ZA254" s="27" t="n">
        <v>1</v>
      </c>
      <c r="ZB254" s="27" t="n">
        <v>1</v>
      </c>
      <c r="ZC254" s="27"/>
      <c r="ZD254" s="27" t="n">
        <v>0.56</v>
      </c>
      <c r="ZE254" s="27"/>
      <c r="ZF254" s="27"/>
      <c r="ZG254" s="27"/>
      <c r="ZH254" s="27"/>
      <c r="ZI254" s="27"/>
      <c r="ZJ254" s="27"/>
      <c r="ZK254" s="27" t="n">
        <v>0.99</v>
      </c>
      <c r="ZL254" s="27" t="n">
        <v>0.39</v>
      </c>
      <c r="ZM254" s="27"/>
      <c r="ZN254" s="27"/>
      <c r="ZO254" s="27" t="n">
        <v>0</v>
      </c>
      <c r="ZP254" s="27" t="n">
        <v>0</v>
      </c>
      <c r="ZQ254" s="27" t="n">
        <v>0</v>
      </c>
      <c r="ZR254" s="24" t="n">
        <v>0</v>
      </c>
      <c r="ZS254" s="24" t="n">
        <v>56</v>
      </c>
      <c r="ZT254" s="24" t="n">
        <v>26.5</v>
      </c>
      <c r="ZU254" s="27" t="n">
        <v>66.1</v>
      </c>
      <c r="ZV254" s="27" t="n">
        <v>80.4</v>
      </c>
      <c r="ZW254" s="27" t="n">
        <v>15</v>
      </c>
      <c r="ZX254" s="24" t="n">
        <v>89</v>
      </c>
      <c r="ZY254" s="29" t="n">
        <v>0</v>
      </c>
      <c r="ZZ254" s="24" t="n">
        <v>7.09</v>
      </c>
      <c r="AAA254" s="24" t="n">
        <v>2.12</v>
      </c>
      <c r="AAB254" s="24" t="n">
        <v>0</v>
      </c>
      <c r="AAC254" s="24" t="n">
        <v>0</v>
      </c>
      <c r="AAD254" s="24" t="n">
        <v>0</v>
      </c>
      <c r="AAE254" s="24" t="n">
        <v>0</v>
      </c>
      <c r="AAF254" s="24" t="n">
        <v>0</v>
      </c>
      <c r="AAG254" s="24" t="n">
        <v>0</v>
      </c>
      <c r="AAH254" s="24" t="n">
        <v>0</v>
      </c>
      <c r="AAI254" s="24" t="n">
        <v>0</v>
      </c>
      <c r="AAJ254" s="24" t="n">
        <v>4.26</v>
      </c>
      <c r="AAK254" s="24" t="n">
        <v>32.68</v>
      </c>
      <c r="AAL254" s="24" t="n">
        <v>1.91</v>
      </c>
      <c r="AAM254" s="24" t="n">
        <v>0</v>
      </c>
      <c r="AAN254" s="24" t="n">
        <v>0</v>
      </c>
      <c r="AAO254" s="24" t="n">
        <v>0</v>
      </c>
      <c r="ABB254" s="24" t="n">
        <v>0</v>
      </c>
      <c r="ABC254" s="24" t="n">
        <v>0</v>
      </c>
      <c r="ABN254" s="28"/>
      <c r="ACF254" s="24" t="n">
        <v>0</v>
      </c>
      <c r="ADQ254" s="27" t="n">
        <v>3.52</v>
      </c>
      <c r="ADR254" s="27" t="n">
        <v>1</v>
      </c>
      <c r="ADS254" s="27" t="n">
        <v>1</v>
      </c>
      <c r="ADT254" s="27"/>
      <c r="ADU254" s="27" t="n">
        <f aca="false">3.13+3.17*4</f>
        <v>15.81</v>
      </c>
      <c r="ADV254" s="27" t="n">
        <v>2</v>
      </c>
      <c r="ADW254" s="27"/>
      <c r="ADX254" s="27" t="n">
        <v>0.87</v>
      </c>
      <c r="ADY254" s="27"/>
      <c r="ADZ254" s="27"/>
      <c r="AEA254" s="27"/>
      <c r="AEB254" s="27" t="n">
        <v>5.36</v>
      </c>
      <c r="AEC254" s="27" t="n">
        <v>8.39</v>
      </c>
      <c r="AED254" s="27"/>
      <c r="AEE254" s="27"/>
      <c r="AEF254" s="27" t="n">
        <v>0</v>
      </c>
      <c r="AEG254" s="27" t="n">
        <v>0</v>
      </c>
      <c r="AEH254" s="27" t="n">
        <v>0</v>
      </c>
      <c r="AEI254" s="24" t="n">
        <v>0</v>
      </c>
      <c r="AEJ254" s="24" t="s">
        <v>773</v>
      </c>
      <c r="AEK254" s="24" t="n">
        <v>36.5</v>
      </c>
      <c r="AEL254" s="27" t="n">
        <v>76.3</v>
      </c>
      <c r="AEM254" s="27" t="n">
        <v>80.4</v>
      </c>
      <c r="AEN254" s="27" t="n">
        <v>14.5</v>
      </c>
      <c r="AEO254" s="24" t="n">
        <v>91.16</v>
      </c>
      <c r="AEP254" s="29" t="n">
        <v>0</v>
      </c>
      <c r="AEQ254" s="24" t="n">
        <v>6.16</v>
      </c>
      <c r="AER254" s="24" t="n">
        <v>2.69</v>
      </c>
      <c r="AES254" s="24" t="n">
        <v>0</v>
      </c>
      <c r="AET254" s="24" t="n">
        <v>0</v>
      </c>
      <c r="AEU254" s="24" t="n">
        <v>0</v>
      </c>
      <c r="AEV254" s="24" t="n">
        <v>0</v>
      </c>
      <c r="AEW254" s="24" t="n">
        <v>0</v>
      </c>
      <c r="AEX254" s="24" t="n">
        <v>0</v>
      </c>
      <c r="AEY254" s="24" t="n">
        <v>0</v>
      </c>
      <c r="AEZ254" s="24" t="n">
        <v>0</v>
      </c>
      <c r="AFA254" s="24" t="n">
        <v>15.05</v>
      </c>
      <c r="AFB254" s="24" t="n">
        <v>31.49</v>
      </c>
      <c r="AFC254" s="24" t="n">
        <v>9.19</v>
      </c>
      <c r="AFD254" s="24" t="n">
        <v>0</v>
      </c>
      <c r="AFE254" s="24" t="n">
        <v>0</v>
      </c>
      <c r="AFF254" s="24" t="n">
        <v>0</v>
      </c>
      <c r="AFS254" s="24" t="n">
        <v>4.4</v>
      </c>
      <c r="AFT254" s="24" t="n">
        <v>1</v>
      </c>
      <c r="AFU254" s="24" t="n">
        <v>34</v>
      </c>
      <c r="AFV254" s="24" t="n">
        <v>10</v>
      </c>
      <c r="AFW254" s="24" t="n">
        <f aca="false">8.56+1.51</f>
        <v>10.07</v>
      </c>
      <c r="AFX254" s="24" t="n">
        <v>1</v>
      </c>
      <c r="AFY254" s="24" t="n">
        <v>68</v>
      </c>
      <c r="AFZ254" s="24" t="n">
        <v>6</v>
      </c>
      <c r="AGA254" s="24" t="n">
        <f aca="false">3.43+0.6</f>
        <v>4.03</v>
      </c>
      <c r="AGB254" s="24" t="n">
        <v>1</v>
      </c>
      <c r="AGE254" s="28"/>
      <c r="AGW254" s="24" t="n">
        <v>0</v>
      </c>
      <c r="AIH254" s="27" t="n">
        <v>0</v>
      </c>
      <c r="AII254" s="27" t="n">
        <v>0</v>
      </c>
      <c r="AIJ254" s="27"/>
      <c r="AIK254" s="27"/>
      <c r="AIL254" s="27"/>
      <c r="AIM254" s="27"/>
      <c r="AIN254" s="27"/>
      <c r="AIO254" s="27"/>
      <c r="AIP254" s="27"/>
      <c r="AIQ254" s="27"/>
      <c r="AIR254" s="27"/>
      <c r="AIS254" s="27" t="n">
        <v>14.52</v>
      </c>
      <c r="AIT254" s="27" t="n">
        <v>36.5</v>
      </c>
      <c r="AIU254" s="27"/>
      <c r="AIV254" s="27"/>
      <c r="AIW254" s="27" t="n">
        <v>0</v>
      </c>
      <c r="AIX254" s="27" t="n">
        <v>0</v>
      </c>
      <c r="AIY254" s="27" t="n">
        <v>0</v>
      </c>
      <c r="AIZ254" s="24" t="n">
        <v>0</v>
      </c>
      <c r="AJA254" s="24" t="s">
        <v>775</v>
      </c>
      <c r="AJB254" s="24" t="n">
        <v>32.5</v>
      </c>
      <c r="AJC254" s="27" t="n">
        <v>88.1</v>
      </c>
      <c r="AJD254" s="27" t="n">
        <v>80.4</v>
      </c>
      <c r="AJE254" s="27" t="n">
        <v>21.1</v>
      </c>
      <c r="AJF254" s="24" t="n">
        <v>85.64</v>
      </c>
      <c r="AJG254" s="29" t="n">
        <v>0</v>
      </c>
      <c r="AJH254" s="24" t="n">
        <v>5.22</v>
      </c>
      <c r="AJI254" s="24" t="n">
        <v>0</v>
      </c>
      <c r="AJJ254" s="24" t="n">
        <v>9.14</v>
      </c>
      <c r="AJK254" s="24" t="n">
        <v>0</v>
      </c>
      <c r="AJL254" s="24" t="n">
        <v>0</v>
      </c>
      <c r="AJM254" s="24" t="n">
        <v>0</v>
      </c>
      <c r="AJN254" s="24" t="n">
        <v>0</v>
      </c>
      <c r="AJO254" s="24" t="n">
        <v>0</v>
      </c>
      <c r="AJP254" s="24" t="n">
        <v>0</v>
      </c>
      <c r="AJQ254" s="24" t="n">
        <v>0</v>
      </c>
      <c r="AJR254" s="24" t="n">
        <v>34.2</v>
      </c>
      <c r="AJS254" s="24" t="n">
        <v>7.52</v>
      </c>
      <c r="AJT254" s="24" t="n">
        <v>31.17</v>
      </c>
      <c r="AJU254" s="24" t="n">
        <v>0</v>
      </c>
      <c r="AJV254" s="24" t="n">
        <v>0</v>
      </c>
      <c r="AJW254" s="24" t="n">
        <v>0</v>
      </c>
      <c r="AKJ254" s="24" t="n">
        <v>3.8</v>
      </c>
      <c r="AKK254" s="24" t="n">
        <v>1</v>
      </c>
      <c r="AKL254" s="24" t="n">
        <v>34</v>
      </c>
      <c r="AKM254" s="24" t="n">
        <v>2</v>
      </c>
      <c r="AKN254" s="24" t="n">
        <f aca="false">0.76+0.13</f>
        <v>0.89</v>
      </c>
      <c r="AKO254" s="24" t="n">
        <v>1</v>
      </c>
      <c r="AKP254" s="24" t="n">
        <v>23</v>
      </c>
      <c r="AKQ254" s="24" t="n">
        <v>3</v>
      </c>
      <c r="AKR254" s="24" t="n">
        <v>2.28</v>
      </c>
      <c r="AKS254" s="24" t="n">
        <v>3</v>
      </c>
      <c r="AKT254" s="24" t="n">
        <v>47</v>
      </c>
      <c r="AKU254" s="24" t="n">
        <v>1</v>
      </c>
      <c r="AKV254" s="28" t="n">
        <v>0.76</v>
      </c>
      <c r="AKW254" s="24" t="n">
        <v>3</v>
      </c>
      <c r="ALN254" s="24" t="n">
        <v>0</v>
      </c>
    </row>
    <row r="255" customFormat="false" ht="13.8" hidden="false" customHeight="false" outlineLevel="0" collapsed="false">
      <c r="A255" s="22" t="s">
        <v>776</v>
      </c>
      <c r="B255" s="23" t="n">
        <v>42909</v>
      </c>
      <c r="C255" s="24" t="n">
        <v>2</v>
      </c>
      <c r="D255" s="25" t="n">
        <v>37194</v>
      </c>
      <c r="E255" s="23" t="n">
        <v>29293</v>
      </c>
      <c r="F255" s="14" t="n">
        <f aca="false">(B255-E255)/365.25</f>
        <v>37.2785763175907</v>
      </c>
      <c r="G255" s="14" t="n">
        <f aca="false">(B255-D255)/365.25</f>
        <v>15.64681724846</v>
      </c>
      <c r="H255" s="26" t="s">
        <v>306</v>
      </c>
      <c r="I255" s="21" t="s">
        <v>777</v>
      </c>
      <c r="J255" s="21" t="s">
        <v>183</v>
      </c>
      <c r="K255" s="21" t="n">
        <v>8</v>
      </c>
      <c r="L255" s="26" t="n">
        <v>107</v>
      </c>
      <c r="M255" s="24" t="n">
        <v>1.84</v>
      </c>
      <c r="N255" s="27" t="n">
        <f aca="false">L255/(M255*M255)</f>
        <v>31.6044423440454</v>
      </c>
      <c r="O255" s="26" t="n">
        <v>0</v>
      </c>
      <c r="P255" s="26" t="n">
        <v>0</v>
      </c>
      <c r="Q255" s="26" t="n">
        <v>0</v>
      </c>
      <c r="R255" s="26" t="n">
        <v>0</v>
      </c>
      <c r="S255" s="26" t="n">
        <v>0</v>
      </c>
      <c r="T255" s="26" t="n">
        <v>0</v>
      </c>
      <c r="U255" s="26" t="n">
        <v>1</v>
      </c>
      <c r="V255" s="26" t="n">
        <v>20</v>
      </c>
      <c r="W255" s="26" t="n">
        <v>1</v>
      </c>
      <c r="X255" s="26" t="n">
        <v>1</v>
      </c>
      <c r="Y255" s="26" t="n">
        <v>1</v>
      </c>
      <c r="Z255" s="26" t="n">
        <v>2</v>
      </c>
      <c r="AA255" s="26" t="n">
        <v>60</v>
      </c>
      <c r="AB255" s="26" t="s">
        <v>778</v>
      </c>
      <c r="AC255" s="26" t="n">
        <v>0</v>
      </c>
      <c r="AD255" s="26" t="n">
        <v>0</v>
      </c>
      <c r="AE255" s="26" t="n">
        <v>0</v>
      </c>
      <c r="AF255" s="26" t="n">
        <v>0</v>
      </c>
      <c r="AG255" s="26" t="n">
        <v>0</v>
      </c>
      <c r="AH255" s="26" t="n">
        <v>0</v>
      </c>
      <c r="AI255" s="26" t="n">
        <v>3</v>
      </c>
      <c r="AJ255" s="26" t="n">
        <v>3</v>
      </c>
      <c r="AK255" s="26" t="n">
        <v>3</v>
      </c>
      <c r="AL255" s="26" t="n">
        <v>6</v>
      </c>
      <c r="AM255" s="26" t="n">
        <v>7</v>
      </c>
      <c r="AN255" s="26" t="n">
        <v>3</v>
      </c>
      <c r="AO255" s="26" t="n">
        <v>3</v>
      </c>
      <c r="AP255" s="26" t="n">
        <v>3</v>
      </c>
      <c r="AQ255" s="26" t="n">
        <v>3</v>
      </c>
      <c r="AR255" s="26" t="n">
        <v>4</v>
      </c>
      <c r="AS255" s="26" t="n">
        <v>3</v>
      </c>
      <c r="AT255" s="26" t="n">
        <v>0</v>
      </c>
      <c r="AU255" s="26" t="n">
        <v>3</v>
      </c>
      <c r="AV255" s="26" t="n">
        <v>8</v>
      </c>
      <c r="AW255" s="26" t="n">
        <v>9</v>
      </c>
      <c r="AX255" s="26" t="n">
        <v>0</v>
      </c>
      <c r="AY255" s="26" t="n">
        <v>0</v>
      </c>
      <c r="AZ255" s="26" t="n">
        <v>0</v>
      </c>
      <c r="BA255" s="26" t="n">
        <v>0</v>
      </c>
      <c r="BB255" s="26" t="n">
        <v>1</v>
      </c>
      <c r="BC255" s="26" t="n">
        <v>1</v>
      </c>
      <c r="BD255" s="26" t="n">
        <v>0</v>
      </c>
      <c r="BE255" s="26" t="n">
        <v>0</v>
      </c>
      <c r="BF255" s="26" t="n">
        <v>0</v>
      </c>
      <c r="BG255" s="26" t="n">
        <v>0</v>
      </c>
      <c r="BH255" s="26" t="n">
        <v>0</v>
      </c>
      <c r="BI255" s="26" t="n">
        <v>0</v>
      </c>
      <c r="BJ255" s="26" t="n">
        <v>0</v>
      </c>
      <c r="BK255" s="26" t="n">
        <v>0</v>
      </c>
      <c r="BL255" s="26" t="n">
        <v>0</v>
      </c>
      <c r="BM255" s="26" t="n">
        <v>0</v>
      </c>
      <c r="BN255" s="26" t="n">
        <v>0</v>
      </c>
      <c r="BO255" s="26" t="n">
        <v>0</v>
      </c>
      <c r="BP255" s="26" t="n">
        <v>0</v>
      </c>
      <c r="BQ255" s="26" t="n">
        <v>0</v>
      </c>
      <c r="BR255" s="26" t="n">
        <v>5</v>
      </c>
      <c r="BS255" s="26" t="n">
        <v>2</v>
      </c>
      <c r="BT255" s="26" t="n">
        <v>5</v>
      </c>
      <c r="BU255" s="26" t="n">
        <v>5</v>
      </c>
      <c r="BV255" s="26" t="n">
        <v>1</v>
      </c>
      <c r="BW255" s="26" t="n">
        <v>5</v>
      </c>
      <c r="BX255" s="26" t="n">
        <v>1</v>
      </c>
      <c r="BY255" s="26" t="n">
        <v>1</v>
      </c>
      <c r="BZ255" s="26" t="n">
        <v>1</v>
      </c>
      <c r="CA255" s="26" t="n">
        <v>1</v>
      </c>
      <c r="CB255" s="26" t="n">
        <v>1</v>
      </c>
      <c r="CC255" s="26" t="n">
        <v>5</v>
      </c>
      <c r="CD255" s="26" t="n">
        <v>1</v>
      </c>
      <c r="CE255" s="26" t="n">
        <v>1</v>
      </c>
      <c r="CF255" s="26" t="n">
        <v>1</v>
      </c>
      <c r="CG255" s="26" t="n">
        <v>3</v>
      </c>
      <c r="CH255" s="26" t="n">
        <v>1</v>
      </c>
      <c r="CI255" s="26" t="n">
        <v>1</v>
      </c>
      <c r="CJ255" s="26" t="n">
        <v>1</v>
      </c>
      <c r="CK255" s="26" t="n">
        <v>8</v>
      </c>
      <c r="CL255" s="24" t="s">
        <v>779</v>
      </c>
      <c r="CM255" s="24" t="n">
        <v>43</v>
      </c>
      <c r="CN255" s="27" t="n">
        <v>91.8</v>
      </c>
      <c r="CO255" s="27" t="n">
        <v>83.4</v>
      </c>
      <c r="CP255" s="27" t="n">
        <v>25.8</v>
      </c>
      <c r="CQ255" s="24" t="n">
        <v>68.3</v>
      </c>
      <c r="CR255" s="24" t="n">
        <v>0</v>
      </c>
      <c r="CS255" s="24" t="n">
        <v>0</v>
      </c>
      <c r="CT255" s="24" t="n">
        <v>0</v>
      </c>
      <c r="CU255" s="24" t="n">
        <v>31.54</v>
      </c>
      <c r="CV255" s="24" t="n">
        <v>0</v>
      </c>
      <c r="CW255" s="24" t="n">
        <v>0</v>
      </c>
      <c r="CX255" s="24" t="n">
        <v>0</v>
      </c>
      <c r="CY255" s="24" t="n">
        <v>0</v>
      </c>
      <c r="CZ255" s="24" t="n">
        <v>0</v>
      </c>
      <c r="DA255" s="24" t="n">
        <v>0</v>
      </c>
      <c r="DB255" s="24" t="n">
        <v>48.27</v>
      </c>
      <c r="DC255" s="24" t="n">
        <v>58.3</v>
      </c>
      <c r="DD255" s="24" t="n">
        <v>1.34</v>
      </c>
      <c r="DE255" s="24" t="n">
        <v>0</v>
      </c>
      <c r="DF255" s="24" t="n">
        <v>0.16</v>
      </c>
      <c r="DG255" s="24" t="n">
        <v>0</v>
      </c>
      <c r="DH255" s="24" t="n">
        <v>0</v>
      </c>
      <c r="DU255" s="24" t="n">
        <v>11</v>
      </c>
      <c r="DV255" s="24" t="n">
        <v>1</v>
      </c>
      <c r="DW255" s="24" t="n">
        <v>30</v>
      </c>
      <c r="DX255" s="24" t="n">
        <v>1</v>
      </c>
      <c r="DY255" s="24" t="n">
        <v>0.73</v>
      </c>
      <c r="DZ255" s="24" t="n">
        <v>1</v>
      </c>
      <c r="EG255" s="28"/>
      <c r="EY255" s="24" t="n">
        <v>1</v>
      </c>
      <c r="EZ255" s="24" t="n">
        <v>60</v>
      </c>
      <c r="FA255" s="24" t="n">
        <v>14</v>
      </c>
      <c r="FB255" s="24" t="n">
        <f aca="false">1.25+0.05+0.21+0.21+0.31+0.08</f>
        <v>2.11</v>
      </c>
      <c r="FC255" s="24" t="n">
        <v>6</v>
      </c>
      <c r="FD255" s="24" t="n">
        <v>50</v>
      </c>
      <c r="FE255" s="24" t="n">
        <v>8</v>
      </c>
      <c r="FF255" s="24" t="n">
        <f aca="false">2.94*2</f>
        <v>5.88</v>
      </c>
      <c r="FG255" s="24" t="n">
        <v>4</v>
      </c>
      <c r="GJ255" s="27" t="n">
        <v>2.45</v>
      </c>
      <c r="GK255" s="27" t="n">
        <v>1</v>
      </c>
      <c r="GL255" s="27" t="n">
        <v>1</v>
      </c>
      <c r="GM255" s="27"/>
      <c r="GN255" s="27" t="n">
        <f aca="false">0.03*2+0.16+0.46</f>
        <v>0.68</v>
      </c>
      <c r="GO255" s="27" t="n">
        <v>2</v>
      </c>
      <c r="GP255" s="27"/>
      <c r="GQ255" s="27" t="n">
        <f aca="false">6.12+0.54</f>
        <v>6.66</v>
      </c>
      <c r="GR255" s="27"/>
      <c r="GS255" s="27"/>
      <c r="GT255" s="27"/>
      <c r="GU255" s="27" t="n">
        <v>3.68</v>
      </c>
      <c r="GV255" s="27" t="n">
        <v>1.63</v>
      </c>
      <c r="GW255" s="27"/>
      <c r="GX255" s="27"/>
      <c r="GY255" s="27" t="n">
        <v>0</v>
      </c>
      <c r="GZ255" s="27" t="n">
        <v>0</v>
      </c>
      <c r="HA255" s="27" t="n">
        <v>0</v>
      </c>
      <c r="HB255" s="24" t="n">
        <v>0</v>
      </c>
      <c r="HC255" s="24" t="s">
        <v>780</v>
      </c>
      <c r="HD255" s="24" t="n">
        <v>46</v>
      </c>
      <c r="HE255" s="27" t="n">
        <v>101.6</v>
      </c>
      <c r="HF255" s="27" t="n">
        <v>83.4</v>
      </c>
      <c r="HG255" s="27" t="n">
        <v>27.8</v>
      </c>
      <c r="HH255" s="24" t="n">
        <v>66.04</v>
      </c>
      <c r="HI255" s="24" t="n">
        <v>0</v>
      </c>
      <c r="HJ255" s="24" t="n">
        <v>0</v>
      </c>
      <c r="HK255" s="24" t="n">
        <v>0</v>
      </c>
      <c r="HL255" s="24" t="n">
        <v>35.15</v>
      </c>
      <c r="HM255" s="24" t="n">
        <v>0</v>
      </c>
      <c r="HN255" s="24" t="n">
        <v>0</v>
      </c>
      <c r="HO255" s="24" t="n">
        <v>0</v>
      </c>
      <c r="HP255" s="24" t="n">
        <v>0</v>
      </c>
      <c r="HQ255" s="24" t="n">
        <v>0</v>
      </c>
      <c r="HR255" s="24" t="n">
        <v>0</v>
      </c>
      <c r="HS255" s="24" t="n">
        <v>43.27</v>
      </c>
      <c r="HT255" s="24" t="n">
        <v>65.02</v>
      </c>
      <c r="HU255" s="24" t="n">
        <v>6.59</v>
      </c>
      <c r="HV255" s="24" t="n">
        <v>0.88</v>
      </c>
      <c r="HW255" s="24" t="n">
        <v>0.16</v>
      </c>
      <c r="HX255" s="24" t="n">
        <v>0</v>
      </c>
      <c r="HY255" s="24" t="n">
        <v>0</v>
      </c>
      <c r="IL255" s="24" t="n">
        <v>14.9</v>
      </c>
      <c r="IM255" s="24" t="n">
        <v>1</v>
      </c>
      <c r="IN255" s="24" t="n">
        <v>30</v>
      </c>
      <c r="IO255" s="24" t="n">
        <v>1</v>
      </c>
      <c r="IP255" s="24" t="n">
        <v>0.73</v>
      </c>
      <c r="IQ255" s="24" t="n">
        <v>1</v>
      </c>
      <c r="IR255" s="24" t="n">
        <v>47</v>
      </c>
      <c r="IS255" s="24" t="n">
        <v>1</v>
      </c>
      <c r="IT255" s="24" t="n">
        <v>0.11</v>
      </c>
      <c r="IU255" s="24" t="n">
        <v>3</v>
      </c>
      <c r="IX255" s="28"/>
      <c r="JP255" s="24" t="n">
        <v>1</v>
      </c>
      <c r="JQ255" s="24" t="n">
        <v>60</v>
      </c>
      <c r="JR255" s="24" t="n">
        <v>4</v>
      </c>
      <c r="JS255" s="24" t="n">
        <v>1.68</v>
      </c>
      <c r="JT255" s="24" t="n">
        <v>6</v>
      </c>
      <c r="JU255" s="24" t="n">
        <v>50</v>
      </c>
      <c r="JV255" s="24" t="n">
        <v>8</v>
      </c>
      <c r="JW255" s="24" t="n">
        <f aca="false">2.94*2</f>
        <v>5.88</v>
      </c>
      <c r="JX255" s="24" t="n">
        <v>4</v>
      </c>
      <c r="JY255" s="24" t="n">
        <v>50</v>
      </c>
      <c r="JZ255" s="24" t="n">
        <v>4</v>
      </c>
      <c r="KA255" s="24" t="n">
        <v>0.76</v>
      </c>
      <c r="KB255" s="24" t="n">
        <v>6</v>
      </c>
      <c r="KC255" s="24" t="n">
        <v>80</v>
      </c>
      <c r="KD255" s="24" t="n">
        <v>8</v>
      </c>
      <c r="KE255" s="24" t="n">
        <f aca="false">0.31+0.21</f>
        <v>0.52</v>
      </c>
      <c r="KF255" s="24" t="n">
        <v>6</v>
      </c>
      <c r="LA255" s="27" t="n">
        <v>2.05</v>
      </c>
      <c r="LB255" s="27" t="n">
        <v>1</v>
      </c>
      <c r="LC255" s="27" t="n">
        <v>1</v>
      </c>
      <c r="LD255" s="27"/>
      <c r="LE255" s="27" t="n">
        <f aca="false">6.12+0.54+0.36</f>
        <v>7.02</v>
      </c>
      <c r="LF255" s="27" t="n">
        <v>2</v>
      </c>
      <c r="LG255" s="27"/>
      <c r="LH255" s="27" t="n">
        <v>6.01</v>
      </c>
      <c r="LI255" s="27"/>
      <c r="LJ255" s="27"/>
      <c r="LK255" s="27"/>
      <c r="LL255" s="27" t="n">
        <v>0.86</v>
      </c>
      <c r="LM255" s="27" t="n">
        <v>0.85</v>
      </c>
      <c r="LN255" s="27"/>
      <c r="LO255" s="27"/>
      <c r="LP255" s="27" t="n">
        <v>0</v>
      </c>
      <c r="LQ255" s="27" t="n">
        <v>0</v>
      </c>
      <c r="LR255" s="27" t="n">
        <v>0</v>
      </c>
      <c r="LS255" s="24" t="n">
        <v>0</v>
      </c>
      <c r="LT255" s="24" t="n">
        <v>100</v>
      </c>
      <c r="LU255" s="24" t="n">
        <v>29.5</v>
      </c>
      <c r="LV255" s="27" t="n">
        <v>94.9</v>
      </c>
      <c r="LW255" s="27" t="n">
        <v>83.4</v>
      </c>
      <c r="LX255" s="27" t="n">
        <v>17.6</v>
      </c>
      <c r="LY255" s="24" t="n">
        <v>85.6</v>
      </c>
      <c r="LZ255" s="24" t="n">
        <v>0</v>
      </c>
      <c r="MA255" s="24" t="n">
        <v>0</v>
      </c>
      <c r="MB255" s="24" t="n">
        <v>0</v>
      </c>
      <c r="MC255" s="24" t="n">
        <v>14.4</v>
      </c>
      <c r="MD255" s="24" t="n">
        <v>0</v>
      </c>
      <c r="ME255" s="24" t="n">
        <v>0</v>
      </c>
      <c r="MF255" s="24" t="n">
        <v>0</v>
      </c>
      <c r="MG255" s="24" t="n">
        <v>0</v>
      </c>
      <c r="MH255" s="24" t="n">
        <v>0</v>
      </c>
      <c r="MI255" s="24" t="n">
        <v>0</v>
      </c>
      <c r="MJ255" s="24" t="n">
        <v>1.95</v>
      </c>
      <c r="MK255" s="24" t="n">
        <v>9.45</v>
      </c>
      <c r="ML255" s="24" t="n">
        <v>11.24</v>
      </c>
      <c r="MM255" s="24" t="n">
        <v>36.94</v>
      </c>
      <c r="MN255" s="24" t="n">
        <v>0</v>
      </c>
      <c r="MO255" s="24" t="n">
        <v>11.5</v>
      </c>
      <c r="MP255" s="24" t="n">
        <v>1</v>
      </c>
      <c r="MQ255" s="24" t="n">
        <v>5</v>
      </c>
      <c r="MS255" s="24" t="n">
        <v>4</v>
      </c>
      <c r="NC255" s="24" t="n">
        <v>0</v>
      </c>
      <c r="ND255" s="24" t="n">
        <v>0</v>
      </c>
      <c r="NO255" s="28"/>
      <c r="OG255" s="24" t="n">
        <v>0</v>
      </c>
      <c r="PR255" s="27" t="n">
        <v>0.2</v>
      </c>
      <c r="PS255" s="27" t="n">
        <v>1</v>
      </c>
      <c r="PT255" s="27" t="n">
        <v>1</v>
      </c>
      <c r="PU255" s="27"/>
      <c r="PV255" s="27" t="n">
        <f aca="false">0.14+0.23+0.07+0.21</f>
        <v>0.65</v>
      </c>
      <c r="PW255" s="27"/>
      <c r="PX255" s="27"/>
      <c r="PY255" s="27"/>
      <c r="PZ255" s="27"/>
      <c r="QA255" s="27"/>
      <c r="QB255" s="27"/>
      <c r="QC255" s="27" t="n">
        <v>0.23</v>
      </c>
      <c r="QD255" s="27" t="n">
        <v>0.23</v>
      </c>
      <c r="QE255" s="27"/>
      <c r="QF255" s="27"/>
      <c r="QG255" s="27" t="n">
        <v>0</v>
      </c>
      <c r="QH255" s="27" t="n">
        <v>0</v>
      </c>
      <c r="QI255" s="27" t="n">
        <v>0</v>
      </c>
      <c r="QJ255" s="24" t="n">
        <v>0</v>
      </c>
      <c r="QK255" s="24" t="s">
        <v>781</v>
      </c>
      <c r="QL255" s="24" t="n">
        <v>47.5</v>
      </c>
      <c r="QM255" s="27" t="n">
        <v>49.3</v>
      </c>
      <c r="QN255" s="27" t="n">
        <v>83.4</v>
      </c>
      <c r="QO255" s="27" t="n">
        <v>35.7</v>
      </c>
      <c r="QP255" s="24" t="n">
        <v>66.48</v>
      </c>
      <c r="QQ255" s="24" t="n">
        <v>0</v>
      </c>
      <c r="QR255" s="24" t="n">
        <v>6.11</v>
      </c>
      <c r="QS255" s="24" t="n">
        <v>0</v>
      </c>
      <c r="QT255" s="24" t="n">
        <v>9.56</v>
      </c>
      <c r="QU255" s="24" t="n">
        <v>0</v>
      </c>
      <c r="QV255" s="24" t="n">
        <v>6.1</v>
      </c>
      <c r="QW255" s="24" t="n">
        <v>3.05</v>
      </c>
      <c r="QX255" s="24" t="n">
        <v>0</v>
      </c>
      <c r="QY255" s="24" t="n">
        <v>0</v>
      </c>
      <c r="QZ255" s="24" t="n">
        <v>0</v>
      </c>
      <c r="RA255" s="24" t="n">
        <v>0</v>
      </c>
      <c r="RB255" s="24" t="n">
        <v>17.78</v>
      </c>
      <c r="RC255" s="24" t="n">
        <v>9.13</v>
      </c>
      <c r="RD255" s="24" t="n">
        <v>2.7</v>
      </c>
      <c r="RE255" s="24" t="n">
        <v>11.73</v>
      </c>
      <c r="RF255" s="24" t="n">
        <v>0</v>
      </c>
      <c r="RG255" s="24" t="n">
        <v>0</v>
      </c>
      <c r="RT255" s="24" t="n">
        <v>5.7</v>
      </c>
      <c r="RU255" s="24" t="n">
        <v>1</v>
      </c>
      <c r="RV255" s="24" t="n">
        <v>30</v>
      </c>
      <c r="RW255" s="24" t="n">
        <v>10</v>
      </c>
      <c r="RX255" s="24" t="n">
        <f aca="false">0.15*2+0.16*8</f>
        <v>1.58</v>
      </c>
      <c r="RY255" s="24" t="n">
        <v>3</v>
      </c>
      <c r="SF255" s="28"/>
      <c r="SX255" s="24" t="n">
        <v>1</v>
      </c>
      <c r="SY255" s="24" t="n">
        <v>40</v>
      </c>
      <c r="SZ255" s="24" t="n">
        <v>4</v>
      </c>
      <c r="TA255" s="24" t="n">
        <v>0.6</v>
      </c>
      <c r="TB255" s="24" t="n">
        <v>2</v>
      </c>
      <c r="UI255" s="27" t="n">
        <v>0.53</v>
      </c>
      <c r="UJ255" s="27" t="n">
        <v>1</v>
      </c>
      <c r="UK255" s="27" t="n">
        <v>1</v>
      </c>
      <c r="UL255" s="27"/>
      <c r="UM255" s="27" t="n">
        <f aca="false">0.64*4+0.08</f>
        <v>2.64</v>
      </c>
      <c r="UN255" s="27"/>
      <c r="UO255" s="27"/>
      <c r="UP255" s="27"/>
      <c r="UQ255" s="27"/>
      <c r="UR255" s="27"/>
      <c r="US255" s="27"/>
      <c r="UT255" s="27" t="n">
        <v>5.06</v>
      </c>
      <c r="UU255" s="27" t="n">
        <v>1.58</v>
      </c>
      <c r="UV255" s="27"/>
      <c r="UW255" s="27"/>
      <c r="UX255" s="27" t="n">
        <v>0</v>
      </c>
      <c r="UY255" s="27" t="n">
        <v>0</v>
      </c>
      <c r="UZ255" s="27" t="n">
        <v>0</v>
      </c>
      <c r="VA255" s="24" t="n">
        <v>0</v>
      </c>
      <c r="VB255" s="24" t="s">
        <v>782</v>
      </c>
      <c r="VC255" s="24" t="n">
        <v>71</v>
      </c>
      <c r="VD255" s="27" t="n">
        <v>92</v>
      </c>
      <c r="VE255" s="27" t="n">
        <v>166.8</v>
      </c>
      <c r="VF255" s="27" t="n">
        <v>65</v>
      </c>
      <c r="VG255" s="24" t="n">
        <v>28.78</v>
      </c>
      <c r="VH255" s="24" t="n">
        <v>0</v>
      </c>
      <c r="VI255" s="24" t="n">
        <v>0</v>
      </c>
      <c r="VJ255" s="24" t="n">
        <v>0</v>
      </c>
      <c r="VK255" s="24" t="n">
        <v>2.5</v>
      </c>
      <c r="VL255" s="24" t="n">
        <v>0</v>
      </c>
      <c r="VM255" s="24" t="n">
        <v>8.54</v>
      </c>
      <c r="VN255" s="24" t="n">
        <v>0</v>
      </c>
      <c r="VO255" s="24" t="n">
        <v>0</v>
      </c>
      <c r="VP255" s="24" t="n">
        <v>2.76</v>
      </c>
      <c r="VQ255" s="24" t="n">
        <v>0</v>
      </c>
      <c r="VR255" s="24" t="n">
        <v>9.52</v>
      </c>
      <c r="VS255" s="24" t="n">
        <v>36.91</v>
      </c>
      <c r="VT255" s="24" t="n">
        <v>26.15</v>
      </c>
      <c r="VU255" s="24" t="n">
        <v>1.97</v>
      </c>
      <c r="VV255" s="24" t="n">
        <v>60.18</v>
      </c>
      <c r="VW255" s="24" t="n">
        <v>0</v>
      </c>
      <c r="VX255" s="24" t="n">
        <v>0</v>
      </c>
      <c r="WK255" s="24" t="n">
        <v>0.1</v>
      </c>
      <c r="WL255" s="24" t="n">
        <v>0</v>
      </c>
      <c r="WW255" s="28"/>
      <c r="XO255" s="24" t="n">
        <v>1</v>
      </c>
      <c r="XP255" s="24" t="n">
        <v>50</v>
      </c>
      <c r="XQ255" s="24" t="n">
        <v>4</v>
      </c>
      <c r="XR255" s="24" t="n">
        <f aca="false">0.37*4</f>
        <v>1.48</v>
      </c>
      <c r="XS255" s="24" t="n">
        <v>3</v>
      </c>
      <c r="XT255" s="24" t="n">
        <v>40</v>
      </c>
      <c r="XU255" s="24" t="n">
        <v>6</v>
      </c>
      <c r="XV255" s="24" t="n">
        <v>2.2</v>
      </c>
      <c r="XW255" s="24" t="n">
        <v>3</v>
      </c>
      <c r="XX255" s="24" t="n">
        <v>50</v>
      </c>
      <c r="XY255" s="24" t="n">
        <v>1</v>
      </c>
      <c r="XZ255" s="24" t="n">
        <v>0.06</v>
      </c>
      <c r="YA255" s="24" t="n">
        <v>1</v>
      </c>
      <c r="YB255" s="24" t="n">
        <v>60</v>
      </c>
      <c r="YC255" s="24" t="n">
        <v>3</v>
      </c>
      <c r="YD255" s="24" t="n">
        <v>0.19</v>
      </c>
      <c r="YE255" s="24" t="n">
        <v>4</v>
      </c>
      <c r="YZ255" s="27" t="n">
        <v>1.11</v>
      </c>
      <c r="ZA255" s="27" t="n">
        <v>1</v>
      </c>
      <c r="ZB255" s="27" t="n">
        <v>1</v>
      </c>
      <c r="ZC255" s="27"/>
      <c r="ZD255" s="27" t="n">
        <f aca="false">0.51*2+0.09+0.15*2+1.65+0.18+0.72</f>
        <v>3.96</v>
      </c>
      <c r="ZE255" s="27"/>
      <c r="ZF255" s="27"/>
      <c r="ZG255" s="27"/>
      <c r="ZH255" s="27"/>
      <c r="ZI255" s="27"/>
      <c r="ZJ255" s="27"/>
      <c r="ZK255" s="27" t="n">
        <v>1.95</v>
      </c>
      <c r="ZL255" s="27" t="n">
        <v>1.96</v>
      </c>
      <c r="ZM255" s="27"/>
      <c r="ZN255" s="27"/>
      <c r="ZO255" s="27" t="n">
        <v>2.88</v>
      </c>
      <c r="ZP255" s="27" t="n">
        <v>0</v>
      </c>
      <c r="ZQ255" s="27" t="n">
        <v>0</v>
      </c>
      <c r="ZR255" s="24" t="n">
        <v>2</v>
      </c>
      <c r="ZS255" s="24" t="s">
        <v>783</v>
      </c>
      <c r="ZT255" s="24" t="n">
        <v>35</v>
      </c>
      <c r="ZU255" s="27" t="n">
        <v>89.3</v>
      </c>
      <c r="ZV255" s="27" t="n">
        <v>83.4</v>
      </c>
      <c r="ZW255" s="27" t="n">
        <v>12.6</v>
      </c>
      <c r="ZX255" s="24" t="n">
        <v>87.93</v>
      </c>
      <c r="ZY255" s="24" t="n">
        <v>0</v>
      </c>
      <c r="ZZ255" s="24" t="n">
        <v>0</v>
      </c>
      <c r="AAA255" s="24" t="n">
        <v>1.49</v>
      </c>
      <c r="AAB255" s="24" t="n">
        <v>10.58</v>
      </c>
      <c r="AAC255" s="24" t="n">
        <v>0</v>
      </c>
      <c r="AAD255" s="24" t="n">
        <v>0</v>
      </c>
      <c r="AAE255" s="24" t="n">
        <v>0</v>
      </c>
      <c r="AAF255" s="24" t="n">
        <v>0</v>
      </c>
      <c r="AAG255" s="24" t="n">
        <v>0</v>
      </c>
      <c r="AAH255" s="24" t="n">
        <v>0</v>
      </c>
      <c r="AAI255" s="24" t="n">
        <v>0.17</v>
      </c>
      <c r="AAJ255" s="24" t="n">
        <v>38.78</v>
      </c>
      <c r="AAK255" s="24" t="n">
        <v>29.47</v>
      </c>
      <c r="AAL255" s="24" t="n">
        <v>0</v>
      </c>
      <c r="AAM255" s="24" t="n">
        <v>0</v>
      </c>
      <c r="AAN255" s="24" t="n">
        <v>4</v>
      </c>
      <c r="AAO255" s="24" t="n">
        <v>1</v>
      </c>
      <c r="AAP255" s="24" t="n">
        <v>3</v>
      </c>
      <c r="AAR255" s="24" t="n">
        <v>4</v>
      </c>
      <c r="ABB255" s="24" t="n">
        <v>9.7</v>
      </c>
      <c r="ABC255" s="24" t="n">
        <v>1</v>
      </c>
      <c r="ABD255" s="24" t="n">
        <v>68</v>
      </c>
      <c r="ABE255" s="24" t="n">
        <v>1</v>
      </c>
      <c r="ABF255" s="24" t="n">
        <v>0.02</v>
      </c>
      <c r="ABG255" s="24" t="n">
        <v>1</v>
      </c>
      <c r="ABH255" s="24" t="n">
        <v>35</v>
      </c>
      <c r="ABI255" s="24" t="n">
        <v>10</v>
      </c>
      <c r="ABJ255" s="24" t="n">
        <f aca="false">0.22*2+0.43*2+0.65+0.04+0.02+0.08</f>
        <v>2.09</v>
      </c>
      <c r="ABK255" s="24" t="n">
        <v>3</v>
      </c>
      <c r="ABN255" s="28"/>
      <c r="ACF255" s="24" t="n">
        <v>1</v>
      </c>
      <c r="ACG255" s="24" t="n">
        <v>50</v>
      </c>
      <c r="ACH255" s="24" t="n">
        <f aca="false">4*3+3*4</f>
        <v>24</v>
      </c>
      <c r="ACI255" s="24" t="n">
        <f aca="false">0.07+0.25+0.11+0.65+1.3+15</f>
        <v>17.38</v>
      </c>
      <c r="ACJ255" s="24" t="n">
        <v>1</v>
      </c>
      <c r="ACK255" s="24" t="n">
        <v>40</v>
      </c>
      <c r="ACL255" s="24" t="n">
        <v>18</v>
      </c>
      <c r="ACM255" s="24" t="n">
        <f aca="false">0.87+0.17+0.08+0.34+1.73+0.43+0.87+0.07</f>
        <v>4.56</v>
      </c>
      <c r="ACN255" s="24" t="n">
        <v>1</v>
      </c>
      <c r="ACO255" s="24" t="n">
        <v>40</v>
      </c>
      <c r="ACP255" s="24" t="n">
        <v>2</v>
      </c>
      <c r="ACQ255" s="24" t="n">
        <v>0.12</v>
      </c>
      <c r="ACR255" s="24" t="n">
        <v>5</v>
      </c>
      <c r="ACS255" s="24" t="n">
        <v>50</v>
      </c>
      <c r="ACT255" s="24" t="n">
        <v>1</v>
      </c>
      <c r="ACU255" s="24" t="n">
        <v>0.22</v>
      </c>
      <c r="ACV255" s="24" t="n">
        <v>6</v>
      </c>
      <c r="ACW255" s="24" t="n">
        <v>40</v>
      </c>
      <c r="ACX255" s="24" t="n">
        <v>3</v>
      </c>
      <c r="ACY255" s="24" t="n">
        <v>0.16</v>
      </c>
      <c r="ACZ255" s="24" t="n">
        <v>6</v>
      </c>
      <c r="ADQ255" s="27" t="n">
        <v>0.68</v>
      </c>
      <c r="ADR255" s="27" t="n">
        <v>1</v>
      </c>
      <c r="ADS255" s="27" t="n">
        <v>1</v>
      </c>
      <c r="ADT255" s="27"/>
      <c r="ADU255" s="27" t="n">
        <f aca="false">0.34+0.91+1.8+0.08+0.3</f>
        <v>3.43</v>
      </c>
      <c r="ADV255" s="27"/>
      <c r="ADW255" s="27"/>
      <c r="ADX255" s="27"/>
      <c r="ADY255" s="27"/>
      <c r="ADZ255" s="27"/>
      <c r="AEA255" s="27"/>
      <c r="AEB255" s="27" t="n">
        <v>7.83</v>
      </c>
      <c r="AEC255" s="27" t="n">
        <v>8.68</v>
      </c>
      <c r="AED255" s="27"/>
      <c r="AEE255" s="27"/>
      <c r="AEF255" s="27" t="n">
        <v>0</v>
      </c>
      <c r="AEG255" s="27" t="n">
        <v>0</v>
      </c>
      <c r="AEH255" s="27" t="n">
        <v>0</v>
      </c>
      <c r="AEI255" s="24" t="n">
        <v>0</v>
      </c>
      <c r="AEJ255" s="24" t="s">
        <v>784</v>
      </c>
      <c r="AEK255" s="24" t="n">
        <v>38</v>
      </c>
      <c r="AEL255" s="27" t="n">
        <v>92.6</v>
      </c>
      <c r="AEM255" s="27" t="n">
        <v>83.4</v>
      </c>
      <c r="AEN255" s="27" t="n">
        <v>16.5</v>
      </c>
      <c r="AEO255" s="24" t="n">
        <v>77.87</v>
      </c>
      <c r="AEP255" s="24" t="n">
        <v>0</v>
      </c>
      <c r="AEQ255" s="24" t="n">
        <v>0</v>
      </c>
      <c r="AER255" s="24" t="n">
        <v>0</v>
      </c>
      <c r="AES255" s="24" t="n">
        <v>21.87</v>
      </c>
      <c r="AET255" s="24" t="n">
        <v>0</v>
      </c>
      <c r="AEU255" s="24" t="n">
        <v>0</v>
      </c>
      <c r="AEV255" s="24" t="n">
        <v>0</v>
      </c>
      <c r="AEW255" s="24" t="n">
        <v>0</v>
      </c>
      <c r="AEX255" s="24" t="n">
        <v>0</v>
      </c>
      <c r="AEY255" s="24" t="n">
        <v>0</v>
      </c>
      <c r="AEZ255" s="24" t="n">
        <v>0.29</v>
      </c>
      <c r="AFA255" s="24" t="n">
        <v>38.85</v>
      </c>
      <c r="AFB255" s="24" t="n">
        <v>37.36</v>
      </c>
      <c r="AFC255" s="24" t="n">
        <v>5.57</v>
      </c>
      <c r="AFD255" s="24" t="n">
        <v>0</v>
      </c>
      <c r="AFE255" s="24" t="n">
        <v>0</v>
      </c>
      <c r="AFF255" s="24" t="n">
        <v>0</v>
      </c>
      <c r="AFS255" s="24" t="n">
        <v>17.5</v>
      </c>
      <c r="AFT255" s="24" t="n">
        <v>0</v>
      </c>
      <c r="AGE255" s="28"/>
      <c r="AGW255" s="24" t="n">
        <v>1</v>
      </c>
      <c r="AGX255" s="24" t="n">
        <v>70</v>
      </c>
      <c r="AGY255" s="24" t="n">
        <f aca="false">8*3+3</f>
        <v>27</v>
      </c>
      <c r="AGZ255" s="24" t="n">
        <f aca="false">5.87*3+0.58</f>
        <v>18.19</v>
      </c>
      <c r="AHA255" s="24" t="n">
        <v>1</v>
      </c>
      <c r="AIH255" s="27" t="n">
        <v>3.74</v>
      </c>
      <c r="AII255" s="27" t="n">
        <v>1</v>
      </c>
      <c r="AIJ255" s="27" t="n">
        <v>1</v>
      </c>
      <c r="AIK255" s="27"/>
      <c r="AIL255" s="27" t="n">
        <f aca="false">1.65+2.04*2+0.36*2+0.54</f>
        <v>6.99</v>
      </c>
      <c r="AIM255" s="27" t="n">
        <v>2</v>
      </c>
      <c r="AIN255" s="27"/>
      <c r="AIO255" s="27" t="n">
        <v>0.91</v>
      </c>
      <c r="AIP255" s="27"/>
      <c r="AIQ255" s="27"/>
      <c r="AIR255" s="27"/>
      <c r="AIS255" s="27" t="n">
        <v>0.19</v>
      </c>
      <c r="AIT255" s="27" t="n">
        <v>0.19</v>
      </c>
      <c r="AIU255" s="27"/>
      <c r="AIV255" s="27"/>
      <c r="AIW255" s="27" t="n">
        <v>0</v>
      </c>
      <c r="AIX255" s="27" t="n">
        <v>0</v>
      </c>
      <c r="AIY255" s="27" t="n">
        <v>0</v>
      </c>
      <c r="AIZ255" s="24" t="n">
        <v>0</v>
      </c>
      <c r="AJA255" s="24" t="s">
        <v>785</v>
      </c>
      <c r="AJB255" s="24" t="n">
        <v>37.5</v>
      </c>
      <c r="AJC255" s="27" t="n">
        <v>94.9</v>
      </c>
      <c r="AJD255" s="27" t="n">
        <v>83.4</v>
      </c>
      <c r="AJE255" s="27" t="n">
        <v>16</v>
      </c>
      <c r="AJF255" s="24" t="n">
        <v>79.43</v>
      </c>
      <c r="AJG255" s="24" t="n">
        <v>0</v>
      </c>
      <c r="AJH255" s="24" t="n">
        <v>0</v>
      </c>
      <c r="AJI255" s="24" t="n">
        <v>0</v>
      </c>
      <c r="AJJ255" s="24" t="n">
        <v>20.31</v>
      </c>
      <c r="AJK255" s="24" t="n">
        <v>0</v>
      </c>
      <c r="AJL255" s="24" t="n">
        <v>0</v>
      </c>
      <c r="AJM255" s="24" t="n">
        <v>0</v>
      </c>
      <c r="AJN255" s="24" t="n">
        <v>0</v>
      </c>
      <c r="AJO255" s="24" t="n">
        <v>0</v>
      </c>
      <c r="AJP255" s="24" t="n">
        <v>0</v>
      </c>
      <c r="AJQ255" s="24" t="n">
        <v>0.29</v>
      </c>
      <c r="AJR255" s="24" t="n">
        <v>37.58</v>
      </c>
      <c r="AJS255" s="24" t="n">
        <v>37.76</v>
      </c>
      <c r="AJT255" s="24" t="n">
        <v>5.57</v>
      </c>
      <c r="AJU255" s="24" t="n">
        <v>0</v>
      </c>
      <c r="AJV255" s="24" t="n">
        <v>0</v>
      </c>
      <c r="AJW255" s="24" t="n">
        <v>0</v>
      </c>
      <c r="AKJ255" s="24" t="n">
        <v>17.5</v>
      </c>
      <c r="AKK255" s="24" t="n">
        <v>0</v>
      </c>
      <c r="AKV255" s="28"/>
      <c r="ALN255" s="24" t="n">
        <v>1</v>
      </c>
      <c r="ALO255" s="24" t="n">
        <v>71</v>
      </c>
      <c r="ALP255" s="24" t="n">
        <f aca="false">8*3+3</f>
        <v>27</v>
      </c>
      <c r="ALQ255" s="24" t="n">
        <f aca="false">5.87*3+0.58</f>
        <v>18.19</v>
      </c>
      <c r="ALR255" s="24" t="n">
        <v>2</v>
      </c>
    </row>
    <row r="256" customFormat="false" ht="13.8" hidden="false" customHeight="false" outlineLevel="0" collapsed="false">
      <c r="A256" s="22" t="s">
        <v>786</v>
      </c>
      <c r="B256" s="23" t="n">
        <v>42909</v>
      </c>
      <c r="C256" s="24" t="n">
        <v>2</v>
      </c>
      <c r="D256" s="25" t="n">
        <v>36259</v>
      </c>
      <c r="E256" s="23" t="n">
        <v>28535</v>
      </c>
      <c r="F256" s="14" t="n">
        <f aca="false">(B256-E256)/365.25</f>
        <v>39.3538672142368</v>
      </c>
      <c r="G256" s="14" t="n">
        <f aca="false">(B256-D256)/365.25</f>
        <v>18.2067077344285</v>
      </c>
      <c r="H256" s="26" t="s">
        <v>306</v>
      </c>
      <c r="I256" s="21" t="s">
        <v>777</v>
      </c>
      <c r="J256" s="21" t="s">
        <v>183</v>
      </c>
      <c r="K256" s="21" t="n">
        <v>8</v>
      </c>
      <c r="L256" s="26" t="n">
        <v>85</v>
      </c>
      <c r="M256" s="24" t="n">
        <v>1.87</v>
      </c>
      <c r="N256" s="27" t="n">
        <f aca="false">L256/(M256*M256)</f>
        <v>24.3072435585805</v>
      </c>
      <c r="O256" s="26" t="n">
        <v>0</v>
      </c>
      <c r="P256" s="26" t="n">
        <v>0</v>
      </c>
      <c r="Q256" s="26" t="n">
        <v>0</v>
      </c>
      <c r="R256" s="26" t="n">
        <v>0</v>
      </c>
      <c r="S256" s="26" t="n">
        <v>0</v>
      </c>
      <c r="T256" s="26" t="n">
        <v>0</v>
      </c>
      <c r="U256" s="19" t="n">
        <v>0</v>
      </c>
      <c r="V256" s="19" t="n">
        <v>0</v>
      </c>
      <c r="W256" s="26" t="n">
        <v>0</v>
      </c>
      <c r="X256" s="26" t="n">
        <v>0</v>
      </c>
      <c r="Y256" s="26" t="n">
        <v>1</v>
      </c>
      <c r="Z256" s="26" t="n">
        <v>1</v>
      </c>
      <c r="AA256" s="26" t="n">
        <v>60</v>
      </c>
      <c r="AB256" s="26" t="s">
        <v>284</v>
      </c>
      <c r="AC256" s="26" t="n">
        <v>0</v>
      </c>
      <c r="AD256" s="26" t="n">
        <v>0</v>
      </c>
      <c r="AE256" s="26" t="n">
        <v>0</v>
      </c>
      <c r="AF256" s="26" t="n">
        <v>0</v>
      </c>
      <c r="AG256" s="26" t="n">
        <v>0</v>
      </c>
      <c r="AH256" s="26" t="n">
        <v>0</v>
      </c>
      <c r="AI256" s="26" t="n">
        <v>0</v>
      </c>
      <c r="AJ256" s="26" t="n">
        <v>0</v>
      </c>
      <c r="AK256" s="26" t="n">
        <v>0</v>
      </c>
      <c r="AL256" s="26" t="n">
        <v>0</v>
      </c>
      <c r="AM256" s="26" t="n">
        <v>0</v>
      </c>
      <c r="AN256" s="26" t="n">
        <v>0</v>
      </c>
      <c r="AO256" s="26" t="n">
        <v>0</v>
      </c>
      <c r="AP256" s="26" t="n">
        <v>0</v>
      </c>
      <c r="AQ256" s="26" t="n">
        <v>0</v>
      </c>
      <c r="AR256" s="26" t="n">
        <v>0</v>
      </c>
      <c r="AS256" s="26" t="n">
        <v>0</v>
      </c>
      <c r="AT256" s="26" t="n">
        <v>0</v>
      </c>
      <c r="AU256" s="26" t="n">
        <v>0</v>
      </c>
      <c r="AV256" s="26" t="n">
        <v>0</v>
      </c>
      <c r="AW256" s="26" t="n">
        <v>0</v>
      </c>
      <c r="AX256" s="26" t="n">
        <v>0</v>
      </c>
      <c r="AY256" s="26" t="n">
        <v>0</v>
      </c>
      <c r="AZ256" s="26" t="n">
        <v>0</v>
      </c>
      <c r="BA256" s="26" t="n">
        <v>0</v>
      </c>
      <c r="BB256" s="26" t="n">
        <v>0</v>
      </c>
      <c r="BC256" s="26" t="n">
        <v>0</v>
      </c>
      <c r="BD256" s="26" t="n">
        <v>0</v>
      </c>
      <c r="BE256" s="26" t="n">
        <v>0</v>
      </c>
      <c r="BF256" s="26" t="n">
        <v>0</v>
      </c>
      <c r="BG256" s="26" t="n">
        <v>0</v>
      </c>
      <c r="BH256" s="26" t="n">
        <v>0</v>
      </c>
      <c r="BI256" s="26" t="n">
        <v>0</v>
      </c>
      <c r="BJ256" s="26" t="n">
        <v>0</v>
      </c>
      <c r="BK256" s="26" t="n">
        <v>0</v>
      </c>
      <c r="BL256" s="26" t="n">
        <v>0</v>
      </c>
      <c r="BM256" s="26" t="n">
        <v>0</v>
      </c>
      <c r="BN256" s="26" t="n">
        <v>0</v>
      </c>
      <c r="BO256" s="26" t="n">
        <v>0</v>
      </c>
      <c r="BP256" s="26" t="n">
        <v>0</v>
      </c>
      <c r="BQ256" s="26" t="n">
        <v>0</v>
      </c>
      <c r="BR256" s="26" t="n">
        <v>4</v>
      </c>
      <c r="BS256" s="26" t="n">
        <v>3</v>
      </c>
      <c r="BT256" s="26" t="n">
        <v>4</v>
      </c>
      <c r="BU256" s="26" t="n">
        <v>5</v>
      </c>
      <c r="BV256" s="26" t="n">
        <v>2</v>
      </c>
      <c r="BW256" s="26" t="n">
        <v>1</v>
      </c>
      <c r="BX256" s="26" t="n">
        <v>2</v>
      </c>
      <c r="BY256" s="26" t="n">
        <v>3</v>
      </c>
      <c r="BZ256" s="26" t="n">
        <v>3</v>
      </c>
      <c r="CA256" s="26" t="n">
        <v>3</v>
      </c>
      <c r="CB256" s="26" t="n">
        <v>3</v>
      </c>
      <c r="CC256" s="26" t="n">
        <v>5</v>
      </c>
      <c r="CD256" s="26" t="n">
        <v>5</v>
      </c>
      <c r="CE256" s="26" t="n">
        <v>3</v>
      </c>
      <c r="CF256" s="26" t="n">
        <v>3</v>
      </c>
      <c r="CG256" s="26" t="n">
        <v>5</v>
      </c>
      <c r="CH256" s="26" t="n">
        <v>4</v>
      </c>
      <c r="CI256" s="26" t="n">
        <v>4</v>
      </c>
      <c r="CJ256" s="26" t="n">
        <v>4</v>
      </c>
      <c r="CK256" s="26" t="n">
        <v>10</v>
      </c>
      <c r="CL256" s="24" t="s">
        <v>779</v>
      </c>
      <c r="CM256" s="24" t="n">
        <v>43</v>
      </c>
      <c r="CN256" s="27" t="n">
        <v>91.8</v>
      </c>
      <c r="CO256" s="27" t="n">
        <v>83.4</v>
      </c>
      <c r="CP256" s="27" t="n">
        <v>25.8</v>
      </c>
      <c r="CQ256" s="24" t="n">
        <v>68.3</v>
      </c>
      <c r="CR256" s="24" t="n">
        <v>0</v>
      </c>
      <c r="CS256" s="24" t="n">
        <v>0</v>
      </c>
      <c r="CT256" s="24" t="n">
        <v>0</v>
      </c>
      <c r="CU256" s="24" t="n">
        <v>31.54</v>
      </c>
      <c r="CV256" s="24" t="n">
        <v>0</v>
      </c>
      <c r="CW256" s="24" t="n">
        <v>0</v>
      </c>
      <c r="CX256" s="24" t="n">
        <v>0</v>
      </c>
      <c r="CY256" s="24" t="n">
        <v>0</v>
      </c>
      <c r="CZ256" s="24" t="n">
        <v>0</v>
      </c>
      <c r="DA256" s="24" t="n">
        <v>0</v>
      </c>
      <c r="DB256" s="24" t="n">
        <v>48.27</v>
      </c>
      <c r="DC256" s="24" t="n">
        <v>58.3</v>
      </c>
      <c r="DD256" s="24" t="n">
        <v>1.34</v>
      </c>
      <c r="DE256" s="24" t="n">
        <v>0</v>
      </c>
      <c r="DF256" s="24" t="n">
        <v>0.16</v>
      </c>
      <c r="DG256" s="24" t="n">
        <v>0</v>
      </c>
      <c r="DH256" s="24" t="n">
        <v>0</v>
      </c>
      <c r="DU256" s="24" t="n">
        <v>11</v>
      </c>
      <c r="DV256" s="24" t="n">
        <v>1</v>
      </c>
      <c r="DW256" s="24" t="n">
        <v>30</v>
      </c>
      <c r="DX256" s="24" t="n">
        <v>1</v>
      </c>
      <c r="DY256" s="24" t="n">
        <v>0.73</v>
      </c>
      <c r="DZ256" s="24" t="n">
        <v>1</v>
      </c>
      <c r="EG256" s="28"/>
      <c r="EY256" s="24" t="n">
        <v>1</v>
      </c>
      <c r="EZ256" s="24" t="n">
        <v>60</v>
      </c>
      <c r="FA256" s="24" t="n">
        <v>14</v>
      </c>
      <c r="FB256" s="24" t="n">
        <f aca="false">1.25+0.05+0.21+0.21+0.31+0.08</f>
        <v>2.11</v>
      </c>
      <c r="FC256" s="24" t="n">
        <v>6</v>
      </c>
      <c r="FD256" s="24" t="n">
        <v>50</v>
      </c>
      <c r="FE256" s="24" t="n">
        <v>8</v>
      </c>
      <c r="FF256" s="24" t="n">
        <f aca="false">2.94*2</f>
        <v>5.88</v>
      </c>
      <c r="FG256" s="24" t="n">
        <v>4</v>
      </c>
      <c r="GJ256" s="27" t="n">
        <v>2.45</v>
      </c>
      <c r="GK256" s="27" t="n">
        <v>1</v>
      </c>
      <c r="GL256" s="27" t="n">
        <v>1</v>
      </c>
      <c r="GM256" s="27"/>
      <c r="GN256" s="27" t="n">
        <f aca="false">0.03*2+0.16+0.46</f>
        <v>0.68</v>
      </c>
      <c r="GO256" s="27" t="n">
        <v>2</v>
      </c>
      <c r="GP256" s="27"/>
      <c r="GQ256" s="27" t="n">
        <f aca="false">6.12+0.54</f>
        <v>6.66</v>
      </c>
      <c r="GR256" s="27"/>
      <c r="GS256" s="27"/>
      <c r="GT256" s="27"/>
      <c r="GU256" s="27" t="n">
        <v>3.68</v>
      </c>
      <c r="GV256" s="27" t="n">
        <v>1.63</v>
      </c>
      <c r="GW256" s="27"/>
      <c r="GX256" s="27"/>
      <c r="GY256" s="27" t="n">
        <v>0</v>
      </c>
      <c r="GZ256" s="27" t="n">
        <v>0</v>
      </c>
      <c r="HA256" s="27" t="n">
        <v>0</v>
      </c>
      <c r="HB256" s="24" t="n">
        <v>0</v>
      </c>
      <c r="HC256" s="24" t="s">
        <v>780</v>
      </c>
      <c r="HD256" s="24" t="n">
        <v>46</v>
      </c>
      <c r="HE256" s="27" t="n">
        <v>101.6</v>
      </c>
      <c r="HF256" s="27" t="n">
        <v>83.4</v>
      </c>
      <c r="HG256" s="27" t="n">
        <v>27.8</v>
      </c>
      <c r="HH256" s="24" t="n">
        <v>66.04</v>
      </c>
      <c r="HI256" s="24" t="n">
        <v>0</v>
      </c>
      <c r="HJ256" s="24" t="n">
        <v>0</v>
      </c>
      <c r="HK256" s="24" t="n">
        <v>0</v>
      </c>
      <c r="HL256" s="24" t="n">
        <v>35.15</v>
      </c>
      <c r="HM256" s="24" t="n">
        <v>0</v>
      </c>
      <c r="HN256" s="24" t="n">
        <v>0</v>
      </c>
      <c r="HO256" s="24" t="n">
        <v>0</v>
      </c>
      <c r="HP256" s="24" t="n">
        <v>0</v>
      </c>
      <c r="HQ256" s="24" t="n">
        <v>0</v>
      </c>
      <c r="HR256" s="24" t="n">
        <v>0</v>
      </c>
      <c r="HS256" s="24" t="n">
        <v>43.27</v>
      </c>
      <c r="HT256" s="24" t="n">
        <v>65.02</v>
      </c>
      <c r="HU256" s="24" t="n">
        <v>6.59</v>
      </c>
      <c r="HV256" s="24" t="n">
        <v>0.88</v>
      </c>
      <c r="HW256" s="24" t="n">
        <v>0.16</v>
      </c>
      <c r="HX256" s="24" t="n">
        <v>0</v>
      </c>
      <c r="HY256" s="24" t="n">
        <v>0</v>
      </c>
      <c r="IL256" s="24" t="n">
        <v>14.9</v>
      </c>
      <c r="IM256" s="24" t="n">
        <v>1</v>
      </c>
      <c r="IN256" s="24" t="n">
        <v>30</v>
      </c>
      <c r="IO256" s="24" t="n">
        <v>1</v>
      </c>
      <c r="IP256" s="24" t="n">
        <v>0.73</v>
      </c>
      <c r="IQ256" s="24" t="n">
        <v>1</v>
      </c>
      <c r="IR256" s="24" t="n">
        <v>47</v>
      </c>
      <c r="IS256" s="24" t="n">
        <v>1</v>
      </c>
      <c r="IT256" s="24" t="n">
        <v>0.11</v>
      </c>
      <c r="IU256" s="24" t="n">
        <v>3</v>
      </c>
      <c r="IX256" s="28"/>
      <c r="JP256" s="24" t="n">
        <v>1</v>
      </c>
      <c r="JQ256" s="24" t="n">
        <v>60</v>
      </c>
      <c r="JR256" s="24" t="n">
        <v>4</v>
      </c>
      <c r="JS256" s="24" t="n">
        <v>1.68</v>
      </c>
      <c r="JT256" s="24" t="n">
        <v>6</v>
      </c>
      <c r="JU256" s="24" t="n">
        <v>50</v>
      </c>
      <c r="JV256" s="24" t="n">
        <v>8</v>
      </c>
      <c r="JW256" s="24" t="n">
        <f aca="false">2.94*2</f>
        <v>5.88</v>
      </c>
      <c r="JX256" s="24" t="n">
        <v>4</v>
      </c>
      <c r="JY256" s="24" t="n">
        <v>50</v>
      </c>
      <c r="JZ256" s="24" t="n">
        <v>4</v>
      </c>
      <c r="KA256" s="24" t="n">
        <v>0.76</v>
      </c>
      <c r="KB256" s="24" t="n">
        <v>6</v>
      </c>
      <c r="KC256" s="24" t="n">
        <v>80</v>
      </c>
      <c r="KD256" s="24" t="n">
        <v>8</v>
      </c>
      <c r="KE256" s="24" t="n">
        <f aca="false">0.31+0.21</f>
        <v>0.52</v>
      </c>
      <c r="KF256" s="24" t="n">
        <v>6</v>
      </c>
      <c r="LA256" s="27" t="n">
        <v>2.05</v>
      </c>
      <c r="LB256" s="27" t="n">
        <v>1</v>
      </c>
      <c r="LC256" s="27" t="n">
        <v>1</v>
      </c>
      <c r="LD256" s="27"/>
      <c r="LE256" s="27" t="n">
        <f aca="false">6.12+0.54+0.36</f>
        <v>7.02</v>
      </c>
      <c r="LF256" s="27" t="n">
        <v>2</v>
      </c>
      <c r="LG256" s="27"/>
      <c r="LH256" s="27" t="n">
        <v>6.01</v>
      </c>
      <c r="LI256" s="27"/>
      <c r="LJ256" s="27"/>
      <c r="LK256" s="27"/>
      <c r="LL256" s="27" t="n">
        <v>0.86</v>
      </c>
      <c r="LM256" s="27" t="n">
        <v>0.85</v>
      </c>
      <c r="LN256" s="27"/>
      <c r="LO256" s="27"/>
      <c r="LP256" s="27" t="n">
        <v>0</v>
      </c>
      <c r="LQ256" s="27" t="n">
        <v>0</v>
      </c>
      <c r="LR256" s="27" t="n">
        <v>0</v>
      </c>
      <c r="LS256" s="24" t="n">
        <v>0</v>
      </c>
      <c r="LT256" s="24" t="n">
        <v>100</v>
      </c>
      <c r="LU256" s="24" t="n">
        <v>29.5</v>
      </c>
      <c r="LV256" s="27" t="n">
        <v>94.9</v>
      </c>
      <c r="LW256" s="27" t="n">
        <v>83.4</v>
      </c>
      <c r="LX256" s="27" t="n">
        <v>17.6</v>
      </c>
      <c r="LY256" s="24" t="n">
        <v>85.6</v>
      </c>
      <c r="LZ256" s="24" t="n">
        <v>0</v>
      </c>
      <c r="MA256" s="24" t="n">
        <v>0</v>
      </c>
      <c r="MB256" s="24" t="n">
        <v>0</v>
      </c>
      <c r="MC256" s="24" t="n">
        <v>14.4</v>
      </c>
      <c r="MD256" s="24" t="n">
        <v>0</v>
      </c>
      <c r="ME256" s="24" t="n">
        <v>0</v>
      </c>
      <c r="MF256" s="24" t="n">
        <v>0</v>
      </c>
      <c r="MG256" s="24" t="n">
        <v>0</v>
      </c>
      <c r="MH256" s="24" t="n">
        <v>0</v>
      </c>
      <c r="MI256" s="24" t="n">
        <v>0</v>
      </c>
      <c r="MJ256" s="24" t="n">
        <v>1.95</v>
      </c>
      <c r="MK256" s="24" t="n">
        <v>9.45</v>
      </c>
      <c r="ML256" s="24" t="n">
        <v>11.24</v>
      </c>
      <c r="MM256" s="24" t="n">
        <v>36.94</v>
      </c>
      <c r="MN256" s="24" t="n">
        <v>0</v>
      </c>
      <c r="MO256" s="24" t="n">
        <v>11.5</v>
      </c>
      <c r="MP256" s="24" t="n">
        <v>1</v>
      </c>
      <c r="MQ256" s="24" t="n">
        <v>5</v>
      </c>
      <c r="MS256" s="24" t="n">
        <v>4</v>
      </c>
      <c r="NC256" s="24" t="n">
        <v>0</v>
      </c>
      <c r="ND256" s="24" t="n">
        <v>0</v>
      </c>
      <c r="NO256" s="28"/>
      <c r="OG256" s="24" t="n">
        <v>0</v>
      </c>
      <c r="PR256" s="27" t="n">
        <v>0.2</v>
      </c>
      <c r="PS256" s="27" t="n">
        <v>1</v>
      </c>
      <c r="PT256" s="27" t="n">
        <v>1</v>
      </c>
      <c r="PU256" s="27"/>
      <c r="PV256" s="27" t="n">
        <f aca="false">0.14+0.23+0.07+0.21</f>
        <v>0.65</v>
      </c>
      <c r="PW256" s="27"/>
      <c r="PX256" s="27"/>
      <c r="PY256" s="27"/>
      <c r="PZ256" s="27"/>
      <c r="QA256" s="27"/>
      <c r="QB256" s="27"/>
      <c r="QC256" s="27" t="n">
        <v>0.23</v>
      </c>
      <c r="QD256" s="27" t="n">
        <v>0.23</v>
      </c>
      <c r="QE256" s="27"/>
      <c r="QF256" s="27"/>
      <c r="QG256" s="27" t="n">
        <v>0</v>
      </c>
      <c r="QH256" s="27" t="n">
        <v>0</v>
      </c>
      <c r="QI256" s="27" t="n">
        <v>0</v>
      </c>
      <c r="QJ256" s="24" t="n">
        <v>0</v>
      </c>
      <c r="QK256" s="24" t="s">
        <v>781</v>
      </c>
      <c r="QL256" s="24" t="n">
        <v>47.5</v>
      </c>
      <c r="QM256" s="27" t="n">
        <v>49.3</v>
      </c>
      <c r="QN256" s="27" t="n">
        <v>83.4</v>
      </c>
      <c r="QO256" s="27" t="n">
        <v>35.7</v>
      </c>
      <c r="QP256" s="24" t="n">
        <v>66.48</v>
      </c>
      <c r="QQ256" s="24" t="n">
        <v>0</v>
      </c>
      <c r="QR256" s="24" t="n">
        <v>6.11</v>
      </c>
      <c r="QS256" s="24" t="n">
        <v>0</v>
      </c>
      <c r="QT256" s="24" t="n">
        <v>9.56</v>
      </c>
      <c r="QU256" s="24" t="n">
        <v>0</v>
      </c>
      <c r="QV256" s="24" t="n">
        <v>6.1</v>
      </c>
      <c r="QW256" s="24" t="n">
        <v>3.05</v>
      </c>
      <c r="QX256" s="24" t="n">
        <v>0</v>
      </c>
      <c r="QY256" s="24" t="n">
        <v>0</v>
      </c>
      <c r="QZ256" s="24" t="n">
        <v>0</v>
      </c>
      <c r="RA256" s="24" t="n">
        <v>0</v>
      </c>
      <c r="RB256" s="24" t="n">
        <v>17.78</v>
      </c>
      <c r="RC256" s="24" t="n">
        <v>9.13</v>
      </c>
      <c r="RD256" s="24" t="n">
        <v>2.7</v>
      </c>
      <c r="RE256" s="24" t="n">
        <v>11.73</v>
      </c>
      <c r="RF256" s="24" t="n">
        <v>0</v>
      </c>
      <c r="RG256" s="24" t="n">
        <v>0</v>
      </c>
      <c r="RT256" s="24" t="n">
        <v>5.7</v>
      </c>
      <c r="RU256" s="24" t="n">
        <v>1</v>
      </c>
      <c r="RV256" s="24" t="n">
        <v>30</v>
      </c>
      <c r="RW256" s="24" t="n">
        <v>10</v>
      </c>
      <c r="RX256" s="24" t="n">
        <f aca="false">0.15*2+0.16*8</f>
        <v>1.58</v>
      </c>
      <c r="RY256" s="24" t="n">
        <v>3</v>
      </c>
      <c r="SF256" s="28"/>
      <c r="SX256" s="24" t="n">
        <v>1</v>
      </c>
      <c r="SY256" s="24" t="n">
        <v>40</v>
      </c>
      <c r="SZ256" s="24" t="n">
        <v>4</v>
      </c>
      <c r="TA256" s="24" t="n">
        <v>0.6</v>
      </c>
      <c r="TB256" s="24" t="n">
        <v>2</v>
      </c>
      <c r="UI256" s="27" t="n">
        <v>0.53</v>
      </c>
      <c r="UJ256" s="27" t="n">
        <v>1</v>
      </c>
      <c r="UK256" s="27" t="n">
        <v>1</v>
      </c>
      <c r="UL256" s="27"/>
      <c r="UM256" s="27" t="n">
        <f aca="false">0.64*4+0.08</f>
        <v>2.64</v>
      </c>
      <c r="UN256" s="27"/>
      <c r="UO256" s="27"/>
      <c r="UP256" s="27"/>
      <c r="UQ256" s="27"/>
      <c r="UR256" s="27"/>
      <c r="US256" s="27"/>
      <c r="UT256" s="27" t="n">
        <v>5.06</v>
      </c>
      <c r="UU256" s="27" t="n">
        <v>1.58</v>
      </c>
      <c r="UV256" s="27"/>
      <c r="UW256" s="27"/>
      <c r="UX256" s="27" t="n">
        <v>0</v>
      </c>
      <c r="UY256" s="27" t="n">
        <v>0</v>
      </c>
      <c r="UZ256" s="27" t="n">
        <v>0</v>
      </c>
      <c r="VA256" s="24" t="n">
        <v>0</v>
      </c>
      <c r="VB256" s="24" t="s">
        <v>782</v>
      </c>
      <c r="VC256" s="24" t="n">
        <v>71</v>
      </c>
      <c r="VD256" s="27" t="n">
        <v>92</v>
      </c>
      <c r="VE256" s="27" t="n">
        <v>166.8</v>
      </c>
      <c r="VF256" s="27" t="n">
        <v>65</v>
      </c>
      <c r="VG256" s="24" t="n">
        <v>28.78</v>
      </c>
      <c r="VH256" s="24" t="n">
        <v>0</v>
      </c>
      <c r="VI256" s="24" t="n">
        <v>0</v>
      </c>
      <c r="VJ256" s="24" t="n">
        <v>0</v>
      </c>
      <c r="VK256" s="24" t="n">
        <v>2.5</v>
      </c>
      <c r="VL256" s="24" t="n">
        <v>0</v>
      </c>
      <c r="VM256" s="24" t="n">
        <v>8.54</v>
      </c>
      <c r="VN256" s="24" t="n">
        <v>0</v>
      </c>
      <c r="VO256" s="24" t="n">
        <v>0</v>
      </c>
      <c r="VP256" s="24" t="n">
        <v>2.76</v>
      </c>
      <c r="VQ256" s="24" t="n">
        <v>0</v>
      </c>
      <c r="VR256" s="24" t="n">
        <v>9.52</v>
      </c>
      <c r="VS256" s="24" t="n">
        <v>36.91</v>
      </c>
      <c r="VT256" s="24" t="n">
        <v>26.15</v>
      </c>
      <c r="VU256" s="24" t="n">
        <v>1.97</v>
      </c>
      <c r="VV256" s="24" t="n">
        <v>60.18</v>
      </c>
      <c r="VW256" s="24" t="n">
        <v>0</v>
      </c>
      <c r="VX256" s="24" t="n">
        <v>0</v>
      </c>
      <c r="WK256" s="24" t="n">
        <v>0.1</v>
      </c>
      <c r="WL256" s="24" t="n">
        <v>0</v>
      </c>
      <c r="WW256" s="28"/>
      <c r="XO256" s="24" t="n">
        <v>1</v>
      </c>
      <c r="XP256" s="24" t="n">
        <v>50</v>
      </c>
      <c r="XQ256" s="24" t="n">
        <v>4</v>
      </c>
      <c r="XR256" s="24" t="n">
        <f aca="false">0.37*4</f>
        <v>1.48</v>
      </c>
      <c r="XS256" s="24" t="n">
        <v>3</v>
      </c>
      <c r="XT256" s="24" t="n">
        <v>40</v>
      </c>
      <c r="XU256" s="24" t="n">
        <v>6</v>
      </c>
      <c r="XV256" s="24" t="n">
        <v>2.2</v>
      </c>
      <c r="XW256" s="24" t="n">
        <v>3</v>
      </c>
      <c r="XX256" s="24" t="n">
        <v>50</v>
      </c>
      <c r="XY256" s="24" t="n">
        <v>1</v>
      </c>
      <c r="XZ256" s="24" t="n">
        <v>0.06</v>
      </c>
      <c r="YA256" s="24" t="n">
        <v>1</v>
      </c>
      <c r="YB256" s="24" t="n">
        <v>60</v>
      </c>
      <c r="YC256" s="24" t="n">
        <v>3</v>
      </c>
      <c r="YD256" s="24" t="n">
        <v>0.19</v>
      </c>
      <c r="YE256" s="24" t="n">
        <v>4</v>
      </c>
      <c r="YZ256" s="27" t="n">
        <v>1.11</v>
      </c>
      <c r="ZA256" s="27" t="n">
        <v>1</v>
      </c>
      <c r="ZB256" s="27" t="n">
        <v>1</v>
      </c>
      <c r="ZC256" s="27"/>
      <c r="ZD256" s="27" t="n">
        <f aca="false">0.51*2+0.09+0.15*2+1.65+0.18+0.72</f>
        <v>3.96</v>
      </c>
      <c r="ZE256" s="27"/>
      <c r="ZF256" s="27"/>
      <c r="ZG256" s="27"/>
      <c r="ZH256" s="27"/>
      <c r="ZI256" s="27"/>
      <c r="ZJ256" s="27"/>
      <c r="ZK256" s="27" t="n">
        <v>1.95</v>
      </c>
      <c r="ZL256" s="27" t="n">
        <v>1.96</v>
      </c>
      <c r="ZM256" s="27"/>
      <c r="ZN256" s="27"/>
      <c r="ZO256" s="27" t="n">
        <v>2.88</v>
      </c>
      <c r="ZP256" s="27" t="n">
        <v>0</v>
      </c>
      <c r="ZQ256" s="27" t="n">
        <v>0</v>
      </c>
      <c r="ZR256" s="24" t="n">
        <v>2</v>
      </c>
      <c r="ZS256" s="24" t="s">
        <v>783</v>
      </c>
      <c r="ZT256" s="24" t="n">
        <v>35</v>
      </c>
      <c r="ZU256" s="27" t="n">
        <v>89.3</v>
      </c>
      <c r="ZV256" s="27" t="n">
        <v>83.4</v>
      </c>
      <c r="ZW256" s="27" t="n">
        <v>12.6</v>
      </c>
      <c r="ZX256" s="24" t="n">
        <v>87.93</v>
      </c>
      <c r="ZY256" s="24" t="n">
        <v>0</v>
      </c>
      <c r="ZZ256" s="24" t="n">
        <v>0</v>
      </c>
      <c r="AAA256" s="24" t="n">
        <v>1.49</v>
      </c>
      <c r="AAB256" s="24" t="n">
        <v>10.58</v>
      </c>
      <c r="AAC256" s="24" t="n">
        <v>0</v>
      </c>
      <c r="AAD256" s="24" t="n">
        <v>0</v>
      </c>
      <c r="AAE256" s="24" t="n">
        <v>0</v>
      </c>
      <c r="AAF256" s="24" t="n">
        <v>0</v>
      </c>
      <c r="AAG256" s="24" t="n">
        <v>0</v>
      </c>
      <c r="AAH256" s="24" t="n">
        <v>0</v>
      </c>
      <c r="AAI256" s="24" t="n">
        <v>0.17</v>
      </c>
      <c r="AAJ256" s="24" t="n">
        <v>38.78</v>
      </c>
      <c r="AAK256" s="24" t="n">
        <v>29.47</v>
      </c>
      <c r="AAL256" s="24" t="n">
        <v>0</v>
      </c>
      <c r="AAM256" s="24" t="n">
        <v>0</v>
      </c>
      <c r="AAN256" s="24" t="n">
        <v>4</v>
      </c>
      <c r="AAO256" s="24" t="n">
        <v>1</v>
      </c>
      <c r="AAP256" s="24" t="n">
        <v>3</v>
      </c>
      <c r="AAR256" s="24" t="n">
        <v>4</v>
      </c>
      <c r="ABB256" s="24" t="n">
        <v>9.7</v>
      </c>
      <c r="ABC256" s="24" t="n">
        <v>1</v>
      </c>
      <c r="ABD256" s="24" t="n">
        <v>68</v>
      </c>
      <c r="ABE256" s="24" t="n">
        <v>1</v>
      </c>
      <c r="ABF256" s="24" t="n">
        <v>0.02</v>
      </c>
      <c r="ABG256" s="24" t="n">
        <v>1</v>
      </c>
      <c r="ABH256" s="24" t="n">
        <v>35</v>
      </c>
      <c r="ABI256" s="24" t="n">
        <v>10</v>
      </c>
      <c r="ABJ256" s="24" t="n">
        <f aca="false">0.22*2+0.43*2+0.65+0.04+0.02+0.08</f>
        <v>2.09</v>
      </c>
      <c r="ABK256" s="24" t="n">
        <v>3</v>
      </c>
      <c r="ABN256" s="28"/>
      <c r="ACF256" s="24" t="n">
        <v>1</v>
      </c>
      <c r="ACG256" s="24" t="n">
        <v>50</v>
      </c>
      <c r="ACH256" s="24" t="n">
        <f aca="false">4*3+3*4</f>
        <v>24</v>
      </c>
      <c r="ACI256" s="24" t="n">
        <f aca="false">0.07+0.25+0.11+0.65+1.3+15</f>
        <v>17.38</v>
      </c>
      <c r="ACJ256" s="24" t="n">
        <v>1</v>
      </c>
      <c r="ACK256" s="24" t="n">
        <v>40</v>
      </c>
      <c r="ACL256" s="24" t="n">
        <v>18</v>
      </c>
      <c r="ACM256" s="24" t="n">
        <f aca="false">0.87+0.17+0.08+0.34+1.73+0.43+0.87+0.07</f>
        <v>4.56</v>
      </c>
      <c r="ACN256" s="24" t="n">
        <v>1</v>
      </c>
      <c r="ACO256" s="24" t="n">
        <v>40</v>
      </c>
      <c r="ACP256" s="24" t="n">
        <v>2</v>
      </c>
      <c r="ACQ256" s="24" t="n">
        <v>0.12</v>
      </c>
      <c r="ACR256" s="24" t="n">
        <v>5</v>
      </c>
      <c r="ACS256" s="24" t="n">
        <v>50</v>
      </c>
      <c r="ACT256" s="24" t="n">
        <v>1</v>
      </c>
      <c r="ACU256" s="24" t="n">
        <v>0.22</v>
      </c>
      <c r="ACV256" s="24" t="n">
        <v>6</v>
      </c>
      <c r="ACW256" s="24" t="n">
        <v>40</v>
      </c>
      <c r="ACX256" s="24" t="n">
        <v>3</v>
      </c>
      <c r="ACY256" s="24" t="n">
        <v>0.16</v>
      </c>
      <c r="ACZ256" s="24" t="n">
        <v>6</v>
      </c>
      <c r="ADQ256" s="27" t="n">
        <v>0.68</v>
      </c>
      <c r="ADR256" s="27" t="n">
        <v>1</v>
      </c>
      <c r="ADS256" s="27" t="n">
        <v>1</v>
      </c>
      <c r="ADT256" s="27"/>
      <c r="ADU256" s="27" t="n">
        <f aca="false">0.34+0.91+1.8+0.08+0.3</f>
        <v>3.43</v>
      </c>
      <c r="ADV256" s="27"/>
      <c r="ADW256" s="27"/>
      <c r="ADX256" s="27"/>
      <c r="ADY256" s="27"/>
      <c r="ADZ256" s="27"/>
      <c r="AEA256" s="27"/>
      <c r="AEB256" s="27" t="n">
        <v>7.83</v>
      </c>
      <c r="AEC256" s="27" t="n">
        <v>8.68</v>
      </c>
      <c r="AED256" s="27"/>
      <c r="AEE256" s="27"/>
      <c r="AEF256" s="27" t="n">
        <v>0</v>
      </c>
      <c r="AEG256" s="27" t="n">
        <v>0</v>
      </c>
      <c r="AEH256" s="27" t="n">
        <v>0</v>
      </c>
      <c r="AEI256" s="24" t="n">
        <v>0</v>
      </c>
      <c r="AEJ256" s="24" t="s">
        <v>784</v>
      </c>
      <c r="AEK256" s="24" t="n">
        <v>38</v>
      </c>
      <c r="AEL256" s="27" t="n">
        <v>92.6</v>
      </c>
      <c r="AEM256" s="27" t="n">
        <v>83.4</v>
      </c>
      <c r="AEN256" s="27" t="n">
        <v>16.5</v>
      </c>
      <c r="AEO256" s="24" t="n">
        <v>77.87</v>
      </c>
      <c r="AEP256" s="24" t="n">
        <v>0</v>
      </c>
      <c r="AEQ256" s="24" t="n">
        <v>0</v>
      </c>
      <c r="AER256" s="24" t="n">
        <v>0</v>
      </c>
      <c r="AES256" s="24" t="n">
        <v>21.87</v>
      </c>
      <c r="AET256" s="24" t="n">
        <v>0</v>
      </c>
      <c r="AEU256" s="24" t="n">
        <v>0</v>
      </c>
      <c r="AEV256" s="24" t="n">
        <v>0</v>
      </c>
      <c r="AEW256" s="24" t="n">
        <v>0</v>
      </c>
      <c r="AEX256" s="24" t="n">
        <v>0</v>
      </c>
      <c r="AEY256" s="24" t="n">
        <v>0</v>
      </c>
      <c r="AEZ256" s="24" t="n">
        <v>0.29</v>
      </c>
      <c r="AFA256" s="24" t="n">
        <v>38.85</v>
      </c>
      <c r="AFB256" s="24" t="n">
        <v>37.36</v>
      </c>
      <c r="AFC256" s="24" t="n">
        <v>5.57</v>
      </c>
      <c r="AFD256" s="24" t="n">
        <v>0</v>
      </c>
      <c r="AFE256" s="24" t="n">
        <v>0</v>
      </c>
      <c r="AFF256" s="24" t="n">
        <v>0</v>
      </c>
      <c r="AFS256" s="24" t="n">
        <v>17.5</v>
      </c>
      <c r="AFT256" s="24" t="n">
        <v>0</v>
      </c>
      <c r="AGE256" s="28"/>
      <c r="AGW256" s="24" t="n">
        <v>1</v>
      </c>
      <c r="AGX256" s="24" t="n">
        <v>70</v>
      </c>
      <c r="AGY256" s="24" t="n">
        <f aca="false">8*3+3</f>
        <v>27</v>
      </c>
      <c r="AGZ256" s="24" t="n">
        <f aca="false">5.87*3+0.58</f>
        <v>18.19</v>
      </c>
      <c r="AHA256" s="24" t="n">
        <v>1</v>
      </c>
      <c r="AIH256" s="27" t="n">
        <v>3.74</v>
      </c>
      <c r="AII256" s="27" t="n">
        <v>1</v>
      </c>
      <c r="AIJ256" s="27" t="n">
        <v>1</v>
      </c>
      <c r="AIK256" s="27"/>
      <c r="AIL256" s="27" t="n">
        <f aca="false">1.65+2.04*2+0.36*2+0.54</f>
        <v>6.99</v>
      </c>
      <c r="AIM256" s="27" t="n">
        <v>2</v>
      </c>
      <c r="AIN256" s="27"/>
      <c r="AIO256" s="27" t="n">
        <v>0.91</v>
      </c>
      <c r="AIP256" s="27"/>
      <c r="AIQ256" s="27"/>
      <c r="AIR256" s="27"/>
      <c r="AIS256" s="27" t="n">
        <v>0.19</v>
      </c>
      <c r="AIT256" s="27" t="n">
        <v>0.19</v>
      </c>
      <c r="AIU256" s="27"/>
      <c r="AIV256" s="27"/>
      <c r="AIW256" s="27" t="n">
        <v>0</v>
      </c>
      <c r="AIX256" s="27" t="n">
        <v>0</v>
      </c>
      <c r="AIY256" s="27" t="n">
        <v>0</v>
      </c>
      <c r="AIZ256" s="24" t="n">
        <v>0</v>
      </c>
      <c r="AJA256" s="24" t="s">
        <v>785</v>
      </c>
      <c r="AJB256" s="24" t="n">
        <v>37.5</v>
      </c>
      <c r="AJC256" s="27" t="n">
        <v>94.9</v>
      </c>
      <c r="AJD256" s="27" t="n">
        <v>83.4</v>
      </c>
      <c r="AJE256" s="27" t="n">
        <v>16</v>
      </c>
      <c r="AJF256" s="24" t="n">
        <v>79.43</v>
      </c>
      <c r="AJG256" s="24" t="n">
        <v>0</v>
      </c>
      <c r="AJH256" s="24" t="n">
        <v>0</v>
      </c>
      <c r="AJI256" s="24" t="n">
        <v>0</v>
      </c>
      <c r="AJJ256" s="24" t="n">
        <v>20.31</v>
      </c>
      <c r="AJK256" s="24" t="n">
        <v>0</v>
      </c>
      <c r="AJL256" s="24" t="n">
        <v>0</v>
      </c>
      <c r="AJM256" s="24" t="n">
        <v>0</v>
      </c>
      <c r="AJN256" s="24" t="n">
        <v>0</v>
      </c>
      <c r="AJO256" s="24" t="n">
        <v>0</v>
      </c>
      <c r="AJP256" s="24" t="n">
        <v>0</v>
      </c>
      <c r="AJQ256" s="24" t="n">
        <v>0.29</v>
      </c>
      <c r="AJR256" s="24" t="n">
        <v>37.58</v>
      </c>
      <c r="AJS256" s="24" t="n">
        <v>37.76</v>
      </c>
      <c r="AJT256" s="24" t="n">
        <v>5.57</v>
      </c>
      <c r="AJU256" s="24" t="n">
        <v>0</v>
      </c>
      <c r="AJV256" s="24" t="n">
        <v>0</v>
      </c>
      <c r="AJW256" s="24" t="n">
        <v>0</v>
      </c>
      <c r="AKJ256" s="24" t="n">
        <v>17.5</v>
      </c>
      <c r="AKK256" s="24" t="n">
        <v>0</v>
      </c>
      <c r="AKV256" s="28"/>
      <c r="ALN256" s="24" t="n">
        <v>1</v>
      </c>
      <c r="ALO256" s="24" t="n">
        <v>71</v>
      </c>
      <c r="ALP256" s="24" t="n">
        <f aca="false">8*3+3</f>
        <v>27</v>
      </c>
      <c r="ALQ256" s="24" t="n">
        <f aca="false">5.87*3+0.58</f>
        <v>18.19</v>
      </c>
      <c r="ALR256" s="24" t="n">
        <v>2</v>
      </c>
    </row>
    <row r="257" customFormat="false" ht="13.8" hidden="false" customHeight="false" outlineLevel="0" collapsed="false">
      <c r="A257" s="22" t="s">
        <v>787</v>
      </c>
      <c r="B257" s="23" t="n">
        <v>42909</v>
      </c>
      <c r="C257" s="24" t="n">
        <v>2</v>
      </c>
      <c r="D257" s="25" t="n">
        <v>40728</v>
      </c>
      <c r="E257" s="23" t="n">
        <v>42824</v>
      </c>
      <c r="F257" s="14" t="n">
        <f aca="false">(B257-E257)/365.25</f>
        <v>0.232717316906229</v>
      </c>
      <c r="G257" s="14" t="n">
        <f aca="false">(B257-D257)/365.25</f>
        <v>5.97125256673511</v>
      </c>
      <c r="H257" s="26" t="s">
        <v>306</v>
      </c>
      <c r="I257" s="21" t="s">
        <v>777</v>
      </c>
      <c r="J257" s="21" t="s">
        <v>183</v>
      </c>
      <c r="K257" s="21" t="n">
        <v>8</v>
      </c>
      <c r="L257" s="26" t="n">
        <v>67</v>
      </c>
      <c r="M257" s="24" t="n">
        <v>1.72</v>
      </c>
      <c r="N257" s="27" t="n">
        <f aca="false">L257/(M257*M257)</f>
        <v>22.6473769605192</v>
      </c>
      <c r="O257" s="26" t="n">
        <v>0</v>
      </c>
      <c r="P257" s="26" t="n">
        <v>0</v>
      </c>
      <c r="Q257" s="26" t="n">
        <v>0</v>
      </c>
      <c r="R257" s="26" t="n">
        <v>0</v>
      </c>
      <c r="S257" s="26" t="n">
        <v>0</v>
      </c>
      <c r="T257" s="26" t="n">
        <v>0</v>
      </c>
      <c r="U257" s="19" t="n">
        <v>0</v>
      </c>
      <c r="V257" s="19" t="n">
        <v>0</v>
      </c>
      <c r="W257" s="26" t="n">
        <v>0</v>
      </c>
      <c r="X257" s="26" t="n">
        <v>0</v>
      </c>
      <c r="Y257" s="26" t="n">
        <v>1</v>
      </c>
      <c r="Z257" s="26" t="n">
        <v>2</v>
      </c>
      <c r="AA257" s="26" t="n">
        <v>120</v>
      </c>
      <c r="AB257" s="26" t="s">
        <v>747</v>
      </c>
      <c r="AC257" s="26" t="n">
        <v>0</v>
      </c>
      <c r="AD257" s="26" t="n">
        <v>0</v>
      </c>
      <c r="AE257" s="26" t="n">
        <v>0</v>
      </c>
      <c r="AF257" s="26" t="n">
        <v>0</v>
      </c>
      <c r="AG257" s="26" t="n">
        <v>0</v>
      </c>
      <c r="AH257" s="26" t="n">
        <v>0</v>
      </c>
      <c r="AI257" s="26" t="n">
        <v>0</v>
      </c>
      <c r="AJ257" s="26" t="n">
        <v>0</v>
      </c>
      <c r="AK257" s="26" t="n">
        <v>0</v>
      </c>
      <c r="AL257" s="26" t="n">
        <v>0</v>
      </c>
      <c r="AM257" s="26" t="n">
        <v>0</v>
      </c>
      <c r="AN257" s="26" t="n">
        <v>0</v>
      </c>
      <c r="AO257" s="26" t="n">
        <v>0</v>
      </c>
      <c r="AP257" s="26" t="n">
        <v>0</v>
      </c>
      <c r="AQ257" s="26" t="n">
        <v>0</v>
      </c>
      <c r="AR257" s="26" t="n">
        <v>0</v>
      </c>
      <c r="AS257" s="26" t="n">
        <v>3</v>
      </c>
      <c r="AT257" s="26" t="n">
        <v>0</v>
      </c>
      <c r="AU257" s="26" t="n">
        <v>3</v>
      </c>
      <c r="AV257" s="26" t="n">
        <v>6</v>
      </c>
      <c r="AW257" s="26" t="n">
        <v>4</v>
      </c>
      <c r="AX257" s="26" t="n">
        <v>0</v>
      </c>
      <c r="AY257" s="26" t="n">
        <v>0</v>
      </c>
      <c r="AZ257" s="26" t="n">
        <v>0</v>
      </c>
      <c r="BA257" s="26" t="n">
        <v>0</v>
      </c>
      <c r="BB257" s="26" t="n">
        <v>0</v>
      </c>
      <c r="BC257" s="26" t="n">
        <v>0</v>
      </c>
      <c r="BD257" s="26" t="n">
        <v>0</v>
      </c>
      <c r="BE257" s="26" t="n">
        <v>0</v>
      </c>
      <c r="BF257" s="26" t="n">
        <v>0</v>
      </c>
      <c r="BG257" s="26" t="n">
        <v>0</v>
      </c>
      <c r="BH257" s="26" t="n">
        <v>0</v>
      </c>
      <c r="BI257" s="26" t="n">
        <v>0</v>
      </c>
      <c r="BJ257" s="26" t="n">
        <v>1</v>
      </c>
      <c r="BK257" s="26" t="n">
        <v>0</v>
      </c>
      <c r="BL257" s="26" t="n">
        <v>1</v>
      </c>
      <c r="BM257" s="26" t="n">
        <v>6</v>
      </c>
      <c r="BN257" s="26" t="n">
        <v>0</v>
      </c>
      <c r="BO257" s="26" t="n">
        <v>0</v>
      </c>
      <c r="BP257" s="26" t="n">
        <v>0</v>
      </c>
      <c r="BQ257" s="26" t="n">
        <v>0</v>
      </c>
      <c r="BR257" s="26" t="n">
        <v>3</v>
      </c>
      <c r="BS257" s="26" t="n">
        <v>3</v>
      </c>
      <c r="BT257" s="26" t="n">
        <v>4</v>
      </c>
      <c r="BU257" s="26" t="n">
        <v>4</v>
      </c>
      <c r="BV257" s="26" t="n">
        <v>3</v>
      </c>
      <c r="BW257" s="26" t="n">
        <v>3</v>
      </c>
      <c r="BX257" s="26" t="n">
        <v>4</v>
      </c>
      <c r="BY257" s="26" t="n">
        <v>4</v>
      </c>
      <c r="BZ257" s="26" t="n">
        <v>5</v>
      </c>
      <c r="CA257" s="26" t="n">
        <v>5</v>
      </c>
      <c r="CB257" s="26" t="n">
        <v>5</v>
      </c>
      <c r="CC257" s="26" t="n">
        <v>5</v>
      </c>
      <c r="CD257" s="26" t="n">
        <v>3</v>
      </c>
      <c r="CE257" s="26" t="n">
        <v>4</v>
      </c>
      <c r="CF257" s="26" t="n">
        <v>4</v>
      </c>
      <c r="CG257" s="26" t="n">
        <v>4</v>
      </c>
      <c r="CH257" s="26" t="n">
        <v>4</v>
      </c>
      <c r="CI257" s="26" t="n">
        <v>4</v>
      </c>
      <c r="CJ257" s="26" t="n">
        <v>5</v>
      </c>
      <c r="CK257" s="26" t="n">
        <v>8</v>
      </c>
      <c r="CL257" s="24" t="s">
        <v>779</v>
      </c>
      <c r="CM257" s="24" t="n">
        <v>43</v>
      </c>
      <c r="CN257" s="27" t="n">
        <v>91.8</v>
      </c>
      <c r="CO257" s="27" t="n">
        <v>83.4</v>
      </c>
      <c r="CP257" s="27" t="n">
        <v>25.8</v>
      </c>
      <c r="CQ257" s="24" t="n">
        <v>68.3</v>
      </c>
      <c r="CR257" s="24" t="n">
        <v>0</v>
      </c>
      <c r="CS257" s="24" t="n">
        <v>0</v>
      </c>
      <c r="CT257" s="24" t="n">
        <v>0</v>
      </c>
      <c r="CU257" s="24" t="n">
        <v>31.54</v>
      </c>
      <c r="CV257" s="24" t="n">
        <v>0</v>
      </c>
      <c r="CW257" s="24" t="n">
        <v>0</v>
      </c>
      <c r="CX257" s="24" t="n">
        <v>0</v>
      </c>
      <c r="CY257" s="24" t="n">
        <v>0</v>
      </c>
      <c r="CZ257" s="24" t="n">
        <v>0</v>
      </c>
      <c r="DA257" s="24" t="n">
        <v>0</v>
      </c>
      <c r="DB257" s="24" t="n">
        <v>48.27</v>
      </c>
      <c r="DC257" s="24" t="n">
        <v>58.3</v>
      </c>
      <c r="DD257" s="24" t="n">
        <v>1.34</v>
      </c>
      <c r="DE257" s="24" t="n">
        <v>0</v>
      </c>
      <c r="DF257" s="24" t="n">
        <v>0.16</v>
      </c>
      <c r="DG257" s="24" t="n">
        <v>0</v>
      </c>
      <c r="DH257" s="24" t="n">
        <v>0</v>
      </c>
      <c r="DU257" s="24" t="n">
        <v>11</v>
      </c>
      <c r="DV257" s="24" t="n">
        <v>1</v>
      </c>
      <c r="DW257" s="24" t="n">
        <v>30</v>
      </c>
      <c r="DX257" s="24" t="n">
        <v>1</v>
      </c>
      <c r="DY257" s="24" t="n">
        <v>0.73</v>
      </c>
      <c r="DZ257" s="24" t="n">
        <v>1</v>
      </c>
      <c r="EG257" s="28"/>
      <c r="EY257" s="24" t="n">
        <v>1</v>
      </c>
      <c r="EZ257" s="24" t="n">
        <v>60</v>
      </c>
      <c r="FA257" s="24" t="n">
        <v>14</v>
      </c>
      <c r="FB257" s="24" t="n">
        <f aca="false">1.25+0.05+0.21+0.21+0.31+0.08</f>
        <v>2.11</v>
      </c>
      <c r="FC257" s="24" t="n">
        <v>6</v>
      </c>
      <c r="FD257" s="24" t="n">
        <v>50</v>
      </c>
      <c r="FE257" s="24" t="n">
        <v>8</v>
      </c>
      <c r="FF257" s="24" t="n">
        <f aca="false">2.94*2</f>
        <v>5.88</v>
      </c>
      <c r="FG257" s="24" t="n">
        <v>4</v>
      </c>
      <c r="GJ257" s="27" t="n">
        <v>2.45</v>
      </c>
      <c r="GK257" s="27" t="n">
        <v>1</v>
      </c>
      <c r="GL257" s="27" t="n">
        <v>1</v>
      </c>
      <c r="GM257" s="27"/>
      <c r="GN257" s="27" t="n">
        <f aca="false">0.03*2+0.16+0.46</f>
        <v>0.68</v>
      </c>
      <c r="GO257" s="27" t="n">
        <v>2</v>
      </c>
      <c r="GP257" s="27"/>
      <c r="GQ257" s="27" t="n">
        <f aca="false">6.12+0.54</f>
        <v>6.66</v>
      </c>
      <c r="GR257" s="27"/>
      <c r="GS257" s="27"/>
      <c r="GT257" s="27"/>
      <c r="GU257" s="27" t="n">
        <v>3.68</v>
      </c>
      <c r="GV257" s="27" t="n">
        <v>1.63</v>
      </c>
      <c r="GW257" s="27"/>
      <c r="GX257" s="27"/>
      <c r="GY257" s="27" t="n">
        <v>0</v>
      </c>
      <c r="GZ257" s="27" t="n">
        <v>0</v>
      </c>
      <c r="HA257" s="27" t="n">
        <v>0</v>
      </c>
      <c r="HB257" s="24" t="n">
        <v>0</v>
      </c>
      <c r="HC257" s="24" t="s">
        <v>780</v>
      </c>
      <c r="HD257" s="24" t="n">
        <v>46</v>
      </c>
      <c r="HE257" s="27" t="n">
        <v>101.6</v>
      </c>
      <c r="HF257" s="27" t="n">
        <v>83.4</v>
      </c>
      <c r="HG257" s="27" t="n">
        <v>27.8</v>
      </c>
      <c r="HH257" s="24" t="n">
        <v>66.04</v>
      </c>
      <c r="HI257" s="24" t="n">
        <v>0</v>
      </c>
      <c r="HJ257" s="24" t="n">
        <v>0</v>
      </c>
      <c r="HK257" s="24" t="n">
        <v>0</v>
      </c>
      <c r="HL257" s="24" t="n">
        <v>35.15</v>
      </c>
      <c r="HM257" s="24" t="n">
        <v>0</v>
      </c>
      <c r="HN257" s="24" t="n">
        <v>0</v>
      </c>
      <c r="HO257" s="24" t="n">
        <v>0</v>
      </c>
      <c r="HP257" s="24" t="n">
        <v>0</v>
      </c>
      <c r="HQ257" s="24" t="n">
        <v>0</v>
      </c>
      <c r="HR257" s="24" t="n">
        <v>0</v>
      </c>
      <c r="HS257" s="24" t="n">
        <v>43.27</v>
      </c>
      <c r="HT257" s="24" t="n">
        <v>65.02</v>
      </c>
      <c r="HU257" s="24" t="n">
        <v>6.59</v>
      </c>
      <c r="HV257" s="24" t="n">
        <v>0.88</v>
      </c>
      <c r="HW257" s="24" t="n">
        <v>0.16</v>
      </c>
      <c r="HX257" s="24" t="n">
        <v>0</v>
      </c>
      <c r="HY257" s="24" t="n">
        <v>0</v>
      </c>
      <c r="IL257" s="24" t="n">
        <v>14.9</v>
      </c>
      <c r="IM257" s="24" t="n">
        <v>1</v>
      </c>
      <c r="IN257" s="24" t="n">
        <v>30</v>
      </c>
      <c r="IO257" s="24" t="n">
        <v>1</v>
      </c>
      <c r="IP257" s="24" t="n">
        <v>0.73</v>
      </c>
      <c r="IQ257" s="24" t="n">
        <v>1</v>
      </c>
      <c r="IR257" s="24" t="n">
        <v>47</v>
      </c>
      <c r="IS257" s="24" t="n">
        <v>1</v>
      </c>
      <c r="IT257" s="24" t="n">
        <v>0.11</v>
      </c>
      <c r="IU257" s="24" t="n">
        <v>3</v>
      </c>
      <c r="IX257" s="28"/>
      <c r="JP257" s="24" t="n">
        <v>1</v>
      </c>
      <c r="JQ257" s="24" t="n">
        <v>60</v>
      </c>
      <c r="JR257" s="24" t="n">
        <v>4</v>
      </c>
      <c r="JS257" s="24" t="n">
        <v>1.68</v>
      </c>
      <c r="JT257" s="24" t="n">
        <v>6</v>
      </c>
      <c r="JU257" s="24" t="n">
        <v>50</v>
      </c>
      <c r="JV257" s="24" t="n">
        <v>8</v>
      </c>
      <c r="JW257" s="24" t="n">
        <f aca="false">2.94*2</f>
        <v>5.88</v>
      </c>
      <c r="JX257" s="24" t="n">
        <v>4</v>
      </c>
      <c r="JY257" s="24" t="n">
        <v>50</v>
      </c>
      <c r="JZ257" s="24" t="n">
        <v>4</v>
      </c>
      <c r="KA257" s="24" t="n">
        <v>0.76</v>
      </c>
      <c r="KB257" s="24" t="n">
        <v>6</v>
      </c>
      <c r="KC257" s="24" t="n">
        <v>80</v>
      </c>
      <c r="KD257" s="24" t="n">
        <v>8</v>
      </c>
      <c r="KE257" s="24" t="n">
        <f aca="false">0.31+0.21</f>
        <v>0.52</v>
      </c>
      <c r="KF257" s="24" t="n">
        <v>6</v>
      </c>
      <c r="LA257" s="27" t="n">
        <v>2.05</v>
      </c>
      <c r="LB257" s="27" t="n">
        <v>1</v>
      </c>
      <c r="LC257" s="27" t="n">
        <v>1</v>
      </c>
      <c r="LD257" s="27"/>
      <c r="LE257" s="27" t="n">
        <f aca="false">6.12+0.54+0.36</f>
        <v>7.02</v>
      </c>
      <c r="LF257" s="27" t="n">
        <v>2</v>
      </c>
      <c r="LG257" s="27"/>
      <c r="LH257" s="27" t="n">
        <v>6.01</v>
      </c>
      <c r="LI257" s="27"/>
      <c r="LJ257" s="27"/>
      <c r="LK257" s="27"/>
      <c r="LL257" s="27" t="n">
        <v>0.86</v>
      </c>
      <c r="LM257" s="27" t="n">
        <v>0.85</v>
      </c>
      <c r="LN257" s="27"/>
      <c r="LO257" s="27"/>
      <c r="LP257" s="27" t="n">
        <v>0</v>
      </c>
      <c r="LQ257" s="27" t="n">
        <v>0</v>
      </c>
      <c r="LR257" s="27" t="n">
        <v>0</v>
      </c>
      <c r="LS257" s="24" t="n">
        <v>0</v>
      </c>
      <c r="LT257" s="24" t="n">
        <v>100</v>
      </c>
      <c r="LU257" s="24" t="n">
        <v>29.5</v>
      </c>
      <c r="LV257" s="27" t="n">
        <v>94.9</v>
      </c>
      <c r="LW257" s="27" t="n">
        <v>83.4</v>
      </c>
      <c r="LX257" s="27" t="n">
        <v>17.6</v>
      </c>
      <c r="LY257" s="24" t="n">
        <v>85.6</v>
      </c>
      <c r="LZ257" s="24" t="n">
        <v>0</v>
      </c>
      <c r="MA257" s="24" t="n">
        <v>0</v>
      </c>
      <c r="MB257" s="24" t="n">
        <v>0</v>
      </c>
      <c r="MC257" s="24" t="n">
        <v>14.4</v>
      </c>
      <c r="MD257" s="24" t="n">
        <v>0</v>
      </c>
      <c r="ME257" s="24" t="n">
        <v>0</v>
      </c>
      <c r="MF257" s="24" t="n">
        <v>0</v>
      </c>
      <c r="MG257" s="24" t="n">
        <v>0</v>
      </c>
      <c r="MH257" s="24" t="n">
        <v>0</v>
      </c>
      <c r="MI257" s="24" t="n">
        <v>0</v>
      </c>
      <c r="MJ257" s="24" t="n">
        <v>1.95</v>
      </c>
      <c r="MK257" s="24" t="n">
        <v>9.45</v>
      </c>
      <c r="ML257" s="24" t="n">
        <v>11.24</v>
      </c>
      <c r="MM257" s="24" t="n">
        <v>36.94</v>
      </c>
      <c r="MN257" s="24" t="n">
        <v>0</v>
      </c>
      <c r="MO257" s="24" t="n">
        <v>11.5</v>
      </c>
      <c r="MP257" s="24" t="n">
        <v>1</v>
      </c>
      <c r="MQ257" s="24" t="n">
        <v>5</v>
      </c>
      <c r="MS257" s="24" t="n">
        <v>4</v>
      </c>
      <c r="NC257" s="24" t="n">
        <v>0</v>
      </c>
      <c r="ND257" s="24" t="n">
        <v>0</v>
      </c>
      <c r="NO257" s="28"/>
      <c r="OG257" s="24" t="n">
        <v>0</v>
      </c>
      <c r="PR257" s="27" t="n">
        <v>0.2</v>
      </c>
      <c r="PS257" s="27" t="n">
        <v>1</v>
      </c>
      <c r="PT257" s="27" t="n">
        <v>1</v>
      </c>
      <c r="PU257" s="27"/>
      <c r="PV257" s="27" t="n">
        <f aca="false">0.14+0.23+0.07+0.21</f>
        <v>0.65</v>
      </c>
      <c r="PW257" s="27"/>
      <c r="PX257" s="27"/>
      <c r="PY257" s="27"/>
      <c r="PZ257" s="27"/>
      <c r="QA257" s="27"/>
      <c r="QB257" s="27"/>
      <c r="QC257" s="27" t="n">
        <v>0.23</v>
      </c>
      <c r="QD257" s="27" t="n">
        <v>0.23</v>
      </c>
      <c r="QE257" s="27"/>
      <c r="QF257" s="27"/>
      <c r="QG257" s="27" t="n">
        <v>0</v>
      </c>
      <c r="QH257" s="27" t="n">
        <v>0</v>
      </c>
      <c r="QI257" s="27" t="n">
        <v>0</v>
      </c>
      <c r="QJ257" s="24" t="n">
        <v>0</v>
      </c>
      <c r="QK257" s="24" t="s">
        <v>781</v>
      </c>
      <c r="QL257" s="24" t="n">
        <v>47.5</v>
      </c>
      <c r="QM257" s="27" t="n">
        <v>49.3</v>
      </c>
      <c r="QN257" s="27" t="n">
        <v>83.4</v>
      </c>
      <c r="QO257" s="27" t="n">
        <v>35.7</v>
      </c>
      <c r="QP257" s="24" t="n">
        <v>66.48</v>
      </c>
      <c r="QQ257" s="24" t="n">
        <v>0</v>
      </c>
      <c r="QR257" s="24" t="n">
        <v>6.11</v>
      </c>
      <c r="QS257" s="24" t="n">
        <v>0</v>
      </c>
      <c r="QT257" s="24" t="n">
        <v>9.56</v>
      </c>
      <c r="QU257" s="24" t="n">
        <v>0</v>
      </c>
      <c r="QV257" s="24" t="n">
        <v>6.1</v>
      </c>
      <c r="QW257" s="24" t="n">
        <v>3.05</v>
      </c>
      <c r="QX257" s="24" t="n">
        <v>0</v>
      </c>
      <c r="QY257" s="24" t="n">
        <v>0</v>
      </c>
      <c r="QZ257" s="24" t="n">
        <v>0</v>
      </c>
      <c r="RA257" s="24" t="n">
        <v>0</v>
      </c>
      <c r="RB257" s="24" t="n">
        <v>17.78</v>
      </c>
      <c r="RC257" s="24" t="n">
        <v>9.13</v>
      </c>
      <c r="RD257" s="24" t="n">
        <v>2.7</v>
      </c>
      <c r="RE257" s="24" t="n">
        <v>11.73</v>
      </c>
      <c r="RF257" s="24" t="n">
        <v>0</v>
      </c>
      <c r="RG257" s="24" t="n">
        <v>0</v>
      </c>
      <c r="RT257" s="24" t="n">
        <v>5.7</v>
      </c>
      <c r="RU257" s="24" t="n">
        <v>1</v>
      </c>
      <c r="RV257" s="24" t="n">
        <v>30</v>
      </c>
      <c r="RW257" s="24" t="n">
        <v>10</v>
      </c>
      <c r="RX257" s="24" t="n">
        <f aca="false">0.15*2+0.16*8</f>
        <v>1.58</v>
      </c>
      <c r="RY257" s="24" t="n">
        <v>3</v>
      </c>
      <c r="SF257" s="28"/>
      <c r="SX257" s="24" t="n">
        <v>1</v>
      </c>
      <c r="SY257" s="24" t="n">
        <v>40</v>
      </c>
      <c r="SZ257" s="24" t="n">
        <v>4</v>
      </c>
      <c r="TA257" s="24" t="n">
        <v>0.6</v>
      </c>
      <c r="TB257" s="24" t="n">
        <v>2</v>
      </c>
      <c r="UI257" s="27" t="n">
        <v>0.53</v>
      </c>
      <c r="UJ257" s="27" t="n">
        <v>1</v>
      </c>
      <c r="UK257" s="27" t="n">
        <v>1</v>
      </c>
      <c r="UL257" s="27"/>
      <c r="UM257" s="27" t="n">
        <f aca="false">0.64*4+0.08</f>
        <v>2.64</v>
      </c>
      <c r="UN257" s="27"/>
      <c r="UO257" s="27"/>
      <c r="UP257" s="27"/>
      <c r="UQ257" s="27"/>
      <c r="UR257" s="27"/>
      <c r="US257" s="27"/>
      <c r="UT257" s="27" t="n">
        <v>5.06</v>
      </c>
      <c r="UU257" s="27" t="n">
        <v>1.58</v>
      </c>
      <c r="UV257" s="27"/>
      <c r="UW257" s="27"/>
      <c r="UX257" s="27" t="n">
        <v>0</v>
      </c>
      <c r="UY257" s="27" t="n">
        <v>0</v>
      </c>
      <c r="UZ257" s="27" t="n">
        <v>0</v>
      </c>
      <c r="VA257" s="24" t="n">
        <v>0</v>
      </c>
      <c r="VB257" s="24" t="s">
        <v>782</v>
      </c>
      <c r="VC257" s="24" t="n">
        <v>71</v>
      </c>
      <c r="VD257" s="27" t="n">
        <v>92</v>
      </c>
      <c r="VE257" s="27" t="n">
        <v>166.8</v>
      </c>
      <c r="VF257" s="27" t="n">
        <v>65</v>
      </c>
      <c r="VG257" s="24" t="n">
        <v>28.78</v>
      </c>
      <c r="VH257" s="24" t="n">
        <v>0</v>
      </c>
      <c r="VI257" s="24" t="n">
        <v>0</v>
      </c>
      <c r="VJ257" s="24" t="n">
        <v>0</v>
      </c>
      <c r="VK257" s="24" t="n">
        <v>2.5</v>
      </c>
      <c r="VL257" s="24" t="n">
        <v>0</v>
      </c>
      <c r="VM257" s="24" t="n">
        <v>8.54</v>
      </c>
      <c r="VN257" s="24" t="n">
        <v>0</v>
      </c>
      <c r="VO257" s="24" t="n">
        <v>0</v>
      </c>
      <c r="VP257" s="24" t="n">
        <v>2.76</v>
      </c>
      <c r="VQ257" s="24" t="n">
        <v>0</v>
      </c>
      <c r="VR257" s="24" t="n">
        <v>9.52</v>
      </c>
      <c r="VS257" s="24" t="n">
        <v>36.91</v>
      </c>
      <c r="VT257" s="24" t="n">
        <v>26.15</v>
      </c>
      <c r="VU257" s="24" t="n">
        <v>1.97</v>
      </c>
      <c r="VV257" s="24" t="n">
        <v>60.18</v>
      </c>
      <c r="VW257" s="24" t="n">
        <v>0</v>
      </c>
      <c r="VX257" s="24" t="n">
        <v>0</v>
      </c>
      <c r="WK257" s="24" t="n">
        <v>0.1</v>
      </c>
      <c r="WL257" s="24" t="n">
        <v>0</v>
      </c>
      <c r="WW257" s="28"/>
      <c r="XO257" s="24" t="n">
        <v>1</v>
      </c>
      <c r="XP257" s="24" t="n">
        <v>50</v>
      </c>
      <c r="XQ257" s="24" t="n">
        <v>4</v>
      </c>
      <c r="XR257" s="24" t="n">
        <f aca="false">0.37*4</f>
        <v>1.48</v>
      </c>
      <c r="XS257" s="24" t="n">
        <v>3</v>
      </c>
      <c r="XT257" s="24" t="n">
        <v>40</v>
      </c>
      <c r="XU257" s="24" t="n">
        <v>6</v>
      </c>
      <c r="XV257" s="24" t="n">
        <v>2.2</v>
      </c>
      <c r="XW257" s="24" t="n">
        <v>3</v>
      </c>
      <c r="XX257" s="24" t="n">
        <v>50</v>
      </c>
      <c r="XY257" s="24" t="n">
        <v>1</v>
      </c>
      <c r="XZ257" s="24" t="n">
        <v>0.06</v>
      </c>
      <c r="YA257" s="24" t="n">
        <v>1</v>
      </c>
      <c r="YB257" s="24" t="n">
        <v>60</v>
      </c>
      <c r="YC257" s="24" t="n">
        <v>3</v>
      </c>
      <c r="YD257" s="24" t="n">
        <v>0.19</v>
      </c>
      <c r="YE257" s="24" t="n">
        <v>4</v>
      </c>
      <c r="YZ257" s="27" t="n">
        <v>1.11</v>
      </c>
      <c r="ZA257" s="27" t="n">
        <v>1</v>
      </c>
      <c r="ZB257" s="27" t="n">
        <v>1</v>
      </c>
      <c r="ZC257" s="27"/>
      <c r="ZD257" s="27" t="n">
        <f aca="false">0.51*2+0.09+0.15*2+1.65+0.18+0.72</f>
        <v>3.96</v>
      </c>
      <c r="ZE257" s="27"/>
      <c r="ZF257" s="27"/>
      <c r="ZG257" s="27"/>
      <c r="ZH257" s="27"/>
      <c r="ZI257" s="27"/>
      <c r="ZJ257" s="27"/>
      <c r="ZK257" s="27" t="n">
        <v>1.95</v>
      </c>
      <c r="ZL257" s="27" t="n">
        <v>1.96</v>
      </c>
      <c r="ZM257" s="27"/>
      <c r="ZN257" s="27"/>
      <c r="ZO257" s="27" t="n">
        <v>2.88</v>
      </c>
      <c r="ZP257" s="27" t="n">
        <v>0</v>
      </c>
      <c r="ZQ257" s="27" t="n">
        <v>0</v>
      </c>
      <c r="ZR257" s="24" t="n">
        <v>2</v>
      </c>
      <c r="ZS257" s="24" t="s">
        <v>783</v>
      </c>
      <c r="ZT257" s="24" t="n">
        <v>35</v>
      </c>
      <c r="ZU257" s="27" t="n">
        <v>89.3</v>
      </c>
      <c r="ZV257" s="27" t="n">
        <v>83.4</v>
      </c>
      <c r="ZW257" s="27" t="n">
        <v>12.6</v>
      </c>
      <c r="ZX257" s="24" t="n">
        <v>87.93</v>
      </c>
      <c r="ZY257" s="24" t="n">
        <v>0</v>
      </c>
      <c r="ZZ257" s="24" t="n">
        <v>0</v>
      </c>
      <c r="AAA257" s="24" t="n">
        <v>1.49</v>
      </c>
      <c r="AAB257" s="24" t="n">
        <v>10.58</v>
      </c>
      <c r="AAC257" s="24" t="n">
        <v>0</v>
      </c>
      <c r="AAD257" s="24" t="n">
        <v>0</v>
      </c>
      <c r="AAE257" s="24" t="n">
        <v>0</v>
      </c>
      <c r="AAF257" s="24" t="n">
        <v>0</v>
      </c>
      <c r="AAG257" s="24" t="n">
        <v>0</v>
      </c>
      <c r="AAH257" s="24" t="n">
        <v>0</v>
      </c>
      <c r="AAI257" s="24" t="n">
        <v>0.17</v>
      </c>
      <c r="AAJ257" s="24" t="n">
        <v>38.78</v>
      </c>
      <c r="AAK257" s="24" t="n">
        <v>29.47</v>
      </c>
      <c r="AAL257" s="24" t="n">
        <v>0</v>
      </c>
      <c r="AAM257" s="24" t="n">
        <v>0</v>
      </c>
      <c r="AAN257" s="24" t="n">
        <v>4</v>
      </c>
      <c r="AAO257" s="24" t="n">
        <v>1</v>
      </c>
      <c r="AAP257" s="24" t="n">
        <v>3</v>
      </c>
      <c r="AAR257" s="24" t="n">
        <v>4</v>
      </c>
      <c r="ABB257" s="24" t="n">
        <v>9.7</v>
      </c>
      <c r="ABC257" s="24" t="n">
        <v>1</v>
      </c>
      <c r="ABD257" s="24" t="n">
        <v>68</v>
      </c>
      <c r="ABE257" s="24" t="n">
        <v>1</v>
      </c>
      <c r="ABF257" s="24" t="n">
        <v>0.02</v>
      </c>
      <c r="ABG257" s="24" t="n">
        <v>1</v>
      </c>
      <c r="ABH257" s="24" t="n">
        <v>35</v>
      </c>
      <c r="ABI257" s="24" t="n">
        <v>10</v>
      </c>
      <c r="ABJ257" s="24" t="n">
        <f aca="false">0.22*2+0.43*2+0.65+0.04+0.02+0.08</f>
        <v>2.09</v>
      </c>
      <c r="ABK257" s="24" t="n">
        <v>3</v>
      </c>
      <c r="ABN257" s="28"/>
      <c r="ACF257" s="24" t="n">
        <v>1</v>
      </c>
      <c r="ACG257" s="24" t="n">
        <v>50</v>
      </c>
      <c r="ACH257" s="24" t="n">
        <f aca="false">4*3+3*4</f>
        <v>24</v>
      </c>
      <c r="ACI257" s="24" t="n">
        <f aca="false">0.07+0.25+0.11+0.65+1.3+15</f>
        <v>17.38</v>
      </c>
      <c r="ACJ257" s="24" t="n">
        <v>1</v>
      </c>
      <c r="ACK257" s="24" t="n">
        <v>40</v>
      </c>
      <c r="ACL257" s="24" t="n">
        <v>18</v>
      </c>
      <c r="ACM257" s="24" t="n">
        <f aca="false">0.87+0.17+0.08+0.34+1.73+0.43+0.87+0.07</f>
        <v>4.56</v>
      </c>
      <c r="ACN257" s="24" t="n">
        <v>1</v>
      </c>
      <c r="ACO257" s="24" t="n">
        <v>40</v>
      </c>
      <c r="ACP257" s="24" t="n">
        <v>2</v>
      </c>
      <c r="ACQ257" s="24" t="n">
        <v>0.12</v>
      </c>
      <c r="ACR257" s="24" t="n">
        <v>5</v>
      </c>
      <c r="ACS257" s="24" t="n">
        <v>50</v>
      </c>
      <c r="ACT257" s="24" t="n">
        <v>1</v>
      </c>
      <c r="ACU257" s="24" t="n">
        <v>0.22</v>
      </c>
      <c r="ACV257" s="24" t="n">
        <v>6</v>
      </c>
      <c r="ACW257" s="24" t="n">
        <v>40</v>
      </c>
      <c r="ACX257" s="24" t="n">
        <v>3</v>
      </c>
      <c r="ACY257" s="24" t="n">
        <v>0.16</v>
      </c>
      <c r="ACZ257" s="24" t="n">
        <v>6</v>
      </c>
      <c r="ADQ257" s="27" t="n">
        <v>0.68</v>
      </c>
      <c r="ADR257" s="27" t="n">
        <v>1</v>
      </c>
      <c r="ADS257" s="27" t="n">
        <v>1</v>
      </c>
      <c r="ADT257" s="27"/>
      <c r="ADU257" s="27" t="n">
        <f aca="false">0.34+0.91+1.8+0.08+0.3</f>
        <v>3.43</v>
      </c>
      <c r="ADV257" s="27"/>
      <c r="ADW257" s="27"/>
      <c r="ADX257" s="27"/>
      <c r="ADY257" s="27"/>
      <c r="ADZ257" s="27"/>
      <c r="AEA257" s="27"/>
      <c r="AEB257" s="27" t="n">
        <v>7.83</v>
      </c>
      <c r="AEC257" s="27" t="n">
        <v>8.68</v>
      </c>
      <c r="AED257" s="27"/>
      <c r="AEE257" s="27"/>
      <c r="AEF257" s="27" t="n">
        <v>0</v>
      </c>
      <c r="AEG257" s="27" t="n">
        <v>0</v>
      </c>
      <c r="AEH257" s="27" t="n">
        <v>0</v>
      </c>
      <c r="AEI257" s="24" t="n">
        <v>0</v>
      </c>
      <c r="AEJ257" s="24" t="s">
        <v>784</v>
      </c>
      <c r="AEK257" s="24" t="n">
        <v>38</v>
      </c>
      <c r="AEL257" s="27" t="n">
        <v>92.6</v>
      </c>
      <c r="AEM257" s="27" t="n">
        <v>83.4</v>
      </c>
      <c r="AEN257" s="27" t="n">
        <v>16.5</v>
      </c>
      <c r="AEO257" s="24" t="n">
        <v>77.87</v>
      </c>
      <c r="AEP257" s="24" t="n">
        <v>0</v>
      </c>
      <c r="AEQ257" s="24" t="n">
        <v>0</v>
      </c>
      <c r="AER257" s="24" t="n">
        <v>0</v>
      </c>
      <c r="AES257" s="24" t="n">
        <v>21.87</v>
      </c>
      <c r="AET257" s="24" t="n">
        <v>0</v>
      </c>
      <c r="AEU257" s="24" t="n">
        <v>0</v>
      </c>
      <c r="AEV257" s="24" t="n">
        <v>0</v>
      </c>
      <c r="AEW257" s="24" t="n">
        <v>0</v>
      </c>
      <c r="AEX257" s="24" t="n">
        <v>0</v>
      </c>
      <c r="AEY257" s="24" t="n">
        <v>0</v>
      </c>
      <c r="AEZ257" s="24" t="n">
        <v>0.29</v>
      </c>
      <c r="AFA257" s="24" t="n">
        <v>38.85</v>
      </c>
      <c r="AFB257" s="24" t="n">
        <v>37.36</v>
      </c>
      <c r="AFC257" s="24" t="n">
        <v>5.57</v>
      </c>
      <c r="AFD257" s="24" t="n">
        <v>0</v>
      </c>
      <c r="AFE257" s="24" t="n">
        <v>0</v>
      </c>
      <c r="AFF257" s="24" t="n">
        <v>0</v>
      </c>
      <c r="AFS257" s="24" t="n">
        <v>17.5</v>
      </c>
      <c r="AFT257" s="24" t="n">
        <v>0</v>
      </c>
      <c r="AGE257" s="28"/>
      <c r="AGW257" s="24" t="n">
        <v>1</v>
      </c>
      <c r="AGX257" s="24" t="n">
        <v>70</v>
      </c>
      <c r="AGY257" s="24" t="n">
        <f aca="false">8*3+3</f>
        <v>27</v>
      </c>
      <c r="AGZ257" s="24" t="n">
        <f aca="false">5.87*3+0.58</f>
        <v>18.19</v>
      </c>
      <c r="AHA257" s="24" t="n">
        <v>1</v>
      </c>
      <c r="AIH257" s="27" t="n">
        <v>3.74</v>
      </c>
      <c r="AII257" s="27" t="n">
        <v>1</v>
      </c>
      <c r="AIJ257" s="27" t="n">
        <v>1</v>
      </c>
      <c r="AIK257" s="27"/>
      <c r="AIL257" s="27" t="n">
        <f aca="false">1.65+2.04*2+0.36*2+0.54</f>
        <v>6.99</v>
      </c>
      <c r="AIM257" s="27" t="n">
        <v>2</v>
      </c>
      <c r="AIN257" s="27"/>
      <c r="AIO257" s="27" t="n">
        <v>0.91</v>
      </c>
      <c r="AIP257" s="27"/>
      <c r="AIQ257" s="27"/>
      <c r="AIR257" s="27"/>
      <c r="AIS257" s="27" t="n">
        <v>0.19</v>
      </c>
      <c r="AIT257" s="27" t="n">
        <v>0.19</v>
      </c>
      <c r="AIU257" s="27"/>
      <c r="AIV257" s="27"/>
      <c r="AIW257" s="27" t="n">
        <v>0</v>
      </c>
      <c r="AIX257" s="27" t="n">
        <v>0</v>
      </c>
      <c r="AIY257" s="27" t="n">
        <v>0</v>
      </c>
      <c r="AIZ257" s="24" t="n">
        <v>0</v>
      </c>
      <c r="AJA257" s="24" t="s">
        <v>785</v>
      </c>
      <c r="AJB257" s="24" t="n">
        <v>37.5</v>
      </c>
      <c r="AJC257" s="27" t="n">
        <v>94.9</v>
      </c>
      <c r="AJD257" s="27" t="n">
        <v>83.4</v>
      </c>
      <c r="AJE257" s="27" t="n">
        <v>16</v>
      </c>
      <c r="AJF257" s="24" t="n">
        <v>79.43</v>
      </c>
      <c r="AJG257" s="24" t="n">
        <v>0</v>
      </c>
      <c r="AJH257" s="24" t="n">
        <v>0</v>
      </c>
      <c r="AJI257" s="24" t="n">
        <v>0</v>
      </c>
      <c r="AJJ257" s="24" t="n">
        <v>20.31</v>
      </c>
      <c r="AJK257" s="24" t="n">
        <v>0</v>
      </c>
      <c r="AJL257" s="24" t="n">
        <v>0</v>
      </c>
      <c r="AJM257" s="24" t="n">
        <v>0</v>
      </c>
      <c r="AJN257" s="24" t="n">
        <v>0</v>
      </c>
      <c r="AJO257" s="24" t="n">
        <v>0</v>
      </c>
      <c r="AJP257" s="24" t="n">
        <v>0</v>
      </c>
      <c r="AJQ257" s="24" t="n">
        <v>0.29</v>
      </c>
      <c r="AJR257" s="24" t="n">
        <v>37.58</v>
      </c>
      <c r="AJS257" s="24" t="n">
        <v>37.76</v>
      </c>
      <c r="AJT257" s="24" t="n">
        <v>5.57</v>
      </c>
      <c r="AJU257" s="24" t="n">
        <v>0</v>
      </c>
      <c r="AJV257" s="24" t="n">
        <v>0</v>
      </c>
      <c r="AJW257" s="24" t="n">
        <v>0</v>
      </c>
      <c r="AKJ257" s="24" t="n">
        <v>17.5</v>
      </c>
      <c r="AKK257" s="24" t="n">
        <v>0</v>
      </c>
      <c r="AKV257" s="28"/>
      <c r="ALN257" s="24" t="n">
        <v>1</v>
      </c>
      <c r="ALO257" s="24" t="n">
        <v>71</v>
      </c>
      <c r="ALP257" s="24" t="n">
        <f aca="false">8*3+3</f>
        <v>27</v>
      </c>
      <c r="ALQ257" s="24" t="n">
        <f aca="false">5.87*3+0.58</f>
        <v>18.19</v>
      </c>
      <c r="ALR257" s="24" t="n">
        <v>2</v>
      </c>
    </row>
    <row r="258" customFormat="false" ht="13.8" hidden="false" customHeight="false" outlineLevel="0" collapsed="false">
      <c r="A258" s="22" t="s">
        <v>788</v>
      </c>
      <c r="B258" s="23" t="n">
        <v>42909</v>
      </c>
      <c r="C258" s="24" t="n">
        <v>2</v>
      </c>
      <c r="D258" s="25" t="n">
        <v>40693</v>
      </c>
      <c r="E258" s="23" t="n">
        <v>32132</v>
      </c>
      <c r="F258" s="14" t="n">
        <f aca="false">(B258-E258)/365.25</f>
        <v>29.5058179329227</v>
      </c>
      <c r="G258" s="14" t="n">
        <f aca="false">(B258-D258)/365.25</f>
        <v>6.06707734428474</v>
      </c>
      <c r="H258" s="26" t="s">
        <v>306</v>
      </c>
      <c r="I258" s="21" t="s">
        <v>777</v>
      </c>
      <c r="J258" s="21" t="s">
        <v>183</v>
      </c>
      <c r="K258" s="21" t="n">
        <v>8</v>
      </c>
      <c r="L258" s="26" t="n">
        <v>90</v>
      </c>
      <c r="M258" s="24" t="n">
        <v>1.67</v>
      </c>
      <c r="N258" s="27" t="n">
        <f aca="false">L258/(M258*M258)</f>
        <v>32.2707877657858</v>
      </c>
      <c r="O258" s="26" t="n">
        <v>0</v>
      </c>
      <c r="P258" s="26" t="n">
        <v>0</v>
      </c>
      <c r="Q258" s="26" t="n">
        <v>0</v>
      </c>
      <c r="R258" s="26" t="n">
        <v>0</v>
      </c>
      <c r="S258" s="26" t="n">
        <v>0</v>
      </c>
      <c r="T258" s="26" t="n">
        <v>0</v>
      </c>
      <c r="U258" s="19" t="n">
        <v>0</v>
      </c>
      <c r="V258" s="19" t="n">
        <v>0</v>
      </c>
      <c r="W258" s="26" t="n">
        <v>1</v>
      </c>
      <c r="X258" s="26" t="n">
        <v>1</v>
      </c>
      <c r="Y258" s="26" t="n">
        <v>0</v>
      </c>
      <c r="Z258" s="26" t="n">
        <v>0</v>
      </c>
      <c r="AA258" s="26" t="n">
        <v>0</v>
      </c>
      <c r="AB258" s="26" t="n">
        <v>0</v>
      </c>
      <c r="AC258" s="26" t="n">
        <v>0</v>
      </c>
      <c r="AD258" s="26" t="n">
        <v>0</v>
      </c>
      <c r="AE258" s="26" t="n">
        <v>1</v>
      </c>
      <c r="AF258" s="26" t="n">
        <v>0</v>
      </c>
      <c r="AG258" s="26" t="n">
        <v>0</v>
      </c>
      <c r="AH258" s="26" t="n">
        <v>0</v>
      </c>
      <c r="AI258" s="26" t="n">
        <v>3</v>
      </c>
      <c r="AJ258" s="26" t="n">
        <v>3</v>
      </c>
      <c r="AK258" s="26" t="n">
        <v>3</v>
      </c>
      <c r="AL258" s="26" t="n">
        <v>6</v>
      </c>
      <c r="AM258" s="26" t="n">
        <v>6</v>
      </c>
      <c r="AN258" s="26" t="n">
        <v>3</v>
      </c>
      <c r="AO258" s="26" t="n">
        <v>3</v>
      </c>
      <c r="AP258" s="26" t="n">
        <v>3</v>
      </c>
      <c r="AQ258" s="26" t="n">
        <v>6</v>
      </c>
      <c r="AR258" s="26" t="n">
        <v>6</v>
      </c>
      <c r="AS258" s="26" t="n">
        <v>3</v>
      </c>
      <c r="AT258" s="26" t="n">
        <v>3</v>
      </c>
      <c r="AU258" s="26" t="n">
        <v>3</v>
      </c>
      <c r="AV258" s="26" t="n">
        <v>6</v>
      </c>
      <c r="AW258" s="26" t="n">
        <v>6</v>
      </c>
      <c r="AX258" s="26" t="n">
        <v>1</v>
      </c>
      <c r="AY258" s="26" t="n">
        <v>1</v>
      </c>
      <c r="AZ258" s="26" t="n">
        <v>1</v>
      </c>
      <c r="BA258" s="26" t="n">
        <v>6</v>
      </c>
      <c r="BB258" s="26" t="n">
        <v>1</v>
      </c>
      <c r="BC258" s="26" t="n">
        <v>1</v>
      </c>
      <c r="BD258" s="26" t="n">
        <v>1</v>
      </c>
      <c r="BE258" s="26" t="n">
        <v>6</v>
      </c>
      <c r="BF258" s="26" t="n">
        <v>1</v>
      </c>
      <c r="BG258" s="26" t="n">
        <v>1</v>
      </c>
      <c r="BH258" s="26" t="n">
        <v>1</v>
      </c>
      <c r="BI258" s="26" t="n">
        <v>6</v>
      </c>
      <c r="BJ258" s="26" t="n">
        <v>1</v>
      </c>
      <c r="BK258" s="26" t="n">
        <v>1</v>
      </c>
      <c r="BL258" s="26" t="n">
        <v>1</v>
      </c>
      <c r="BM258" s="26" t="n">
        <v>6</v>
      </c>
      <c r="BN258" s="26" t="n">
        <v>1</v>
      </c>
      <c r="BO258" s="26" t="n">
        <v>1</v>
      </c>
      <c r="BP258" s="26" t="n">
        <v>1</v>
      </c>
      <c r="BQ258" s="26" t="n">
        <v>6</v>
      </c>
      <c r="BR258" s="26" t="n">
        <v>1</v>
      </c>
      <c r="BS258" s="26" t="n">
        <v>2</v>
      </c>
      <c r="BT258" s="26" t="n">
        <v>4</v>
      </c>
      <c r="BU258" s="26" t="n">
        <v>5</v>
      </c>
      <c r="BV258" s="26" t="n">
        <v>4</v>
      </c>
      <c r="BW258" s="26" t="n">
        <v>4</v>
      </c>
      <c r="BX258" s="26" t="n">
        <v>5</v>
      </c>
      <c r="BY258" s="26" t="n">
        <v>5</v>
      </c>
      <c r="BZ258" s="26" t="n">
        <v>5</v>
      </c>
      <c r="CA258" s="26" t="n">
        <v>3</v>
      </c>
      <c r="CB258" s="26" t="n">
        <v>3</v>
      </c>
      <c r="CC258" s="26" t="n">
        <v>5</v>
      </c>
      <c r="CD258" s="26" t="n">
        <v>5</v>
      </c>
      <c r="CE258" s="26" t="n">
        <v>3</v>
      </c>
      <c r="CF258" s="26" t="n">
        <v>4</v>
      </c>
      <c r="CG258" s="26" t="n">
        <v>4</v>
      </c>
      <c r="CH258" s="26" t="n">
        <v>3</v>
      </c>
      <c r="CI258" s="26" t="n">
        <v>3</v>
      </c>
      <c r="CJ258" s="26" t="n">
        <v>4</v>
      </c>
      <c r="CK258" s="26" t="n">
        <v>10</v>
      </c>
      <c r="CL258" s="24" t="s">
        <v>779</v>
      </c>
      <c r="CM258" s="24" t="n">
        <v>43</v>
      </c>
      <c r="CN258" s="27" t="n">
        <v>91.8</v>
      </c>
      <c r="CO258" s="27" t="n">
        <v>83.4</v>
      </c>
      <c r="CP258" s="27" t="n">
        <v>25.8</v>
      </c>
      <c r="CQ258" s="24" t="n">
        <v>68.3</v>
      </c>
      <c r="CR258" s="24" t="n">
        <v>0</v>
      </c>
      <c r="CS258" s="24" t="n">
        <v>0</v>
      </c>
      <c r="CT258" s="24" t="n">
        <v>0</v>
      </c>
      <c r="CU258" s="24" t="n">
        <v>31.54</v>
      </c>
      <c r="CV258" s="24" t="n">
        <v>0</v>
      </c>
      <c r="CW258" s="24" t="n">
        <v>0</v>
      </c>
      <c r="CX258" s="24" t="n">
        <v>0</v>
      </c>
      <c r="CY258" s="24" t="n">
        <v>0</v>
      </c>
      <c r="CZ258" s="24" t="n">
        <v>0</v>
      </c>
      <c r="DA258" s="24" t="n">
        <v>0</v>
      </c>
      <c r="DB258" s="24" t="n">
        <v>48.27</v>
      </c>
      <c r="DC258" s="24" t="n">
        <v>58.3</v>
      </c>
      <c r="DD258" s="24" t="n">
        <v>1.34</v>
      </c>
      <c r="DE258" s="24" t="n">
        <v>0</v>
      </c>
      <c r="DF258" s="24" t="n">
        <v>0.16</v>
      </c>
      <c r="DG258" s="24" t="n">
        <v>0</v>
      </c>
      <c r="DH258" s="24" t="n">
        <v>0</v>
      </c>
      <c r="DU258" s="24" t="n">
        <v>11</v>
      </c>
      <c r="DV258" s="24" t="n">
        <v>1</v>
      </c>
      <c r="DW258" s="24" t="n">
        <v>30</v>
      </c>
      <c r="DX258" s="24" t="n">
        <v>1</v>
      </c>
      <c r="DY258" s="24" t="n">
        <v>0.73</v>
      </c>
      <c r="DZ258" s="24" t="n">
        <v>1</v>
      </c>
      <c r="EG258" s="28"/>
      <c r="EY258" s="24" t="n">
        <v>1</v>
      </c>
      <c r="EZ258" s="24" t="n">
        <v>60</v>
      </c>
      <c r="FA258" s="24" t="n">
        <v>14</v>
      </c>
      <c r="FB258" s="24" t="n">
        <f aca="false">1.25+0.05+0.21+0.21+0.31+0.08</f>
        <v>2.11</v>
      </c>
      <c r="FC258" s="24" t="n">
        <v>6</v>
      </c>
      <c r="FD258" s="24" t="n">
        <v>50</v>
      </c>
      <c r="FE258" s="24" t="n">
        <v>8</v>
      </c>
      <c r="FF258" s="24" t="n">
        <f aca="false">2.94*2</f>
        <v>5.88</v>
      </c>
      <c r="FG258" s="24" t="n">
        <v>4</v>
      </c>
      <c r="GJ258" s="27" t="n">
        <v>2.45</v>
      </c>
      <c r="GK258" s="27" t="n">
        <v>1</v>
      </c>
      <c r="GL258" s="27" t="n">
        <v>1</v>
      </c>
      <c r="GM258" s="27"/>
      <c r="GN258" s="27" t="n">
        <f aca="false">0.03*2+0.16+0.46</f>
        <v>0.68</v>
      </c>
      <c r="GO258" s="27" t="n">
        <v>2</v>
      </c>
      <c r="GP258" s="27"/>
      <c r="GQ258" s="27" t="n">
        <f aca="false">6.12+0.54</f>
        <v>6.66</v>
      </c>
      <c r="GR258" s="27"/>
      <c r="GS258" s="27"/>
      <c r="GT258" s="27"/>
      <c r="GU258" s="27" t="n">
        <v>3.68</v>
      </c>
      <c r="GV258" s="27" t="n">
        <v>1.63</v>
      </c>
      <c r="GW258" s="27"/>
      <c r="GX258" s="27"/>
      <c r="GY258" s="27" t="n">
        <v>0</v>
      </c>
      <c r="GZ258" s="27" t="n">
        <v>0</v>
      </c>
      <c r="HA258" s="27" t="n">
        <v>0</v>
      </c>
      <c r="HB258" s="24" t="n">
        <v>0</v>
      </c>
      <c r="HC258" s="24" t="s">
        <v>780</v>
      </c>
      <c r="HD258" s="24" t="n">
        <v>46</v>
      </c>
      <c r="HE258" s="27" t="n">
        <v>101.6</v>
      </c>
      <c r="HF258" s="27" t="n">
        <v>83.4</v>
      </c>
      <c r="HG258" s="27" t="n">
        <v>27.8</v>
      </c>
      <c r="HH258" s="24" t="n">
        <v>66.04</v>
      </c>
      <c r="HI258" s="24" t="n">
        <v>0</v>
      </c>
      <c r="HJ258" s="24" t="n">
        <v>0</v>
      </c>
      <c r="HK258" s="24" t="n">
        <v>0</v>
      </c>
      <c r="HL258" s="24" t="n">
        <v>35.15</v>
      </c>
      <c r="HM258" s="24" t="n">
        <v>0</v>
      </c>
      <c r="HN258" s="24" t="n">
        <v>0</v>
      </c>
      <c r="HO258" s="24" t="n">
        <v>0</v>
      </c>
      <c r="HP258" s="24" t="n">
        <v>0</v>
      </c>
      <c r="HQ258" s="24" t="n">
        <v>0</v>
      </c>
      <c r="HR258" s="24" t="n">
        <v>0</v>
      </c>
      <c r="HS258" s="24" t="n">
        <v>43.27</v>
      </c>
      <c r="HT258" s="24" t="n">
        <v>65.02</v>
      </c>
      <c r="HU258" s="24" t="n">
        <v>6.59</v>
      </c>
      <c r="HV258" s="24" t="n">
        <v>0.88</v>
      </c>
      <c r="HW258" s="24" t="n">
        <v>0.16</v>
      </c>
      <c r="HX258" s="24" t="n">
        <v>0</v>
      </c>
      <c r="HY258" s="24" t="n">
        <v>0</v>
      </c>
      <c r="IL258" s="24" t="n">
        <v>14.9</v>
      </c>
      <c r="IM258" s="24" t="n">
        <v>1</v>
      </c>
      <c r="IN258" s="24" t="n">
        <v>30</v>
      </c>
      <c r="IO258" s="24" t="n">
        <v>1</v>
      </c>
      <c r="IP258" s="24" t="n">
        <v>0.73</v>
      </c>
      <c r="IQ258" s="24" t="n">
        <v>1</v>
      </c>
      <c r="IR258" s="24" t="n">
        <v>47</v>
      </c>
      <c r="IS258" s="24" t="n">
        <v>1</v>
      </c>
      <c r="IT258" s="24" t="n">
        <v>0.11</v>
      </c>
      <c r="IU258" s="24" t="n">
        <v>3</v>
      </c>
      <c r="IX258" s="28"/>
      <c r="JP258" s="24" t="n">
        <v>1</v>
      </c>
      <c r="JQ258" s="24" t="n">
        <v>60</v>
      </c>
      <c r="JR258" s="24" t="n">
        <v>4</v>
      </c>
      <c r="JS258" s="24" t="n">
        <v>1.68</v>
      </c>
      <c r="JT258" s="24" t="n">
        <v>6</v>
      </c>
      <c r="JU258" s="24" t="n">
        <v>50</v>
      </c>
      <c r="JV258" s="24" t="n">
        <v>8</v>
      </c>
      <c r="JW258" s="24" t="n">
        <f aca="false">2.94*2</f>
        <v>5.88</v>
      </c>
      <c r="JX258" s="24" t="n">
        <v>4</v>
      </c>
      <c r="JY258" s="24" t="n">
        <v>50</v>
      </c>
      <c r="JZ258" s="24" t="n">
        <v>4</v>
      </c>
      <c r="KA258" s="24" t="n">
        <v>0.76</v>
      </c>
      <c r="KB258" s="24" t="n">
        <v>6</v>
      </c>
      <c r="KC258" s="24" t="n">
        <v>80</v>
      </c>
      <c r="KD258" s="24" t="n">
        <v>8</v>
      </c>
      <c r="KE258" s="24" t="n">
        <f aca="false">0.31+0.21</f>
        <v>0.52</v>
      </c>
      <c r="KF258" s="24" t="n">
        <v>6</v>
      </c>
      <c r="LA258" s="27" t="n">
        <v>2.05</v>
      </c>
      <c r="LB258" s="27" t="n">
        <v>1</v>
      </c>
      <c r="LC258" s="27" t="n">
        <v>1</v>
      </c>
      <c r="LD258" s="27"/>
      <c r="LE258" s="27" t="n">
        <f aca="false">6.12+0.54+0.36</f>
        <v>7.02</v>
      </c>
      <c r="LF258" s="27" t="n">
        <v>2</v>
      </c>
      <c r="LG258" s="27"/>
      <c r="LH258" s="27" t="n">
        <v>6.01</v>
      </c>
      <c r="LI258" s="27"/>
      <c r="LJ258" s="27"/>
      <c r="LK258" s="27"/>
      <c r="LL258" s="27" t="n">
        <v>0.86</v>
      </c>
      <c r="LM258" s="27" t="n">
        <v>0.85</v>
      </c>
      <c r="LN258" s="27"/>
      <c r="LO258" s="27"/>
      <c r="LP258" s="27" t="n">
        <v>0</v>
      </c>
      <c r="LQ258" s="27" t="n">
        <v>0</v>
      </c>
      <c r="LR258" s="27" t="n">
        <v>0</v>
      </c>
      <c r="LS258" s="24" t="n">
        <v>0</v>
      </c>
      <c r="LT258" s="24" t="n">
        <v>100</v>
      </c>
      <c r="LU258" s="24" t="n">
        <v>29.5</v>
      </c>
      <c r="LV258" s="27" t="n">
        <v>94.9</v>
      </c>
      <c r="LW258" s="27" t="n">
        <v>83.4</v>
      </c>
      <c r="LX258" s="27" t="n">
        <v>17.6</v>
      </c>
      <c r="LY258" s="24" t="n">
        <v>85.6</v>
      </c>
      <c r="LZ258" s="24" t="n">
        <v>0</v>
      </c>
      <c r="MA258" s="24" t="n">
        <v>0</v>
      </c>
      <c r="MB258" s="24" t="n">
        <v>0</v>
      </c>
      <c r="MC258" s="24" t="n">
        <v>14.4</v>
      </c>
      <c r="MD258" s="24" t="n">
        <v>0</v>
      </c>
      <c r="ME258" s="24" t="n">
        <v>0</v>
      </c>
      <c r="MF258" s="24" t="n">
        <v>0</v>
      </c>
      <c r="MG258" s="24" t="n">
        <v>0</v>
      </c>
      <c r="MH258" s="24" t="n">
        <v>0</v>
      </c>
      <c r="MI258" s="24" t="n">
        <v>0</v>
      </c>
      <c r="MJ258" s="24" t="n">
        <v>1.95</v>
      </c>
      <c r="MK258" s="24" t="n">
        <v>9.45</v>
      </c>
      <c r="ML258" s="24" t="n">
        <v>11.24</v>
      </c>
      <c r="MM258" s="24" t="n">
        <v>36.94</v>
      </c>
      <c r="MN258" s="24" t="n">
        <v>0</v>
      </c>
      <c r="MO258" s="24" t="n">
        <v>11.5</v>
      </c>
      <c r="MP258" s="24" t="n">
        <v>1</v>
      </c>
      <c r="MQ258" s="24" t="n">
        <v>5</v>
      </c>
      <c r="MS258" s="24" t="n">
        <v>4</v>
      </c>
      <c r="NC258" s="24" t="n">
        <v>0</v>
      </c>
      <c r="ND258" s="24" t="n">
        <v>0</v>
      </c>
      <c r="NO258" s="28"/>
      <c r="OG258" s="24" t="n">
        <v>0</v>
      </c>
      <c r="PR258" s="27" t="n">
        <v>0.2</v>
      </c>
      <c r="PS258" s="27" t="n">
        <v>1</v>
      </c>
      <c r="PT258" s="27" t="n">
        <v>1</v>
      </c>
      <c r="PU258" s="27"/>
      <c r="PV258" s="27" t="n">
        <f aca="false">0.14+0.23+0.07+0.21</f>
        <v>0.65</v>
      </c>
      <c r="PW258" s="27"/>
      <c r="PX258" s="27"/>
      <c r="PY258" s="27"/>
      <c r="PZ258" s="27"/>
      <c r="QA258" s="27"/>
      <c r="QB258" s="27"/>
      <c r="QC258" s="27" t="n">
        <v>0.23</v>
      </c>
      <c r="QD258" s="27" t="n">
        <v>0.23</v>
      </c>
      <c r="QE258" s="27"/>
      <c r="QF258" s="27"/>
      <c r="QG258" s="27" t="n">
        <v>0</v>
      </c>
      <c r="QH258" s="27" t="n">
        <v>0</v>
      </c>
      <c r="QI258" s="27" t="n">
        <v>0</v>
      </c>
      <c r="QJ258" s="24" t="n">
        <v>0</v>
      </c>
      <c r="QK258" s="24" t="s">
        <v>781</v>
      </c>
      <c r="QL258" s="24" t="n">
        <v>47.5</v>
      </c>
      <c r="QM258" s="27" t="n">
        <v>49.3</v>
      </c>
      <c r="QN258" s="27" t="n">
        <v>83.4</v>
      </c>
      <c r="QO258" s="27" t="n">
        <v>35.7</v>
      </c>
      <c r="QP258" s="24" t="n">
        <v>66.48</v>
      </c>
      <c r="QQ258" s="24" t="n">
        <v>0</v>
      </c>
      <c r="QR258" s="24" t="n">
        <v>6.11</v>
      </c>
      <c r="QS258" s="24" t="n">
        <v>0</v>
      </c>
      <c r="QT258" s="24" t="n">
        <v>9.56</v>
      </c>
      <c r="QU258" s="24" t="n">
        <v>0</v>
      </c>
      <c r="QV258" s="24" t="n">
        <v>6.1</v>
      </c>
      <c r="QW258" s="24" t="n">
        <v>3.05</v>
      </c>
      <c r="QX258" s="24" t="n">
        <v>0</v>
      </c>
      <c r="QY258" s="24" t="n">
        <v>0</v>
      </c>
      <c r="QZ258" s="24" t="n">
        <v>0</v>
      </c>
      <c r="RA258" s="24" t="n">
        <v>0</v>
      </c>
      <c r="RB258" s="24" t="n">
        <v>17.78</v>
      </c>
      <c r="RC258" s="24" t="n">
        <v>9.13</v>
      </c>
      <c r="RD258" s="24" t="n">
        <v>2.7</v>
      </c>
      <c r="RE258" s="24" t="n">
        <v>11.73</v>
      </c>
      <c r="RF258" s="24" t="n">
        <v>0</v>
      </c>
      <c r="RG258" s="24" t="n">
        <v>0</v>
      </c>
      <c r="RT258" s="24" t="n">
        <v>5.7</v>
      </c>
      <c r="RU258" s="24" t="n">
        <v>1</v>
      </c>
      <c r="RV258" s="24" t="n">
        <v>30</v>
      </c>
      <c r="RW258" s="24" t="n">
        <v>10</v>
      </c>
      <c r="RX258" s="24" t="n">
        <f aca="false">0.15*2+0.16*8</f>
        <v>1.58</v>
      </c>
      <c r="RY258" s="24" t="n">
        <v>3</v>
      </c>
      <c r="SF258" s="28"/>
      <c r="SX258" s="24" t="n">
        <v>1</v>
      </c>
      <c r="SY258" s="24" t="n">
        <v>40</v>
      </c>
      <c r="SZ258" s="24" t="n">
        <v>4</v>
      </c>
      <c r="TA258" s="24" t="n">
        <v>0.6</v>
      </c>
      <c r="TB258" s="24" t="n">
        <v>2</v>
      </c>
      <c r="UI258" s="27" t="n">
        <v>0.53</v>
      </c>
      <c r="UJ258" s="27" t="n">
        <v>1</v>
      </c>
      <c r="UK258" s="27" t="n">
        <v>1</v>
      </c>
      <c r="UL258" s="27"/>
      <c r="UM258" s="27" t="n">
        <f aca="false">0.64*4+0.08</f>
        <v>2.64</v>
      </c>
      <c r="UN258" s="27"/>
      <c r="UO258" s="27"/>
      <c r="UP258" s="27"/>
      <c r="UQ258" s="27"/>
      <c r="UR258" s="27"/>
      <c r="US258" s="27"/>
      <c r="UT258" s="27" t="n">
        <v>5.06</v>
      </c>
      <c r="UU258" s="27" t="n">
        <v>1.58</v>
      </c>
      <c r="UV258" s="27"/>
      <c r="UW258" s="27"/>
      <c r="UX258" s="27" t="n">
        <v>0</v>
      </c>
      <c r="UY258" s="27" t="n">
        <v>0</v>
      </c>
      <c r="UZ258" s="27" t="n">
        <v>0</v>
      </c>
      <c r="VA258" s="24" t="n">
        <v>0</v>
      </c>
      <c r="VB258" s="24" t="s">
        <v>782</v>
      </c>
      <c r="VC258" s="24" t="n">
        <v>71</v>
      </c>
      <c r="VD258" s="27" t="n">
        <v>92</v>
      </c>
      <c r="VE258" s="27" t="n">
        <v>166.8</v>
      </c>
      <c r="VF258" s="27" t="n">
        <v>65</v>
      </c>
      <c r="VG258" s="24" t="n">
        <v>28.78</v>
      </c>
      <c r="VH258" s="24" t="n">
        <v>0</v>
      </c>
      <c r="VI258" s="24" t="n">
        <v>0</v>
      </c>
      <c r="VJ258" s="24" t="n">
        <v>0</v>
      </c>
      <c r="VK258" s="24" t="n">
        <v>2.5</v>
      </c>
      <c r="VL258" s="24" t="n">
        <v>0</v>
      </c>
      <c r="VM258" s="24" t="n">
        <v>8.54</v>
      </c>
      <c r="VN258" s="24" t="n">
        <v>0</v>
      </c>
      <c r="VO258" s="24" t="n">
        <v>0</v>
      </c>
      <c r="VP258" s="24" t="n">
        <v>2.76</v>
      </c>
      <c r="VQ258" s="24" t="n">
        <v>0</v>
      </c>
      <c r="VR258" s="24" t="n">
        <v>9.52</v>
      </c>
      <c r="VS258" s="24" t="n">
        <v>36.91</v>
      </c>
      <c r="VT258" s="24" t="n">
        <v>26.15</v>
      </c>
      <c r="VU258" s="24" t="n">
        <v>1.97</v>
      </c>
      <c r="VV258" s="24" t="n">
        <v>60.18</v>
      </c>
      <c r="VW258" s="24" t="n">
        <v>0</v>
      </c>
      <c r="VX258" s="24" t="n">
        <v>0</v>
      </c>
      <c r="WK258" s="24" t="n">
        <v>0.1</v>
      </c>
      <c r="WL258" s="24" t="n">
        <v>0</v>
      </c>
      <c r="WW258" s="28"/>
      <c r="XO258" s="24" t="n">
        <v>1</v>
      </c>
      <c r="XP258" s="24" t="n">
        <v>50</v>
      </c>
      <c r="XQ258" s="24" t="n">
        <v>4</v>
      </c>
      <c r="XR258" s="24" t="n">
        <f aca="false">0.37*4</f>
        <v>1.48</v>
      </c>
      <c r="XS258" s="24" t="n">
        <v>3</v>
      </c>
      <c r="XT258" s="24" t="n">
        <v>40</v>
      </c>
      <c r="XU258" s="24" t="n">
        <v>6</v>
      </c>
      <c r="XV258" s="24" t="n">
        <v>2.2</v>
      </c>
      <c r="XW258" s="24" t="n">
        <v>3</v>
      </c>
      <c r="XX258" s="24" t="n">
        <v>50</v>
      </c>
      <c r="XY258" s="24" t="n">
        <v>1</v>
      </c>
      <c r="XZ258" s="24" t="n">
        <v>0.06</v>
      </c>
      <c r="YA258" s="24" t="n">
        <v>1</v>
      </c>
      <c r="YB258" s="24" t="n">
        <v>60</v>
      </c>
      <c r="YC258" s="24" t="n">
        <v>3</v>
      </c>
      <c r="YD258" s="24" t="n">
        <v>0.19</v>
      </c>
      <c r="YE258" s="24" t="n">
        <v>4</v>
      </c>
      <c r="YZ258" s="27" t="n">
        <v>1.11</v>
      </c>
      <c r="ZA258" s="27" t="n">
        <v>1</v>
      </c>
      <c r="ZB258" s="27" t="n">
        <v>1</v>
      </c>
      <c r="ZC258" s="27"/>
      <c r="ZD258" s="27" t="n">
        <f aca="false">0.51*2+0.09+0.15*2+1.65+0.18+0.72</f>
        <v>3.96</v>
      </c>
      <c r="ZE258" s="27"/>
      <c r="ZF258" s="27"/>
      <c r="ZG258" s="27"/>
      <c r="ZH258" s="27"/>
      <c r="ZI258" s="27"/>
      <c r="ZJ258" s="27"/>
      <c r="ZK258" s="27" t="n">
        <v>1.95</v>
      </c>
      <c r="ZL258" s="27" t="n">
        <v>1.96</v>
      </c>
      <c r="ZM258" s="27"/>
      <c r="ZN258" s="27"/>
      <c r="ZO258" s="27" t="n">
        <v>2.88</v>
      </c>
      <c r="ZP258" s="27" t="n">
        <v>0</v>
      </c>
      <c r="ZQ258" s="27" t="n">
        <v>0</v>
      </c>
      <c r="ZR258" s="24" t="n">
        <v>2</v>
      </c>
      <c r="ZS258" s="24" t="s">
        <v>783</v>
      </c>
      <c r="ZT258" s="24" t="n">
        <v>35</v>
      </c>
      <c r="ZU258" s="27" t="n">
        <v>89.3</v>
      </c>
      <c r="ZV258" s="27" t="n">
        <v>83.4</v>
      </c>
      <c r="ZW258" s="27" t="n">
        <v>12.6</v>
      </c>
      <c r="ZX258" s="24" t="n">
        <v>87.93</v>
      </c>
      <c r="ZY258" s="24" t="n">
        <v>0</v>
      </c>
      <c r="ZZ258" s="24" t="n">
        <v>0</v>
      </c>
      <c r="AAA258" s="24" t="n">
        <v>1.49</v>
      </c>
      <c r="AAB258" s="24" t="n">
        <v>10.58</v>
      </c>
      <c r="AAC258" s="24" t="n">
        <v>0</v>
      </c>
      <c r="AAD258" s="24" t="n">
        <v>0</v>
      </c>
      <c r="AAE258" s="24" t="n">
        <v>0</v>
      </c>
      <c r="AAF258" s="24" t="n">
        <v>0</v>
      </c>
      <c r="AAG258" s="24" t="n">
        <v>0</v>
      </c>
      <c r="AAH258" s="24" t="n">
        <v>0</v>
      </c>
      <c r="AAI258" s="24" t="n">
        <v>0.17</v>
      </c>
      <c r="AAJ258" s="24" t="n">
        <v>38.78</v>
      </c>
      <c r="AAK258" s="24" t="n">
        <v>29.47</v>
      </c>
      <c r="AAL258" s="24" t="n">
        <v>0</v>
      </c>
      <c r="AAM258" s="24" t="n">
        <v>0</v>
      </c>
      <c r="AAN258" s="24" t="n">
        <v>4</v>
      </c>
      <c r="AAO258" s="24" t="n">
        <v>1</v>
      </c>
      <c r="AAP258" s="24" t="n">
        <v>3</v>
      </c>
      <c r="AAR258" s="24" t="n">
        <v>4</v>
      </c>
      <c r="ABB258" s="24" t="n">
        <v>9.7</v>
      </c>
      <c r="ABC258" s="24" t="n">
        <v>1</v>
      </c>
      <c r="ABD258" s="24" t="n">
        <v>68</v>
      </c>
      <c r="ABE258" s="24" t="n">
        <v>1</v>
      </c>
      <c r="ABF258" s="24" t="n">
        <v>0.02</v>
      </c>
      <c r="ABG258" s="24" t="n">
        <v>1</v>
      </c>
      <c r="ABH258" s="24" t="n">
        <v>35</v>
      </c>
      <c r="ABI258" s="24" t="n">
        <v>10</v>
      </c>
      <c r="ABJ258" s="24" t="n">
        <f aca="false">0.22*2+0.43*2+0.65+0.04+0.02+0.08</f>
        <v>2.09</v>
      </c>
      <c r="ABK258" s="24" t="n">
        <v>3</v>
      </c>
      <c r="ABN258" s="28"/>
      <c r="ACF258" s="24" t="n">
        <v>1</v>
      </c>
      <c r="ACG258" s="24" t="n">
        <v>50</v>
      </c>
      <c r="ACH258" s="24" t="n">
        <f aca="false">4*3+3*4</f>
        <v>24</v>
      </c>
      <c r="ACI258" s="24" t="n">
        <f aca="false">0.07+0.25+0.11+0.65+1.3+15</f>
        <v>17.38</v>
      </c>
      <c r="ACJ258" s="24" t="n">
        <v>1</v>
      </c>
      <c r="ACK258" s="24" t="n">
        <v>40</v>
      </c>
      <c r="ACL258" s="24" t="n">
        <v>18</v>
      </c>
      <c r="ACM258" s="24" t="n">
        <f aca="false">0.87+0.17+0.08+0.34+1.73+0.43+0.87+0.07</f>
        <v>4.56</v>
      </c>
      <c r="ACN258" s="24" t="n">
        <v>1</v>
      </c>
      <c r="ACO258" s="24" t="n">
        <v>40</v>
      </c>
      <c r="ACP258" s="24" t="n">
        <v>2</v>
      </c>
      <c r="ACQ258" s="24" t="n">
        <v>0.12</v>
      </c>
      <c r="ACR258" s="24" t="n">
        <v>5</v>
      </c>
      <c r="ACS258" s="24" t="n">
        <v>50</v>
      </c>
      <c r="ACT258" s="24" t="n">
        <v>1</v>
      </c>
      <c r="ACU258" s="24" t="n">
        <v>0.22</v>
      </c>
      <c r="ACV258" s="24" t="n">
        <v>6</v>
      </c>
      <c r="ACW258" s="24" t="n">
        <v>40</v>
      </c>
      <c r="ACX258" s="24" t="n">
        <v>3</v>
      </c>
      <c r="ACY258" s="24" t="n">
        <v>0.16</v>
      </c>
      <c r="ACZ258" s="24" t="n">
        <v>6</v>
      </c>
      <c r="ADQ258" s="27" t="n">
        <v>0.68</v>
      </c>
      <c r="ADR258" s="27" t="n">
        <v>1</v>
      </c>
      <c r="ADS258" s="27" t="n">
        <v>1</v>
      </c>
      <c r="ADT258" s="27"/>
      <c r="ADU258" s="27" t="n">
        <f aca="false">0.34+0.91+1.8+0.08+0.3</f>
        <v>3.43</v>
      </c>
      <c r="ADV258" s="27"/>
      <c r="ADW258" s="27"/>
      <c r="ADX258" s="27"/>
      <c r="ADY258" s="27"/>
      <c r="ADZ258" s="27"/>
      <c r="AEA258" s="27"/>
      <c r="AEB258" s="27" t="n">
        <v>7.83</v>
      </c>
      <c r="AEC258" s="27" t="n">
        <v>8.68</v>
      </c>
      <c r="AED258" s="27"/>
      <c r="AEE258" s="27"/>
      <c r="AEF258" s="27" t="n">
        <v>0</v>
      </c>
      <c r="AEG258" s="27" t="n">
        <v>0</v>
      </c>
      <c r="AEH258" s="27" t="n">
        <v>0</v>
      </c>
      <c r="AEI258" s="24" t="n">
        <v>0</v>
      </c>
      <c r="AEJ258" s="24" t="s">
        <v>784</v>
      </c>
      <c r="AEK258" s="24" t="n">
        <v>38</v>
      </c>
      <c r="AEL258" s="27" t="n">
        <v>92.6</v>
      </c>
      <c r="AEM258" s="27" t="n">
        <v>83.4</v>
      </c>
      <c r="AEN258" s="27" t="n">
        <v>16.5</v>
      </c>
      <c r="AEO258" s="24" t="n">
        <v>77.87</v>
      </c>
      <c r="AEP258" s="24" t="n">
        <v>0</v>
      </c>
      <c r="AEQ258" s="24" t="n">
        <v>0</v>
      </c>
      <c r="AER258" s="24" t="n">
        <v>0</v>
      </c>
      <c r="AES258" s="24" t="n">
        <v>21.87</v>
      </c>
      <c r="AET258" s="24" t="n">
        <v>0</v>
      </c>
      <c r="AEU258" s="24" t="n">
        <v>0</v>
      </c>
      <c r="AEV258" s="24" t="n">
        <v>0</v>
      </c>
      <c r="AEW258" s="24" t="n">
        <v>0</v>
      </c>
      <c r="AEX258" s="24" t="n">
        <v>0</v>
      </c>
      <c r="AEY258" s="24" t="n">
        <v>0</v>
      </c>
      <c r="AEZ258" s="24" t="n">
        <v>0.29</v>
      </c>
      <c r="AFA258" s="24" t="n">
        <v>38.85</v>
      </c>
      <c r="AFB258" s="24" t="n">
        <v>37.36</v>
      </c>
      <c r="AFC258" s="24" t="n">
        <v>5.57</v>
      </c>
      <c r="AFD258" s="24" t="n">
        <v>0</v>
      </c>
      <c r="AFE258" s="24" t="n">
        <v>0</v>
      </c>
      <c r="AFF258" s="24" t="n">
        <v>0</v>
      </c>
      <c r="AFS258" s="24" t="n">
        <v>17.5</v>
      </c>
      <c r="AFT258" s="24" t="n">
        <v>0</v>
      </c>
      <c r="AGE258" s="28"/>
      <c r="AGW258" s="24" t="n">
        <v>1</v>
      </c>
      <c r="AGX258" s="24" t="n">
        <v>70</v>
      </c>
      <c r="AGY258" s="24" t="n">
        <f aca="false">8*3+3</f>
        <v>27</v>
      </c>
      <c r="AGZ258" s="24" t="n">
        <f aca="false">5.87*3+0.58</f>
        <v>18.19</v>
      </c>
      <c r="AHA258" s="24" t="n">
        <v>1</v>
      </c>
      <c r="AIH258" s="27" t="n">
        <v>3.74</v>
      </c>
      <c r="AII258" s="27" t="n">
        <v>1</v>
      </c>
      <c r="AIJ258" s="27" t="n">
        <v>1</v>
      </c>
      <c r="AIK258" s="27"/>
      <c r="AIL258" s="27" t="n">
        <f aca="false">1.65+2.04*2+0.36*2+0.54</f>
        <v>6.99</v>
      </c>
      <c r="AIM258" s="27" t="n">
        <v>2</v>
      </c>
      <c r="AIN258" s="27"/>
      <c r="AIO258" s="27" t="n">
        <v>0.91</v>
      </c>
      <c r="AIP258" s="27"/>
      <c r="AIQ258" s="27"/>
      <c r="AIR258" s="27"/>
      <c r="AIS258" s="27" t="n">
        <v>0.19</v>
      </c>
      <c r="AIT258" s="27" t="n">
        <v>0.19</v>
      </c>
      <c r="AIU258" s="27"/>
      <c r="AIV258" s="27"/>
      <c r="AIW258" s="27" t="n">
        <v>0</v>
      </c>
      <c r="AIX258" s="27" t="n">
        <v>0</v>
      </c>
      <c r="AIY258" s="27" t="n">
        <v>0</v>
      </c>
      <c r="AIZ258" s="24" t="n">
        <v>0</v>
      </c>
      <c r="AJA258" s="21"/>
      <c r="AJB258" s="21"/>
      <c r="AJD258" s="33"/>
      <c r="AJE258" s="33"/>
      <c r="AJH258" s="33"/>
      <c r="AJI258" s="21"/>
      <c r="AJJ258" s="21"/>
      <c r="AJL258" s="33"/>
      <c r="AJM258" s="33"/>
      <c r="AJP258" s="33"/>
      <c r="AJQ258" s="21"/>
      <c r="AJR258" s="21"/>
      <c r="AJT258" s="33"/>
      <c r="AJU258" s="33"/>
      <c r="AJX258" s="33"/>
      <c r="AJY258" s="21"/>
      <c r="AJZ258" s="21"/>
      <c r="AKB258" s="33"/>
      <c r="AKC258" s="33"/>
      <c r="AKF258" s="33"/>
      <c r="AKG258" s="21"/>
      <c r="AKH258" s="21"/>
      <c r="AKJ258" s="33"/>
      <c r="AKK258" s="33"/>
      <c r="AKN258" s="33"/>
      <c r="AKO258" s="21"/>
      <c r="AKP258" s="21"/>
      <c r="AKR258" s="33"/>
      <c r="AKS258" s="33"/>
      <c r="AKV258" s="33"/>
      <c r="AKW258" s="21"/>
      <c r="AKX258" s="21"/>
      <c r="AKZ258" s="33"/>
      <c r="ALA258" s="33"/>
      <c r="ALD258" s="33"/>
      <c r="ALE258" s="21"/>
      <c r="ALF258" s="21"/>
      <c r="ALH258" s="33"/>
      <c r="ALI258" s="33"/>
      <c r="ALL258" s="33"/>
      <c r="ALM258" s="21"/>
      <c r="ALN258" s="21"/>
      <c r="ALP258" s="33"/>
      <c r="ALQ258" s="33"/>
      <c r="ALT258" s="33"/>
      <c r="ALU258" s="21"/>
      <c r="ALV258" s="21"/>
      <c r="ALX258" s="33"/>
      <c r="ALY258" s="33"/>
      <c r="AMB258" s="33"/>
      <c r="AMC258" s="21"/>
      <c r="AMD258" s="21"/>
      <c r="AMF258" s="33"/>
      <c r="AMG258" s="33"/>
      <c r="AMJ258" s="33"/>
    </row>
    <row r="259" customFormat="false" ht="13.8" hidden="false" customHeight="false" outlineLevel="0" collapsed="false">
      <c r="A259" s="22" t="s">
        <v>789</v>
      </c>
      <c r="B259" s="23" t="n">
        <v>42909</v>
      </c>
      <c r="C259" s="24" t="n">
        <v>2</v>
      </c>
      <c r="D259" s="25" t="n">
        <v>42790</v>
      </c>
      <c r="E259" s="23" t="n">
        <v>36070</v>
      </c>
      <c r="F259" s="14" t="n">
        <f aca="false">(B259-E259)/365.25</f>
        <v>18.7241615331964</v>
      </c>
      <c r="G259" s="14" t="n">
        <f aca="false">(B259-D259)/365.25</f>
        <v>0.32580424366872</v>
      </c>
      <c r="H259" s="26" t="s">
        <v>306</v>
      </c>
      <c r="I259" s="21" t="s">
        <v>777</v>
      </c>
      <c r="J259" s="21" t="s">
        <v>183</v>
      </c>
      <c r="K259" s="21" t="n">
        <v>8</v>
      </c>
      <c r="L259" s="26" t="n">
        <v>65</v>
      </c>
      <c r="M259" s="24" t="n">
        <v>1.72</v>
      </c>
      <c r="N259" s="27" t="n">
        <f aca="false">L259/(M259*M259)</f>
        <v>21.9713358572201</v>
      </c>
      <c r="O259" s="26" t="n">
        <v>0</v>
      </c>
      <c r="P259" s="26" t="n">
        <v>0</v>
      </c>
      <c r="Q259" s="26" t="n">
        <v>0</v>
      </c>
      <c r="R259" s="26" t="n">
        <v>0</v>
      </c>
      <c r="S259" s="26" t="n">
        <v>0</v>
      </c>
      <c r="T259" s="26" t="n">
        <v>0</v>
      </c>
      <c r="U259" s="19" t="n">
        <v>0</v>
      </c>
      <c r="V259" s="19" t="n">
        <v>0</v>
      </c>
      <c r="W259" s="26" t="n">
        <v>1</v>
      </c>
      <c r="X259" s="26" t="n">
        <v>0</v>
      </c>
      <c r="Y259" s="26" t="n">
        <v>0</v>
      </c>
      <c r="Z259" s="26" t="n">
        <v>0</v>
      </c>
      <c r="AA259" s="26" t="n">
        <v>0</v>
      </c>
      <c r="AB259" s="26" t="n">
        <v>0</v>
      </c>
      <c r="AC259" s="26" t="n">
        <v>1</v>
      </c>
      <c r="AD259" s="26" t="n">
        <v>10</v>
      </c>
      <c r="AE259" s="26" t="n">
        <v>1</v>
      </c>
      <c r="AF259" s="26" t="n">
        <v>1</v>
      </c>
      <c r="AG259" s="26" t="n">
        <v>0</v>
      </c>
      <c r="AH259" s="26" t="n">
        <v>0</v>
      </c>
      <c r="AI259" s="26" t="n">
        <v>1</v>
      </c>
      <c r="AJ259" s="26"/>
      <c r="AK259" s="26"/>
      <c r="AL259" s="26"/>
      <c r="AM259" s="26"/>
      <c r="AN259" s="26" t="n">
        <v>0</v>
      </c>
      <c r="AO259" s="26" t="n">
        <v>0</v>
      </c>
      <c r="AP259" s="26" t="n">
        <v>0</v>
      </c>
      <c r="AQ259" s="26" t="n">
        <v>0</v>
      </c>
      <c r="AR259" s="26" t="n">
        <v>0</v>
      </c>
      <c r="AS259" s="26" t="n">
        <v>3</v>
      </c>
      <c r="AT259" s="26" t="n">
        <v>3</v>
      </c>
      <c r="AU259" s="26" t="n">
        <v>0</v>
      </c>
      <c r="AV259" s="26" t="n">
        <v>0</v>
      </c>
      <c r="AW259" s="26" t="n">
        <v>0</v>
      </c>
      <c r="AX259" s="26" t="n">
        <v>0</v>
      </c>
      <c r="AY259" s="26" t="n">
        <v>0</v>
      </c>
      <c r="AZ259" s="26" t="n">
        <v>0</v>
      </c>
      <c r="BA259" s="26" t="n">
        <v>0</v>
      </c>
      <c r="BB259" s="26" t="n">
        <v>1</v>
      </c>
      <c r="BC259" s="26" t="n">
        <v>1</v>
      </c>
      <c r="BD259" s="26" t="n">
        <v>0</v>
      </c>
      <c r="BE259" s="26" t="n">
        <v>0</v>
      </c>
      <c r="BF259" s="26" t="n">
        <v>0</v>
      </c>
      <c r="BG259" s="26" t="n">
        <v>0</v>
      </c>
      <c r="BH259" s="26" t="n">
        <v>0</v>
      </c>
      <c r="BI259" s="26" t="n">
        <v>0</v>
      </c>
      <c r="BJ259" s="26" t="n">
        <v>1</v>
      </c>
      <c r="BK259" s="26" t="n">
        <v>1</v>
      </c>
      <c r="BL259" s="26" t="n">
        <v>0</v>
      </c>
      <c r="BM259" s="26" t="n">
        <v>0</v>
      </c>
      <c r="BN259" s="26" t="n">
        <v>0</v>
      </c>
      <c r="BO259" s="26" t="n">
        <v>0</v>
      </c>
      <c r="BP259" s="26" t="n">
        <v>0</v>
      </c>
      <c r="BQ259" s="26" t="n">
        <v>0</v>
      </c>
      <c r="BR259" s="26" t="n">
        <v>2</v>
      </c>
      <c r="BS259" s="26" t="n">
        <v>2</v>
      </c>
      <c r="BT259" s="26" t="n">
        <v>3</v>
      </c>
      <c r="BU259" s="26" t="n">
        <v>3</v>
      </c>
      <c r="BV259" s="26" t="n">
        <v>2</v>
      </c>
      <c r="BW259" s="26" t="n">
        <v>1</v>
      </c>
      <c r="BX259" s="26" t="n">
        <v>3</v>
      </c>
      <c r="BY259" s="26" t="n">
        <v>3</v>
      </c>
      <c r="BZ259" s="26" t="n">
        <v>4</v>
      </c>
      <c r="CA259" s="26" t="n">
        <v>3</v>
      </c>
      <c r="CB259" s="26" t="n">
        <v>4</v>
      </c>
      <c r="CC259" s="26" t="n">
        <v>5</v>
      </c>
      <c r="CD259" s="26" t="n">
        <v>2</v>
      </c>
      <c r="CE259" s="26" t="n">
        <v>2</v>
      </c>
      <c r="CF259" s="26" t="n">
        <v>2</v>
      </c>
      <c r="CG259" s="26" t="n">
        <v>4</v>
      </c>
      <c r="CH259" s="26" t="n">
        <v>3</v>
      </c>
      <c r="CI259" s="26" t="n">
        <v>2</v>
      </c>
      <c r="CJ259" s="26" t="n">
        <v>3</v>
      </c>
      <c r="CK259" s="26" t="n">
        <v>6</v>
      </c>
      <c r="CL259" s="24" t="s">
        <v>779</v>
      </c>
      <c r="CM259" s="24" t="n">
        <v>43</v>
      </c>
      <c r="CN259" s="27" t="n">
        <v>91.8</v>
      </c>
      <c r="CO259" s="27" t="n">
        <v>83.4</v>
      </c>
      <c r="CP259" s="27" t="n">
        <v>25.8</v>
      </c>
      <c r="CQ259" s="24" t="n">
        <v>68.3</v>
      </c>
      <c r="CR259" s="24" t="n">
        <v>0</v>
      </c>
      <c r="CS259" s="24" t="n">
        <v>0</v>
      </c>
      <c r="CT259" s="24" t="n">
        <v>0</v>
      </c>
      <c r="CU259" s="24" t="n">
        <v>31.54</v>
      </c>
      <c r="CV259" s="24" t="n">
        <v>0</v>
      </c>
      <c r="CW259" s="24" t="n">
        <v>0</v>
      </c>
      <c r="CX259" s="24" t="n">
        <v>0</v>
      </c>
      <c r="CY259" s="24" t="n">
        <v>0</v>
      </c>
      <c r="CZ259" s="24" t="n">
        <v>0</v>
      </c>
      <c r="DA259" s="24" t="n">
        <v>0</v>
      </c>
      <c r="DB259" s="24" t="n">
        <v>48.27</v>
      </c>
      <c r="DC259" s="24" t="n">
        <v>58.3</v>
      </c>
      <c r="DD259" s="24" t="n">
        <v>1.34</v>
      </c>
      <c r="DE259" s="24" t="n">
        <v>0</v>
      </c>
      <c r="DF259" s="24" t="n">
        <v>0.16</v>
      </c>
      <c r="DG259" s="24" t="n">
        <v>0</v>
      </c>
      <c r="DH259" s="24" t="n">
        <v>0</v>
      </c>
      <c r="DU259" s="24" t="n">
        <v>11</v>
      </c>
      <c r="DV259" s="24" t="n">
        <v>1</v>
      </c>
      <c r="DW259" s="24" t="n">
        <v>30</v>
      </c>
      <c r="DX259" s="24" t="n">
        <v>1</v>
      </c>
      <c r="DY259" s="24" t="n">
        <v>0.73</v>
      </c>
      <c r="DZ259" s="24" t="n">
        <v>1</v>
      </c>
      <c r="EG259" s="28"/>
      <c r="EY259" s="24" t="n">
        <v>1</v>
      </c>
      <c r="EZ259" s="24" t="n">
        <v>60</v>
      </c>
      <c r="FA259" s="24" t="n">
        <v>14</v>
      </c>
      <c r="FB259" s="24" t="n">
        <f aca="false">1.25+0.05+0.21+0.21+0.31+0.08</f>
        <v>2.11</v>
      </c>
      <c r="FC259" s="24" t="n">
        <v>6</v>
      </c>
      <c r="FD259" s="24" t="n">
        <v>50</v>
      </c>
      <c r="FE259" s="24" t="n">
        <v>8</v>
      </c>
      <c r="FF259" s="24" t="n">
        <f aca="false">2.94*2</f>
        <v>5.88</v>
      </c>
      <c r="FG259" s="24" t="n">
        <v>4</v>
      </c>
      <c r="GJ259" s="27" t="n">
        <v>2.45</v>
      </c>
      <c r="GK259" s="27" t="n">
        <v>1</v>
      </c>
      <c r="GL259" s="27" t="n">
        <v>1</v>
      </c>
      <c r="GM259" s="27"/>
      <c r="GN259" s="27" t="n">
        <f aca="false">0.03*2+0.16+0.46</f>
        <v>0.68</v>
      </c>
      <c r="GO259" s="27" t="n">
        <v>2</v>
      </c>
      <c r="GP259" s="27"/>
      <c r="GQ259" s="27" t="n">
        <f aca="false">6.12+0.54</f>
        <v>6.66</v>
      </c>
      <c r="GR259" s="27"/>
      <c r="GS259" s="27"/>
      <c r="GT259" s="27"/>
      <c r="GU259" s="27" t="n">
        <v>3.68</v>
      </c>
      <c r="GV259" s="27" t="n">
        <v>1.63</v>
      </c>
      <c r="GW259" s="27"/>
      <c r="GX259" s="27"/>
      <c r="GY259" s="27" t="n">
        <v>0</v>
      </c>
      <c r="GZ259" s="27" t="n">
        <v>0</v>
      </c>
      <c r="HA259" s="27" t="n">
        <v>0</v>
      </c>
      <c r="HB259" s="24" t="n">
        <v>0</v>
      </c>
      <c r="HC259" s="24" t="s">
        <v>780</v>
      </c>
      <c r="HD259" s="24" t="n">
        <v>46</v>
      </c>
      <c r="HE259" s="27" t="n">
        <v>101.6</v>
      </c>
      <c r="HF259" s="27" t="n">
        <v>83.4</v>
      </c>
      <c r="HG259" s="27" t="n">
        <v>27.8</v>
      </c>
      <c r="HH259" s="24" t="n">
        <v>66.04</v>
      </c>
      <c r="HI259" s="24" t="n">
        <v>0</v>
      </c>
      <c r="HJ259" s="24" t="n">
        <v>0</v>
      </c>
      <c r="HK259" s="24" t="n">
        <v>0</v>
      </c>
      <c r="HL259" s="24" t="n">
        <v>35.15</v>
      </c>
      <c r="HM259" s="24" t="n">
        <v>0</v>
      </c>
      <c r="HN259" s="24" t="n">
        <v>0</v>
      </c>
      <c r="HO259" s="24" t="n">
        <v>0</v>
      </c>
      <c r="HP259" s="24" t="n">
        <v>0</v>
      </c>
      <c r="HQ259" s="24" t="n">
        <v>0</v>
      </c>
      <c r="HR259" s="24" t="n">
        <v>0</v>
      </c>
      <c r="HS259" s="24" t="n">
        <v>43.27</v>
      </c>
      <c r="HT259" s="24" t="n">
        <v>65.02</v>
      </c>
      <c r="HU259" s="24" t="n">
        <v>6.59</v>
      </c>
      <c r="HV259" s="24" t="n">
        <v>0.88</v>
      </c>
      <c r="HW259" s="24" t="n">
        <v>0.16</v>
      </c>
      <c r="HX259" s="24" t="n">
        <v>0</v>
      </c>
      <c r="HY259" s="24" t="n">
        <v>0</v>
      </c>
      <c r="IL259" s="24" t="n">
        <v>14.9</v>
      </c>
      <c r="IM259" s="24" t="n">
        <v>1</v>
      </c>
      <c r="IN259" s="24" t="n">
        <v>30</v>
      </c>
      <c r="IO259" s="24" t="n">
        <v>1</v>
      </c>
      <c r="IP259" s="24" t="n">
        <v>0.73</v>
      </c>
      <c r="IQ259" s="24" t="n">
        <v>1</v>
      </c>
      <c r="IR259" s="24" t="n">
        <v>47</v>
      </c>
      <c r="IS259" s="24" t="n">
        <v>1</v>
      </c>
      <c r="IT259" s="24" t="n">
        <v>0.11</v>
      </c>
      <c r="IU259" s="24" t="n">
        <v>3</v>
      </c>
      <c r="IX259" s="28"/>
      <c r="JP259" s="24" t="n">
        <v>1</v>
      </c>
      <c r="JQ259" s="24" t="n">
        <v>60</v>
      </c>
      <c r="JR259" s="24" t="n">
        <v>4</v>
      </c>
      <c r="JS259" s="24" t="n">
        <v>1.68</v>
      </c>
      <c r="JT259" s="24" t="n">
        <v>6</v>
      </c>
      <c r="JU259" s="24" t="n">
        <v>50</v>
      </c>
      <c r="JV259" s="24" t="n">
        <v>8</v>
      </c>
      <c r="JW259" s="24" t="n">
        <f aca="false">2.94*2</f>
        <v>5.88</v>
      </c>
      <c r="JX259" s="24" t="n">
        <v>4</v>
      </c>
      <c r="JY259" s="24" t="n">
        <v>50</v>
      </c>
      <c r="JZ259" s="24" t="n">
        <v>4</v>
      </c>
      <c r="KA259" s="24" t="n">
        <v>0.76</v>
      </c>
      <c r="KB259" s="24" t="n">
        <v>6</v>
      </c>
      <c r="KC259" s="24" t="n">
        <v>80</v>
      </c>
      <c r="KD259" s="24" t="n">
        <v>8</v>
      </c>
      <c r="KE259" s="24" t="n">
        <f aca="false">0.31+0.21</f>
        <v>0.52</v>
      </c>
      <c r="KF259" s="24" t="n">
        <v>6</v>
      </c>
      <c r="LA259" s="27" t="n">
        <v>2.05</v>
      </c>
      <c r="LB259" s="27" t="n">
        <v>1</v>
      </c>
      <c r="LC259" s="27" t="n">
        <v>1</v>
      </c>
      <c r="LD259" s="27"/>
      <c r="LE259" s="27" t="n">
        <f aca="false">6.12+0.54+0.36</f>
        <v>7.02</v>
      </c>
      <c r="LF259" s="27" t="n">
        <v>2</v>
      </c>
      <c r="LG259" s="27"/>
      <c r="LH259" s="27" t="n">
        <v>6.01</v>
      </c>
      <c r="LI259" s="27"/>
      <c r="LJ259" s="27"/>
      <c r="LK259" s="27"/>
      <c r="LL259" s="27" t="n">
        <v>0.86</v>
      </c>
      <c r="LM259" s="27" t="n">
        <v>0.85</v>
      </c>
      <c r="LN259" s="27"/>
      <c r="LO259" s="27"/>
      <c r="LP259" s="27" t="n">
        <v>0</v>
      </c>
      <c r="LQ259" s="27" t="n">
        <v>0</v>
      </c>
      <c r="LR259" s="27" t="n">
        <v>0</v>
      </c>
      <c r="LS259" s="24" t="n">
        <v>0</v>
      </c>
      <c r="LT259" s="24" t="n">
        <v>100</v>
      </c>
      <c r="LU259" s="24" t="n">
        <v>29.5</v>
      </c>
      <c r="LV259" s="27" t="n">
        <v>94.9</v>
      </c>
      <c r="LW259" s="27" t="n">
        <v>83.4</v>
      </c>
      <c r="LX259" s="27" t="n">
        <v>17.6</v>
      </c>
      <c r="LY259" s="24" t="n">
        <v>85.6</v>
      </c>
      <c r="LZ259" s="24" t="n">
        <v>0</v>
      </c>
      <c r="MA259" s="24" t="n">
        <v>0</v>
      </c>
      <c r="MB259" s="24" t="n">
        <v>0</v>
      </c>
      <c r="MC259" s="24" t="n">
        <v>14.4</v>
      </c>
      <c r="MD259" s="24" t="n">
        <v>0</v>
      </c>
      <c r="ME259" s="24" t="n">
        <v>0</v>
      </c>
      <c r="MF259" s="24" t="n">
        <v>0</v>
      </c>
      <c r="MG259" s="24" t="n">
        <v>0</v>
      </c>
      <c r="MH259" s="24" t="n">
        <v>0</v>
      </c>
      <c r="MI259" s="24" t="n">
        <v>0</v>
      </c>
      <c r="MJ259" s="24" t="n">
        <v>1.95</v>
      </c>
      <c r="MK259" s="24" t="n">
        <v>9.45</v>
      </c>
      <c r="ML259" s="24" t="n">
        <v>11.24</v>
      </c>
      <c r="MM259" s="24" t="n">
        <v>36.94</v>
      </c>
      <c r="MN259" s="24" t="n">
        <v>0</v>
      </c>
      <c r="MO259" s="24" t="n">
        <v>11.5</v>
      </c>
      <c r="MP259" s="24" t="n">
        <v>1</v>
      </c>
      <c r="MQ259" s="24" t="n">
        <v>5</v>
      </c>
      <c r="MS259" s="24" t="n">
        <v>4</v>
      </c>
      <c r="NC259" s="24" t="n">
        <v>0</v>
      </c>
      <c r="ND259" s="24" t="n">
        <v>0</v>
      </c>
      <c r="NO259" s="28"/>
      <c r="OG259" s="24" t="n">
        <v>0</v>
      </c>
      <c r="PR259" s="27" t="n">
        <v>0.2</v>
      </c>
      <c r="PS259" s="27" t="n">
        <v>1</v>
      </c>
      <c r="PT259" s="27" t="n">
        <v>1</v>
      </c>
      <c r="PU259" s="27"/>
      <c r="PV259" s="27" t="n">
        <f aca="false">0.14+0.23+0.07+0.21</f>
        <v>0.65</v>
      </c>
      <c r="PW259" s="27"/>
      <c r="PX259" s="27"/>
      <c r="PY259" s="27"/>
      <c r="PZ259" s="27"/>
      <c r="QA259" s="27"/>
      <c r="QB259" s="27"/>
      <c r="QC259" s="27" t="n">
        <v>0.23</v>
      </c>
      <c r="QD259" s="27" t="n">
        <v>0.23</v>
      </c>
      <c r="QE259" s="27"/>
      <c r="QF259" s="27"/>
      <c r="QG259" s="27" t="n">
        <v>0</v>
      </c>
      <c r="QH259" s="27" t="n">
        <v>0</v>
      </c>
      <c r="QI259" s="27" t="n">
        <v>0</v>
      </c>
      <c r="QJ259" s="24" t="n">
        <v>0</v>
      </c>
      <c r="QK259" s="24" t="s">
        <v>781</v>
      </c>
      <c r="QL259" s="24" t="n">
        <v>47.5</v>
      </c>
      <c r="QM259" s="27" t="n">
        <v>49.3</v>
      </c>
      <c r="QN259" s="27" t="n">
        <v>83.4</v>
      </c>
      <c r="QO259" s="27" t="n">
        <v>35.7</v>
      </c>
      <c r="QP259" s="24" t="n">
        <v>66.48</v>
      </c>
      <c r="QQ259" s="24" t="n">
        <v>0</v>
      </c>
      <c r="QR259" s="24" t="n">
        <v>6.11</v>
      </c>
      <c r="QS259" s="24" t="n">
        <v>0</v>
      </c>
      <c r="QT259" s="24" t="n">
        <v>9.56</v>
      </c>
      <c r="QU259" s="24" t="n">
        <v>0</v>
      </c>
      <c r="QV259" s="24" t="n">
        <v>6.1</v>
      </c>
      <c r="QW259" s="24" t="n">
        <v>3.05</v>
      </c>
      <c r="QX259" s="24" t="n">
        <v>0</v>
      </c>
      <c r="QY259" s="24" t="n">
        <v>0</v>
      </c>
      <c r="QZ259" s="24" t="n">
        <v>0</v>
      </c>
      <c r="RA259" s="24" t="n">
        <v>0</v>
      </c>
      <c r="RB259" s="24" t="n">
        <v>17.78</v>
      </c>
      <c r="RC259" s="24" t="n">
        <v>9.13</v>
      </c>
      <c r="RD259" s="24" t="n">
        <v>2.7</v>
      </c>
      <c r="RE259" s="24" t="n">
        <v>11.73</v>
      </c>
      <c r="RF259" s="24" t="n">
        <v>0</v>
      </c>
      <c r="RG259" s="24" t="n">
        <v>0</v>
      </c>
      <c r="RT259" s="24" t="n">
        <v>5.7</v>
      </c>
      <c r="RU259" s="24" t="n">
        <v>1</v>
      </c>
      <c r="RV259" s="24" t="n">
        <v>30</v>
      </c>
      <c r="RW259" s="24" t="n">
        <v>10</v>
      </c>
      <c r="RX259" s="24" t="n">
        <f aca="false">0.15*2+0.16*8</f>
        <v>1.58</v>
      </c>
      <c r="RY259" s="24" t="n">
        <v>3</v>
      </c>
      <c r="SF259" s="28"/>
      <c r="SX259" s="24" t="n">
        <v>1</v>
      </c>
      <c r="SY259" s="24" t="n">
        <v>40</v>
      </c>
      <c r="SZ259" s="24" t="n">
        <v>4</v>
      </c>
      <c r="TA259" s="24" t="n">
        <v>0.6</v>
      </c>
      <c r="TB259" s="24" t="n">
        <v>2</v>
      </c>
      <c r="UI259" s="27" t="n">
        <v>0.53</v>
      </c>
      <c r="UJ259" s="27" t="n">
        <v>1</v>
      </c>
      <c r="UK259" s="27" t="n">
        <v>1</v>
      </c>
      <c r="UL259" s="27"/>
      <c r="UM259" s="27" t="n">
        <f aca="false">0.64*4+0.08</f>
        <v>2.64</v>
      </c>
      <c r="UN259" s="27"/>
      <c r="UO259" s="27"/>
      <c r="UP259" s="27"/>
      <c r="UQ259" s="27"/>
      <c r="UR259" s="27"/>
      <c r="US259" s="27"/>
      <c r="UT259" s="27" t="n">
        <v>5.06</v>
      </c>
      <c r="UU259" s="27" t="n">
        <v>1.58</v>
      </c>
      <c r="UV259" s="27"/>
      <c r="UW259" s="27"/>
      <c r="UX259" s="27" t="n">
        <v>0</v>
      </c>
      <c r="UY259" s="27" t="n">
        <v>0</v>
      </c>
      <c r="UZ259" s="27" t="n">
        <v>0</v>
      </c>
      <c r="VA259" s="24" t="n">
        <v>0</v>
      </c>
      <c r="VB259" s="24" t="s">
        <v>782</v>
      </c>
      <c r="VC259" s="24" t="n">
        <v>71</v>
      </c>
      <c r="VD259" s="27" t="n">
        <v>92</v>
      </c>
      <c r="VE259" s="27" t="n">
        <v>166.8</v>
      </c>
      <c r="VF259" s="27" t="n">
        <v>65</v>
      </c>
      <c r="VG259" s="24" t="n">
        <v>28.78</v>
      </c>
      <c r="VH259" s="24" t="n">
        <v>0</v>
      </c>
      <c r="VI259" s="24" t="n">
        <v>0</v>
      </c>
      <c r="VJ259" s="24" t="n">
        <v>0</v>
      </c>
      <c r="VK259" s="24" t="n">
        <v>2.5</v>
      </c>
      <c r="VL259" s="24" t="n">
        <v>0</v>
      </c>
      <c r="VM259" s="24" t="n">
        <v>8.54</v>
      </c>
      <c r="VN259" s="24" t="n">
        <v>0</v>
      </c>
      <c r="VO259" s="24" t="n">
        <v>0</v>
      </c>
      <c r="VP259" s="24" t="n">
        <v>2.76</v>
      </c>
      <c r="VQ259" s="24" t="n">
        <v>0</v>
      </c>
      <c r="VR259" s="24" t="n">
        <v>9.52</v>
      </c>
      <c r="VS259" s="24" t="n">
        <v>36.91</v>
      </c>
      <c r="VT259" s="24" t="n">
        <v>26.15</v>
      </c>
      <c r="VU259" s="24" t="n">
        <v>1.97</v>
      </c>
      <c r="VV259" s="24" t="n">
        <v>60.18</v>
      </c>
      <c r="VW259" s="24" t="n">
        <v>0</v>
      </c>
      <c r="VX259" s="24" t="n">
        <v>0</v>
      </c>
      <c r="WK259" s="24" t="n">
        <v>0.1</v>
      </c>
      <c r="WL259" s="24" t="n">
        <v>0</v>
      </c>
      <c r="WW259" s="28"/>
      <c r="XO259" s="24" t="n">
        <v>1</v>
      </c>
      <c r="XP259" s="24" t="n">
        <v>50</v>
      </c>
      <c r="XQ259" s="24" t="n">
        <v>4</v>
      </c>
      <c r="XR259" s="24" t="n">
        <f aca="false">0.37*4</f>
        <v>1.48</v>
      </c>
      <c r="XS259" s="24" t="n">
        <v>3</v>
      </c>
      <c r="XT259" s="24" t="n">
        <v>40</v>
      </c>
      <c r="XU259" s="24" t="n">
        <v>6</v>
      </c>
      <c r="XV259" s="24" t="n">
        <v>2.2</v>
      </c>
      <c r="XW259" s="24" t="n">
        <v>3</v>
      </c>
      <c r="XX259" s="24" t="n">
        <v>50</v>
      </c>
      <c r="XY259" s="24" t="n">
        <v>1</v>
      </c>
      <c r="XZ259" s="24" t="n">
        <v>0.06</v>
      </c>
      <c r="YA259" s="24" t="n">
        <v>1</v>
      </c>
      <c r="YB259" s="24" t="n">
        <v>60</v>
      </c>
      <c r="YC259" s="24" t="n">
        <v>3</v>
      </c>
      <c r="YD259" s="24" t="n">
        <v>0.19</v>
      </c>
      <c r="YE259" s="24" t="n">
        <v>4</v>
      </c>
      <c r="YZ259" s="27" t="n">
        <v>1.11</v>
      </c>
      <c r="ZA259" s="27" t="n">
        <v>1</v>
      </c>
      <c r="ZB259" s="27" t="n">
        <v>1</v>
      </c>
      <c r="ZC259" s="27"/>
      <c r="ZD259" s="27" t="n">
        <f aca="false">0.51*2+0.09+0.15*2+1.65+0.18+0.72</f>
        <v>3.96</v>
      </c>
      <c r="ZE259" s="27"/>
      <c r="ZF259" s="27"/>
      <c r="ZG259" s="27"/>
      <c r="ZH259" s="27"/>
      <c r="ZI259" s="27"/>
      <c r="ZJ259" s="27"/>
      <c r="ZK259" s="27" t="n">
        <v>1.95</v>
      </c>
      <c r="ZL259" s="27" t="n">
        <v>1.96</v>
      </c>
      <c r="ZM259" s="27"/>
      <c r="ZN259" s="27"/>
      <c r="ZO259" s="27" t="n">
        <v>2.88</v>
      </c>
      <c r="ZP259" s="27" t="n">
        <v>0</v>
      </c>
      <c r="ZQ259" s="27" t="n">
        <v>0</v>
      </c>
      <c r="ZR259" s="24" t="n">
        <v>2</v>
      </c>
      <c r="ZS259" s="24" t="s">
        <v>783</v>
      </c>
      <c r="ZT259" s="24" t="n">
        <v>35</v>
      </c>
      <c r="ZU259" s="27" t="n">
        <v>89.3</v>
      </c>
      <c r="ZV259" s="27" t="n">
        <v>83.4</v>
      </c>
      <c r="ZW259" s="27" t="n">
        <v>12.6</v>
      </c>
      <c r="ZX259" s="24" t="n">
        <v>87.93</v>
      </c>
      <c r="ZY259" s="24" t="n">
        <v>0</v>
      </c>
      <c r="ZZ259" s="24" t="n">
        <v>0</v>
      </c>
      <c r="AAA259" s="24" t="n">
        <v>1.49</v>
      </c>
      <c r="AAB259" s="24" t="n">
        <v>10.58</v>
      </c>
      <c r="AAC259" s="24" t="n">
        <v>0</v>
      </c>
      <c r="AAD259" s="24" t="n">
        <v>0</v>
      </c>
      <c r="AAE259" s="24" t="n">
        <v>0</v>
      </c>
      <c r="AAF259" s="24" t="n">
        <v>0</v>
      </c>
      <c r="AAG259" s="24" t="n">
        <v>0</v>
      </c>
      <c r="AAH259" s="24" t="n">
        <v>0</v>
      </c>
      <c r="AAI259" s="24" t="n">
        <v>0.17</v>
      </c>
      <c r="AAJ259" s="24" t="n">
        <v>38.78</v>
      </c>
      <c r="AAK259" s="24" t="n">
        <v>29.47</v>
      </c>
      <c r="AAL259" s="24" t="n">
        <v>0</v>
      </c>
      <c r="AAM259" s="24" t="n">
        <v>0</v>
      </c>
      <c r="AAN259" s="24" t="n">
        <v>4</v>
      </c>
      <c r="AAO259" s="24" t="n">
        <v>1</v>
      </c>
      <c r="AAP259" s="24" t="n">
        <v>3</v>
      </c>
      <c r="AAR259" s="24" t="n">
        <v>4</v>
      </c>
      <c r="ABB259" s="24" t="n">
        <v>9.7</v>
      </c>
      <c r="ABC259" s="24" t="n">
        <v>1</v>
      </c>
      <c r="ABD259" s="24" t="n">
        <v>68</v>
      </c>
      <c r="ABE259" s="24" t="n">
        <v>1</v>
      </c>
      <c r="ABF259" s="24" t="n">
        <v>0.02</v>
      </c>
      <c r="ABG259" s="24" t="n">
        <v>1</v>
      </c>
      <c r="ABH259" s="24" t="n">
        <v>35</v>
      </c>
      <c r="ABI259" s="24" t="n">
        <v>10</v>
      </c>
      <c r="ABJ259" s="24" t="n">
        <f aca="false">0.22*2+0.43*2+0.65+0.04+0.02+0.08</f>
        <v>2.09</v>
      </c>
      <c r="ABK259" s="24" t="n">
        <v>3</v>
      </c>
      <c r="ABN259" s="28"/>
      <c r="ACF259" s="24" t="n">
        <v>1</v>
      </c>
      <c r="ACG259" s="24" t="n">
        <v>50</v>
      </c>
      <c r="ACH259" s="24" t="n">
        <f aca="false">4*3+3*4</f>
        <v>24</v>
      </c>
      <c r="ACI259" s="24" t="n">
        <f aca="false">0.07+0.25+0.11+0.65+1.3+15</f>
        <v>17.38</v>
      </c>
      <c r="ACJ259" s="24" t="n">
        <v>1</v>
      </c>
      <c r="ACK259" s="24" t="n">
        <v>40</v>
      </c>
      <c r="ACL259" s="24" t="n">
        <v>18</v>
      </c>
      <c r="ACM259" s="24" t="n">
        <f aca="false">0.87+0.17+0.08+0.34+1.73+0.43+0.87+0.07</f>
        <v>4.56</v>
      </c>
      <c r="ACN259" s="24" t="n">
        <v>1</v>
      </c>
      <c r="ACO259" s="24" t="n">
        <v>40</v>
      </c>
      <c r="ACP259" s="24" t="n">
        <v>2</v>
      </c>
      <c r="ACQ259" s="24" t="n">
        <v>0.12</v>
      </c>
      <c r="ACR259" s="24" t="n">
        <v>5</v>
      </c>
      <c r="ACS259" s="24" t="n">
        <v>50</v>
      </c>
      <c r="ACT259" s="24" t="n">
        <v>1</v>
      </c>
      <c r="ACU259" s="24" t="n">
        <v>0.22</v>
      </c>
      <c r="ACV259" s="24" t="n">
        <v>6</v>
      </c>
      <c r="ACW259" s="24" t="n">
        <v>40</v>
      </c>
      <c r="ACX259" s="24" t="n">
        <v>3</v>
      </c>
      <c r="ACY259" s="24" t="n">
        <v>0.16</v>
      </c>
      <c r="ACZ259" s="24" t="n">
        <v>6</v>
      </c>
      <c r="ADQ259" s="27" t="n">
        <v>0.68</v>
      </c>
      <c r="ADR259" s="27" t="n">
        <v>1</v>
      </c>
      <c r="ADS259" s="27" t="n">
        <v>1</v>
      </c>
      <c r="ADT259" s="27"/>
      <c r="ADU259" s="27" t="n">
        <f aca="false">0.34+0.91+1.8+0.08+0.3</f>
        <v>3.43</v>
      </c>
      <c r="ADV259" s="27"/>
      <c r="ADW259" s="27"/>
      <c r="ADX259" s="27"/>
      <c r="ADY259" s="27"/>
      <c r="ADZ259" s="27"/>
      <c r="AEA259" s="27"/>
      <c r="AEB259" s="27" t="n">
        <v>7.83</v>
      </c>
      <c r="AEC259" s="27" t="n">
        <v>8.68</v>
      </c>
      <c r="AED259" s="27"/>
      <c r="AEE259" s="27"/>
      <c r="AEF259" s="27" t="n">
        <v>0</v>
      </c>
      <c r="AEG259" s="27" t="n">
        <v>0</v>
      </c>
      <c r="AEH259" s="27" t="n">
        <v>0</v>
      </c>
      <c r="AEI259" s="24" t="n">
        <v>0</v>
      </c>
      <c r="AEJ259" s="24" t="s">
        <v>785</v>
      </c>
      <c r="AEK259" s="24" t="n">
        <v>37.5</v>
      </c>
      <c r="AEL259" s="27" t="n">
        <v>94.9</v>
      </c>
      <c r="AEM259" s="27" t="n">
        <v>83.4</v>
      </c>
      <c r="AEN259" s="27" t="n">
        <v>16</v>
      </c>
      <c r="AEO259" s="24" t="n">
        <v>79.43</v>
      </c>
      <c r="AEP259" s="24" t="n">
        <v>0</v>
      </c>
      <c r="AEQ259" s="24" t="n">
        <v>0</v>
      </c>
      <c r="AER259" s="24" t="n">
        <v>0</v>
      </c>
      <c r="AES259" s="24" t="n">
        <v>20.31</v>
      </c>
      <c r="AET259" s="24" t="n">
        <v>0</v>
      </c>
      <c r="AEU259" s="24" t="n">
        <v>0</v>
      </c>
      <c r="AEV259" s="24" t="n">
        <v>0</v>
      </c>
      <c r="AEW259" s="24" t="n">
        <v>0</v>
      </c>
      <c r="AEX259" s="24" t="n">
        <v>0</v>
      </c>
      <c r="AEY259" s="24" t="n">
        <v>0</v>
      </c>
      <c r="AEZ259" s="24" t="n">
        <v>0.29</v>
      </c>
      <c r="AFA259" s="24" t="n">
        <v>37.58</v>
      </c>
      <c r="AFB259" s="24" t="n">
        <v>37.76</v>
      </c>
      <c r="AFC259" s="24" t="n">
        <v>5.57</v>
      </c>
      <c r="AFD259" s="24" t="n">
        <v>0</v>
      </c>
      <c r="AFE259" s="24" t="n">
        <v>0</v>
      </c>
      <c r="AFF259" s="24" t="n">
        <v>0</v>
      </c>
      <c r="AFS259" s="24" t="n">
        <v>17.5</v>
      </c>
      <c r="AFT259" s="24" t="n">
        <v>0</v>
      </c>
      <c r="AGE259" s="28"/>
      <c r="AGW259" s="24" t="n">
        <v>1</v>
      </c>
      <c r="AGX259" s="24" t="n">
        <v>71</v>
      </c>
      <c r="AGY259" s="24" t="n">
        <f aca="false">8*3+3</f>
        <v>27</v>
      </c>
      <c r="AGZ259" s="24" t="n">
        <f aca="false">5.87*3+0.58</f>
        <v>18.19</v>
      </c>
      <c r="AHA259" s="24" t="n">
        <v>2</v>
      </c>
      <c r="AIH259" s="27" t="n">
        <v>3.74</v>
      </c>
      <c r="AII259" s="27" t="n">
        <v>1</v>
      </c>
      <c r="AIJ259" s="27" t="n">
        <v>1</v>
      </c>
      <c r="AIK259" s="27"/>
      <c r="AIL259" s="27" t="n">
        <f aca="false">1.65+2.04*2+0.36*2+0.54</f>
        <v>6.99</v>
      </c>
      <c r="AIM259" s="27" t="n">
        <v>2</v>
      </c>
      <c r="AIN259" s="27"/>
      <c r="AIO259" s="27" t="n">
        <v>0.91</v>
      </c>
      <c r="AIP259" s="27" t="n">
        <v>1</v>
      </c>
      <c r="AIQ259" s="27" t="n">
        <v>1</v>
      </c>
      <c r="AIR259" s="27"/>
      <c r="AIS259" s="27" t="n">
        <v>0.19</v>
      </c>
      <c r="AIT259" s="27" t="n">
        <v>0.19</v>
      </c>
      <c r="AIU259" s="27"/>
      <c r="AIV259" s="27"/>
      <c r="AIW259" s="27" t="n">
        <v>0</v>
      </c>
      <c r="AIX259" s="27" t="n">
        <v>0</v>
      </c>
      <c r="AIY259" s="27" t="n">
        <v>0</v>
      </c>
      <c r="AIZ259" s="24" t="n">
        <v>0</v>
      </c>
      <c r="AJA259" s="21"/>
      <c r="AJB259" s="21"/>
      <c r="AJD259" s="33"/>
      <c r="AJE259" s="33"/>
      <c r="AJH259" s="33"/>
      <c r="AJI259" s="21"/>
      <c r="AJJ259" s="21"/>
      <c r="AJL259" s="33"/>
      <c r="AJM259" s="33"/>
      <c r="AJP259" s="33"/>
      <c r="AJQ259" s="21"/>
      <c r="AJR259" s="21"/>
      <c r="AJT259" s="33"/>
      <c r="AJU259" s="33"/>
      <c r="AJX259" s="33"/>
      <c r="AJY259" s="21"/>
      <c r="AJZ259" s="21"/>
      <c r="AKB259" s="33"/>
      <c r="AKC259" s="33"/>
      <c r="AKF259" s="33"/>
      <c r="AKG259" s="21"/>
      <c r="AKH259" s="21"/>
      <c r="AKJ259" s="33"/>
      <c r="AKK259" s="33"/>
      <c r="AKN259" s="33"/>
      <c r="AKO259" s="21"/>
      <c r="AKP259" s="21"/>
      <c r="AKR259" s="33"/>
      <c r="AKS259" s="33"/>
      <c r="AKV259" s="33"/>
      <c r="AKW259" s="21"/>
      <c r="AKX259" s="21"/>
      <c r="AKZ259" s="33"/>
      <c r="ALA259" s="33"/>
      <c r="ALD259" s="33"/>
      <c r="ALE259" s="21"/>
      <c r="ALF259" s="21"/>
      <c r="ALH259" s="33"/>
      <c r="ALI259" s="33"/>
      <c r="ALL259" s="33"/>
      <c r="ALM259" s="21"/>
      <c r="ALN259" s="21"/>
      <c r="ALP259" s="33"/>
      <c r="ALQ259" s="33"/>
      <c r="ALT259" s="33"/>
      <c r="ALU259" s="21"/>
      <c r="ALV259" s="21"/>
      <c r="ALX259" s="33"/>
      <c r="ALY259" s="33"/>
      <c r="AMB259" s="33"/>
      <c r="AMC259" s="21"/>
      <c r="AMD259" s="21"/>
      <c r="AMF259" s="33"/>
      <c r="AMG259" s="33"/>
      <c r="AMJ259" s="33"/>
    </row>
    <row r="260" customFormat="false" ht="13.8" hidden="false" customHeight="false" outlineLevel="0" collapsed="false">
      <c r="A260" s="22" t="s">
        <v>790</v>
      </c>
      <c r="B260" s="23" t="n">
        <v>42909</v>
      </c>
      <c r="C260" s="24" t="n">
        <v>2</v>
      </c>
      <c r="D260" s="25" t="n">
        <v>42814</v>
      </c>
      <c r="E260" s="23" t="n">
        <v>32674</v>
      </c>
      <c r="F260" s="14" t="n">
        <f aca="false">(B260-E260)/365.25</f>
        <v>28.0219028062971</v>
      </c>
      <c r="G260" s="14" t="n">
        <f aca="false">(B260-D260)/365.25</f>
        <v>0.26009582477755</v>
      </c>
      <c r="H260" s="26" t="s">
        <v>306</v>
      </c>
      <c r="I260" s="21" t="s">
        <v>777</v>
      </c>
      <c r="J260" s="21" t="s">
        <v>183</v>
      </c>
      <c r="K260" s="21" t="n">
        <v>8</v>
      </c>
      <c r="L260" s="26" t="n">
        <v>65</v>
      </c>
      <c r="M260" s="24" t="n">
        <v>1.75</v>
      </c>
      <c r="N260" s="27" t="n">
        <f aca="false">L260/(M260*M260)</f>
        <v>21.2244897959184</v>
      </c>
      <c r="O260" s="26" t="n">
        <v>0</v>
      </c>
      <c r="P260" s="26" t="n">
        <v>0</v>
      </c>
      <c r="Q260" s="26" t="n">
        <v>0</v>
      </c>
      <c r="R260" s="26" t="n">
        <v>0</v>
      </c>
      <c r="S260" s="26" t="n">
        <v>0</v>
      </c>
      <c r="T260" s="26" t="n">
        <v>0</v>
      </c>
      <c r="U260" s="19" t="n">
        <v>0</v>
      </c>
      <c r="V260" s="19" t="n">
        <v>0</v>
      </c>
      <c r="W260" s="26" t="n">
        <v>0</v>
      </c>
      <c r="X260" s="26" t="n">
        <v>0</v>
      </c>
      <c r="Y260" s="26" t="n">
        <v>0</v>
      </c>
      <c r="Z260" s="26" t="n">
        <v>0</v>
      </c>
      <c r="AA260" s="26" t="n">
        <v>0</v>
      </c>
      <c r="AB260" s="26" t="n">
        <v>0</v>
      </c>
      <c r="AC260" s="26" t="n">
        <v>1</v>
      </c>
      <c r="AD260" s="26" t="n">
        <v>12</v>
      </c>
      <c r="AE260" s="26" t="n">
        <v>0</v>
      </c>
      <c r="AF260" s="26" t="n">
        <v>0</v>
      </c>
      <c r="AG260" s="26" t="n">
        <v>0</v>
      </c>
      <c r="AH260" s="26" t="n">
        <v>0</v>
      </c>
      <c r="AI260" s="26" t="n">
        <v>0</v>
      </c>
      <c r="AJ260" s="26" t="n">
        <v>0</v>
      </c>
      <c r="AK260" s="26" t="n">
        <v>0</v>
      </c>
      <c r="AL260" s="26" t="n">
        <v>0</v>
      </c>
      <c r="AM260" s="19" t="n">
        <v>0</v>
      </c>
      <c r="AN260" s="26" t="n">
        <v>0</v>
      </c>
      <c r="AO260" s="26" t="n">
        <v>0</v>
      </c>
      <c r="AP260" s="26" t="n">
        <v>0</v>
      </c>
      <c r="AQ260" s="26" t="n">
        <v>0</v>
      </c>
      <c r="AR260" s="26" t="n">
        <v>0</v>
      </c>
      <c r="AS260" s="26" t="n">
        <v>0</v>
      </c>
      <c r="AT260" s="26" t="n">
        <v>0</v>
      </c>
      <c r="AU260" s="26" t="n">
        <v>0</v>
      </c>
      <c r="AV260" s="26" t="n">
        <v>0</v>
      </c>
      <c r="AW260" s="26" t="n">
        <v>0</v>
      </c>
      <c r="AX260" s="26" t="n">
        <v>0</v>
      </c>
      <c r="AY260" s="26" t="n">
        <v>0</v>
      </c>
      <c r="AZ260" s="26" t="n">
        <v>0</v>
      </c>
      <c r="BA260" s="26" t="n">
        <v>0</v>
      </c>
      <c r="BB260" s="26" t="n">
        <v>0</v>
      </c>
      <c r="BC260" s="26" t="n">
        <v>0</v>
      </c>
      <c r="BD260" s="26" t="n">
        <v>0</v>
      </c>
      <c r="BE260" s="26" t="n">
        <v>0</v>
      </c>
      <c r="BF260" s="26" t="n">
        <v>0</v>
      </c>
      <c r="BG260" s="26" t="n">
        <v>0</v>
      </c>
      <c r="BH260" s="26" t="n">
        <v>0</v>
      </c>
      <c r="BI260" s="26" t="n">
        <v>0</v>
      </c>
      <c r="BJ260" s="26" t="n">
        <v>1</v>
      </c>
      <c r="BK260" s="26" t="n">
        <v>0</v>
      </c>
      <c r="BL260" s="26" t="n">
        <v>1</v>
      </c>
      <c r="BM260" s="26" t="n">
        <v>2</v>
      </c>
      <c r="BN260" s="26" t="n">
        <v>0</v>
      </c>
      <c r="BO260" s="26" t="n">
        <v>0</v>
      </c>
      <c r="BP260" s="26" t="n">
        <v>0</v>
      </c>
      <c r="BQ260" s="26" t="n">
        <v>0</v>
      </c>
      <c r="BR260" s="26" t="n">
        <v>1</v>
      </c>
      <c r="BS260" s="26" t="n">
        <v>1</v>
      </c>
      <c r="BT260" s="26" t="n">
        <v>2</v>
      </c>
      <c r="BU260" s="26" t="n">
        <v>5</v>
      </c>
      <c r="BV260" s="26" t="n">
        <v>3</v>
      </c>
      <c r="BW260" s="26" t="n">
        <v>1</v>
      </c>
      <c r="BX260" s="26" t="n">
        <v>4</v>
      </c>
      <c r="BY260" s="26" t="n">
        <v>5</v>
      </c>
      <c r="BZ260" s="26" t="n">
        <v>5</v>
      </c>
      <c r="CA260" s="26" t="n">
        <v>2</v>
      </c>
      <c r="CB260" s="26" t="n">
        <v>5</v>
      </c>
      <c r="CC260" s="26" t="n">
        <v>5</v>
      </c>
      <c r="CD260" s="26" t="n">
        <v>5</v>
      </c>
      <c r="CE260" s="26" t="n">
        <v>5</v>
      </c>
      <c r="CF260" s="26" t="n">
        <v>5</v>
      </c>
      <c r="CG260" s="26" t="n">
        <v>5</v>
      </c>
      <c r="CH260" s="26" t="n">
        <v>4</v>
      </c>
      <c r="CI260" s="26" t="n">
        <v>4</v>
      </c>
      <c r="CJ260" s="26" t="n">
        <v>4</v>
      </c>
      <c r="CK260" s="26" t="n">
        <v>10</v>
      </c>
      <c r="CL260" s="24" t="s">
        <v>779</v>
      </c>
      <c r="CM260" s="24" t="n">
        <v>43</v>
      </c>
      <c r="CN260" s="27" t="n">
        <v>91.8</v>
      </c>
      <c r="CO260" s="27" t="n">
        <v>83.4</v>
      </c>
      <c r="CP260" s="27" t="n">
        <v>25.8</v>
      </c>
      <c r="CQ260" s="24" t="n">
        <v>68.3</v>
      </c>
      <c r="CR260" s="24" t="n">
        <v>0</v>
      </c>
      <c r="CS260" s="24" t="n">
        <v>0</v>
      </c>
      <c r="CT260" s="24" t="n">
        <v>0</v>
      </c>
      <c r="CU260" s="24" t="n">
        <v>31.54</v>
      </c>
      <c r="CV260" s="24" t="n">
        <v>0</v>
      </c>
      <c r="CW260" s="24" t="n">
        <v>0</v>
      </c>
      <c r="CX260" s="24" t="n">
        <v>0</v>
      </c>
      <c r="CY260" s="24" t="n">
        <v>0</v>
      </c>
      <c r="CZ260" s="24" t="n">
        <v>0</v>
      </c>
      <c r="DA260" s="24" t="n">
        <v>0</v>
      </c>
      <c r="DB260" s="24" t="n">
        <v>48.27</v>
      </c>
      <c r="DC260" s="24" t="n">
        <v>58.3</v>
      </c>
      <c r="DD260" s="24" t="n">
        <v>1.34</v>
      </c>
      <c r="DE260" s="24" t="n">
        <v>0</v>
      </c>
      <c r="DF260" s="24" t="n">
        <v>0.16</v>
      </c>
      <c r="DG260" s="24" t="n">
        <v>0</v>
      </c>
      <c r="DH260" s="24" t="n">
        <v>0</v>
      </c>
      <c r="DU260" s="24" t="n">
        <v>11</v>
      </c>
      <c r="DV260" s="24" t="n">
        <v>1</v>
      </c>
      <c r="DW260" s="24" t="n">
        <v>30</v>
      </c>
      <c r="DX260" s="24" t="n">
        <v>1</v>
      </c>
      <c r="DY260" s="24" t="n">
        <v>0.73</v>
      </c>
      <c r="DZ260" s="24" t="n">
        <v>1</v>
      </c>
      <c r="EG260" s="28"/>
      <c r="EY260" s="24" t="n">
        <v>1</v>
      </c>
      <c r="EZ260" s="24" t="n">
        <v>60</v>
      </c>
      <c r="FA260" s="24" t="n">
        <v>14</v>
      </c>
      <c r="FB260" s="24" t="n">
        <f aca="false">1.25+0.05+0.21+0.21+0.31+0.08</f>
        <v>2.11</v>
      </c>
      <c r="FC260" s="24" t="n">
        <v>6</v>
      </c>
      <c r="FD260" s="24" t="n">
        <v>50</v>
      </c>
      <c r="FE260" s="24" t="n">
        <v>8</v>
      </c>
      <c r="FF260" s="24" t="n">
        <f aca="false">2.94*2</f>
        <v>5.88</v>
      </c>
      <c r="FG260" s="24" t="n">
        <v>4</v>
      </c>
      <c r="GJ260" s="27" t="n">
        <v>2.45</v>
      </c>
      <c r="GK260" s="27" t="n">
        <v>1</v>
      </c>
      <c r="GL260" s="27" t="n">
        <v>1</v>
      </c>
      <c r="GM260" s="27"/>
      <c r="GN260" s="27" t="n">
        <f aca="false">0.03*2+0.16+0.46</f>
        <v>0.68</v>
      </c>
      <c r="GO260" s="27" t="n">
        <v>2</v>
      </c>
      <c r="GP260" s="27"/>
      <c r="GQ260" s="27" t="n">
        <f aca="false">6.12+0.54</f>
        <v>6.66</v>
      </c>
      <c r="GR260" s="27"/>
      <c r="GS260" s="27"/>
      <c r="GT260" s="27"/>
      <c r="GU260" s="27" t="n">
        <v>3.68</v>
      </c>
      <c r="GV260" s="27" t="n">
        <v>1.63</v>
      </c>
      <c r="GW260" s="27"/>
      <c r="GX260" s="27"/>
      <c r="GY260" s="27" t="n">
        <v>0</v>
      </c>
      <c r="GZ260" s="27" t="n">
        <v>0</v>
      </c>
      <c r="HA260" s="27" t="n">
        <v>0</v>
      </c>
      <c r="HB260" s="24" t="n">
        <v>0</v>
      </c>
      <c r="HC260" s="24" t="s">
        <v>780</v>
      </c>
      <c r="HD260" s="24" t="n">
        <v>46</v>
      </c>
      <c r="HE260" s="27" t="n">
        <v>101.6</v>
      </c>
      <c r="HF260" s="27" t="n">
        <v>83.4</v>
      </c>
      <c r="HG260" s="27" t="n">
        <v>27.8</v>
      </c>
      <c r="HH260" s="24" t="n">
        <v>66.04</v>
      </c>
      <c r="HI260" s="24" t="n">
        <v>0</v>
      </c>
      <c r="HJ260" s="24" t="n">
        <v>0</v>
      </c>
      <c r="HK260" s="24" t="n">
        <v>0</v>
      </c>
      <c r="HL260" s="24" t="n">
        <v>35.15</v>
      </c>
      <c r="HM260" s="24" t="n">
        <v>0</v>
      </c>
      <c r="HN260" s="24" t="n">
        <v>0</v>
      </c>
      <c r="HO260" s="24" t="n">
        <v>0</v>
      </c>
      <c r="HP260" s="24" t="n">
        <v>0</v>
      </c>
      <c r="HQ260" s="24" t="n">
        <v>0</v>
      </c>
      <c r="HR260" s="24" t="n">
        <v>0</v>
      </c>
      <c r="HS260" s="24" t="n">
        <v>43.27</v>
      </c>
      <c r="HT260" s="24" t="n">
        <v>65.02</v>
      </c>
      <c r="HU260" s="24" t="n">
        <v>6.59</v>
      </c>
      <c r="HV260" s="24" t="n">
        <v>0.88</v>
      </c>
      <c r="HW260" s="24" t="n">
        <v>0.16</v>
      </c>
      <c r="HX260" s="24" t="n">
        <v>0</v>
      </c>
      <c r="HY260" s="24" t="n">
        <v>0</v>
      </c>
      <c r="IL260" s="24" t="n">
        <v>14.9</v>
      </c>
      <c r="IM260" s="24" t="n">
        <v>1</v>
      </c>
      <c r="IN260" s="24" t="n">
        <v>30</v>
      </c>
      <c r="IO260" s="24" t="n">
        <v>1</v>
      </c>
      <c r="IP260" s="24" t="n">
        <v>0.73</v>
      </c>
      <c r="IQ260" s="24" t="n">
        <v>1</v>
      </c>
      <c r="IR260" s="24" t="n">
        <v>47</v>
      </c>
      <c r="IS260" s="24" t="n">
        <v>1</v>
      </c>
      <c r="IT260" s="24" t="n">
        <v>0.11</v>
      </c>
      <c r="IU260" s="24" t="n">
        <v>3</v>
      </c>
      <c r="IX260" s="28"/>
      <c r="JP260" s="24" t="n">
        <v>1</v>
      </c>
      <c r="JQ260" s="24" t="n">
        <v>60</v>
      </c>
      <c r="JR260" s="24" t="n">
        <v>4</v>
      </c>
      <c r="JS260" s="24" t="n">
        <v>1.68</v>
      </c>
      <c r="JT260" s="24" t="n">
        <v>6</v>
      </c>
      <c r="JU260" s="24" t="n">
        <v>50</v>
      </c>
      <c r="JV260" s="24" t="n">
        <v>8</v>
      </c>
      <c r="JW260" s="24" t="n">
        <f aca="false">2.94*2</f>
        <v>5.88</v>
      </c>
      <c r="JX260" s="24" t="n">
        <v>4</v>
      </c>
      <c r="JY260" s="24" t="n">
        <v>50</v>
      </c>
      <c r="JZ260" s="24" t="n">
        <v>4</v>
      </c>
      <c r="KA260" s="24" t="n">
        <v>0.76</v>
      </c>
      <c r="KB260" s="24" t="n">
        <v>6</v>
      </c>
      <c r="KC260" s="24" t="n">
        <v>80</v>
      </c>
      <c r="KD260" s="24" t="n">
        <v>8</v>
      </c>
      <c r="KE260" s="24" t="n">
        <f aca="false">0.31+0.21</f>
        <v>0.52</v>
      </c>
      <c r="KF260" s="24" t="n">
        <v>6</v>
      </c>
      <c r="LA260" s="27" t="n">
        <v>2.05</v>
      </c>
      <c r="LB260" s="27" t="n">
        <v>1</v>
      </c>
      <c r="LC260" s="27" t="n">
        <v>1</v>
      </c>
      <c r="LD260" s="27"/>
      <c r="LE260" s="27" t="n">
        <f aca="false">6.12+0.54+0.36</f>
        <v>7.02</v>
      </c>
      <c r="LF260" s="27" t="n">
        <v>2</v>
      </c>
      <c r="LG260" s="27"/>
      <c r="LH260" s="27" t="n">
        <v>6.01</v>
      </c>
      <c r="LI260" s="27"/>
      <c r="LJ260" s="27"/>
      <c r="LK260" s="27"/>
      <c r="LL260" s="27" t="n">
        <v>0.86</v>
      </c>
      <c r="LM260" s="27" t="n">
        <v>0.85</v>
      </c>
      <c r="LN260" s="27"/>
      <c r="LO260" s="27"/>
      <c r="LP260" s="27" t="n">
        <v>0</v>
      </c>
      <c r="LQ260" s="27" t="n">
        <v>0</v>
      </c>
      <c r="LR260" s="27" t="n">
        <v>0</v>
      </c>
      <c r="LS260" s="24" t="n">
        <v>0</v>
      </c>
      <c r="LT260" s="24" t="n">
        <v>100</v>
      </c>
      <c r="LU260" s="24" t="n">
        <v>29.5</v>
      </c>
      <c r="LV260" s="27" t="n">
        <v>94.9</v>
      </c>
      <c r="LW260" s="27" t="n">
        <v>83.4</v>
      </c>
      <c r="LX260" s="27" t="n">
        <v>17.6</v>
      </c>
      <c r="LY260" s="24" t="n">
        <v>85.6</v>
      </c>
      <c r="LZ260" s="24" t="n">
        <v>0</v>
      </c>
      <c r="MA260" s="24" t="n">
        <v>0</v>
      </c>
      <c r="MB260" s="24" t="n">
        <v>0</v>
      </c>
      <c r="MC260" s="24" t="n">
        <v>14.4</v>
      </c>
      <c r="MD260" s="24" t="n">
        <v>0</v>
      </c>
      <c r="ME260" s="24" t="n">
        <v>0</v>
      </c>
      <c r="MF260" s="24" t="n">
        <v>0</v>
      </c>
      <c r="MG260" s="24" t="n">
        <v>0</v>
      </c>
      <c r="MH260" s="24" t="n">
        <v>0</v>
      </c>
      <c r="MI260" s="24" t="n">
        <v>0</v>
      </c>
      <c r="MJ260" s="24" t="n">
        <v>1.95</v>
      </c>
      <c r="MK260" s="24" t="n">
        <v>9.45</v>
      </c>
      <c r="ML260" s="24" t="n">
        <v>11.24</v>
      </c>
      <c r="MM260" s="24" t="n">
        <v>36.94</v>
      </c>
      <c r="MN260" s="24" t="n">
        <v>0</v>
      </c>
      <c r="MO260" s="24" t="n">
        <v>11.5</v>
      </c>
      <c r="MP260" s="24" t="n">
        <v>1</v>
      </c>
      <c r="MQ260" s="24" t="n">
        <v>5</v>
      </c>
      <c r="MS260" s="24" t="n">
        <v>4</v>
      </c>
      <c r="NC260" s="24" t="n">
        <v>0</v>
      </c>
      <c r="ND260" s="24" t="n">
        <v>0</v>
      </c>
      <c r="NO260" s="28"/>
      <c r="OG260" s="24" t="n">
        <v>0</v>
      </c>
      <c r="PR260" s="27" t="n">
        <v>0.2</v>
      </c>
      <c r="PS260" s="27" t="n">
        <v>1</v>
      </c>
      <c r="PT260" s="27" t="n">
        <v>1</v>
      </c>
      <c r="PU260" s="27"/>
      <c r="PV260" s="27" t="n">
        <f aca="false">0.14+0.23+0.07+0.21</f>
        <v>0.65</v>
      </c>
      <c r="PW260" s="27"/>
      <c r="PX260" s="27"/>
      <c r="PY260" s="27"/>
      <c r="PZ260" s="27"/>
      <c r="QA260" s="27"/>
      <c r="QB260" s="27"/>
      <c r="QC260" s="27" t="n">
        <v>0.23</v>
      </c>
      <c r="QD260" s="27" t="n">
        <v>0.23</v>
      </c>
      <c r="QE260" s="27"/>
      <c r="QF260" s="27"/>
      <c r="QG260" s="27" t="n">
        <v>0</v>
      </c>
      <c r="QH260" s="27" t="n">
        <v>0</v>
      </c>
      <c r="QI260" s="27" t="n">
        <v>0</v>
      </c>
      <c r="QJ260" s="24" t="n">
        <v>0</v>
      </c>
      <c r="QK260" s="24" t="s">
        <v>781</v>
      </c>
      <c r="QL260" s="24" t="n">
        <v>47.5</v>
      </c>
      <c r="QM260" s="27" t="n">
        <v>49.3</v>
      </c>
      <c r="QN260" s="27" t="n">
        <v>83.4</v>
      </c>
      <c r="QO260" s="27" t="n">
        <v>35.7</v>
      </c>
      <c r="QP260" s="24" t="n">
        <v>66.48</v>
      </c>
      <c r="QQ260" s="24" t="n">
        <v>0</v>
      </c>
      <c r="QR260" s="24" t="n">
        <v>6.11</v>
      </c>
      <c r="QS260" s="24" t="n">
        <v>0</v>
      </c>
      <c r="QT260" s="24" t="n">
        <v>9.56</v>
      </c>
      <c r="QU260" s="24" t="n">
        <v>0</v>
      </c>
      <c r="QV260" s="24" t="n">
        <v>6.1</v>
      </c>
      <c r="QW260" s="24" t="n">
        <v>3.05</v>
      </c>
      <c r="QX260" s="24" t="n">
        <v>0</v>
      </c>
      <c r="QY260" s="24" t="n">
        <v>0</v>
      </c>
      <c r="QZ260" s="24" t="n">
        <v>0</v>
      </c>
      <c r="RA260" s="24" t="n">
        <v>0</v>
      </c>
      <c r="RB260" s="24" t="n">
        <v>17.78</v>
      </c>
      <c r="RC260" s="24" t="n">
        <v>9.13</v>
      </c>
      <c r="RD260" s="24" t="n">
        <v>2.7</v>
      </c>
      <c r="RE260" s="24" t="n">
        <v>11.73</v>
      </c>
      <c r="RF260" s="24" t="n">
        <v>0</v>
      </c>
      <c r="RG260" s="24" t="n">
        <v>0</v>
      </c>
      <c r="RT260" s="24" t="n">
        <v>5.7</v>
      </c>
      <c r="RU260" s="24" t="n">
        <v>1</v>
      </c>
      <c r="RV260" s="24" t="n">
        <v>30</v>
      </c>
      <c r="RW260" s="24" t="n">
        <v>10</v>
      </c>
      <c r="RX260" s="24" t="n">
        <f aca="false">0.15*2+0.16*8</f>
        <v>1.58</v>
      </c>
      <c r="RY260" s="24" t="n">
        <v>3</v>
      </c>
      <c r="SF260" s="28"/>
      <c r="SX260" s="24" t="n">
        <v>1</v>
      </c>
      <c r="SY260" s="24" t="n">
        <v>40</v>
      </c>
      <c r="SZ260" s="24" t="n">
        <v>4</v>
      </c>
      <c r="TA260" s="24" t="n">
        <v>0.6</v>
      </c>
      <c r="TB260" s="24" t="n">
        <v>2</v>
      </c>
      <c r="UI260" s="27" t="n">
        <v>0.53</v>
      </c>
      <c r="UJ260" s="27" t="n">
        <v>1</v>
      </c>
      <c r="UK260" s="27" t="n">
        <v>1</v>
      </c>
      <c r="UL260" s="27"/>
      <c r="UM260" s="27" t="n">
        <f aca="false">0.64*4+0.08</f>
        <v>2.64</v>
      </c>
      <c r="UN260" s="27"/>
      <c r="UO260" s="27"/>
      <c r="UP260" s="27"/>
      <c r="UQ260" s="27"/>
      <c r="UR260" s="27"/>
      <c r="US260" s="27"/>
      <c r="UT260" s="27" t="n">
        <v>5.06</v>
      </c>
      <c r="UU260" s="27" t="n">
        <v>1.58</v>
      </c>
      <c r="UV260" s="27"/>
      <c r="UW260" s="27"/>
      <c r="UX260" s="27" t="n">
        <v>0</v>
      </c>
      <c r="UY260" s="27" t="n">
        <v>0</v>
      </c>
      <c r="UZ260" s="27" t="n">
        <v>0</v>
      </c>
      <c r="VA260" s="24" t="n">
        <v>0</v>
      </c>
      <c r="VB260" s="24" t="s">
        <v>782</v>
      </c>
      <c r="VC260" s="24" t="n">
        <v>71</v>
      </c>
      <c r="VD260" s="27" t="n">
        <v>92</v>
      </c>
      <c r="VE260" s="27" t="n">
        <v>166.8</v>
      </c>
      <c r="VF260" s="27" t="n">
        <v>65</v>
      </c>
      <c r="VG260" s="24" t="n">
        <v>28.78</v>
      </c>
      <c r="VH260" s="24" t="n">
        <v>0</v>
      </c>
      <c r="VI260" s="24" t="n">
        <v>0</v>
      </c>
      <c r="VJ260" s="24" t="n">
        <v>0</v>
      </c>
      <c r="VK260" s="24" t="n">
        <v>2.5</v>
      </c>
      <c r="VL260" s="24" t="n">
        <v>0</v>
      </c>
      <c r="VM260" s="24" t="n">
        <v>8.54</v>
      </c>
      <c r="VN260" s="24" t="n">
        <v>0</v>
      </c>
      <c r="VO260" s="24" t="n">
        <v>0</v>
      </c>
      <c r="VP260" s="24" t="n">
        <v>2.76</v>
      </c>
      <c r="VQ260" s="24" t="n">
        <v>0</v>
      </c>
      <c r="VR260" s="24" t="n">
        <v>9.52</v>
      </c>
      <c r="VS260" s="24" t="n">
        <v>36.91</v>
      </c>
      <c r="VT260" s="24" t="n">
        <v>26.15</v>
      </c>
      <c r="VU260" s="24" t="n">
        <v>1.97</v>
      </c>
      <c r="VV260" s="24" t="n">
        <v>60.18</v>
      </c>
      <c r="VW260" s="24" t="n">
        <v>0</v>
      </c>
      <c r="VX260" s="24" t="n">
        <v>0</v>
      </c>
      <c r="WK260" s="24" t="n">
        <v>0.1</v>
      </c>
      <c r="WL260" s="24" t="n">
        <v>0</v>
      </c>
      <c r="WW260" s="28"/>
      <c r="XO260" s="24" t="n">
        <v>1</v>
      </c>
      <c r="XP260" s="24" t="n">
        <v>50</v>
      </c>
      <c r="XQ260" s="24" t="n">
        <v>4</v>
      </c>
      <c r="XR260" s="24" t="n">
        <f aca="false">0.37*4</f>
        <v>1.48</v>
      </c>
      <c r="XS260" s="24" t="n">
        <v>3</v>
      </c>
      <c r="XT260" s="24" t="n">
        <v>40</v>
      </c>
      <c r="XU260" s="24" t="n">
        <v>6</v>
      </c>
      <c r="XV260" s="24" t="n">
        <v>2.2</v>
      </c>
      <c r="XW260" s="24" t="n">
        <v>3</v>
      </c>
      <c r="XX260" s="24" t="n">
        <v>50</v>
      </c>
      <c r="XY260" s="24" t="n">
        <v>1</v>
      </c>
      <c r="XZ260" s="24" t="n">
        <v>0.06</v>
      </c>
      <c r="YA260" s="24" t="n">
        <v>1</v>
      </c>
      <c r="YB260" s="24" t="n">
        <v>60</v>
      </c>
      <c r="YC260" s="24" t="n">
        <v>3</v>
      </c>
      <c r="YD260" s="24" t="n">
        <v>0.19</v>
      </c>
      <c r="YE260" s="24" t="n">
        <v>4</v>
      </c>
      <c r="YZ260" s="27" t="n">
        <v>1.11</v>
      </c>
      <c r="ZA260" s="27" t="n">
        <v>1</v>
      </c>
      <c r="ZB260" s="27" t="n">
        <v>1</v>
      </c>
      <c r="ZC260" s="27"/>
      <c r="ZD260" s="27" t="n">
        <f aca="false">0.51*2+0.09+0.15*2+1.65+0.18+0.72</f>
        <v>3.96</v>
      </c>
      <c r="ZE260" s="27"/>
      <c r="ZF260" s="27"/>
      <c r="ZG260" s="27"/>
      <c r="ZH260" s="27"/>
      <c r="ZI260" s="27"/>
      <c r="ZJ260" s="27"/>
      <c r="ZK260" s="27" t="n">
        <v>1.95</v>
      </c>
      <c r="ZL260" s="27" t="n">
        <v>1.96</v>
      </c>
      <c r="ZM260" s="27"/>
      <c r="ZN260" s="27"/>
      <c r="ZO260" s="27" t="n">
        <v>2.88</v>
      </c>
      <c r="ZP260" s="27" t="n">
        <v>0</v>
      </c>
      <c r="ZQ260" s="27" t="n">
        <v>0</v>
      </c>
      <c r="ZR260" s="24" t="n">
        <v>2</v>
      </c>
      <c r="ZS260" s="24" t="s">
        <v>783</v>
      </c>
      <c r="ZT260" s="24" t="n">
        <v>35</v>
      </c>
      <c r="ZU260" s="27" t="n">
        <v>89.3</v>
      </c>
      <c r="ZV260" s="27" t="n">
        <v>83.4</v>
      </c>
      <c r="ZW260" s="27" t="n">
        <v>12.6</v>
      </c>
      <c r="ZX260" s="24" t="n">
        <v>87.93</v>
      </c>
      <c r="ZY260" s="24" t="n">
        <v>0</v>
      </c>
      <c r="ZZ260" s="24" t="n">
        <v>0</v>
      </c>
      <c r="AAA260" s="24" t="n">
        <v>1.49</v>
      </c>
      <c r="AAB260" s="24" t="n">
        <v>10.58</v>
      </c>
      <c r="AAC260" s="24" t="n">
        <v>0</v>
      </c>
      <c r="AAD260" s="24" t="n">
        <v>0</v>
      </c>
      <c r="AAE260" s="24" t="n">
        <v>0</v>
      </c>
      <c r="AAF260" s="24" t="n">
        <v>0</v>
      </c>
      <c r="AAG260" s="24" t="n">
        <v>0</v>
      </c>
      <c r="AAH260" s="24" t="n">
        <v>0</v>
      </c>
      <c r="AAI260" s="24" t="n">
        <v>0.17</v>
      </c>
      <c r="AAJ260" s="24" t="n">
        <v>38.78</v>
      </c>
      <c r="AAK260" s="24" t="n">
        <v>29.47</v>
      </c>
      <c r="AAL260" s="24" t="n">
        <v>0</v>
      </c>
      <c r="AAM260" s="24" t="n">
        <v>0</v>
      </c>
      <c r="AAN260" s="24" t="n">
        <v>4</v>
      </c>
      <c r="AAO260" s="24" t="n">
        <v>1</v>
      </c>
      <c r="AAP260" s="24" t="n">
        <v>3</v>
      </c>
      <c r="AAR260" s="24" t="n">
        <v>4</v>
      </c>
      <c r="ABB260" s="24" t="n">
        <v>9.7</v>
      </c>
      <c r="ABC260" s="24" t="n">
        <v>1</v>
      </c>
      <c r="ABD260" s="24" t="n">
        <v>68</v>
      </c>
      <c r="ABE260" s="24" t="n">
        <v>1</v>
      </c>
      <c r="ABF260" s="24" t="n">
        <v>0.02</v>
      </c>
      <c r="ABG260" s="24" t="n">
        <v>1</v>
      </c>
      <c r="ABH260" s="24" t="n">
        <v>35</v>
      </c>
      <c r="ABI260" s="24" t="n">
        <v>10</v>
      </c>
      <c r="ABJ260" s="24" t="n">
        <f aca="false">0.22*2+0.43*2+0.65+0.04+0.02+0.08</f>
        <v>2.09</v>
      </c>
      <c r="ABK260" s="24" t="n">
        <v>3</v>
      </c>
      <c r="ABN260" s="28"/>
      <c r="ACF260" s="24" t="n">
        <v>1</v>
      </c>
      <c r="ACG260" s="24" t="n">
        <v>50</v>
      </c>
      <c r="ACH260" s="24" t="n">
        <f aca="false">4*3+3*4</f>
        <v>24</v>
      </c>
      <c r="ACI260" s="24" t="n">
        <f aca="false">0.07+0.25+0.11+0.65+1.3+15</f>
        <v>17.38</v>
      </c>
      <c r="ACJ260" s="24" t="n">
        <v>1</v>
      </c>
      <c r="ACK260" s="24" t="n">
        <v>40</v>
      </c>
      <c r="ACL260" s="24" t="n">
        <v>18</v>
      </c>
      <c r="ACM260" s="24" t="n">
        <f aca="false">0.87+0.17+0.08+0.34+1.73+0.43+0.87+0.07</f>
        <v>4.56</v>
      </c>
      <c r="ACN260" s="24" t="n">
        <v>1</v>
      </c>
      <c r="ACO260" s="24" t="n">
        <v>40</v>
      </c>
      <c r="ACP260" s="24" t="n">
        <v>2</v>
      </c>
      <c r="ACQ260" s="24" t="n">
        <v>0.12</v>
      </c>
      <c r="ACR260" s="24" t="n">
        <v>5</v>
      </c>
      <c r="ACS260" s="24" t="n">
        <v>50</v>
      </c>
      <c r="ACT260" s="24" t="n">
        <v>1</v>
      </c>
      <c r="ACU260" s="24" t="n">
        <v>0.22</v>
      </c>
      <c r="ACV260" s="24" t="n">
        <v>6</v>
      </c>
      <c r="ACW260" s="24" t="n">
        <v>40</v>
      </c>
      <c r="ACX260" s="24" t="n">
        <v>3</v>
      </c>
      <c r="ACY260" s="24" t="n">
        <v>0.16</v>
      </c>
      <c r="ACZ260" s="24" t="n">
        <v>6</v>
      </c>
      <c r="ADQ260" s="27" t="n">
        <v>0.68</v>
      </c>
      <c r="ADR260" s="27" t="n">
        <v>1</v>
      </c>
      <c r="ADS260" s="27" t="n">
        <v>1</v>
      </c>
      <c r="ADT260" s="27"/>
      <c r="ADU260" s="27" t="n">
        <f aca="false">0.34+0.91+1.8+0.08+0.3</f>
        <v>3.43</v>
      </c>
      <c r="ADV260" s="27"/>
      <c r="ADW260" s="27"/>
      <c r="ADX260" s="27"/>
      <c r="ADY260" s="27"/>
      <c r="ADZ260" s="27"/>
      <c r="AEA260" s="27"/>
      <c r="AEB260" s="27" t="n">
        <v>7.83</v>
      </c>
      <c r="AEC260" s="27" t="n">
        <v>8.68</v>
      </c>
      <c r="AED260" s="27"/>
      <c r="AEE260" s="27"/>
      <c r="AEF260" s="27" t="n">
        <v>0</v>
      </c>
      <c r="AEG260" s="27" t="n">
        <v>0</v>
      </c>
      <c r="AEH260" s="27" t="n">
        <v>0</v>
      </c>
      <c r="AEI260" s="24" t="n">
        <v>0</v>
      </c>
      <c r="AEJ260" s="24" t="s">
        <v>784</v>
      </c>
      <c r="AEK260" s="24" t="n">
        <v>38</v>
      </c>
      <c r="AEL260" s="27" t="n">
        <v>92.6</v>
      </c>
      <c r="AEM260" s="27" t="n">
        <v>83.4</v>
      </c>
      <c r="AEN260" s="27" t="n">
        <v>16.5</v>
      </c>
      <c r="AEO260" s="24" t="n">
        <v>77.87</v>
      </c>
      <c r="AEP260" s="24" t="n">
        <v>0</v>
      </c>
      <c r="AEQ260" s="24" t="n">
        <v>0</v>
      </c>
      <c r="AER260" s="24" t="n">
        <v>0</v>
      </c>
      <c r="AES260" s="24" t="n">
        <v>21.87</v>
      </c>
      <c r="AET260" s="24" t="n">
        <v>0</v>
      </c>
      <c r="AEU260" s="24" t="n">
        <v>0</v>
      </c>
      <c r="AEV260" s="24" t="n">
        <v>0</v>
      </c>
      <c r="AEW260" s="24" t="n">
        <v>0</v>
      </c>
      <c r="AEX260" s="24" t="n">
        <v>0</v>
      </c>
      <c r="AEY260" s="24" t="n">
        <v>0</v>
      </c>
      <c r="AEZ260" s="24" t="n">
        <v>0.29</v>
      </c>
      <c r="AFA260" s="24" t="n">
        <v>38.85</v>
      </c>
      <c r="AFB260" s="24" t="n">
        <v>37.36</v>
      </c>
      <c r="AFC260" s="24" t="n">
        <v>5.57</v>
      </c>
      <c r="AFD260" s="24" t="n">
        <v>0</v>
      </c>
      <c r="AFE260" s="24" t="n">
        <v>0</v>
      </c>
      <c r="AFF260" s="24" t="n">
        <v>0</v>
      </c>
      <c r="AFS260" s="24" t="n">
        <v>17.5</v>
      </c>
      <c r="AFT260" s="24" t="n">
        <v>0</v>
      </c>
      <c r="AGE260" s="28"/>
      <c r="AGW260" s="24" t="n">
        <v>1</v>
      </c>
      <c r="AGX260" s="24" t="n">
        <v>70</v>
      </c>
      <c r="AGY260" s="24" t="n">
        <f aca="false">8*3+3</f>
        <v>27</v>
      </c>
      <c r="AGZ260" s="24" t="n">
        <f aca="false">5.87*3+0.58</f>
        <v>18.19</v>
      </c>
      <c r="AHA260" s="24" t="n">
        <v>1</v>
      </c>
      <c r="AIH260" s="27" t="n">
        <v>3.74</v>
      </c>
      <c r="AII260" s="27" t="n">
        <v>1</v>
      </c>
      <c r="AIJ260" s="27" t="n">
        <v>1</v>
      </c>
      <c r="AIK260" s="27"/>
      <c r="AIL260" s="27" t="n">
        <f aca="false">1.65+2.04*2+0.36*2+0.54</f>
        <v>6.99</v>
      </c>
      <c r="AIM260" s="27" t="n">
        <v>2</v>
      </c>
      <c r="AIN260" s="27"/>
      <c r="AIO260" s="27" t="n">
        <v>0.91</v>
      </c>
      <c r="AIP260" s="27"/>
      <c r="AIQ260" s="27"/>
      <c r="AIR260" s="27"/>
      <c r="AIS260" s="27" t="n">
        <v>0.19</v>
      </c>
      <c r="AIT260" s="27" t="n">
        <v>0.19</v>
      </c>
      <c r="AIU260" s="27"/>
      <c r="AIV260" s="27"/>
      <c r="AIW260" s="27" t="n">
        <v>0</v>
      </c>
      <c r="AIX260" s="27" t="n">
        <v>0</v>
      </c>
      <c r="AIY260" s="27" t="n">
        <v>0</v>
      </c>
      <c r="AIZ260" s="24" t="n">
        <v>0</v>
      </c>
      <c r="AJA260" s="21"/>
      <c r="AJB260" s="21"/>
      <c r="AJD260" s="33"/>
      <c r="AJE260" s="33"/>
      <c r="AJH260" s="33"/>
      <c r="AJI260" s="21"/>
      <c r="AJJ260" s="21"/>
      <c r="AJL260" s="33"/>
      <c r="AJM260" s="33"/>
      <c r="AJP260" s="33"/>
      <c r="AJQ260" s="21"/>
      <c r="AJR260" s="21"/>
      <c r="AJT260" s="33"/>
      <c r="AJU260" s="33"/>
      <c r="AJX260" s="33"/>
      <c r="AJY260" s="21"/>
      <c r="AJZ260" s="21"/>
      <c r="AKB260" s="33"/>
      <c r="AKC260" s="33"/>
      <c r="AKF260" s="33"/>
      <c r="AKG260" s="21"/>
      <c r="AKH260" s="21"/>
      <c r="AKJ260" s="33"/>
      <c r="AKK260" s="33"/>
      <c r="AKN260" s="33"/>
      <c r="AKO260" s="21"/>
      <c r="AKP260" s="21"/>
      <c r="AKR260" s="33"/>
      <c r="AKS260" s="33"/>
      <c r="AKV260" s="33"/>
      <c r="AKW260" s="21"/>
      <c r="AKX260" s="21"/>
      <c r="AKZ260" s="33"/>
      <c r="ALA260" s="33"/>
      <c r="ALD260" s="33"/>
      <c r="ALE260" s="21"/>
      <c r="ALF260" s="21"/>
      <c r="ALH260" s="33"/>
      <c r="ALI260" s="33"/>
      <c r="ALL260" s="33"/>
      <c r="ALM260" s="21"/>
      <c r="ALN260" s="21"/>
      <c r="ALP260" s="33"/>
      <c r="ALQ260" s="33"/>
      <c r="ALT260" s="33"/>
      <c r="ALU260" s="21"/>
      <c r="ALV260" s="21"/>
      <c r="ALX260" s="33"/>
      <c r="ALY260" s="33"/>
      <c r="AMB260" s="33"/>
      <c r="AMC260" s="21"/>
      <c r="AMD260" s="21"/>
      <c r="AMF260" s="33"/>
      <c r="AMG260" s="33"/>
      <c r="AMJ260" s="33"/>
    </row>
    <row r="261" customFormat="false" ht="13.8" hidden="false" customHeight="false" outlineLevel="0" collapsed="false">
      <c r="A261" s="22" t="s">
        <v>791</v>
      </c>
      <c r="B261" s="23" t="n">
        <v>42909</v>
      </c>
      <c r="C261" s="24" t="n">
        <v>2</v>
      </c>
      <c r="D261" s="25" t="n">
        <v>42790</v>
      </c>
      <c r="E261" s="23" t="n">
        <v>32651</v>
      </c>
      <c r="F261" s="14" t="n">
        <f aca="false">(B261-E261)/365.25</f>
        <v>28.0848733744011</v>
      </c>
      <c r="G261" s="14" t="n">
        <f aca="false">(B261-D261)/365.25</f>
        <v>0.32580424366872</v>
      </c>
      <c r="H261" s="26" t="s">
        <v>306</v>
      </c>
      <c r="I261" s="21" t="s">
        <v>777</v>
      </c>
      <c r="J261" s="21" t="s">
        <v>183</v>
      </c>
      <c r="K261" s="21" t="n">
        <v>8</v>
      </c>
      <c r="L261" s="26" t="n">
        <v>90</v>
      </c>
      <c r="M261" s="24" t="n">
        <v>1.86</v>
      </c>
      <c r="N261" s="27" t="n">
        <f aca="false">L261/(M261*M261)</f>
        <v>26.0145681581686</v>
      </c>
      <c r="O261" s="26" t="n">
        <v>0</v>
      </c>
      <c r="P261" s="26" t="n">
        <v>0</v>
      </c>
      <c r="Q261" s="26" t="n">
        <v>0</v>
      </c>
      <c r="R261" s="26" t="n">
        <v>0</v>
      </c>
      <c r="S261" s="26" t="n">
        <v>0</v>
      </c>
      <c r="T261" s="26" t="n">
        <v>0</v>
      </c>
      <c r="U261" s="19" t="n">
        <v>0</v>
      </c>
      <c r="V261" s="19" t="n">
        <v>0</v>
      </c>
      <c r="W261" s="26" t="n">
        <v>0</v>
      </c>
      <c r="X261" s="26" t="n">
        <v>0</v>
      </c>
      <c r="Y261" s="26" t="n">
        <v>1</v>
      </c>
      <c r="Z261" s="26" t="n">
        <v>1</v>
      </c>
      <c r="AA261" s="26" t="n">
        <v>60</v>
      </c>
      <c r="AB261" s="26" t="s">
        <v>537</v>
      </c>
      <c r="AC261" s="26" t="n">
        <v>0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6" t="n">
        <v>0</v>
      </c>
      <c r="AJ261" s="26" t="n">
        <v>0</v>
      </c>
      <c r="AK261" s="26" t="n">
        <v>0</v>
      </c>
      <c r="AL261" s="26" t="n">
        <v>0</v>
      </c>
      <c r="AM261" s="19" t="n">
        <v>0</v>
      </c>
      <c r="AN261" s="26" t="n">
        <v>0</v>
      </c>
      <c r="AO261" s="26" t="n">
        <v>0</v>
      </c>
      <c r="AP261" s="26" t="n">
        <v>0</v>
      </c>
      <c r="AQ261" s="26" t="n">
        <v>0</v>
      </c>
      <c r="AR261" s="26" t="n">
        <v>0</v>
      </c>
      <c r="AS261" s="26" t="n">
        <v>0</v>
      </c>
      <c r="AT261" s="26" t="n">
        <v>0</v>
      </c>
      <c r="AU261" s="26" t="n">
        <v>0</v>
      </c>
      <c r="AV261" s="26" t="n">
        <v>0</v>
      </c>
      <c r="AW261" s="26" t="n">
        <v>0</v>
      </c>
      <c r="AX261" s="26" t="n">
        <v>0</v>
      </c>
      <c r="AY261" s="26" t="n">
        <v>0</v>
      </c>
      <c r="AZ261" s="26" t="n">
        <v>0</v>
      </c>
      <c r="BA261" s="26" t="n">
        <v>0</v>
      </c>
      <c r="BB261" s="26" t="n">
        <v>0</v>
      </c>
      <c r="BC261" s="26" t="n">
        <v>0</v>
      </c>
      <c r="BD261" s="26" t="n">
        <v>0</v>
      </c>
      <c r="BE261" s="26" t="n">
        <v>0</v>
      </c>
      <c r="BF261" s="26" t="n">
        <v>0</v>
      </c>
      <c r="BG261" s="26" t="n">
        <v>0</v>
      </c>
      <c r="BH261" s="26" t="n">
        <v>0</v>
      </c>
      <c r="BI261" s="26" t="n">
        <v>0</v>
      </c>
      <c r="BJ261" s="26" t="n">
        <v>1</v>
      </c>
      <c r="BK261" s="26" t="n">
        <v>0</v>
      </c>
      <c r="BL261" s="26" t="n">
        <v>0</v>
      </c>
      <c r="BM261" s="26" t="n">
        <v>0</v>
      </c>
      <c r="BN261" s="26" t="n">
        <v>0</v>
      </c>
      <c r="BO261" s="26" t="n">
        <v>0</v>
      </c>
      <c r="BP261" s="26" t="n">
        <v>0</v>
      </c>
      <c r="BQ261" s="26" t="n">
        <v>0</v>
      </c>
      <c r="BR261" s="26" t="n">
        <v>1</v>
      </c>
      <c r="BS261" s="26" t="n">
        <v>1</v>
      </c>
      <c r="BT261" s="26" t="n">
        <v>2</v>
      </c>
      <c r="BU261" s="26" t="n">
        <v>5</v>
      </c>
      <c r="BV261" s="26" t="n">
        <v>1</v>
      </c>
      <c r="BW261" s="26" t="n">
        <v>1</v>
      </c>
      <c r="BX261" s="26" t="n">
        <v>4</v>
      </c>
      <c r="BY261" s="26" t="n">
        <v>3</v>
      </c>
      <c r="BZ261" s="26" t="n">
        <v>4</v>
      </c>
      <c r="CA261" s="26" t="n">
        <v>5</v>
      </c>
      <c r="CB261" s="26" t="n">
        <v>5</v>
      </c>
      <c r="CC261" s="26" t="n">
        <v>5</v>
      </c>
      <c r="CD261" s="26" t="n">
        <v>5</v>
      </c>
      <c r="CE261" s="26" t="n">
        <v>5</v>
      </c>
      <c r="CF261" s="26" t="n">
        <v>5</v>
      </c>
      <c r="CG261" s="26" t="n">
        <v>5</v>
      </c>
      <c r="CH261" s="26" t="n">
        <v>5</v>
      </c>
      <c r="CI261" s="26" t="n">
        <v>5</v>
      </c>
      <c r="CJ261" s="26" t="n">
        <v>5</v>
      </c>
      <c r="CK261" s="26" t="n">
        <v>10</v>
      </c>
      <c r="CL261" s="24" t="s">
        <v>779</v>
      </c>
      <c r="CM261" s="24" t="n">
        <v>43</v>
      </c>
      <c r="CN261" s="27" t="n">
        <v>91.8</v>
      </c>
      <c r="CO261" s="27" t="n">
        <v>83.4</v>
      </c>
      <c r="CP261" s="27" t="n">
        <v>25.8</v>
      </c>
      <c r="CQ261" s="24" t="n">
        <v>68.3</v>
      </c>
      <c r="CR261" s="24" t="n">
        <v>0</v>
      </c>
      <c r="CS261" s="24" t="n">
        <v>0</v>
      </c>
      <c r="CT261" s="24" t="n">
        <v>0</v>
      </c>
      <c r="CU261" s="24" t="n">
        <v>31.54</v>
      </c>
      <c r="CV261" s="24" t="n">
        <v>0</v>
      </c>
      <c r="CW261" s="24" t="n">
        <v>0</v>
      </c>
      <c r="CX261" s="24" t="n">
        <v>0</v>
      </c>
      <c r="CY261" s="24" t="n">
        <v>0</v>
      </c>
      <c r="CZ261" s="24" t="n">
        <v>0</v>
      </c>
      <c r="DA261" s="24" t="n">
        <v>0</v>
      </c>
      <c r="DB261" s="24" t="n">
        <v>48.27</v>
      </c>
      <c r="DC261" s="24" t="n">
        <v>58.3</v>
      </c>
      <c r="DD261" s="24" t="n">
        <v>1.34</v>
      </c>
      <c r="DE261" s="24" t="n">
        <v>0</v>
      </c>
      <c r="DF261" s="24" t="n">
        <v>0.16</v>
      </c>
      <c r="DG261" s="24" t="n">
        <v>0</v>
      </c>
      <c r="DH261" s="24" t="n">
        <v>0</v>
      </c>
      <c r="DU261" s="24" t="n">
        <v>11</v>
      </c>
      <c r="DV261" s="24" t="n">
        <v>1</v>
      </c>
      <c r="DW261" s="24" t="n">
        <v>30</v>
      </c>
      <c r="DX261" s="24" t="n">
        <v>1</v>
      </c>
      <c r="DY261" s="24" t="n">
        <v>0.73</v>
      </c>
      <c r="DZ261" s="24" t="n">
        <v>1</v>
      </c>
      <c r="EG261" s="28"/>
      <c r="EY261" s="24" t="n">
        <v>1</v>
      </c>
      <c r="EZ261" s="24" t="n">
        <v>60</v>
      </c>
      <c r="FA261" s="24" t="n">
        <v>14</v>
      </c>
      <c r="FB261" s="24" t="n">
        <f aca="false">1.25+0.05+0.21+0.21+0.31+0.08</f>
        <v>2.11</v>
      </c>
      <c r="FC261" s="24" t="n">
        <v>6</v>
      </c>
      <c r="FD261" s="24" t="n">
        <v>50</v>
      </c>
      <c r="FE261" s="24" t="n">
        <v>8</v>
      </c>
      <c r="FF261" s="24" t="n">
        <f aca="false">2.94*2</f>
        <v>5.88</v>
      </c>
      <c r="FG261" s="24" t="n">
        <v>4</v>
      </c>
      <c r="GJ261" s="27" t="n">
        <v>2.45</v>
      </c>
      <c r="GK261" s="27" t="n">
        <v>1</v>
      </c>
      <c r="GL261" s="27" t="n">
        <v>1</v>
      </c>
      <c r="GM261" s="27"/>
      <c r="GN261" s="27" t="n">
        <f aca="false">0.03*2+0.16+0.46</f>
        <v>0.68</v>
      </c>
      <c r="GO261" s="27" t="n">
        <v>2</v>
      </c>
      <c r="GP261" s="27"/>
      <c r="GQ261" s="27" t="n">
        <f aca="false">6.12+0.54</f>
        <v>6.66</v>
      </c>
      <c r="GR261" s="27"/>
      <c r="GS261" s="27"/>
      <c r="GT261" s="27"/>
      <c r="GU261" s="27" t="n">
        <v>3.68</v>
      </c>
      <c r="GV261" s="27" t="n">
        <v>1.63</v>
      </c>
      <c r="GW261" s="27"/>
      <c r="GX261" s="27"/>
      <c r="GY261" s="27" t="n">
        <v>0</v>
      </c>
      <c r="GZ261" s="27" t="n">
        <v>0</v>
      </c>
      <c r="HA261" s="27" t="n">
        <v>0</v>
      </c>
      <c r="HB261" s="24" t="n">
        <v>0</v>
      </c>
      <c r="HC261" s="24" t="s">
        <v>780</v>
      </c>
      <c r="HD261" s="24" t="n">
        <v>46</v>
      </c>
      <c r="HE261" s="27" t="n">
        <v>101.6</v>
      </c>
      <c r="HF261" s="27" t="n">
        <v>83.4</v>
      </c>
      <c r="HG261" s="27" t="n">
        <v>27.8</v>
      </c>
      <c r="HH261" s="24" t="n">
        <v>66.04</v>
      </c>
      <c r="HI261" s="24" t="n">
        <v>0</v>
      </c>
      <c r="HJ261" s="24" t="n">
        <v>0</v>
      </c>
      <c r="HK261" s="24" t="n">
        <v>0</v>
      </c>
      <c r="HL261" s="24" t="n">
        <v>35.15</v>
      </c>
      <c r="HM261" s="24" t="n">
        <v>0</v>
      </c>
      <c r="HN261" s="24" t="n">
        <v>0</v>
      </c>
      <c r="HO261" s="24" t="n">
        <v>0</v>
      </c>
      <c r="HP261" s="24" t="n">
        <v>0</v>
      </c>
      <c r="HQ261" s="24" t="n">
        <v>0</v>
      </c>
      <c r="HR261" s="24" t="n">
        <v>0</v>
      </c>
      <c r="HS261" s="24" t="n">
        <v>43.27</v>
      </c>
      <c r="HT261" s="24" t="n">
        <v>65.02</v>
      </c>
      <c r="HU261" s="24" t="n">
        <v>6.59</v>
      </c>
      <c r="HV261" s="24" t="n">
        <v>0.88</v>
      </c>
      <c r="HW261" s="24" t="n">
        <v>0.16</v>
      </c>
      <c r="HX261" s="24" t="n">
        <v>0</v>
      </c>
      <c r="HY261" s="24" t="n">
        <v>0</v>
      </c>
      <c r="IL261" s="24" t="n">
        <v>14.9</v>
      </c>
      <c r="IM261" s="24" t="n">
        <v>1</v>
      </c>
      <c r="IN261" s="24" t="n">
        <v>30</v>
      </c>
      <c r="IO261" s="24" t="n">
        <v>1</v>
      </c>
      <c r="IP261" s="24" t="n">
        <v>0.73</v>
      </c>
      <c r="IQ261" s="24" t="n">
        <v>1</v>
      </c>
      <c r="IR261" s="24" t="n">
        <v>47</v>
      </c>
      <c r="IS261" s="24" t="n">
        <v>1</v>
      </c>
      <c r="IT261" s="24" t="n">
        <v>0.11</v>
      </c>
      <c r="IU261" s="24" t="n">
        <v>3</v>
      </c>
      <c r="IX261" s="28"/>
      <c r="JP261" s="24" t="n">
        <v>1</v>
      </c>
      <c r="JQ261" s="24" t="n">
        <v>60</v>
      </c>
      <c r="JR261" s="24" t="n">
        <v>4</v>
      </c>
      <c r="JS261" s="24" t="n">
        <v>1.68</v>
      </c>
      <c r="JT261" s="24" t="n">
        <v>6</v>
      </c>
      <c r="JU261" s="24" t="n">
        <v>50</v>
      </c>
      <c r="JV261" s="24" t="n">
        <v>8</v>
      </c>
      <c r="JW261" s="24" t="n">
        <f aca="false">2.94*2</f>
        <v>5.88</v>
      </c>
      <c r="JX261" s="24" t="n">
        <v>4</v>
      </c>
      <c r="JY261" s="24" t="n">
        <v>50</v>
      </c>
      <c r="JZ261" s="24" t="n">
        <v>4</v>
      </c>
      <c r="KA261" s="24" t="n">
        <v>0.76</v>
      </c>
      <c r="KB261" s="24" t="n">
        <v>6</v>
      </c>
      <c r="KC261" s="24" t="n">
        <v>80</v>
      </c>
      <c r="KD261" s="24" t="n">
        <v>8</v>
      </c>
      <c r="KE261" s="24" t="n">
        <f aca="false">0.31+0.21</f>
        <v>0.52</v>
      </c>
      <c r="KF261" s="24" t="n">
        <v>6</v>
      </c>
      <c r="LA261" s="27" t="n">
        <v>2.05</v>
      </c>
      <c r="LB261" s="27" t="n">
        <v>1</v>
      </c>
      <c r="LC261" s="27" t="n">
        <v>1</v>
      </c>
      <c r="LD261" s="27"/>
      <c r="LE261" s="27" t="n">
        <f aca="false">6.12+0.54+0.36</f>
        <v>7.02</v>
      </c>
      <c r="LF261" s="27" t="n">
        <v>2</v>
      </c>
      <c r="LG261" s="27"/>
      <c r="LH261" s="27" t="n">
        <v>6.01</v>
      </c>
      <c r="LI261" s="27"/>
      <c r="LJ261" s="27"/>
      <c r="LK261" s="27"/>
      <c r="LL261" s="27" t="n">
        <v>0.86</v>
      </c>
      <c r="LM261" s="27" t="n">
        <v>0.85</v>
      </c>
      <c r="LN261" s="27"/>
      <c r="LO261" s="27"/>
      <c r="LP261" s="27" t="n">
        <v>0</v>
      </c>
      <c r="LQ261" s="27" t="n">
        <v>0</v>
      </c>
      <c r="LR261" s="27" t="n">
        <v>0</v>
      </c>
      <c r="LS261" s="24" t="n">
        <v>0</v>
      </c>
      <c r="LT261" s="24" t="n">
        <v>100</v>
      </c>
      <c r="LU261" s="24" t="n">
        <v>29.5</v>
      </c>
      <c r="LV261" s="27" t="n">
        <v>94.9</v>
      </c>
      <c r="LW261" s="27" t="n">
        <v>83.4</v>
      </c>
      <c r="LX261" s="27" t="n">
        <v>17.6</v>
      </c>
      <c r="LY261" s="24" t="n">
        <v>85.6</v>
      </c>
      <c r="LZ261" s="24" t="n">
        <v>0</v>
      </c>
      <c r="MA261" s="24" t="n">
        <v>0</v>
      </c>
      <c r="MB261" s="24" t="n">
        <v>0</v>
      </c>
      <c r="MC261" s="24" t="n">
        <v>14.4</v>
      </c>
      <c r="MD261" s="24" t="n">
        <v>0</v>
      </c>
      <c r="ME261" s="24" t="n">
        <v>0</v>
      </c>
      <c r="MF261" s="24" t="n">
        <v>0</v>
      </c>
      <c r="MG261" s="24" t="n">
        <v>0</v>
      </c>
      <c r="MH261" s="24" t="n">
        <v>0</v>
      </c>
      <c r="MI261" s="24" t="n">
        <v>0</v>
      </c>
      <c r="MJ261" s="24" t="n">
        <v>1.95</v>
      </c>
      <c r="MK261" s="24" t="n">
        <v>9.45</v>
      </c>
      <c r="ML261" s="24" t="n">
        <v>11.24</v>
      </c>
      <c r="MM261" s="24" t="n">
        <v>36.94</v>
      </c>
      <c r="MN261" s="24" t="n">
        <v>0</v>
      </c>
      <c r="MO261" s="24" t="n">
        <v>11.5</v>
      </c>
      <c r="MP261" s="24" t="n">
        <v>1</v>
      </c>
      <c r="MQ261" s="24" t="n">
        <v>5</v>
      </c>
      <c r="MS261" s="24" t="n">
        <v>4</v>
      </c>
      <c r="NC261" s="24" t="n">
        <v>0</v>
      </c>
      <c r="ND261" s="24" t="n">
        <v>0</v>
      </c>
      <c r="NO261" s="28"/>
      <c r="OG261" s="24" t="n">
        <v>0</v>
      </c>
      <c r="PR261" s="27" t="n">
        <v>0.2</v>
      </c>
      <c r="PS261" s="27" t="n">
        <v>1</v>
      </c>
      <c r="PT261" s="27" t="n">
        <v>1</v>
      </c>
      <c r="PU261" s="27"/>
      <c r="PV261" s="27" t="n">
        <f aca="false">0.14+0.23+0.07+0.21</f>
        <v>0.65</v>
      </c>
      <c r="PW261" s="27"/>
      <c r="PX261" s="27"/>
      <c r="PY261" s="27"/>
      <c r="PZ261" s="27"/>
      <c r="QA261" s="27"/>
      <c r="QB261" s="27"/>
      <c r="QC261" s="27" t="n">
        <v>0.23</v>
      </c>
      <c r="QD261" s="27" t="n">
        <v>0.23</v>
      </c>
      <c r="QE261" s="27"/>
      <c r="QF261" s="27"/>
      <c r="QG261" s="27" t="n">
        <v>0</v>
      </c>
      <c r="QH261" s="27" t="n">
        <v>0</v>
      </c>
      <c r="QI261" s="27" t="n">
        <v>0</v>
      </c>
      <c r="QJ261" s="24" t="n">
        <v>0</v>
      </c>
      <c r="QK261" s="24" t="s">
        <v>781</v>
      </c>
      <c r="QL261" s="24" t="n">
        <v>47.5</v>
      </c>
      <c r="QM261" s="27" t="n">
        <v>49.3</v>
      </c>
      <c r="QN261" s="27" t="n">
        <v>83.4</v>
      </c>
      <c r="QO261" s="27" t="n">
        <v>35.7</v>
      </c>
      <c r="QP261" s="24" t="n">
        <v>66.48</v>
      </c>
      <c r="QQ261" s="24" t="n">
        <v>0</v>
      </c>
      <c r="QR261" s="24" t="n">
        <v>6.11</v>
      </c>
      <c r="QS261" s="24" t="n">
        <v>0</v>
      </c>
      <c r="QT261" s="24" t="n">
        <v>9.56</v>
      </c>
      <c r="QU261" s="24" t="n">
        <v>0</v>
      </c>
      <c r="QV261" s="24" t="n">
        <v>6.1</v>
      </c>
      <c r="QW261" s="24" t="n">
        <v>3.05</v>
      </c>
      <c r="QX261" s="24" t="n">
        <v>0</v>
      </c>
      <c r="QY261" s="24" t="n">
        <v>0</v>
      </c>
      <c r="QZ261" s="24" t="n">
        <v>0</v>
      </c>
      <c r="RA261" s="24" t="n">
        <v>0</v>
      </c>
      <c r="RB261" s="24" t="n">
        <v>17.78</v>
      </c>
      <c r="RC261" s="24" t="n">
        <v>9.13</v>
      </c>
      <c r="RD261" s="24" t="n">
        <v>2.7</v>
      </c>
      <c r="RE261" s="24" t="n">
        <v>11.73</v>
      </c>
      <c r="RF261" s="24" t="n">
        <v>0</v>
      </c>
      <c r="RG261" s="24" t="n">
        <v>0</v>
      </c>
      <c r="RT261" s="24" t="n">
        <v>5.7</v>
      </c>
      <c r="RU261" s="24" t="n">
        <v>1</v>
      </c>
      <c r="RV261" s="24" t="n">
        <v>30</v>
      </c>
      <c r="RW261" s="24" t="n">
        <v>10</v>
      </c>
      <c r="RX261" s="24" t="n">
        <f aca="false">0.15*2+0.16*8</f>
        <v>1.58</v>
      </c>
      <c r="RY261" s="24" t="n">
        <v>3</v>
      </c>
      <c r="SF261" s="28"/>
      <c r="SX261" s="24" t="n">
        <v>1</v>
      </c>
      <c r="SY261" s="24" t="n">
        <v>40</v>
      </c>
      <c r="SZ261" s="24" t="n">
        <v>4</v>
      </c>
      <c r="TA261" s="24" t="n">
        <v>0.6</v>
      </c>
      <c r="TB261" s="24" t="n">
        <v>2</v>
      </c>
      <c r="UI261" s="27" t="n">
        <v>0.53</v>
      </c>
      <c r="UJ261" s="27" t="n">
        <v>1</v>
      </c>
      <c r="UK261" s="27" t="n">
        <v>1</v>
      </c>
      <c r="UL261" s="27"/>
      <c r="UM261" s="27" t="n">
        <f aca="false">0.64*4+0.08</f>
        <v>2.64</v>
      </c>
      <c r="UN261" s="27"/>
      <c r="UO261" s="27"/>
      <c r="UP261" s="27"/>
      <c r="UQ261" s="27"/>
      <c r="UR261" s="27"/>
      <c r="US261" s="27"/>
      <c r="UT261" s="27" t="n">
        <v>5.06</v>
      </c>
      <c r="UU261" s="27" t="n">
        <v>1.58</v>
      </c>
      <c r="UV261" s="27"/>
      <c r="UW261" s="27"/>
      <c r="UX261" s="27" t="n">
        <v>0</v>
      </c>
      <c r="UY261" s="27" t="n">
        <v>0</v>
      </c>
      <c r="UZ261" s="27" t="n">
        <v>0</v>
      </c>
      <c r="VA261" s="24" t="n">
        <v>0</v>
      </c>
      <c r="VB261" s="24" t="s">
        <v>782</v>
      </c>
      <c r="VC261" s="24" t="n">
        <v>71</v>
      </c>
      <c r="VD261" s="27" t="n">
        <v>92</v>
      </c>
      <c r="VE261" s="27" t="n">
        <v>166.8</v>
      </c>
      <c r="VF261" s="27" t="n">
        <v>65</v>
      </c>
      <c r="VG261" s="24" t="n">
        <v>28.78</v>
      </c>
      <c r="VH261" s="24" t="n">
        <v>0</v>
      </c>
      <c r="VI261" s="24" t="n">
        <v>0</v>
      </c>
      <c r="VJ261" s="24" t="n">
        <v>0</v>
      </c>
      <c r="VK261" s="24" t="n">
        <v>2.5</v>
      </c>
      <c r="VL261" s="24" t="n">
        <v>0</v>
      </c>
      <c r="VM261" s="24" t="n">
        <v>8.54</v>
      </c>
      <c r="VN261" s="24" t="n">
        <v>0</v>
      </c>
      <c r="VO261" s="24" t="n">
        <v>0</v>
      </c>
      <c r="VP261" s="24" t="n">
        <v>2.76</v>
      </c>
      <c r="VQ261" s="24" t="n">
        <v>0</v>
      </c>
      <c r="VR261" s="24" t="n">
        <v>9.52</v>
      </c>
      <c r="VS261" s="24" t="n">
        <v>36.91</v>
      </c>
      <c r="VT261" s="24" t="n">
        <v>26.15</v>
      </c>
      <c r="VU261" s="24" t="n">
        <v>1.97</v>
      </c>
      <c r="VV261" s="24" t="n">
        <v>60.18</v>
      </c>
      <c r="VW261" s="24" t="n">
        <v>0</v>
      </c>
      <c r="VX261" s="24" t="n">
        <v>0</v>
      </c>
      <c r="WK261" s="24" t="n">
        <v>0.1</v>
      </c>
      <c r="WL261" s="24" t="n">
        <v>0</v>
      </c>
      <c r="WW261" s="28"/>
      <c r="XO261" s="24" t="n">
        <v>1</v>
      </c>
      <c r="XP261" s="24" t="n">
        <v>50</v>
      </c>
      <c r="XQ261" s="24" t="n">
        <v>4</v>
      </c>
      <c r="XR261" s="24" t="n">
        <f aca="false">0.37*4</f>
        <v>1.48</v>
      </c>
      <c r="XS261" s="24" t="n">
        <v>3</v>
      </c>
      <c r="XT261" s="24" t="n">
        <v>40</v>
      </c>
      <c r="XU261" s="24" t="n">
        <v>6</v>
      </c>
      <c r="XV261" s="24" t="n">
        <v>2.2</v>
      </c>
      <c r="XW261" s="24" t="n">
        <v>3</v>
      </c>
      <c r="XX261" s="24" t="n">
        <v>50</v>
      </c>
      <c r="XY261" s="24" t="n">
        <v>1</v>
      </c>
      <c r="XZ261" s="24" t="n">
        <v>0.06</v>
      </c>
      <c r="YA261" s="24" t="n">
        <v>1</v>
      </c>
      <c r="YB261" s="24" t="n">
        <v>60</v>
      </c>
      <c r="YC261" s="24" t="n">
        <v>3</v>
      </c>
      <c r="YD261" s="24" t="n">
        <v>0.19</v>
      </c>
      <c r="YE261" s="24" t="n">
        <v>4</v>
      </c>
      <c r="YZ261" s="27" t="n">
        <v>1.11</v>
      </c>
      <c r="ZA261" s="27" t="n">
        <v>1</v>
      </c>
      <c r="ZB261" s="27" t="n">
        <v>1</v>
      </c>
      <c r="ZC261" s="27"/>
      <c r="ZD261" s="27" t="n">
        <f aca="false">0.51*2+0.09+0.15*2+1.65+0.18+0.72</f>
        <v>3.96</v>
      </c>
      <c r="ZE261" s="27"/>
      <c r="ZF261" s="27"/>
      <c r="ZG261" s="27"/>
      <c r="ZH261" s="27"/>
      <c r="ZI261" s="27"/>
      <c r="ZJ261" s="27"/>
      <c r="ZK261" s="27" t="n">
        <v>1.95</v>
      </c>
      <c r="ZL261" s="27" t="n">
        <v>1.96</v>
      </c>
      <c r="ZM261" s="27"/>
      <c r="ZN261" s="27"/>
      <c r="ZO261" s="27" t="n">
        <v>2.88</v>
      </c>
      <c r="ZP261" s="27" t="n">
        <v>0</v>
      </c>
      <c r="ZQ261" s="27" t="n">
        <v>0</v>
      </c>
      <c r="ZR261" s="24" t="n">
        <v>2</v>
      </c>
      <c r="ZS261" s="24" t="s">
        <v>783</v>
      </c>
      <c r="ZT261" s="24" t="n">
        <v>35</v>
      </c>
      <c r="ZU261" s="27" t="n">
        <v>89.3</v>
      </c>
      <c r="ZV261" s="27" t="n">
        <v>83.4</v>
      </c>
      <c r="ZW261" s="27" t="n">
        <v>12.6</v>
      </c>
      <c r="ZX261" s="24" t="n">
        <v>87.93</v>
      </c>
      <c r="ZY261" s="24" t="n">
        <v>0</v>
      </c>
      <c r="ZZ261" s="24" t="n">
        <v>0</v>
      </c>
      <c r="AAA261" s="24" t="n">
        <v>1.49</v>
      </c>
      <c r="AAB261" s="24" t="n">
        <v>10.58</v>
      </c>
      <c r="AAC261" s="24" t="n">
        <v>0</v>
      </c>
      <c r="AAD261" s="24" t="n">
        <v>0</v>
      </c>
      <c r="AAE261" s="24" t="n">
        <v>0</v>
      </c>
      <c r="AAF261" s="24" t="n">
        <v>0</v>
      </c>
      <c r="AAG261" s="24" t="n">
        <v>0</v>
      </c>
      <c r="AAH261" s="24" t="n">
        <v>0</v>
      </c>
      <c r="AAI261" s="24" t="n">
        <v>0.17</v>
      </c>
      <c r="AAJ261" s="24" t="n">
        <v>38.78</v>
      </c>
      <c r="AAK261" s="24" t="n">
        <v>29.47</v>
      </c>
      <c r="AAL261" s="24" t="n">
        <v>0</v>
      </c>
      <c r="AAM261" s="24" t="n">
        <v>0</v>
      </c>
      <c r="AAN261" s="24" t="n">
        <v>4</v>
      </c>
      <c r="AAO261" s="24" t="n">
        <v>1</v>
      </c>
      <c r="AAP261" s="24" t="n">
        <v>3</v>
      </c>
      <c r="AAR261" s="24" t="n">
        <v>4</v>
      </c>
      <c r="ABB261" s="24" t="n">
        <v>9.7</v>
      </c>
      <c r="ABC261" s="24" t="n">
        <v>1</v>
      </c>
      <c r="ABD261" s="24" t="n">
        <v>68</v>
      </c>
      <c r="ABE261" s="24" t="n">
        <v>1</v>
      </c>
      <c r="ABF261" s="24" t="n">
        <v>0.02</v>
      </c>
      <c r="ABG261" s="24" t="n">
        <v>1</v>
      </c>
      <c r="ABH261" s="24" t="n">
        <v>35</v>
      </c>
      <c r="ABI261" s="24" t="n">
        <v>10</v>
      </c>
      <c r="ABJ261" s="24" t="n">
        <f aca="false">0.22*2+0.43*2+0.65+0.04+0.02+0.08</f>
        <v>2.09</v>
      </c>
      <c r="ABK261" s="24" t="n">
        <v>3</v>
      </c>
      <c r="ABN261" s="28"/>
      <c r="ACF261" s="24" t="n">
        <v>1</v>
      </c>
      <c r="ACG261" s="24" t="n">
        <v>50</v>
      </c>
      <c r="ACH261" s="24" t="n">
        <f aca="false">4*3+3*4</f>
        <v>24</v>
      </c>
      <c r="ACI261" s="24" t="n">
        <f aca="false">0.07+0.25+0.11+0.65+1.3+15</f>
        <v>17.38</v>
      </c>
      <c r="ACJ261" s="24" t="n">
        <v>1</v>
      </c>
      <c r="ACK261" s="24" t="n">
        <v>40</v>
      </c>
      <c r="ACL261" s="24" t="n">
        <v>18</v>
      </c>
      <c r="ACM261" s="24" t="n">
        <f aca="false">0.87+0.17+0.08+0.34+1.73+0.43+0.87+0.07</f>
        <v>4.56</v>
      </c>
      <c r="ACN261" s="24" t="n">
        <v>1</v>
      </c>
      <c r="ACO261" s="24" t="n">
        <v>40</v>
      </c>
      <c r="ACP261" s="24" t="n">
        <v>2</v>
      </c>
      <c r="ACQ261" s="24" t="n">
        <v>0.12</v>
      </c>
      <c r="ACR261" s="24" t="n">
        <v>5</v>
      </c>
      <c r="ACS261" s="24" t="n">
        <v>50</v>
      </c>
      <c r="ACT261" s="24" t="n">
        <v>1</v>
      </c>
      <c r="ACU261" s="24" t="n">
        <v>0.22</v>
      </c>
      <c r="ACV261" s="24" t="n">
        <v>6</v>
      </c>
      <c r="ACW261" s="24" t="n">
        <v>40</v>
      </c>
      <c r="ACX261" s="24" t="n">
        <v>3</v>
      </c>
      <c r="ACY261" s="24" t="n">
        <v>0.16</v>
      </c>
      <c r="ACZ261" s="24" t="n">
        <v>6</v>
      </c>
      <c r="ADQ261" s="27" t="n">
        <v>0.68</v>
      </c>
      <c r="ADR261" s="27" t="n">
        <v>1</v>
      </c>
      <c r="ADS261" s="27" t="n">
        <v>1</v>
      </c>
      <c r="ADT261" s="27"/>
      <c r="ADU261" s="27" t="n">
        <f aca="false">0.34+0.91+1.8+0.08+0.3</f>
        <v>3.43</v>
      </c>
      <c r="ADV261" s="27"/>
      <c r="ADW261" s="27"/>
      <c r="ADX261" s="27"/>
      <c r="ADY261" s="27"/>
      <c r="ADZ261" s="27"/>
      <c r="AEA261" s="27"/>
      <c r="AEB261" s="27" t="n">
        <v>7.83</v>
      </c>
      <c r="AEC261" s="27" t="n">
        <v>8.68</v>
      </c>
      <c r="AED261" s="27"/>
      <c r="AEE261" s="27"/>
      <c r="AEF261" s="27" t="n">
        <v>0</v>
      </c>
      <c r="AEG261" s="27" t="n">
        <v>0</v>
      </c>
      <c r="AEH261" s="27" t="n">
        <v>0</v>
      </c>
      <c r="AEI261" s="24" t="n">
        <v>0</v>
      </c>
      <c r="AEJ261" s="24" t="s">
        <v>785</v>
      </c>
      <c r="AEK261" s="24" t="n">
        <v>37.5</v>
      </c>
      <c r="AEL261" s="27" t="n">
        <v>94.9</v>
      </c>
      <c r="AEM261" s="27" t="n">
        <v>83.4</v>
      </c>
      <c r="AEN261" s="27" t="n">
        <v>16</v>
      </c>
      <c r="AEO261" s="24" t="n">
        <v>79.43</v>
      </c>
      <c r="AEP261" s="24" t="n">
        <v>0</v>
      </c>
      <c r="AEQ261" s="24" t="n">
        <v>0</v>
      </c>
      <c r="AER261" s="24" t="n">
        <v>0</v>
      </c>
      <c r="AES261" s="24" t="n">
        <v>20.31</v>
      </c>
      <c r="AET261" s="24" t="n">
        <v>0</v>
      </c>
      <c r="AEU261" s="24" t="n">
        <v>0</v>
      </c>
      <c r="AEV261" s="24" t="n">
        <v>0</v>
      </c>
      <c r="AEW261" s="24" t="n">
        <v>0</v>
      </c>
      <c r="AEX261" s="24" t="n">
        <v>0</v>
      </c>
      <c r="AEY261" s="24" t="n">
        <v>0</v>
      </c>
      <c r="AEZ261" s="24" t="n">
        <v>0.29</v>
      </c>
      <c r="AFA261" s="24" t="n">
        <v>37.58</v>
      </c>
      <c r="AFB261" s="24" t="n">
        <v>37.76</v>
      </c>
      <c r="AFC261" s="24" t="n">
        <v>5.57</v>
      </c>
      <c r="AFD261" s="24" t="n">
        <v>0</v>
      </c>
      <c r="AFE261" s="24" t="n">
        <v>0</v>
      </c>
      <c r="AFF261" s="24" t="n">
        <v>0</v>
      </c>
      <c r="AFS261" s="24" t="n">
        <v>17.5</v>
      </c>
      <c r="AFT261" s="24" t="n">
        <v>0</v>
      </c>
      <c r="AGE261" s="28"/>
      <c r="AGW261" s="24" t="n">
        <v>1</v>
      </c>
      <c r="AGX261" s="24" t="n">
        <v>71</v>
      </c>
      <c r="AGY261" s="24" t="n">
        <f aca="false">8*3+3</f>
        <v>27</v>
      </c>
      <c r="AGZ261" s="24" t="n">
        <f aca="false">5.87*3+0.58</f>
        <v>18.19</v>
      </c>
      <c r="AHA261" s="24" t="n">
        <v>2</v>
      </c>
      <c r="AIH261" s="27" t="n">
        <v>3.74</v>
      </c>
      <c r="AII261" s="27" t="n">
        <v>1</v>
      </c>
      <c r="AIJ261" s="27" t="n">
        <v>1</v>
      </c>
      <c r="AIK261" s="27"/>
      <c r="AIL261" s="27" t="n">
        <f aca="false">1.65+2.04*2+0.36*2+0.54</f>
        <v>6.99</v>
      </c>
      <c r="AIM261" s="27" t="n">
        <v>2</v>
      </c>
      <c r="AIN261" s="27"/>
      <c r="AIO261" s="27" t="n">
        <v>0.91</v>
      </c>
      <c r="AIP261" s="27" t="n">
        <v>1</v>
      </c>
      <c r="AIQ261" s="27" t="n">
        <v>1</v>
      </c>
      <c r="AIR261" s="27"/>
      <c r="AIS261" s="27" t="n">
        <v>0.19</v>
      </c>
      <c r="AIT261" s="27" t="n">
        <v>0.19</v>
      </c>
      <c r="AIU261" s="27"/>
      <c r="AIV261" s="27"/>
      <c r="AIW261" s="27" t="n">
        <v>0</v>
      </c>
      <c r="AIX261" s="27" t="n">
        <v>0</v>
      </c>
      <c r="AIY261" s="27" t="n">
        <v>0</v>
      </c>
      <c r="AIZ261" s="24" t="n">
        <v>0</v>
      </c>
      <c r="AJA261" s="21"/>
      <c r="AJB261" s="21"/>
      <c r="AJD261" s="33"/>
      <c r="AJE261" s="33"/>
      <c r="AJH261" s="33"/>
      <c r="AJI261" s="21"/>
      <c r="AJJ261" s="21"/>
      <c r="AJL261" s="33"/>
      <c r="AJM261" s="33"/>
      <c r="AJP261" s="33"/>
      <c r="AJQ261" s="21"/>
      <c r="AJR261" s="21"/>
      <c r="AJT261" s="33"/>
      <c r="AJU261" s="33"/>
      <c r="AJX261" s="33"/>
      <c r="AJY261" s="21"/>
      <c r="AJZ261" s="21"/>
      <c r="AKB261" s="33"/>
      <c r="AKC261" s="33"/>
      <c r="AKF261" s="33"/>
      <c r="AKG261" s="21"/>
      <c r="AKH261" s="21"/>
      <c r="AKJ261" s="33"/>
      <c r="AKK261" s="33"/>
      <c r="AKN261" s="33"/>
      <c r="AKO261" s="21"/>
      <c r="AKP261" s="21"/>
      <c r="AKR261" s="33"/>
      <c r="AKS261" s="33"/>
      <c r="AKV261" s="33"/>
      <c r="AKW261" s="21"/>
      <c r="AKX261" s="21"/>
      <c r="AKZ261" s="33"/>
      <c r="ALA261" s="33"/>
      <c r="ALD261" s="33"/>
      <c r="ALE261" s="21"/>
      <c r="ALF261" s="21"/>
      <c r="ALH261" s="33"/>
      <c r="ALI261" s="33"/>
      <c r="ALL261" s="33"/>
      <c r="ALM261" s="21"/>
      <c r="ALN261" s="21"/>
      <c r="ALP261" s="33"/>
      <c r="ALQ261" s="33"/>
      <c r="ALT261" s="33"/>
      <c r="ALU261" s="21"/>
      <c r="ALV261" s="21"/>
      <c r="ALX261" s="33"/>
      <c r="ALY261" s="33"/>
      <c r="AMB261" s="33"/>
      <c r="AMC261" s="21"/>
      <c r="AMD261" s="21"/>
      <c r="AMF261" s="33"/>
      <c r="AMG261" s="33"/>
      <c r="AMJ261" s="33"/>
    </row>
    <row r="262" customFormat="false" ht="13.8" hidden="false" customHeight="false" outlineLevel="0" collapsed="false">
      <c r="A262" s="1" t="s">
        <v>792</v>
      </c>
      <c r="B262" s="12" t="n">
        <v>42909</v>
      </c>
      <c r="C262" s="0" t="n">
        <v>2</v>
      </c>
      <c r="D262" s="13" t="n">
        <v>42870</v>
      </c>
      <c r="E262" s="12" t="n">
        <v>29432</v>
      </c>
      <c r="F262" s="14" t="n">
        <f aca="false">(B262-E262)/365.25</f>
        <v>36.8980150581793</v>
      </c>
      <c r="G262" s="14" t="n">
        <f aca="false">(B262-D262)/365.25</f>
        <v>0.106776180698152</v>
      </c>
      <c r="H262" s="19" t="s">
        <v>306</v>
      </c>
      <c r="I262" s="15" t="s">
        <v>793</v>
      </c>
      <c r="J262" s="15" t="s">
        <v>183</v>
      </c>
      <c r="K262" s="15" t="n">
        <v>8</v>
      </c>
      <c r="L262" s="19" t="n">
        <v>75</v>
      </c>
      <c r="M262" s="0" t="n">
        <v>1.74</v>
      </c>
      <c r="N262" s="16" t="n">
        <f aca="false">L262/(M262*M262)</f>
        <v>24.7720967102656</v>
      </c>
      <c r="O262" s="19" t="n">
        <v>0</v>
      </c>
      <c r="P262" s="19" t="n">
        <v>0</v>
      </c>
      <c r="Q262" s="19" t="n">
        <v>0</v>
      </c>
      <c r="R262" s="26" t="n">
        <v>0</v>
      </c>
      <c r="S262" s="26" t="n">
        <v>0</v>
      </c>
      <c r="T262" s="26" t="n">
        <v>0</v>
      </c>
      <c r="U262" s="19" t="n">
        <v>0</v>
      </c>
      <c r="V262" s="19" t="n">
        <v>0</v>
      </c>
      <c r="W262" s="19" t="n">
        <v>0</v>
      </c>
      <c r="X262" s="19" t="n">
        <v>0</v>
      </c>
      <c r="Y262" s="19" t="n">
        <v>1</v>
      </c>
      <c r="Z262" s="19" t="n">
        <v>2</v>
      </c>
      <c r="AA262" s="19" t="n">
        <v>60</v>
      </c>
      <c r="AB262" s="19" t="s">
        <v>308</v>
      </c>
      <c r="AC262" s="19" t="n">
        <v>0</v>
      </c>
      <c r="AD262" s="19" t="n">
        <v>0</v>
      </c>
      <c r="AE262" s="19" t="n">
        <v>1</v>
      </c>
      <c r="AF262" s="19" t="n">
        <v>0</v>
      </c>
      <c r="AG262" s="19" t="n">
        <v>0</v>
      </c>
      <c r="AH262" s="19" t="n">
        <v>0</v>
      </c>
      <c r="AI262" s="19" t="n">
        <v>0</v>
      </c>
      <c r="AJ262" s="19" t="n">
        <v>0</v>
      </c>
      <c r="AK262" s="19" t="n">
        <v>0</v>
      </c>
      <c r="AL262" s="19" t="n">
        <v>0</v>
      </c>
      <c r="AM262" s="19" t="n">
        <v>0</v>
      </c>
      <c r="AN262" s="19" t="n">
        <v>0</v>
      </c>
      <c r="AO262" s="19" t="n">
        <v>0</v>
      </c>
      <c r="AP262" s="19" t="n">
        <v>0</v>
      </c>
      <c r="AQ262" s="19" t="n">
        <v>0</v>
      </c>
      <c r="AR262" s="19" t="n">
        <v>0</v>
      </c>
      <c r="AS262" s="19" t="n">
        <v>3</v>
      </c>
      <c r="AT262" s="19" t="n">
        <v>0</v>
      </c>
      <c r="AU262" s="19" t="n">
        <v>0</v>
      </c>
      <c r="AV262" s="19" t="n">
        <v>0</v>
      </c>
      <c r="AW262" s="19" t="n">
        <v>0</v>
      </c>
      <c r="AX262" s="19" t="n">
        <v>0</v>
      </c>
      <c r="AY262" s="19" t="n">
        <v>0</v>
      </c>
      <c r="AZ262" s="19" t="n">
        <v>0</v>
      </c>
      <c r="BA262" s="19" t="n">
        <v>0</v>
      </c>
      <c r="BB262" s="19" t="n">
        <v>0</v>
      </c>
      <c r="BC262" s="19" t="n">
        <v>0</v>
      </c>
      <c r="BD262" s="19" t="n">
        <v>0</v>
      </c>
      <c r="BE262" s="19" t="n">
        <v>0</v>
      </c>
      <c r="BF262" s="19" t="n">
        <v>0</v>
      </c>
      <c r="BG262" s="19" t="n">
        <v>0</v>
      </c>
      <c r="BH262" s="19" t="n">
        <v>0</v>
      </c>
      <c r="BI262" s="19" t="n">
        <v>0</v>
      </c>
      <c r="BJ262" s="19" t="n">
        <v>0</v>
      </c>
      <c r="BK262" s="19" t="n">
        <v>0</v>
      </c>
      <c r="BL262" s="19" t="n">
        <v>0</v>
      </c>
      <c r="BM262" s="19" t="n">
        <v>0</v>
      </c>
      <c r="BN262" s="19" t="n">
        <v>0</v>
      </c>
      <c r="BO262" s="19" t="n">
        <v>0</v>
      </c>
      <c r="BP262" s="19" t="n">
        <v>0</v>
      </c>
      <c r="BQ262" s="19" t="n">
        <v>0</v>
      </c>
      <c r="BR262" s="19" t="n">
        <v>2</v>
      </c>
      <c r="BS262" s="19" t="n">
        <v>3</v>
      </c>
      <c r="BT262" s="19" t="n">
        <v>4</v>
      </c>
      <c r="BU262" s="19" t="n">
        <v>4</v>
      </c>
      <c r="BV262" s="19" t="n">
        <v>2</v>
      </c>
      <c r="BW262" s="19" t="n">
        <v>1</v>
      </c>
      <c r="BX262" s="19" t="n">
        <v>3</v>
      </c>
      <c r="BY262" s="19" t="n">
        <v>3</v>
      </c>
      <c r="BZ262" s="19" t="n">
        <v>3</v>
      </c>
      <c r="CA262" s="19" t="n">
        <v>4</v>
      </c>
      <c r="CB262" s="19" t="n">
        <v>4</v>
      </c>
      <c r="CC262" s="19" t="n">
        <v>4</v>
      </c>
      <c r="CD262" s="19" t="n">
        <v>3</v>
      </c>
      <c r="CE262" s="19" t="n">
        <v>4</v>
      </c>
      <c r="CF262" s="19" t="n">
        <v>3</v>
      </c>
      <c r="CG262" s="19" t="n">
        <v>4</v>
      </c>
      <c r="CH262" s="19" t="n">
        <v>4</v>
      </c>
      <c r="CI262" s="19" t="n">
        <v>4</v>
      </c>
      <c r="CJ262" s="19" t="n">
        <v>4</v>
      </c>
      <c r="CK262" s="19" t="n">
        <v>9</v>
      </c>
      <c r="CL262" s="0" t="s">
        <v>794</v>
      </c>
      <c r="CM262" s="0" t="n">
        <v>41.5</v>
      </c>
      <c r="CN262" s="16" t="n">
        <v>70</v>
      </c>
      <c r="CO262" s="16" t="n">
        <v>83.4</v>
      </c>
      <c r="CP262" s="16" t="n">
        <v>33.4</v>
      </c>
      <c r="CQ262" s="0" t="n">
        <v>67.05</v>
      </c>
      <c r="CR262" s="0" t="n">
        <v>0</v>
      </c>
      <c r="CS262" s="0" t="n">
        <v>5.87</v>
      </c>
      <c r="CT262" s="0" t="n">
        <v>12.48</v>
      </c>
      <c r="CU262" s="0" t="n">
        <v>14.6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18.75</v>
      </c>
      <c r="DD262" s="0" t="n">
        <v>14.73</v>
      </c>
      <c r="DE262" s="0" t="n">
        <v>5.87</v>
      </c>
      <c r="DF262" s="0" t="n">
        <v>0</v>
      </c>
      <c r="DG262" s="0" t="n">
        <v>0</v>
      </c>
      <c r="DH262" s="0" t="n">
        <v>0</v>
      </c>
      <c r="DU262" s="0" t="n">
        <v>0</v>
      </c>
      <c r="DV262" s="0" t="n">
        <v>1</v>
      </c>
      <c r="DW262" s="0" t="n">
        <v>23</v>
      </c>
      <c r="DX262" s="0" t="n">
        <v>3</v>
      </c>
      <c r="DY262" s="0" t="n">
        <f aca="false">1.47+0.73</f>
        <v>2.2</v>
      </c>
      <c r="DZ262" s="0" t="n">
        <v>3</v>
      </c>
      <c r="EG262" s="18"/>
      <c r="EY262" s="0" t="n">
        <v>1</v>
      </c>
      <c r="EZ262" s="0" t="n">
        <v>30</v>
      </c>
      <c r="FA262" s="0" t="n">
        <v>2</v>
      </c>
      <c r="FB262" s="0" t="n">
        <v>2.94</v>
      </c>
      <c r="FC262" s="0" t="n">
        <v>3</v>
      </c>
      <c r="GJ262" s="16" t="n">
        <v>1.6</v>
      </c>
      <c r="GK262" s="16" t="n">
        <v>1</v>
      </c>
      <c r="GL262" s="16" t="n">
        <v>1</v>
      </c>
      <c r="GM262" s="16"/>
      <c r="GN262" s="16" t="n">
        <f aca="false">4.08+3.06+0.18+0.72</f>
        <v>8.04</v>
      </c>
      <c r="GO262" s="16"/>
      <c r="GP262" s="16"/>
      <c r="GQ262" s="16"/>
      <c r="GR262" s="16"/>
      <c r="GS262" s="16"/>
      <c r="GT262" s="16"/>
      <c r="GU262" s="16" t="n">
        <v>6.47</v>
      </c>
      <c r="GV262" s="16" t="n">
        <v>6.24</v>
      </c>
      <c r="GW262" s="16"/>
      <c r="GX262" s="16"/>
      <c r="GY262" s="16" t="n">
        <v>0</v>
      </c>
      <c r="GZ262" s="16" t="n">
        <v>0</v>
      </c>
      <c r="HA262" s="16" t="n">
        <v>0</v>
      </c>
      <c r="HB262" s="0" t="n">
        <v>0</v>
      </c>
      <c r="HC262" s="0" t="s">
        <v>795</v>
      </c>
      <c r="HD262" s="0" t="n">
        <v>58</v>
      </c>
      <c r="HE262" s="16" t="n">
        <v>94.2</v>
      </c>
      <c r="HF262" s="16" t="n">
        <v>83.4</v>
      </c>
      <c r="HG262" s="16" t="n">
        <v>45.8</v>
      </c>
      <c r="HH262" s="0" t="n">
        <v>51.88</v>
      </c>
      <c r="HI262" s="0" t="n">
        <v>0</v>
      </c>
      <c r="HJ262" s="0" t="n">
        <v>42.28</v>
      </c>
      <c r="HK262" s="0" t="n">
        <v>0</v>
      </c>
      <c r="HL262" s="0" t="n">
        <v>1.81</v>
      </c>
      <c r="HM262" s="0" t="n">
        <v>0</v>
      </c>
      <c r="HN262" s="0" t="n">
        <v>4.03</v>
      </c>
      <c r="HO262" s="0" t="n">
        <v>0</v>
      </c>
      <c r="HP262" s="0" t="n">
        <v>3.02</v>
      </c>
      <c r="HQ262" s="0" t="n">
        <v>0</v>
      </c>
      <c r="HR262" s="0" t="n">
        <v>0</v>
      </c>
      <c r="HS262" s="0" t="n">
        <v>2.06</v>
      </c>
      <c r="HT262" s="0" t="n">
        <v>7.41</v>
      </c>
      <c r="HU262" s="0" t="n">
        <v>41.45</v>
      </c>
      <c r="HV262" s="0" t="n">
        <v>4.5</v>
      </c>
      <c r="HW262" s="0" t="n">
        <v>0</v>
      </c>
      <c r="HX262" s="0" t="n">
        <v>5.3</v>
      </c>
      <c r="HY262" s="0" t="n">
        <v>1</v>
      </c>
      <c r="HZ262" s="0" t="n">
        <v>5</v>
      </c>
      <c r="IB262" s="0" t="n">
        <v>1</v>
      </c>
      <c r="IL262" s="0" t="n">
        <v>3.9</v>
      </c>
      <c r="IM262" s="0" t="n">
        <v>0</v>
      </c>
      <c r="IX262" s="18"/>
      <c r="JP262" s="0" t="n">
        <v>1</v>
      </c>
      <c r="JQ262" s="0" t="n">
        <v>60</v>
      </c>
      <c r="JR262" s="0" t="n">
        <v>4</v>
      </c>
      <c r="JS262" s="0" t="n">
        <f aca="false">1.47*2</f>
        <v>2.94</v>
      </c>
      <c r="JT262" s="0" t="n">
        <v>2</v>
      </c>
      <c r="JU262" s="0" t="n">
        <v>50</v>
      </c>
      <c r="JV262" s="0" t="n">
        <v>9</v>
      </c>
      <c r="JW262" s="0" t="n">
        <f aca="false">0.9+0.12</f>
        <v>1.02</v>
      </c>
      <c r="JX262" s="0" t="n">
        <v>2</v>
      </c>
      <c r="JY262" s="0" t="n">
        <v>70</v>
      </c>
      <c r="JZ262" s="0" t="n">
        <v>4</v>
      </c>
      <c r="KA262" s="0" t="n">
        <v>0.4</v>
      </c>
      <c r="KB262" s="0" t="n">
        <v>2</v>
      </c>
      <c r="LA262" s="16" t="n">
        <v>0</v>
      </c>
      <c r="LB262" s="16" t="n">
        <v>0</v>
      </c>
      <c r="LC262" s="16"/>
      <c r="LD262" s="16"/>
      <c r="LE262" s="16"/>
      <c r="LF262" s="16"/>
      <c r="LG262" s="16"/>
      <c r="LH262" s="16"/>
      <c r="LI262" s="16"/>
      <c r="LJ262" s="16"/>
      <c r="LK262" s="16"/>
      <c r="LL262" s="16" t="n">
        <v>2.7</v>
      </c>
      <c r="LM262" s="16" t="n">
        <v>0.9</v>
      </c>
      <c r="LN262" s="16"/>
      <c r="LO262" s="16"/>
      <c r="LP262" s="16" t="n">
        <v>0</v>
      </c>
      <c r="LQ262" s="16" t="n">
        <v>0</v>
      </c>
      <c r="LR262" s="16" t="n">
        <v>0</v>
      </c>
      <c r="LS262" s="0" t="n">
        <v>0</v>
      </c>
      <c r="LT262" s="0" t="s">
        <v>796</v>
      </c>
      <c r="LU262" s="0" t="n">
        <v>50.5</v>
      </c>
      <c r="LV262" s="16" t="n">
        <v>78.7</v>
      </c>
      <c r="LW262" s="16" t="n">
        <v>83.4</v>
      </c>
      <c r="LX262" s="16" t="n">
        <v>45.1</v>
      </c>
      <c r="LY262" s="0" t="n">
        <v>50.98</v>
      </c>
      <c r="LZ262" s="0" t="n">
        <v>1.99</v>
      </c>
      <c r="MA262" s="0" t="n">
        <v>41.43</v>
      </c>
      <c r="MB262" s="0" t="n">
        <v>0</v>
      </c>
      <c r="MC262" s="0" t="n">
        <v>1.81</v>
      </c>
      <c r="MD262" s="0" t="n">
        <v>0</v>
      </c>
      <c r="ME262" s="0" t="n">
        <v>3.78</v>
      </c>
      <c r="MF262" s="0" t="n">
        <v>0</v>
      </c>
      <c r="MG262" s="0" t="n">
        <v>3.02</v>
      </c>
      <c r="MH262" s="0" t="n">
        <v>0</v>
      </c>
      <c r="MI262" s="0" t="n">
        <v>0</v>
      </c>
      <c r="MJ262" s="0" t="n">
        <v>1.81</v>
      </c>
      <c r="MK262" s="0" t="n">
        <v>12.52</v>
      </c>
      <c r="ML262" s="0" t="n">
        <v>41.44</v>
      </c>
      <c r="MM262" s="0" t="n">
        <v>3.05</v>
      </c>
      <c r="MN262" s="0" t="n">
        <v>0</v>
      </c>
      <c r="MO262" s="0" t="n">
        <v>0</v>
      </c>
      <c r="MP262" s="0" t="n">
        <v>0</v>
      </c>
      <c r="NC262" s="0" t="n">
        <v>3</v>
      </c>
      <c r="ND262" s="0" t="n">
        <v>0</v>
      </c>
      <c r="NO262" s="18"/>
      <c r="OG262" s="0" t="n">
        <v>1</v>
      </c>
      <c r="OH262" s="0" t="n">
        <v>60</v>
      </c>
      <c r="OI262" s="0" t="n">
        <v>4</v>
      </c>
      <c r="OJ262" s="0" t="n">
        <f aca="false">1.47*2</f>
        <v>2.94</v>
      </c>
      <c r="OK262" s="0" t="n">
        <v>2</v>
      </c>
      <c r="OL262" s="0" t="n">
        <v>50</v>
      </c>
      <c r="OM262" s="0" t="n">
        <v>9</v>
      </c>
      <c r="ON262" s="0" t="n">
        <f aca="false">0.9+0.12</f>
        <v>1.02</v>
      </c>
      <c r="OO262" s="0" t="n">
        <v>2</v>
      </c>
      <c r="OP262" s="0" t="n">
        <v>70</v>
      </c>
      <c r="OQ262" s="0" t="n">
        <v>4</v>
      </c>
      <c r="OR262" s="0" t="n">
        <v>0.4</v>
      </c>
      <c r="OS262" s="0" t="n">
        <v>2</v>
      </c>
      <c r="PR262" s="16" t="n">
        <v>0</v>
      </c>
      <c r="PS262" s="16" t="n">
        <v>0</v>
      </c>
      <c r="PT262" s="16"/>
      <c r="PU262" s="16"/>
      <c r="PV262" s="16"/>
      <c r="PW262" s="16"/>
      <c r="PX262" s="16"/>
      <c r="PY262" s="16"/>
      <c r="PZ262" s="16"/>
      <c r="QA262" s="16"/>
      <c r="QB262" s="16"/>
      <c r="QC262" s="16" t="n">
        <v>2.14</v>
      </c>
      <c r="QD262" s="16" t="n">
        <v>2.14</v>
      </c>
      <c r="QE262" s="16"/>
      <c r="QF262" s="16"/>
      <c r="QG262" s="16" t="n">
        <v>0</v>
      </c>
      <c r="QH262" s="16" t="n">
        <v>0</v>
      </c>
      <c r="QI262" s="16" t="n">
        <v>0</v>
      </c>
      <c r="QJ262" s="0" t="n">
        <v>0</v>
      </c>
      <c r="QK262" s="0" t="s">
        <v>797</v>
      </c>
      <c r="QL262" s="0" t="n">
        <v>52.5</v>
      </c>
      <c r="QM262" s="16" t="n">
        <v>84.4</v>
      </c>
      <c r="QN262" s="16" t="n">
        <v>83.4</v>
      </c>
      <c r="QO262" s="16" t="n">
        <v>45.2</v>
      </c>
      <c r="QP262" s="0" t="n">
        <v>36.52</v>
      </c>
      <c r="QQ262" s="0" t="n">
        <v>0</v>
      </c>
      <c r="QR262" s="0" t="n">
        <v>24.46</v>
      </c>
      <c r="QS262" s="0" t="n">
        <v>5.81</v>
      </c>
      <c r="QT262" s="0" t="n">
        <v>9.54</v>
      </c>
      <c r="QU262" s="0" t="n">
        <v>0</v>
      </c>
      <c r="QV262" s="0" t="n">
        <v>22.12</v>
      </c>
      <c r="QW262" s="0" t="n">
        <v>2.71</v>
      </c>
      <c r="QX262" s="0" t="n">
        <v>5.34</v>
      </c>
      <c r="QY262" s="0" t="n">
        <v>3.86</v>
      </c>
      <c r="QZ262" s="0" t="n">
        <v>0</v>
      </c>
      <c r="RA262" s="0" t="n">
        <v>0</v>
      </c>
      <c r="RB262" s="0" t="n">
        <v>4.3</v>
      </c>
      <c r="RC262" s="0" t="n">
        <v>3.92</v>
      </c>
      <c r="RD262" s="0" t="n">
        <v>7.14</v>
      </c>
      <c r="RE262" s="0" t="n">
        <v>0.77</v>
      </c>
      <c r="RF262" s="0" t="n">
        <v>0</v>
      </c>
      <c r="RG262" s="0" t="n">
        <v>0</v>
      </c>
      <c r="RT262" s="0" t="n">
        <v>1.4</v>
      </c>
      <c r="RU262" s="0" t="n">
        <v>1</v>
      </c>
      <c r="RV262" s="0" t="n">
        <v>55</v>
      </c>
      <c r="RW262" s="0" t="n">
        <v>1</v>
      </c>
      <c r="RX262" s="0" t="n">
        <v>0.77</v>
      </c>
      <c r="RY262" s="0" t="n">
        <v>2</v>
      </c>
      <c r="RZ262" s="0" t="n">
        <v>35</v>
      </c>
      <c r="SA262" s="0" t="n">
        <v>1</v>
      </c>
      <c r="SB262" s="0" t="n">
        <v>0.13</v>
      </c>
      <c r="SC262" s="0" t="n">
        <v>3</v>
      </c>
      <c r="SF262" s="18"/>
      <c r="SX262" s="0" t="n">
        <v>1</v>
      </c>
      <c r="SY262" s="0" t="n">
        <v>50</v>
      </c>
      <c r="SZ262" s="0" t="n">
        <v>1</v>
      </c>
      <c r="TA262" s="0" t="n">
        <v>0.36</v>
      </c>
      <c r="TB262" s="0" t="n">
        <v>1</v>
      </c>
      <c r="UI262" s="16" t="n">
        <v>0.07</v>
      </c>
      <c r="UJ262" s="16" t="n">
        <v>1</v>
      </c>
      <c r="UK262" s="16" t="n">
        <v>1</v>
      </c>
      <c r="UL262" s="16"/>
      <c r="UM262" s="16" t="n">
        <f aca="false">0.07*2+0.05*3</f>
        <v>0.29</v>
      </c>
      <c r="UN262" s="16"/>
      <c r="UO262" s="16"/>
      <c r="UP262" s="16"/>
      <c r="UQ262" s="16"/>
      <c r="UR262" s="16"/>
      <c r="US262" s="16"/>
      <c r="UT262" s="16" t="n">
        <v>0.05</v>
      </c>
      <c r="UU262" s="16" t="n">
        <v>0.05</v>
      </c>
      <c r="UV262" s="16"/>
      <c r="UW262" s="16"/>
      <c r="UX262" s="16" t="n">
        <v>5.76</v>
      </c>
      <c r="UY262" s="16" t="n">
        <v>0</v>
      </c>
      <c r="UZ262" s="16" t="n">
        <v>0</v>
      </c>
      <c r="VA262" s="0" t="n">
        <v>1</v>
      </c>
      <c r="VB262" s="0" t="s">
        <v>798</v>
      </c>
      <c r="VC262" s="0" t="n">
        <v>47.5</v>
      </c>
      <c r="VD262" s="16" t="n">
        <v>97.8</v>
      </c>
      <c r="VE262" s="16" t="n">
        <v>83.4</v>
      </c>
      <c r="VF262" s="16" t="n">
        <v>26.3</v>
      </c>
      <c r="VG262" s="0" t="n">
        <v>54.22</v>
      </c>
      <c r="VH262" s="0" t="n">
        <v>0</v>
      </c>
      <c r="VI262" s="0" t="n">
        <v>0</v>
      </c>
      <c r="VJ262" s="0" t="n">
        <v>0</v>
      </c>
      <c r="VK262" s="0" t="n">
        <v>32.13</v>
      </c>
      <c r="VL262" s="0" t="n">
        <v>0</v>
      </c>
      <c r="VM262" s="0" t="n">
        <v>13.65</v>
      </c>
      <c r="VN262" s="0" t="n">
        <v>0</v>
      </c>
      <c r="VO262" s="0" t="n">
        <v>0</v>
      </c>
      <c r="VP262" s="0" t="n">
        <v>0</v>
      </c>
      <c r="VQ262" s="0" t="n">
        <v>0</v>
      </c>
      <c r="VR262" s="0" t="n">
        <v>25.5</v>
      </c>
      <c r="VS262" s="0" t="n">
        <v>61.05</v>
      </c>
      <c r="VT262" s="0" t="n">
        <v>6.61</v>
      </c>
      <c r="VU262" s="0" t="n">
        <v>3.67</v>
      </c>
      <c r="VV262" s="0" t="n">
        <v>0</v>
      </c>
      <c r="VW262" s="0" t="n">
        <v>10.5</v>
      </c>
      <c r="VX262" s="0" t="n">
        <v>1</v>
      </c>
      <c r="VY262" s="0" t="n">
        <v>3</v>
      </c>
      <c r="WA262" s="0" t="n">
        <v>1</v>
      </c>
      <c r="WK262" s="0" t="n">
        <v>7.1</v>
      </c>
      <c r="WL262" s="0" t="n">
        <v>0</v>
      </c>
      <c r="WW262" s="18"/>
      <c r="XO262" s="0" t="n">
        <v>1</v>
      </c>
      <c r="XP262" s="0" t="n">
        <v>60</v>
      </c>
      <c r="XQ262" s="0" t="n">
        <v>10</v>
      </c>
      <c r="XR262" s="0" t="n">
        <f aca="false">3.67*2</f>
        <v>7.34</v>
      </c>
      <c r="XS262" s="0" t="n">
        <v>3</v>
      </c>
      <c r="YZ262" s="16" t="n">
        <v>3.22</v>
      </c>
      <c r="ZA262" s="16" t="n">
        <v>1</v>
      </c>
      <c r="ZB262" s="16" t="n">
        <v>1</v>
      </c>
      <c r="ZC262" s="16"/>
      <c r="ZD262" s="16" t="n">
        <f aca="false">1.65*3+4.08+0.54+0.52</f>
        <v>10.09</v>
      </c>
      <c r="ZE262" s="16"/>
      <c r="ZF262" s="16"/>
      <c r="ZG262" s="16"/>
      <c r="ZH262" s="16"/>
      <c r="ZI262" s="16"/>
      <c r="ZJ262" s="16"/>
      <c r="ZK262" s="16" t="n">
        <v>0</v>
      </c>
      <c r="ZL262" s="16" t="n">
        <v>0</v>
      </c>
      <c r="ZM262" s="16"/>
      <c r="ZN262" s="16"/>
      <c r="ZO262" s="16" t="n">
        <v>0</v>
      </c>
      <c r="ZP262" s="16" t="n">
        <v>0</v>
      </c>
      <c r="ZQ262" s="16" t="n">
        <v>0</v>
      </c>
      <c r="ZR262" s="0" t="n">
        <v>0</v>
      </c>
      <c r="ZS262" s="0" t="s">
        <v>799</v>
      </c>
      <c r="ZT262" s="0" t="n">
        <v>44</v>
      </c>
      <c r="ZU262" s="16" t="n">
        <v>88.5</v>
      </c>
      <c r="ZV262" s="16" t="n">
        <v>83.4</v>
      </c>
      <c r="ZW262" s="16" t="n">
        <v>21.4</v>
      </c>
      <c r="ZX262" s="0" t="n">
        <v>59.53</v>
      </c>
      <c r="ZY262" s="0" t="n">
        <v>0</v>
      </c>
      <c r="ZZ262" s="0" t="n">
        <v>0</v>
      </c>
      <c r="AAA262" s="0" t="n">
        <v>0</v>
      </c>
      <c r="AAB262" s="0" t="n">
        <v>27.73</v>
      </c>
      <c r="AAC262" s="0" t="n">
        <v>0</v>
      </c>
      <c r="AAD262" s="0" t="n">
        <v>12.75</v>
      </c>
      <c r="AAE262" s="0" t="n">
        <v>0</v>
      </c>
      <c r="AAF262" s="0" t="n">
        <v>0</v>
      </c>
      <c r="AAG262" s="0" t="n">
        <v>0</v>
      </c>
      <c r="AAH262" s="0" t="n">
        <v>0</v>
      </c>
      <c r="AAI262" s="0" t="n">
        <v>18.64</v>
      </c>
      <c r="AAJ262" s="0" t="n">
        <v>50.48</v>
      </c>
      <c r="AAK262" s="0" t="n">
        <v>6.61</v>
      </c>
      <c r="AAL262" s="0" t="n">
        <v>3.67</v>
      </c>
      <c r="AAM262" s="0" t="n">
        <v>0</v>
      </c>
      <c r="AAN262" s="0" t="n">
        <v>10.5</v>
      </c>
      <c r="AAO262" s="0" t="n">
        <v>1</v>
      </c>
      <c r="AAP262" s="0" t="n">
        <v>3</v>
      </c>
      <c r="AAQ262" s="0" t="n">
        <v>1</v>
      </c>
      <c r="ABB262" s="0" t="n">
        <v>7.1</v>
      </c>
      <c r="ABC262" s="0" t="n">
        <v>0</v>
      </c>
      <c r="ABN262" s="18"/>
      <c r="ACF262" s="0" t="n">
        <v>1</v>
      </c>
      <c r="ACG262" s="0" t="n">
        <v>60</v>
      </c>
      <c r="ACH262" s="0" t="n">
        <v>10</v>
      </c>
      <c r="ACI262" s="0" t="n">
        <f aca="false">3.67*2</f>
        <v>7.34</v>
      </c>
      <c r="ACJ262" s="0" t="n">
        <v>4</v>
      </c>
      <c r="ADQ262" s="16" t="n">
        <v>2.37</v>
      </c>
      <c r="ADR262" s="16" t="n">
        <v>1</v>
      </c>
      <c r="ADS262" s="16" t="n">
        <v>1</v>
      </c>
      <c r="ADT262" s="16"/>
      <c r="ADU262" s="16" t="n">
        <f aca="false">1.65+4.08+0.54+3.77</f>
        <v>10.04</v>
      </c>
      <c r="ADV262" s="16"/>
      <c r="ADW262" s="16"/>
      <c r="ADX262" s="16"/>
      <c r="ADY262" s="16"/>
      <c r="ADZ262" s="16"/>
      <c r="AEA262" s="16"/>
      <c r="AEB262" s="16" t="n">
        <v>0.25</v>
      </c>
      <c r="AEC262" s="16" t="n">
        <v>0.25</v>
      </c>
      <c r="AED262" s="16"/>
      <c r="AEE262" s="16"/>
      <c r="AEF262" s="16" t="n">
        <v>0</v>
      </c>
      <c r="AEG262" s="16" t="n">
        <v>0</v>
      </c>
      <c r="AEH262" s="16" t="n">
        <v>3</v>
      </c>
      <c r="AEI262" s="0" t="n">
        <v>0</v>
      </c>
      <c r="AEJ262" s="0" t="s">
        <v>800</v>
      </c>
      <c r="AEK262" s="0" t="n">
        <v>27.5</v>
      </c>
      <c r="AEL262" s="16" t="n">
        <v>44</v>
      </c>
      <c r="AEM262" s="16" t="n">
        <v>83.4</v>
      </c>
      <c r="AEN262" s="16" t="n">
        <v>26.1</v>
      </c>
      <c r="AEO262" s="0" t="n">
        <v>15.93</v>
      </c>
      <c r="AEP262" s="0" t="n">
        <v>0</v>
      </c>
      <c r="AEQ262" s="0" t="n">
        <v>0</v>
      </c>
      <c r="AER262" s="0" t="n">
        <v>1.1</v>
      </c>
      <c r="AES262" s="0" t="n">
        <v>2.91</v>
      </c>
      <c r="AET262" s="0" t="n">
        <v>0</v>
      </c>
      <c r="AEU262" s="0" t="n">
        <v>79.32</v>
      </c>
      <c r="AEV262" s="0" t="n">
        <v>5.87</v>
      </c>
      <c r="AEW262" s="0" t="n">
        <v>17.05</v>
      </c>
      <c r="AEX262" s="0" t="n">
        <v>0</v>
      </c>
      <c r="AEY262" s="0" t="n">
        <v>0</v>
      </c>
      <c r="AEZ262" s="0" t="n">
        <v>4.43</v>
      </c>
      <c r="AFA262" s="0" t="n">
        <v>3.08</v>
      </c>
      <c r="AFB262" s="0" t="n">
        <v>0.78</v>
      </c>
      <c r="AFC262" s="0" t="n">
        <v>0.73</v>
      </c>
      <c r="AFD262" s="0" t="n">
        <v>0</v>
      </c>
      <c r="AFE262" s="0" t="n">
        <v>0</v>
      </c>
      <c r="AFF262" s="0" t="n">
        <v>0</v>
      </c>
      <c r="AFS262" s="0" t="n">
        <v>0</v>
      </c>
      <c r="AFT262" s="0" t="n">
        <v>0</v>
      </c>
      <c r="AGE262" s="18"/>
      <c r="AGW262" s="0" t="n">
        <v>1</v>
      </c>
      <c r="AGX262" s="0" t="n">
        <v>50</v>
      </c>
      <c r="AGY262" s="0" t="n">
        <v>1</v>
      </c>
      <c r="AGZ262" s="0" t="n">
        <v>0.73</v>
      </c>
      <c r="AHA262" s="0" t="n">
        <v>3</v>
      </c>
      <c r="AIH262" s="16" t="n">
        <v>0.29</v>
      </c>
      <c r="AII262" s="16" t="n">
        <v>1</v>
      </c>
      <c r="AIJ262" s="16" t="n">
        <v>1</v>
      </c>
      <c r="AIK262" s="16"/>
      <c r="AIL262" s="16" t="n">
        <f aca="false">0.08*8+0.2*4</f>
        <v>1.44</v>
      </c>
      <c r="AIM262" s="16"/>
      <c r="AIN262" s="16"/>
      <c r="AIO262" s="16"/>
      <c r="AIP262" s="16"/>
      <c r="AIQ262" s="16"/>
      <c r="AIR262" s="16"/>
      <c r="AIS262" s="16" t="n">
        <v>0.79</v>
      </c>
      <c r="AIT262" s="16" t="n">
        <v>0.8</v>
      </c>
      <c r="AIU262" s="16"/>
      <c r="AIV262" s="16"/>
      <c r="AIW262" s="16" t="n">
        <v>0</v>
      </c>
      <c r="AIX262" s="16" t="n">
        <v>0</v>
      </c>
      <c r="AIY262" s="16" t="n">
        <v>0</v>
      </c>
      <c r="AIZ262" s="0" t="n">
        <v>0</v>
      </c>
      <c r="AJA262" s="0" t="s">
        <v>322</v>
      </c>
      <c r="AJB262" s="0" t="n">
        <v>29</v>
      </c>
      <c r="AJC262" s="16" t="n">
        <v>79.1</v>
      </c>
      <c r="AJD262" s="16" t="n">
        <v>83.4</v>
      </c>
      <c r="AJE262" s="16" t="n">
        <v>18.7</v>
      </c>
      <c r="AJF262" s="0" t="n">
        <v>83.49</v>
      </c>
      <c r="AJG262" s="0" t="n">
        <v>0</v>
      </c>
      <c r="AJH262" s="0" t="n">
        <v>16.51</v>
      </c>
      <c r="AJI262" s="0" t="n">
        <v>0</v>
      </c>
      <c r="AJJ262" s="0" t="n">
        <v>0</v>
      </c>
      <c r="AJK262" s="0" t="n">
        <v>0</v>
      </c>
      <c r="AJL262" s="0" t="n">
        <v>0</v>
      </c>
      <c r="AJM262" s="0" t="n">
        <v>0</v>
      </c>
      <c r="AJN262" s="0" t="n">
        <v>0</v>
      </c>
      <c r="AJO262" s="0" t="n">
        <v>0</v>
      </c>
      <c r="AJP262" s="0" t="n">
        <v>0</v>
      </c>
      <c r="AJQ262" s="0" t="n">
        <v>0</v>
      </c>
      <c r="AJR262" s="0" t="n">
        <v>45.32</v>
      </c>
      <c r="AJS262" s="0" t="n">
        <v>18.71</v>
      </c>
      <c r="AJT262" s="0" t="n">
        <v>0</v>
      </c>
      <c r="AJU262" s="0" t="n">
        <v>0</v>
      </c>
      <c r="AJV262" s="0" t="n">
        <v>0</v>
      </c>
      <c r="AJW262" s="0" t="n">
        <v>0</v>
      </c>
      <c r="AKJ262" s="0" t="n">
        <v>0</v>
      </c>
      <c r="AKK262" s="0" t="n">
        <v>0</v>
      </c>
      <c r="AKV262" s="18"/>
      <c r="ALN262" s="0" t="n">
        <v>0</v>
      </c>
    </row>
    <row r="263" customFormat="false" ht="13.8" hidden="false" customHeight="false" outlineLevel="0" collapsed="false">
      <c r="A263" s="1" t="s">
        <v>801</v>
      </c>
      <c r="B263" s="12" t="n">
        <v>42911</v>
      </c>
      <c r="C263" s="0" t="n">
        <v>2</v>
      </c>
      <c r="D263" s="13" t="n">
        <v>42793</v>
      </c>
      <c r="E263" s="12" t="n">
        <v>33409</v>
      </c>
      <c r="F263" s="14" t="n">
        <f aca="false">(B263-E263)/365.25</f>
        <v>26.0150581793292</v>
      </c>
      <c r="G263" s="14" t="n">
        <f aca="false">(B263-D263)/365.25</f>
        <v>0.323066392881588</v>
      </c>
      <c r="H263" s="19" t="s">
        <v>306</v>
      </c>
      <c r="I263" s="15" t="s">
        <v>793</v>
      </c>
      <c r="J263" s="15" t="s">
        <v>183</v>
      </c>
      <c r="K263" s="15" t="n">
        <v>8</v>
      </c>
      <c r="L263" s="19" t="n">
        <v>88</v>
      </c>
      <c r="M263" s="0" t="n">
        <v>1.82</v>
      </c>
      <c r="N263" s="16" t="n">
        <f aca="false">L263/(M263*M263)</f>
        <v>26.5668397536529</v>
      </c>
      <c r="O263" s="19" t="n">
        <v>0</v>
      </c>
      <c r="P263" s="19" t="n">
        <v>0</v>
      </c>
      <c r="Q263" s="19" t="n">
        <v>0</v>
      </c>
      <c r="R263" s="26" t="n">
        <v>0</v>
      </c>
      <c r="S263" s="26" t="n">
        <v>0</v>
      </c>
      <c r="T263" s="26" t="n">
        <v>0</v>
      </c>
      <c r="U263" s="19" t="n">
        <v>0</v>
      </c>
      <c r="V263" s="19" t="n">
        <v>0</v>
      </c>
      <c r="W263" s="19" t="n">
        <v>0</v>
      </c>
      <c r="X263" s="19" t="n">
        <v>0</v>
      </c>
      <c r="Y263" s="19" t="n">
        <v>0</v>
      </c>
      <c r="Z263" s="19" t="n">
        <v>0</v>
      </c>
      <c r="AA263" s="19" t="n">
        <v>0</v>
      </c>
      <c r="AB263" s="19" t="n">
        <v>0</v>
      </c>
      <c r="AC263" s="19" t="n">
        <v>0</v>
      </c>
      <c r="AD263" s="19" t="n">
        <v>0</v>
      </c>
      <c r="AE263" s="19" t="n">
        <v>0</v>
      </c>
      <c r="AF263" s="19" t="n">
        <v>0</v>
      </c>
      <c r="AG263" s="19" t="n">
        <v>0</v>
      </c>
      <c r="AH263" s="19" t="n">
        <v>0</v>
      </c>
      <c r="AI263" s="19" t="n">
        <v>0</v>
      </c>
      <c r="AJ263" s="19" t="n">
        <v>0</v>
      </c>
      <c r="AK263" s="19" t="n">
        <v>0</v>
      </c>
      <c r="AL263" s="19" t="n">
        <v>0</v>
      </c>
      <c r="AM263" s="19" t="n">
        <v>0</v>
      </c>
      <c r="AN263" s="19" t="n">
        <v>0</v>
      </c>
      <c r="AO263" s="19" t="n">
        <v>0</v>
      </c>
      <c r="AP263" s="19" t="n">
        <v>0</v>
      </c>
      <c r="AQ263" s="19" t="n">
        <v>0</v>
      </c>
      <c r="AR263" s="19" t="n">
        <v>0</v>
      </c>
      <c r="AS263" s="19" t="n">
        <v>0</v>
      </c>
      <c r="AT263" s="19" t="n">
        <v>0</v>
      </c>
      <c r="AU263" s="19" t="n">
        <v>0</v>
      </c>
      <c r="AV263" s="19" t="n">
        <v>0</v>
      </c>
      <c r="AW263" s="19" t="n">
        <v>0</v>
      </c>
      <c r="AX263" s="19" t="n">
        <v>0</v>
      </c>
      <c r="AY263" s="19" t="n">
        <v>0</v>
      </c>
      <c r="AZ263" s="19" t="n">
        <v>0</v>
      </c>
      <c r="BA263" s="19" t="n">
        <v>0</v>
      </c>
      <c r="BB263" s="19" t="n">
        <v>0</v>
      </c>
      <c r="BC263" s="19" t="n">
        <v>0</v>
      </c>
      <c r="BD263" s="19" t="n">
        <v>0</v>
      </c>
      <c r="BE263" s="19" t="n">
        <v>0</v>
      </c>
      <c r="BF263" s="19" t="n">
        <v>0</v>
      </c>
      <c r="BG263" s="19" t="n">
        <v>0</v>
      </c>
      <c r="BH263" s="19" t="n">
        <v>0</v>
      </c>
      <c r="BI263" s="19" t="n">
        <v>0</v>
      </c>
      <c r="BJ263" s="19" t="n">
        <v>0</v>
      </c>
      <c r="BK263" s="19" t="n">
        <v>0</v>
      </c>
      <c r="BL263" s="19" t="n">
        <v>0</v>
      </c>
      <c r="BM263" s="19" t="n">
        <v>0</v>
      </c>
      <c r="BN263" s="19" t="n">
        <v>0</v>
      </c>
      <c r="BO263" s="19" t="n">
        <v>0</v>
      </c>
      <c r="BP263" s="19" t="n">
        <v>0</v>
      </c>
      <c r="BQ263" s="19" t="n">
        <v>0</v>
      </c>
      <c r="BR263" s="19" t="n">
        <v>1</v>
      </c>
      <c r="BS263" s="19" t="n">
        <v>2</v>
      </c>
      <c r="BT263" s="19" t="n">
        <v>2</v>
      </c>
      <c r="BU263" s="19" t="n">
        <v>5</v>
      </c>
      <c r="BV263" s="19" t="n">
        <v>3</v>
      </c>
      <c r="BW263" s="19" t="n">
        <v>4</v>
      </c>
      <c r="BX263" s="19" t="n">
        <v>3</v>
      </c>
      <c r="BY263" s="19" t="n">
        <v>5</v>
      </c>
      <c r="BZ263" s="19" t="n">
        <v>5</v>
      </c>
      <c r="CA263" s="19" t="n">
        <v>4</v>
      </c>
      <c r="CB263" s="19" t="n">
        <v>4</v>
      </c>
      <c r="CC263" s="19" t="n">
        <v>4</v>
      </c>
      <c r="CD263" s="19" t="n">
        <v>4</v>
      </c>
      <c r="CE263" s="19" t="n">
        <v>4</v>
      </c>
      <c r="CF263" s="19" t="n">
        <v>4</v>
      </c>
      <c r="CG263" s="19" t="n">
        <v>5</v>
      </c>
      <c r="CH263" s="19" t="n">
        <v>4</v>
      </c>
      <c r="CI263" s="19" t="n">
        <v>4</v>
      </c>
      <c r="CJ263" s="19" t="n">
        <v>4</v>
      </c>
      <c r="CK263" s="19" t="n">
        <v>7</v>
      </c>
      <c r="CL263" s="0" t="s">
        <v>794</v>
      </c>
      <c r="CM263" s="0" t="n">
        <v>41.5</v>
      </c>
      <c r="CN263" s="16" t="n">
        <v>70</v>
      </c>
      <c r="CO263" s="16" t="n">
        <v>83.4</v>
      </c>
      <c r="CP263" s="16" t="n">
        <v>33.4</v>
      </c>
      <c r="CQ263" s="0" t="n">
        <v>67.05</v>
      </c>
      <c r="CR263" s="0" t="n">
        <v>0</v>
      </c>
      <c r="CS263" s="0" t="n">
        <v>5.87</v>
      </c>
      <c r="CT263" s="0" t="n">
        <v>12.48</v>
      </c>
      <c r="CU263" s="0" t="n">
        <v>14.6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18.75</v>
      </c>
      <c r="DD263" s="0" t="n">
        <v>14.73</v>
      </c>
      <c r="DE263" s="0" t="n">
        <v>5.87</v>
      </c>
      <c r="DF263" s="0" t="n">
        <v>0</v>
      </c>
      <c r="DG263" s="0" t="n">
        <v>0</v>
      </c>
      <c r="DH263" s="0" t="n">
        <v>0</v>
      </c>
      <c r="DU263" s="0" t="n">
        <v>0</v>
      </c>
      <c r="DV263" s="0" t="n">
        <v>1</v>
      </c>
      <c r="DW263" s="0" t="n">
        <v>23</v>
      </c>
      <c r="DX263" s="0" t="n">
        <v>3</v>
      </c>
      <c r="DY263" s="0" t="n">
        <f aca="false">1.47+0.73</f>
        <v>2.2</v>
      </c>
      <c r="DZ263" s="0" t="n">
        <v>3</v>
      </c>
      <c r="EG263" s="18"/>
      <c r="EY263" s="0" t="n">
        <v>1</v>
      </c>
      <c r="EZ263" s="0" t="n">
        <v>30</v>
      </c>
      <c r="FA263" s="0" t="n">
        <v>2</v>
      </c>
      <c r="FB263" s="0" t="n">
        <v>2.94</v>
      </c>
      <c r="FC263" s="0" t="n">
        <v>3</v>
      </c>
      <c r="GJ263" s="16" t="n">
        <v>1.6</v>
      </c>
      <c r="GK263" s="16" t="n">
        <v>1</v>
      </c>
      <c r="GL263" s="16" t="n">
        <v>1</v>
      </c>
      <c r="GM263" s="16"/>
      <c r="GN263" s="16" t="n">
        <f aca="false">4.08+3.06+0.18+0.72</f>
        <v>8.04</v>
      </c>
      <c r="GO263" s="16"/>
      <c r="GP263" s="16"/>
      <c r="GQ263" s="16"/>
      <c r="GR263" s="16"/>
      <c r="GS263" s="16"/>
      <c r="GT263" s="16"/>
      <c r="GU263" s="16" t="n">
        <v>6.47</v>
      </c>
      <c r="GV263" s="16" t="n">
        <v>6.24</v>
      </c>
      <c r="GW263" s="16"/>
      <c r="GX263" s="16"/>
      <c r="GY263" s="16" t="n">
        <v>0</v>
      </c>
      <c r="GZ263" s="16" t="n">
        <v>0</v>
      </c>
      <c r="HA263" s="16" t="n">
        <v>0</v>
      </c>
      <c r="HB263" s="0" t="n">
        <v>0</v>
      </c>
      <c r="HC263" s="0" t="s">
        <v>795</v>
      </c>
      <c r="HD263" s="0" t="n">
        <v>58</v>
      </c>
      <c r="HE263" s="16" t="n">
        <v>94.2</v>
      </c>
      <c r="HF263" s="16" t="n">
        <v>83.4</v>
      </c>
      <c r="HG263" s="16" t="n">
        <v>45.8</v>
      </c>
      <c r="HH263" s="0" t="n">
        <v>51.88</v>
      </c>
      <c r="HI263" s="0" t="n">
        <v>0</v>
      </c>
      <c r="HJ263" s="0" t="n">
        <v>42.28</v>
      </c>
      <c r="HK263" s="0" t="n">
        <v>0</v>
      </c>
      <c r="HL263" s="0" t="n">
        <v>1.81</v>
      </c>
      <c r="HM263" s="0" t="n">
        <v>0</v>
      </c>
      <c r="HN263" s="0" t="n">
        <v>4.03</v>
      </c>
      <c r="HO263" s="0" t="n">
        <v>0</v>
      </c>
      <c r="HP263" s="0" t="n">
        <v>3.02</v>
      </c>
      <c r="HQ263" s="0" t="n">
        <v>0</v>
      </c>
      <c r="HR263" s="0" t="n">
        <v>0</v>
      </c>
      <c r="HS263" s="0" t="n">
        <v>2.06</v>
      </c>
      <c r="HT263" s="0" t="n">
        <v>7.41</v>
      </c>
      <c r="HU263" s="0" t="n">
        <v>41.45</v>
      </c>
      <c r="HV263" s="0" t="n">
        <v>4.5</v>
      </c>
      <c r="HW263" s="0" t="n">
        <v>0</v>
      </c>
      <c r="HX263" s="0" t="n">
        <v>5.3</v>
      </c>
      <c r="HY263" s="0" t="n">
        <v>1</v>
      </c>
      <c r="HZ263" s="0" t="n">
        <v>5</v>
      </c>
      <c r="IB263" s="0" t="n">
        <v>1</v>
      </c>
      <c r="IL263" s="0" t="n">
        <v>3.9</v>
      </c>
      <c r="IM263" s="0" t="n">
        <v>0</v>
      </c>
      <c r="IX263" s="18"/>
      <c r="JP263" s="0" t="n">
        <v>1</v>
      </c>
      <c r="JQ263" s="0" t="n">
        <v>60</v>
      </c>
      <c r="JR263" s="0" t="n">
        <v>4</v>
      </c>
      <c r="JS263" s="0" t="n">
        <f aca="false">1.47*2</f>
        <v>2.94</v>
      </c>
      <c r="JT263" s="0" t="n">
        <v>2</v>
      </c>
      <c r="JU263" s="0" t="n">
        <v>50</v>
      </c>
      <c r="JV263" s="0" t="n">
        <v>9</v>
      </c>
      <c r="JW263" s="0" t="n">
        <f aca="false">0.9+0.12</f>
        <v>1.02</v>
      </c>
      <c r="JX263" s="0" t="n">
        <v>2</v>
      </c>
      <c r="JY263" s="0" t="n">
        <v>70</v>
      </c>
      <c r="JZ263" s="0" t="n">
        <v>4</v>
      </c>
      <c r="KA263" s="0" t="n">
        <v>0.4</v>
      </c>
      <c r="KB263" s="0" t="n">
        <v>2</v>
      </c>
      <c r="LA263" s="16" t="n">
        <v>0</v>
      </c>
      <c r="LB263" s="16" t="n">
        <v>0</v>
      </c>
      <c r="LC263" s="16"/>
      <c r="LD263" s="16"/>
      <c r="LE263" s="16"/>
      <c r="LF263" s="16"/>
      <c r="LG263" s="16"/>
      <c r="LH263" s="16"/>
      <c r="LI263" s="16"/>
      <c r="LJ263" s="16"/>
      <c r="LK263" s="16"/>
      <c r="LL263" s="16" t="n">
        <v>2.7</v>
      </c>
      <c r="LM263" s="16" t="n">
        <v>0.9</v>
      </c>
      <c r="LN263" s="16"/>
      <c r="LO263" s="16"/>
      <c r="LP263" s="16" t="n">
        <v>0</v>
      </c>
      <c r="LQ263" s="16" t="n">
        <v>0</v>
      </c>
      <c r="LR263" s="16" t="n">
        <v>0</v>
      </c>
      <c r="LS263" s="0" t="n">
        <v>0</v>
      </c>
      <c r="LT263" s="0" t="s">
        <v>796</v>
      </c>
      <c r="LU263" s="0" t="n">
        <v>50.5</v>
      </c>
      <c r="LV263" s="16" t="n">
        <v>78.7</v>
      </c>
      <c r="LW263" s="16" t="n">
        <v>83.4</v>
      </c>
      <c r="LX263" s="16" t="n">
        <v>45.1</v>
      </c>
      <c r="LY263" s="0" t="n">
        <v>50.98</v>
      </c>
      <c r="LZ263" s="0" t="n">
        <v>1.99</v>
      </c>
      <c r="MA263" s="0" t="n">
        <v>41.43</v>
      </c>
      <c r="MB263" s="0" t="n">
        <v>0</v>
      </c>
      <c r="MC263" s="0" t="n">
        <v>1.81</v>
      </c>
      <c r="MD263" s="0" t="n">
        <v>0</v>
      </c>
      <c r="ME263" s="0" t="n">
        <v>3.78</v>
      </c>
      <c r="MF263" s="0" t="n">
        <v>0</v>
      </c>
      <c r="MG263" s="0" t="n">
        <v>3.02</v>
      </c>
      <c r="MH263" s="0" t="n">
        <v>0</v>
      </c>
      <c r="MI263" s="0" t="n">
        <v>0</v>
      </c>
      <c r="MJ263" s="0" t="n">
        <v>1.81</v>
      </c>
      <c r="MK263" s="0" t="n">
        <v>12.52</v>
      </c>
      <c r="ML263" s="0" t="n">
        <v>41.44</v>
      </c>
      <c r="MM263" s="0" t="n">
        <v>3.05</v>
      </c>
      <c r="MN263" s="0" t="n">
        <v>0</v>
      </c>
      <c r="MO263" s="0" t="n">
        <v>0</v>
      </c>
      <c r="MP263" s="0" t="n">
        <v>0</v>
      </c>
      <c r="NC263" s="0" t="n">
        <v>3</v>
      </c>
      <c r="ND263" s="0" t="n">
        <v>0</v>
      </c>
      <c r="NO263" s="18"/>
      <c r="OG263" s="0" t="n">
        <v>1</v>
      </c>
      <c r="OH263" s="0" t="n">
        <v>60</v>
      </c>
      <c r="OI263" s="0" t="n">
        <v>4</v>
      </c>
      <c r="OJ263" s="0" t="n">
        <f aca="false">1.47*2</f>
        <v>2.94</v>
      </c>
      <c r="OK263" s="0" t="n">
        <v>2</v>
      </c>
      <c r="OL263" s="0" t="n">
        <v>50</v>
      </c>
      <c r="OM263" s="0" t="n">
        <v>9</v>
      </c>
      <c r="ON263" s="0" t="n">
        <f aca="false">0.9+0.12</f>
        <v>1.02</v>
      </c>
      <c r="OO263" s="0" t="n">
        <v>2</v>
      </c>
      <c r="OP263" s="0" t="n">
        <v>70</v>
      </c>
      <c r="OQ263" s="0" t="n">
        <v>4</v>
      </c>
      <c r="OR263" s="0" t="n">
        <v>0.4</v>
      </c>
      <c r="OS263" s="0" t="n">
        <v>2</v>
      </c>
      <c r="PR263" s="16" t="n">
        <v>0</v>
      </c>
      <c r="PS263" s="16" t="n">
        <v>0</v>
      </c>
      <c r="PT263" s="16"/>
      <c r="PU263" s="16"/>
      <c r="PV263" s="16"/>
      <c r="PW263" s="16"/>
      <c r="PX263" s="16"/>
      <c r="PY263" s="16"/>
      <c r="PZ263" s="16"/>
      <c r="QA263" s="16"/>
      <c r="QB263" s="16"/>
      <c r="QC263" s="16" t="n">
        <v>2.14</v>
      </c>
      <c r="QD263" s="16" t="n">
        <v>2.14</v>
      </c>
      <c r="QE263" s="16"/>
      <c r="QF263" s="16"/>
      <c r="QG263" s="16" t="n">
        <v>0</v>
      </c>
      <c r="QH263" s="16" t="n">
        <v>0</v>
      </c>
      <c r="QI263" s="16" t="n">
        <v>0</v>
      </c>
      <c r="QJ263" s="0" t="n">
        <v>0</v>
      </c>
      <c r="QK263" s="0" t="s">
        <v>797</v>
      </c>
      <c r="QL263" s="0" t="n">
        <v>52.5</v>
      </c>
      <c r="QM263" s="16" t="n">
        <v>84.4</v>
      </c>
      <c r="QN263" s="16" t="n">
        <v>83.4</v>
      </c>
      <c r="QO263" s="16" t="n">
        <v>45.2</v>
      </c>
      <c r="QP263" s="0" t="n">
        <v>36.52</v>
      </c>
      <c r="QQ263" s="0" t="n">
        <v>0</v>
      </c>
      <c r="QR263" s="0" t="n">
        <v>24.46</v>
      </c>
      <c r="QS263" s="0" t="n">
        <v>5.81</v>
      </c>
      <c r="QT263" s="0" t="n">
        <v>9.54</v>
      </c>
      <c r="QU263" s="0" t="n">
        <v>0</v>
      </c>
      <c r="QV263" s="0" t="n">
        <v>22.12</v>
      </c>
      <c r="QW263" s="0" t="n">
        <v>2.71</v>
      </c>
      <c r="QX263" s="0" t="n">
        <v>5.34</v>
      </c>
      <c r="QY263" s="0" t="n">
        <v>3.86</v>
      </c>
      <c r="QZ263" s="0" t="n">
        <v>0</v>
      </c>
      <c r="RA263" s="0" t="n">
        <v>0</v>
      </c>
      <c r="RB263" s="0" t="n">
        <v>4.3</v>
      </c>
      <c r="RC263" s="0" t="n">
        <v>3.92</v>
      </c>
      <c r="RD263" s="0" t="n">
        <v>7.14</v>
      </c>
      <c r="RE263" s="0" t="n">
        <v>0.77</v>
      </c>
      <c r="RF263" s="0" t="n">
        <v>0</v>
      </c>
      <c r="RG263" s="0" t="n">
        <v>0</v>
      </c>
      <c r="RT263" s="0" t="n">
        <v>1.4</v>
      </c>
      <c r="RU263" s="0" t="n">
        <v>1</v>
      </c>
      <c r="RV263" s="0" t="n">
        <v>55</v>
      </c>
      <c r="RW263" s="0" t="n">
        <v>1</v>
      </c>
      <c r="RX263" s="0" t="n">
        <v>0.77</v>
      </c>
      <c r="RY263" s="0" t="n">
        <v>2</v>
      </c>
      <c r="RZ263" s="0" t="n">
        <v>35</v>
      </c>
      <c r="SA263" s="0" t="n">
        <v>1</v>
      </c>
      <c r="SB263" s="0" t="n">
        <v>0.13</v>
      </c>
      <c r="SC263" s="0" t="n">
        <v>3</v>
      </c>
      <c r="SF263" s="18"/>
      <c r="SX263" s="0" t="n">
        <v>1</v>
      </c>
      <c r="SY263" s="0" t="n">
        <v>50</v>
      </c>
      <c r="SZ263" s="0" t="n">
        <v>1</v>
      </c>
      <c r="TA263" s="0" t="n">
        <v>0.36</v>
      </c>
      <c r="TB263" s="0" t="n">
        <v>1</v>
      </c>
      <c r="UI263" s="16" t="n">
        <v>0.07</v>
      </c>
      <c r="UJ263" s="16" t="n">
        <v>1</v>
      </c>
      <c r="UK263" s="16" t="n">
        <v>1</v>
      </c>
      <c r="UL263" s="16"/>
      <c r="UM263" s="16" t="n">
        <f aca="false">0.07*2+0.05*3</f>
        <v>0.29</v>
      </c>
      <c r="UN263" s="16"/>
      <c r="UO263" s="16"/>
      <c r="UP263" s="16"/>
      <c r="UQ263" s="16"/>
      <c r="UR263" s="16"/>
      <c r="US263" s="16"/>
      <c r="UT263" s="16" t="n">
        <v>0.05</v>
      </c>
      <c r="UU263" s="16" t="n">
        <v>0.05</v>
      </c>
      <c r="UV263" s="16"/>
      <c r="UW263" s="16"/>
      <c r="UX263" s="16" t="n">
        <v>5.76</v>
      </c>
      <c r="UY263" s="16" t="n">
        <v>0</v>
      </c>
      <c r="UZ263" s="16" t="n">
        <v>0</v>
      </c>
      <c r="VA263" s="0" t="n">
        <v>1</v>
      </c>
      <c r="VB263" s="0" t="s">
        <v>798</v>
      </c>
      <c r="VC263" s="0" t="n">
        <v>47.5</v>
      </c>
      <c r="VD263" s="16" t="n">
        <v>97.8</v>
      </c>
      <c r="VE263" s="16" t="n">
        <v>83.4</v>
      </c>
      <c r="VF263" s="16" t="n">
        <v>26.3</v>
      </c>
      <c r="VG263" s="0" t="n">
        <v>54.22</v>
      </c>
      <c r="VH263" s="0" t="n">
        <v>0</v>
      </c>
      <c r="VI263" s="0" t="n">
        <v>0</v>
      </c>
      <c r="VJ263" s="0" t="n">
        <v>0</v>
      </c>
      <c r="VK263" s="0" t="n">
        <v>32.13</v>
      </c>
      <c r="VL263" s="0" t="n">
        <v>0</v>
      </c>
      <c r="VM263" s="0" t="n">
        <v>13.65</v>
      </c>
      <c r="VN263" s="0" t="n">
        <v>0</v>
      </c>
      <c r="VO263" s="0" t="n">
        <v>0</v>
      </c>
      <c r="VP263" s="0" t="n">
        <v>0</v>
      </c>
      <c r="VQ263" s="0" t="n">
        <v>0</v>
      </c>
      <c r="VR263" s="0" t="n">
        <v>25.5</v>
      </c>
      <c r="VS263" s="0" t="n">
        <v>61.05</v>
      </c>
      <c r="VT263" s="0" t="n">
        <v>6.61</v>
      </c>
      <c r="VU263" s="0" t="n">
        <v>3.67</v>
      </c>
      <c r="VV263" s="0" t="n">
        <v>0</v>
      </c>
      <c r="VW263" s="0" t="n">
        <v>10.5</v>
      </c>
      <c r="VX263" s="0" t="n">
        <v>1</v>
      </c>
      <c r="VY263" s="0" t="n">
        <v>3</v>
      </c>
      <c r="WA263" s="0" t="n">
        <v>1</v>
      </c>
      <c r="WK263" s="0" t="n">
        <v>7.1</v>
      </c>
      <c r="WL263" s="0" t="n">
        <v>0</v>
      </c>
      <c r="WW263" s="18"/>
      <c r="XO263" s="0" t="n">
        <v>1</v>
      </c>
      <c r="XP263" s="0" t="n">
        <v>60</v>
      </c>
      <c r="XQ263" s="0" t="n">
        <v>10</v>
      </c>
      <c r="XR263" s="0" t="n">
        <f aca="false">3.67*2</f>
        <v>7.34</v>
      </c>
      <c r="XS263" s="0" t="n">
        <v>3</v>
      </c>
      <c r="YZ263" s="16" t="n">
        <v>3.22</v>
      </c>
      <c r="ZA263" s="16" t="n">
        <v>1</v>
      </c>
      <c r="ZB263" s="16" t="n">
        <v>1</v>
      </c>
      <c r="ZC263" s="16"/>
      <c r="ZD263" s="16" t="n">
        <f aca="false">1.65*3+4.08+0.54+0.52</f>
        <v>10.09</v>
      </c>
      <c r="ZE263" s="16"/>
      <c r="ZF263" s="16"/>
      <c r="ZG263" s="16"/>
      <c r="ZH263" s="16"/>
      <c r="ZI263" s="16"/>
      <c r="ZJ263" s="16"/>
      <c r="ZK263" s="16" t="n">
        <v>0</v>
      </c>
      <c r="ZL263" s="16" t="n">
        <v>0</v>
      </c>
      <c r="ZM263" s="16"/>
      <c r="ZN263" s="16"/>
      <c r="ZO263" s="16" t="n">
        <v>0</v>
      </c>
      <c r="ZP263" s="16" t="n">
        <v>0</v>
      </c>
      <c r="ZQ263" s="16" t="n">
        <v>0</v>
      </c>
      <c r="ZR263" s="0" t="n">
        <v>0</v>
      </c>
      <c r="ZS263" s="0" t="s">
        <v>799</v>
      </c>
      <c r="ZT263" s="0" t="n">
        <v>44</v>
      </c>
      <c r="ZU263" s="16" t="n">
        <v>88.5</v>
      </c>
      <c r="ZV263" s="16" t="n">
        <v>83.4</v>
      </c>
      <c r="ZW263" s="16" t="n">
        <v>21.4</v>
      </c>
      <c r="ZX263" s="0" t="n">
        <v>59.53</v>
      </c>
      <c r="ZY263" s="0" t="n">
        <v>0</v>
      </c>
      <c r="ZZ263" s="0" t="n">
        <v>0</v>
      </c>
      <c r="AAA263" s="0" t="n">
        <v>0</v>
      </c>
      <c r="AAB263" s="0" t="n">
        <v>27.73</v>
      </c>
      <c r="AAC263" s="0" t="n">
        <v>0</v>
      </c>
      <c r="AAD263" s="0" t="n">
        <v>12.75</v>
      </c>
      <c r="AAE263" s="0" t="n">
        <v>0</v>
      </c>
      <c r="AAF263" s="0" t="n">
        <v>0</v>
      </c>
      <c r="AAG263" s="0" t="n">
        <v>0</v>
      </c>
      <c r="AAH263" s="0" t="n">
        <v>0</v>
      </c>
      <c r="AAI263" s="0" t="n">
        <v>18.64</v>
      </c>
      <c r="AAJ263" s="0" t="n">
        <v>50.48</v>
      </c>
      <c r="AAK263" s="0" t="n">
        <v>6.61</v>
      </c>
      <c r="AAL263" s="0" t="n">
        <v>3.67</v>
      </c>
      <c r="AAM263" s="0" t="n">
        <v>0</v>
      </c>
      <c r="AAN263" s="0" t="n">
        <v>10.5</v>
      </c>
      <c r="AAO263" s="0" t="n">
        <v>1</v>
      </c>
      <c r="AAP263" s="0" t="n">
        <v>3</v>
      </c>
      <c r="AAQ263" s="0" t="n">
        <v>1</v>
      </c>
      <c r="ABB263" s="0" t="n">
        <v>7.1</v>
      </c>
      <c r="ABC263" s="0" t="n">
        <v>0</v>
      </c>
      <c r="ABN263" s="18"/>
      <c r="ACF263" s="0" t="n">
        <v>1</v>
      </c>
      <c r="ACG263" s="0" t="n">
        <v>60</v>
      </c>
      <c r="ACH263" s="0" t="n">
        <v>10</v>
      </c>
      <c r="ACI263" s="0" t="n">
        <f aca="false">3.67*2</f>
        <v>7.34</v>
      </c>
      <c r="ACJ263" s="0" t="n">
        <v>4</v>
      </c>
      <c r="ADQ263" s="16" t="n">
        <v>2.37</v>
      </c>
      <c r="ADR263" s="16" t="n">
        <v>1</v>
      </c>
      <c r="ADS263" s="16" t="n">
        <v>1</v>
      </c>
      <c r="ADT263" s="16"/>
      <c r="ADU263" s="16" t="n">
        <f aca="false">1.65+4.08+0.54+3.77</f>
        <v>10.04</v>
      </c>
      <c r="ADV263" s="16"/>
      <c r="ADW263" s="16"/>
      <c r="ADX263" s="16"/>
      <c r="ADY263" s="16"/>
      <c r="ADZ263" s="16"/>
      <c r="AEA263" s="16"/>
      <c r="AEB263" s="16" t="n">
        <v>0.25</v>
      </c>
      <c r="AEC263" s="16" t="n">
        <v>0.25</v>
      </c>
      <c r="AED263" s="16"/>
      <c r="AEE263" s="16"/>
      <c r="AEF263" s="16" t="n">
        <v>0</v>
      </c>
      <c r="AEG263" s="16" t="n">
        <v>0</v>
      </c>
      <c r="AEH263" s="16" t="n">
        <v>3</v>
      </c>
      <c r="AEI263" s="0" t="n">
        <v>0</v>
      </c>
      <c r="AEJ263" s="0" t="s">
        <v>800</v>
      </c>
      <c r="AEK263" s="0" t="n">
        <v>27.5</v>
      </c>
      <c r="AEL263" s="16" t="n">
        <v>44</v>
      </c>
      <c r="AEM263" s="16" t="n">
        <v>83.4</v>
      </c>
      <c r="AEN263" s="16" t="n">
        <v>26.1</v>
      </c>
      <c r="AEO263" s="0" t="n">
        <v>15.93</v>
      </c>
      <c r="AEP263" s="0" t="n">
        <v>0</v>
      </c>
      <c r="AEQ263" s="0" t="n">
        <v>0</v>
      </c>
      <c r="AER263" s="0" t="n">
        <v>1.1</v>
      </c>
      <c r="AES263" s="0" t="n">
        <v>2.91</v>
      </c>
      <c r="AET263" s="0" t="n">
        <v>0</v>
      </c>
      <c r="AEU263" s="0" t="n">
        <v>79.32</v>
      </c>
      <c r="AEV263" s="0" t="n">
        <v>5.87</v>
      </c>
      <c r="AEW263" s="0" t="n">
        <v>17.05</v>
      </c>
      <c r="AEX263" s="0" t="n">
        <v>0</v>
      </c>
      <c r="AEY263" s="0" t="n">
        <v>0</v>
      </c>
      <c r="AEZ263" s="0" t="n">
        <v>4.43</v>
      </c>
      <c r="AFA263" s="0" t="n">
        <v>3.08</v>
      </c>
      <c r="AFB263" s="0" t="n">
        <v>0.78</v>
      </c>
      <c r="AFC263" s="0" t="n">
        <v>0.73</v>
      </c>
      <c r="AFD263" s="0" t="n">
        <v>0</v>
      </c>
      <c r="AFE263" s="0" t="n">
        <v>0</v>
      </c>
      <c r="AFF263" s="0" t="n">
        <v>0</v>
      </c>
      <c r="AFS263" s="0" t="n">
        <v>0</v>
      </c>
      <c r="AFT263" s="0" t="n">
        <v>0</v>
      </c>
      <c r="AGE263" s="18"/>
      <c r="AGW263" s="0" t="n">
        <v>1</v>
      </c>
      <c r="AGX263" s="0" t="n">
        <v>50</v>
      </c>
      <c r="AGY263" s="0" t="n">
        <v>1</v>
      </c>
      <c r="AGZ263" s="0" t="n">
        <v>0.73</v>
      </c>
      <c r="AHA263" s="0" t="n">
        <v>3</v>
      </c>
      <c r="AIH263" s="16" t="n">
        <v>0.29</v>
      </c>
      <c r="AII263" s="16" t="n">
        <v>1</v>
      </c>
      <c r="AIJ263" s="16" t="n">
        <v>1</v>
      </c>
      <c r="AIK263" s="16"/>
      <c r="AIL263" s="16" t="n">
        <f aca="false">0.08*8+0.2*4</f>
        <v>1.44</v>
      </c>
      <c r="AIM263" s="16"/>
      <c r="AIN263" s="16"/>
      <c r="AIO263" s="16"/>
      <c r="AIP263" s="16"/>
      <c r="AIQ263" s="16"/>
      <c r="AIR263" s="16"/>
      <c r="AIS263" s="16" t="n">
        <v>0.79</v>
      </c>
      <c r="AIT263" s="16" t="n">
        <v>0.8</v>
      </c>
      <c r="AIU263" s="16"/>
      <c r="AIV263" s="16"/>
      <c r="AIW263" s="16" t="n">
        <v>0</v>
      </c>
      <c r="AIX263" s="16" t="n">
        <v>0</v>
      </c>
      <c r="AIY263" s="16" t="n">
        <v>0</v>
      </c>
      <c r="AIZ263" s="0" t="n">
        <v>0</v>
      </c>
      <c r="AJA263" s="0" t="s">
        <v>322</v>
      </c>
      <c r="AJB263" s="0" t="n">
        <v>29</v>
      </c>
      <c r="AJC263" s="16" t="n">
        <v>79.1</v>
      </c>
      <c r="AJD263" s="16" t="n">
        <v>83.4</v>
      </c>
      <c r="AJE263" s="16" t="n">
        <v>18.7</v>
      </c>
      <c r="AJF263" s="0" t="n">
        <v>83.49</v>
      </c>
      <c r="AJG263" s="0" t="n">
        <v>0</v>
      </c>
      <c r="AJH263" s="0" t="n">
        <v>16.51</v>
      </c>
      <c r="AJI263" s="0" t="n">
        <v>0</v>
      </c>
      <c r="AJJ263" s="0" t="n">
        <v>0</v>
      </c>
      <c r="AJK263" s="0" t="n">
        <v>0</v>
      </c>
      <c r="AJL263" s="0" t="n">
        <v>0</v>
      </c>
      <c r="AJM263" s="0" t="n">
        <v>0</v>
      </c>
      <c r="AJN263" s="0" t="n">
        <v>0</v>
      </c>
      <c r="AJO263" s="0" t="n">
        <v>0</v>
      </c>
      <c r="AJP263" s="0" t="n">
        <v>0</v>
      </c>
      <c r="AJQ263" s="0" t="n">
        <v>0</v>
      </c>
      <c r="AJR263" s="0" t="n">
        <v>45.32</v>
      </c>
      <c r="AJS263" s="0" t="n">
        <v>18.71</v>
      </c>
      <c r="AJT263" s="0" t="n">
        <v>0</v>
      </c>
      <c r="AJU263" s="0" t="n">
        <v>0</v>
      </c>
      <c r="AJV263" s="0" t="n">
        <v>0</v>
      </c>
      <c r="AJW263" s="0" t="n">
        <v>0</v>
      </c>
      <c r="AKJ263" s="0" t="n">
        <v>0</v>
      </c>
      <c r="AKK263" s="0" t="n">
        <v>0</v>
      </c>
      <c r="AKV263" s="18"/>
      <c r="ALN263" s="0" t="n">
        <v>0</v>
      </c>
    </row>
    <row r="264" customFormat="false" ht="13.8" hidden="false" customHeight="false" outlineLevel="0" collapsed="false">
      <c r="A264" s="1" t="s">
        <v>802</v>
      </c>
      <c r="B264" s="12" t="n">
        <v>42908</v>
      </c>
      <c r="C264" s="0" t="n">
        <v>2</v>
      </c>
      <c r="D264" s="13" t="n">
        <v>42793</v>
      </c>
      <c r="E264" s="12" t="n">
        <v>29482</v>
      </c>
      <c r="F264" s="14" t="n">
        <f aca="false">(B264-E264)/365.25</f>
        <v>36.7583846680356</v>
      </c>
      <c r="G264" s="14" t="n">
        <f aca="false">(B264-D264)/365.25</f>
        <v>0.314852840520192</v>
      </c>
      <c r="H264" s="19" t="s">
        <v>306</v>
      </c>
      <c r="I264" s="15" t="s">
        <v>793</v>
      </c>
      <c r="J264" s="15" t="s">
        <v>183</v>
      </c>
      <c r="K264" s="15" t="n">
        <v>8</v>
      </c>
      <c r="L264" s="19" t="n">
        <v>89</v>
      </c>
      <c r="M264" s="0" t="n">
        <v>1.84</v>
      </c>
      <c r="N264" s="16" t="n">
        <f aca="false">L264/(M264*M264)</f>
        <v>26.2878071833648</v>
      </c>
      <c r="O264" s="19" t="n">
        <v>0</v>
      </c>
      <c r="P264" s="19" t="n">
        <v>0</v>
      </c>
      <c r="Q264" s="19" t="n">
        <v>0</v>
      </c>
      <c r="R264" s="26" t="n">
        <v>0</v>
      </c>
      <c r="S264" s="26" t="n">
        <v>0</v>
      </c>
      <c r="T264" s="26" t="n">
        <v>0</v>
      </c>
      <c r="U264" s="19" t="n">
        <v>0</v>
      </c>
      <c r="V264" s="19" t="n">
        <v>0</v>
      </c>
      <c r="W264" s="19" t="n">
        <v>0</v>
      </c>
      <c r="X264" s="19" t="n">
        <v>0</v>
      </c>
      <c r="Y264" s="19" t="n">
        <v>1</v>
      </c>
      <c r="Z264" s="19" t="n">
        <v>3</v>
      </c>
      <c r="AA264" s="19" t="n">
        <v>60</v>
      </c>
      <c r="AB264" s="19" t="s">
        <v>308</v>
      </c>
      <c r="AC264" s="19" t="n">
        <v>0</v>
      </c>
      <c r="AD264" s="19" t="n">
        <v>0</v>
      </c>
      <c r="AE264" s="19" t="n">
        <v>0</v>
      </c>
      <c r="AF264" s="19" t="n">
        <v>0</v>
      </c>
      <c r="AG264" s="19" t="n">
        <v>0</v>
      </c>
      <c r="AH264" s="19" t="n">
        <v>0</v>
      </c>
      <c r="AI264" s="19" t="n">
        <v>0</v>
      </c>
      <c r="AJ264" s="19" t="n">
        <v>0</v>
      </c>
      <c r="AK264" s="19" t="n">
        <v>0</v>
      </c>
      <c r="AL264" s="19" t="n">
        <v>0</v>
      </c>
      <c r="AM264" s="19" t="n">
        <v>0</v>
      </c>
      <c r="AN264" s="19" t="n">
        <v>0</v>
      </c>
      <c r="AO264" s="19" t="n">
        <v>0</v>
      </c>
      <c r="AP264" s="19" t="n">
        <v>0</v>
      </c>
      <c r="AQ264" s="19" t="n">
        <v>0</v>
      </c>
      <c r="AR264" s="19" t="n">
        <v>0</v>
      </c>
      <c r="AS264" s="19" t="n">
        <v>0</v>
      </c>
      <c r="AT264" s="19" t="n">
        <v>0</v>
      </c>
      <c r="AU264" s="19" t="n">
        <v>0</v>
      </c>
      <c r="AV264" s="19" t="n">
        <v>0</v>
      </c>
      <c r="AW264" s="19" t="n">
        <v>0</v>
      </c>
      <c r="AX264" s="19" t="n">
        <v>0</v>
      </c>
      <c r="AY264" s="19" t="n">
        <v>0</v>
      </c>
      <c r="AZ264" s="19" t="n">
        <v>0</v>
      </c>
      <c r="BA264" s="19" t="n">
        <v>0</v>
      </c>
      <c r="BB264" s="19" t="n">
        <v>0</v>
      </c>
      <c r="BC264" s="19" t="n">
        <v>0</v>
      </c>
      <c r="BD264" s="19" t="n">
        <v>0</v>
      </c>
      <c r="BE264" s="19" t="n">
        <v>0</v>
      </c>
      <c r="BF264" s="19" t="n">
        <v>0</v>
      </c>
      <c r="BG264" s="19" t="n">
        <v>0</v>
      </c>
      <c r="BH264" s="19" t="n">
        <v>0</v>
      </c>
      <c r="BI264" s="19" t="n">
        <v>0</v>
      </c>
      <c r="BJ264" s="19" t="n">
        <v>0</v>
      </c>
      <c r="BK264" s="19" t="n">
        <v>0</v>
      </c>
      <c r="BL264" s="19" t="n">
        <v>0</v>
      </c>
      <c r="BM264" s="19" t="n">
        <v>0</v>
      </c>
      <c r="BN264" s="19" t="n">
        <v>0</v>
      </c>
      <c r="BO264" s="19" t="n">
        <v>0</v>
      </c>
      <c r="BP264" s="19" t="n">
        <v>0</v>
      </c>
      <c r="BQ264" s="19" t="n">
        <v>0</v>
      </c>
      <c r="BR264" s="19" t="n">
        <v>2</v>
      </c>
      <c r="BS264" s="19" t="n">
        <v>2</v>
      </c>
      <c r="BT264" s="19" t="n">
        <v>3</v>
      </c>
      <c r="BU264" s="19" t="n">
        <v>5</v>
      </c>
      <c r="BV264" s="19" t="n">
        <v>3</v>
      </c>
      <c r="BW264" s="19" t="n">
        <v>1</v>
      </c>
      <c r="BX264" s="19" t="n">
        <v>1</v>
      </c>
      <c r="BY264" s="19" t="n">
        <v>4</v>
      </c>
      <c r="BZ264" s="19" t="n">
        <v>4</v>
      </c>
      <c r="CA264" s="19" t="n">
        <v>2</v>
      </c>
      <c r="CB264" s="19" t="n">
        <v>4</v>
      </c>
      <c r="CC264" s="19" t="n">
        <v>4</v>
      </c>
      <c r="CD264" s="19" t="n">
        <v>2</v>
      </c>
      <c r="CE264" s="19" t="n">
        <v>4</v>
      </c>
      <c r="CF264" s="19" t="n">
        <v>4</v>
      </c>
      <c r="CG264" s="19" t="n">
        <v>5</v>
      </c>
      <c r="CH264" s="19" t="n">
        <v>3</v>
      </c>
      <c r="CI264" s="19" t="n">
        <v>3</v>
      </c>
      <c r="CJ264" s="19" t="n">
        <v>4</v>
      </c>
      <c r="CK264" s="19" t="n">
        <v>9</v>
      </c>
      <c r="CL264" s="0" t="s">
        <v>794</v>
      </c>
      <c r="CM264" s="0" t="n">
        <v>41.5</v>
      </c>
      <c r="CN264" s="16" t="n">
        <v>70</v>
      </c>
      <c r="CO264" s="16" t="n">
        <v>83.4</v>
      </c>
      <c r="CP264" s="16" t="n">
        <v>33.4</v>
      </c>
      <c r="CQ264" s="0" t="n">
        <v>67.05</v>
      </c>
      <c r="CR264" s="0" t="n">
        <v>0</v>
      </c>
      <c r="CS264" s="0" t="n">
        <v>5.87</v>
      </c>
      <c r="CT264" s="0" t="n">
        <v>12.48</v>
      </c>
      <c r="CU264" s="0" t="n">
        <v>14.6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18.75</v>
      </c>
      <c r="DD264" s="0" t="n">
        <v>14.73</v>
      </c>
      <c r="DE264" s="0" t="n">
        <v>5.87</v>
      </c>
      <c r="DF264" s="0" t="n">
        <v>0</v>
      </c>
      <c r="DG264" s="0" t="n">
        <v>0</v>
      </c>
      <c r="DH264" s="0" t="n">
        <v>0</v>
      </c>
      <c r="DU264" s="0" t="n">
        <v>0</v>
      </c>
      <c r="DV264" s="0" t="n">
        <v>1</v>
      </c>
      <c r="DW264" s="0" t="n">
        <v>23</v>
      </c>
      <c r="DX264" s="0" t="n">
        <v>3</v>
      </c>
      <c r="DY264" s="0" t="n">
        <f aca="false">1.47+0.73</f>
        <v>2.2</v>
      </c>
      <c r="DZ264" s="0" t="n">
        <v>3</v>
      </c>
      <c r="EG264" s="18"/>
      <c r="EY264" s="0" t="n">
        <v>1</v>
      </c>
      <c r="EZ264" s="0" t="n">
        <v>30</v>
      </c>
      <c r="FA264" s="0" t="n">
        <v>2</v>
      </c>
      <c r="FB264" s="0" t="n">
        <v>2.94</v>
      </c>
      <c r="FC264" s="0" t="n">
        <v>3</v>
      </c>
      <c r="GJ264" s="16" t="n">
        <v>1.6</v>
      </c>
      <c r="GK264" s="16" t="n">
        <v>1</v>
      </c>
      <c r="GL264" s="16" t="n">
        <v>1</v>
      </c>
      <c r="GM264" s="16"/>
      <c r="GN264" s="16" t="n">
        <f aca="false">4.08+3.06+0.18+0.72</f>
        <v>8.04</v>
      </c>
      <c r="GO264" s="16"/>
      <c r="GP264" s="16"/>
      <c r="GQ264" s="16"/>
      <c r="GR264" s="16"/>
      <c r="GS264" s="16"/>
      <c r="GT264" s="16"/>
      <c r="GU264" s="16" t="n">
        <v>6.47</v>
      </c>
      <c r="GV264" s="16" t="n">
        <v>6.24</v>
      </c>
      <c r="GW264" s="16"/>
      <c r="GX264" s="16"/>
      <c r="GY264" s="16" t="n">
        <v>0</v>
      </c>
      <c r="GZ264" s="16" t="n">
        <v>0</v>
      </c>
      <c r="HA264" s="16" t="n">
        <v>0</v>
      </c>
      <c r="HB264" s="0" t="n">
        <v>0</v>
      </c>
      <c r="HC264" s="0" t="s">
        <v>795</v>
      </c>
      <c r="HD264" s="0" t="n">
        <v>58</v>
      </c>
      <c r="HE264" s="16" t="n">
        <v>94.2</v>
      </c>
      <c r="HF264" s="16" t="n">
        <v>83.4</v>
      </c>
      <c r="HG264" s="16" t="n">
        <v>45.8</v>
      </c>
      <c r="HH264" s="0" t="n">
        <v>51.88</v>
      </c>
      <c r="HI264" s="0" t="n">
        <v>0</v>
      </c>
      <c r="HJ264" s="0" t="n">
        <v>42.28</v>
      </c>
      <c r="HK264" s="0" t="n">
        <v>0</v>
      </c>
      <c r="HL264" s="0" t="n">
        <v>1.81</v>
      </c>
      <c r="HM264" s="0" t="n">
        <v>0</v>
      </c>
      <c r="HN264" s="0" t="n">
        <v>4.03</v>
      </c>
      <c r="HO264" s="0" t="n">
        <v>0</v>
      </c>
      <c r="HP264" s="0" t="n">
        <v>3.02</v>
      </c>
      <c r="HQ264" s="0" t="n">
        <v>0</v>
      </c>
      <c r="HR264" s="0" t="n">
        <v>0</v>
      </c>
      <c r="HS264" s="0" t="n">
        <v>2.06</v>
      </c>
      <c r="HT264" s="0" t="n">
        <v>7.41</v>
      </c>
      <c r="HU264" s="0" t="n">
        <v>41.45</v>
      </c>
      <c r="HV264" s="0" t="n">
        <v>4.5</v>
      </c>
      <c r="HW264" s="0" t="n">
        <v>0</v>
      </c>
      <c r="HX264" s="0" t="n">
        <v>5.3</v>
      </c>
      <c r="HY264" s="0" t="n">
        <v>1</v>
      </c>
      <c r="HZ264" s="0" t="n">
        <v>5</v>
      </c>
      <c r="IB264" s="0" t="n">
        <v>1</v>
      </c>
      <c r="IL264" s="0" t="n">
        <v>3.9</v>
      </c>
      <c r="IM264" s="0" t="n">
        <v>0</v>
      </c>
      <c r="IX264" s="18"/>
      <c r="JP264" s="0" t="n">
        <v>1</v>
      </c>
      <c r="JQ264" s="0" t="n">
        <v>60</v>
      </c>
      <c r="JR264" s="0" t="n">
        <v>4</v>
      </c>
      <c r="JS264" s="0" t="n">
        <f aca="false">1.47*2</f>
        <v>2.94</v>
      </c>
      <c r="JT264" s="0" t="n">
        <v>2</v>
      </c>
      <c r="JU264" s="0" t="n">
        <v>50</v>
      </c>
      <c r="JV264" s="0" t="n">
        <v>9</v>
      </c>
      <c r="JW264" s="0" t="n">
        <f aca="false">0.9+0.12</f>
        <v>1.02</v>
      </c>
      <c r="JX264" s="0" t="n">
        <v>2</v>
      </c>
      <c r="JY264" s="0" t="n">
        <v>70</v>
      </c>
      <c r="JZ264" s="0" t="n">
        <v>4</v>
      </c>
      <c r="KA264" s="0" t="n">
        <v>0.4</v>
      </c>
      <c r="KB264" s="0" t="n">
        <v>2</v>
      </c>
      <c r="LA264" s="16" t="n">
        <v>0</v>
      </c>
      <c r="LB264" s="16" t="n">
        <v>0</v>
      </c>
      <c r="LC264" s="16"/>
      <c r="LD264" s="16"/>
      <c r="LE264" s="16"/>
      <c r="LF264" s="16"/>
      <c r="LG264" s="16"/>
      <c r="LH264" s="16"/>
      <c r="LI264" s="16"/>
      <c r="LJ264" s="16"/>
      <c r="LK264" s="16"/>
      <c r="LL264" s="16" t="n">
        <v>2.7</v>
      </c>
      <c r="LM264" s="16" t="n">
        <v>0.9</v>
      </c>
      <c r="LN264" s="16"/>
      <c r="LO264" s="16"/>
      <c r="LP264" s="16" t="n">
        <v>0</v>
      </c>
      <c r="LQ264" s="16" t="n">
        <v>0</v>
      </c>
      <c r="LR264" s="16" t="n">
        <v>0</v>
      </c>
      <c r="LS264" s="0" t="n">
        <v>0</v>
      </c>
      <c r="LT264" s="0" t="s">
        <v>796</v>
      </c>
      <c r="LU264" s="0" t="n">
        <v>50.5</v>
      </c>
      <c r="LV264" s="16" t="n">
        <v>78.7</v>
      </c>
      <c r="LW264" s="16" t="n">
        <v>83.4</v>
      </c>
      <c r="LX264" s="16" t="n">
        <v>45.1</v>
      </c>
      <c r="LY264" s="0" t="n">
        <v>50.98</v>
      </c>
      <c r="LZ264" s="0" t="n">
        <v>1.99</v>
      </c>
      <c r="MA264" s="0" t="n">
        <v>41.43</v>
      </c>
      <c r="MB264" s="0" t="n">
        <v>0</v>
      </c>
      <c r="MC264" s="0" t="n">
        <v>1.81</v>
      </c>
      <c r="MD264" s="0" t="n">
        <v>0</v>
      </c>
      <c r="ME264" s="0" t="n">
        <v>3.78</v>
      </c>
      <c r="MF264" s="0" t="n">
        <v>0</v>
      </c>
      <c r="MG264" s="0" t="n">
        <v>3.02</v>
      </c>
      <c r="MH264" s="0" t="n">
        <v>0</v>
      </c>
      <c r="MI264" s="0" t="n">
        <v>0</v>
      </c>
      <c r="MJ264" s="0" t="n">
        <v>1.81</v>
      </c>
      <c r="MK264" s="0" t="n">
        <v>12.52</v>
      </c>
      <c r="ML264" s="0" t="n">
        <v>41.44</v>
      </c>
      <c r="MM264" s="0" t="n">
        <v>3.05</v>
      </c>
      <c r="MN264" s="0" t="n">
        <v>0</v>
      </c>
      <c r="MO264" s="0" t="n">
        <v>0</v>
      </c>
      <c r="MP264" s="0" t="n">
        <v>0</v>
      </c>
      <c r="NC264" s="0" t="n">
        <v>3</v>
      </c>
      <c r="ND264" s="0" t="n">
        <v>0</v>
      </c>
      <c r="NO264" s="18"/>
      <c r="OG264" s="0" t="n">
        <v>1</v>
      </c>
      <c r="OH264" s="0" t="n">
        <v>60</v>
      </c>
      <c r="OI264" s="0" t="n">
        <v>4</v>
      </c>
      <c r="OJ264" s="0" t="n">
        <f aca="false">1.47*2</f>
        <v>2.94</v>
      </c>
      <c r="OK264" s="0" t="n">
        <v>2</v>
      </c>
      <c r="OL264" s="0" t="n">
        <v>50</v>
      </c>
      <c r="OM264" s="0" t="n">
        <v>9</v>
      </c>
      <c r="ON264" s="0" t="n">
        <f aca="false">0.9+0.12</f>
        <v>1.02</v>
      </c>
      <c r="OO264" s="0" t="n">
        <v>2</v>
      </c>
      <c r="OP264" s="0" t="n">
        <v>70</v>
      </c>
      <c r="OQ264" s="0" t="n">
        <v>4</v>
      </c>
      <c r="OR264" s="0" t="n">
        <v>0.4</v>
      </c>
      <c r="OS264" s="0" t="n">
        <v>2</v>
      </c>
      <c r="PR264" s="16" t="n">
        <v>0</v>
      </c>
      <c r="PS264" s="16" t="n">
        <v>0</v>
      </c>
      <c r="PT264" s="16"/>
      <c r="PU264" s="16"/>
      <c r="PV264" s="16"/>
      <c r="PW264" s="16"/>
      <c r="PX264" s="16"/>
      <c r="PY264" s="16"/>
      <c r="PZ264" s="16"/>
      <c r="QA264" s="16"/>
      <c r="QB264" s="16"/>
      <c r="QC264" s="16" t="n">
        <v>2.14</v>
      </c>
      <c r="QD264" s="16" t="n">
        <v>2.14</v>
      </c>
      <c r="QE264" s="16"/>
      <c r="QF264" s="16"/>
      <c r="QG264" s="16" t="n">
        <v>0</v>
      </c>
      <c r="QH264" s="16" t="n">
        <v>0</v>
      </c>
      <c r="QI264" s="16" t="n">
        <v>0</v>
      </c>
      <c r="QJ264" s="0" t="n">
        <v>0</v>
      </c>
      <c r="QK264" s="0" t="s">
        <v>798</v>
      </c>
      <c r="QL264" s="0" t="n">
        <v>47.5</v>
      </c>
      <c r="QM264" s="16" t="n">
        <v>97.8</v>
      </c>
      <c r="QN264" s="16" t="n">
        <v>83.4</v>
      </c>
      <c r="QO264" s="16" t="n">
        <v>26.3</v>
      </c>
      <c r="QP264" s="0" t="n">
        <v>54.22</v>
      </c>
      <c r="QQ264" s="0" t="n">
        <v>0</v>
      </c>
      <c r="QR264" s="0" t="n">
        <v>0</v>
      </c>
      <c r="QS264" s="0" t="n">
        <v>0</v>
      </c>
      <c r="QT264" s="0" t="n">
        <v>32.13</v>
      </c>
      <c r="QU264" s="0" t="n">
        <v>0</v>
      </c>
      <c r="QV264" s="0" t="n">
        <v>13.65</v>
      </c>
      <c r="QW264" s="0" t="n">
        <v>0</v>
      </c>
      <c r="QX264" s="0" t="n">
        <v>0</v>
      </c>
      <c r="QY264" s="0" t="n">
        <v>0</v>
      </c>
      <c r="QZ264" s="0" t="n">
        <v>0</v>
      </c>
      <c r="RA264" s="0" t="n">
        <v>25.5</v>
      </c>
      <c r="RB264" s="0" t="n">
        <v>61.05</v>
      </c>
      <c r="RC264" s="0" t="n">
        <v>6.61</v>
      </c>
      <c r="RD264" s="0" t="n">
        <v>3.67</v>
      </c>
      <c r="RE264" s="0" t="n">
        <v>0</v>
      </c>
      <c r="RF264" s="0" t="n">
        <v>10.5</v>
      </c>
      <c r="RG264" s="0" t="n">
        <v>1</v>
      </c>
      <c r="RH264" s="0" t="n">
        <v>3</v>
      </c>
      <c r="RJ264" s="0" t="n">
        <v>1</v>
      </c>
      <c r="RT264" s="0" t="n">
        <v>7.1</v>
      </c>
      <c r="RU264" s="0" t="n">
        <v>0</v>
      </c>
      <c r="SF264" s="18"/>
      <c r="SX264" s="0" t="n">
        <v>1</v>
      </c>
      <c r="SY264" s="0" t="n">
        <v>60</v>
      </c>
      <c r="SZ264" s="0" t="n">
        <v>10</v>
      </c>
      <c r="TA264" s="0" t="n">
        <f aca="false">3.67*2</f>
        <v>7.34</v>
      </c>
      <c r="TB264" s="0" t="n">
        <v>3</v>
      </c>
      <c r="UI264" s="16" t="n">
        <v>3.22</v>
      </c>
      <c r="UJ264" s="16" t="n">
        <v>1</v>
      </c>
      <c r="UK264" s="16" t="n">
        <v>1</v>
      </c>
      <c r="UL264" s="16"/>
      <c r="UM264" s="16" t="n">
        <f aca="false">1.65*3+4.08+0.54+0.52</f>
        <v>10.09</v>
      </c>
      <c r="UN264" s="16"/>
      <c r="UO264" s="16"/>
      <c r="UP264" s="16"/>
      <c r="UQ264" s="16"/>
      <c r="UR264" s="16"/>
      <c r="US264" s="16"/>
      <c r="UT264" s="16" t="n">
        <v>0</v>
      </c>
      <c r="UU264" s="16" t="n">
        <v>0</v>
      </c>
      <c r="UV264" s="16"/>
      <c r="UW264" s="16"/>
      <c r="UX264" s="16" t="n">
        <v>0</v>
      </c>
      <c r="UY264" s="16" t="n">
        <v>0</v>
      </c>
      <c r="UZ264" s="16" t="n">
        <v>0</v>
      </c>
      <c r="VA264" s="0" t="n">
        <v>0</v>
      </c>
      <c r="VB264" s="0" t="s">
        <v>799</v>
      </c>
      <c r="VC264" s="0" t="n">
        <v>44</v>
      </c>
      <c r="VD264" s="16" t="n">
        <v>88.5</v>
      </c>
      <c r="VE264" s="16" t="n">
        <v>83.4</v>
      </c>
      <c r="VF264" s="16" t="n">
        <v>21.4</v>
      </c>
      <c r="VG264" s="0" t="n">
        <v>59.53</v>
      </c>
      <c r="VH264" s="0" t="n">
        <v>0</v>
      </c>
      <c r="VI264" s="0" t="n">
        <v>0</v>
      </c>
      <c r="VJ264" s="0" t="n">
        <v>0</v>
      </c>
      <c r="VK264" s="0" t="n">
        <v>27.73</v>
      </c>
      <c r="VL264" s="0" t="n">
        <v>0</v>
      </c>
      <c r="VM264" s="0" t="n">
        <v>12.75</v>
      </c>
      <c r="VN264" s="0" t="n">
        <v>0</v>
      </c>
      <c r="VO264" s="0" t="n">
        <v>0</v>
      </c>
      <c r="VP264" s="0" t="n">
        <v>0</v>
      </c>
      <c r="VQ264" s="0" t="n">
        <v>0</v>
      </c>
      <c r="VR264" s="0" t="n">
        <v>18.64</v>
      </c>
      <c r="VS264" s="0" t="n">
        <v>50.48</v>
      </c>
      <c r="VT264" s="0" t="n">
        <v>6.61</v>
      </c>
      <c r="VU264" s="0" t="n">
        <v>3.67</v>
      </c>
      <c r="VV264" s="0" t="n">
        <v>0</v>
      </c>
      <c r="VW264" s="0" t="n">
        <v>10.5</v>
      </c>
      <c r="VX264" s="0" t="n">
        <v>1</v>
      </c>
      <c r="VY264" s="0" t="n">
        <v>3</v>
      </c>
      <c r="VZ264" s="0" t="n">
        <v>1</v>
      </c>
      <c r="WK264" s="0" t="n">
        <v>7.1</v>
      </c>
      <c r="WL264" s="0" t="n">
        <v>0</v>
      </c>
      <c r="WW264" s="18"/>
      <c r="XO264" s="0" t="n">
        <v>1</v>
      </c>
      <c r="XP264" s="0" t="n">
        <v>60</v>
      </c>
      <c r="XQ264" s="0" t="n">
        <v>10</v>
      </c>
      <c r="XR264" s="0" t="n">
        <f aca="false">3.67*2</f>
        <v>7.34</v>
      </c>
      <c r="XS264" s="0" t="n">
        <v>4</v>
      </c>
      <c r="YZ264" s="16" t="n">
        <v>2.37</v>
      </c>
      <c r="ZA264" s="16" t="n">
        <v>1</v>
      </c>
      <c r="ZB264" s="16" t="n">
        <v>1</v>
      </c>
      <c r="ZC264" s="16"/>
      <c r="ZD264" s="16" t="n">
        <f aca="false">1.65+4.08+0.54+3.77</f>
        <v>10.04</v>
      </c>
      <c r="ZE264" s="16"/>
      <c r="ZF264" s="16"/>
      <c r="ZG264" s="16"/>
      <c r="ZH264" s="16"/>
      <c r="ZI264" s="16"/>
      <c r="ZJ264" s="16"/>
      <c r="ZK264" s="16" t="n">
        <v>0.25</v>
      </c>
      <c r="ZL264" s="16" t="n">
        <v>0.25</v>
      </c>
      <c r="ZM264" s="16"/>
      <c r="ZN264" s="16"/>
      <c r="ZO264" s="16" t="n">
        <v>0</v>
      </c>
      <c r="ZP264" s="16" t="n">
        <v>0</v>
      </c>
      <c r="ZQ264" s="16" t="n">
        <v>3</v>
      </c>
      <c r="ZR264" s="0" t="n">
        <v>0</v>
      </c>
      <c r="ZS264" s="0" t="s">
        <v>800</v>
      </c>
      <c r="ZT264" s="0" t="n">
        <v>27.5</v>
      </c>
      <c r="ZU264" s="16" t="n">
        <v>44</v>
      </c>
      <c r="ZV264" s="16" t="n">
        <v>83.4</v>
      </c>
      <c r="ZW264" s="16" t="n">
        <v>26.1</v>
      </c>
      <c r="ZX264" s="0" t="n">
        <v>15.93</v>
      </c>
      <c r="ZY264" s="0" t="n">
        <v>0</v>
      </c>
      <c r="ZZ264" s="0" t="n">
        <v>0</v>
      </c>
      <c r="AAA264" s="0" t="n">
        <v>1.1</v>
      </c>
      <c r="AAB264" s="0" t="n">
        <v>2.91</v>
      </c>
      <c r="AAC264" s="0" t="n">
        <v>0</v>
      </c>
      <c r="AAD264" s="0" t="n">
        <v>79.32</v>
      </c>
      <c r="AAE264" s="0" t="n">
        <v>5.87</v>
      </c>
      <c r="AAF264" s="0" t="n">
        <v>17.05</v>
      </c>
      <c r="AAG264" s="0" t="n">
        <v>0</v>
      </c>
      <c r="AAH264" s="0" t="n">
        <v>0</v>
      </c>
      <c r="AAI264" s="0" t="n">
        <v>4.43</v>
      </c>
      <c r="AAJ264" s="0" t="n">
        <v>3.08</v>
      </c>
      <c r="AAK264" s="0" t="n">
        <v>0.78</v>
      </c>
      <c r="AAL264" s="0" t="n">
        <v>0.73</v>
      </c>
      <c r="AAM264" s="0" t="n">
        <v>0</v>
      </c>
      <c r="AAN264" s="0" t="n">
        <v>0</v>
      </c>
      <c r="AAO264" s="0" t="n">
        <v>0</v>
      </c>
      <c r="ABB264" s="0" t="n">
        <v>0</v>
      </c>
      <c r="ABC264" s="0" t="n">
        <v>0</v>
      </c>
      <c r="ABN264" s="18"/>
      <c r="ACF264" s="0" t="n">
        <v>1</v>
      </c>
      <c r="ACG264" s="0" t="n">
        <v>50</v>
      </c>
      <c r="ACH264" s="0" t="n">
        <v>1</v>
      </c>
      <c r="ACI264" s="0" t="n">
        <v>0.73</v>
      </c>
      <c r="ACJ264" s="0" t="n">
        <v>3</v>
      </c>
      <c r="ADQ264" s="16" t="n">
        <v>0.29</v>
      </c>
      <c r="ADR264" s="16" t="n">
        <v>1</v>
      </c>
      <c r="ADS264" s="16" t="n">
        <v>1</v>
      </c>
      <c r="ADT264" s="16"/>
      <c r="ADU264" s="16" t="n">
        <f aca="false">0.08*8+0.2*4</f>
        <v>1.44</v>
      </c>
      <c r="ADV264" s="16"/>
      <c r="ADW264" s="16"/>
      <c r="ADX264" s="16"/>
      <c r="ADY264" s="16"/>
      <c r="ADZ264" s="16"/>
      <c r="AEA264" s="16"/>
      <c r="AEB264" s="16" t="n">
        <v>0.79</v>
      </c>
      <c r="AEC264" s="16" t="n">
        <v>0.8</v>
      </c>
      <c r="AED264" s="16"/>
      <c r="AEE264" s="16"/>
      <c r="AEF264" s="16" t="n">
        <v>0</v>
      </c>
      <c r="AEG264" s="16" t="n">
        <v>0</v>
      </c>
      <c r="AEH264" s="16" t="n">
        <v>0</v>
      </c>
      <c r="AEI264" s="0" t="n">
        <v>0</v>
      </c>
      <c r="AEJ264" s="0" t="s">
        <v>322</v>
      </c>
      <c r="AEK264" s="0" t="n">
        <v>29</v>
      </c>
      <c r="AEL264" s="16" t="n">
        <v>79.1</v>
      </c>
      <c r="AEM264" s="16" t="n">
        <v>83.4</v>
      </c>
      <c r="AEN264" s="16" t="n">
        <v>18.7</v>
      </c>
      <c r="AEO264" s="0" t="n">
        <v>83.49</v>
      </c>
      <c r="AEP264" s="0" t="n">
        <v>0</v>
      </c>
      <c r="AEQ264" s="0" t="n">
        <v>16.51</v>
      </c>
      <c r="AER264" s="0" t="n">
        <v>0</v>
      </c>
      <c r="AES264" s="0" t="n">
        <v>0</v>
      </c>
      <c r="AET264" s="0" t="n">
        <v>0</v>
      </c>
      <c r="AEU264" s="0" t="n">
        <v>0</v>
      </c>
      <c r="AEV264" s="0" t="n">
        <v>0</v>
      </c>
      <c r="AEW264" s="0" t="n">
        <v>0</v>
      </c>
      <c r="AEX264" s="0" t="n">
        <v>0</v>
      </c>
      <c r="AEY264" s="0" t="n">
        <v>0</v>
      </c>
      <c r="AEZ264" s="0" t="n">
        <v>0</v>
      </c>
      <c r="AFA264" s="0" t="n">
        <v>45.32</v>
      </c>
      <c r="AFB264" s="0" t="n">
        <v>18.71</v>
      </c>
      <c r="AFC264" s="0" t="n">
        <v>0</v>
      </c>
      <c r="AFD264" s="0" t="n">
        <v>0</v>
      </c>
      <c r="AFE264" s="0" t="n">
        <v>0</v>
      </c>
      <c r="AFF264" s="0" t="n">
        <v>0</v>
      </c>
      <c r="AFS264" s="0" t="n">
        <v>0</v>
      </c>
      <c r="AFT264" s="0" t="n">
        <v>0</v>
      </c>
      <c r="AGE264" s="18"/>
      <c r="AGW264" s="0" t="n">
        <v>0</v>
      </c>
      <c r="AIH264" s="16" t="n">
        <v>4.45</v>
      </c>
      <c r="AII264" s="16" t="n">
        <v>1</v>
      </c>
      <c r="AIJ264" s="16" t="n">
        <v>1</v>
      </c>
      <c r="AIK264" s="16"/>
      <c r="AIL264" s="16" t="n">
        <f aca="false">5.14*2</f>
        <v>10.28</v>
      </c>
      <c r="AIM264" s="16"/>
      <c r="AIN264" s="16"/>
      <c r="AIO264" s="16"/>
      <c r="AIP264" s="16"/>
      <c r="AIQ264" s="16"/>
      <c r="AIR264" s="16"/>
      <c r="AIS264" s="16" t="n">
        <v>5.55</v>
      </c>
      <c r="AIT264" s="16" t="n">
        <v>10.28</v>
      </c>
      <c r="AIU264" s="16"/>
      <c r="AIV264" s="16"/>
      <c r="AIW264" s="16" t="n">
        <v>0</v>
      </c>
      <c r="AIX264" s="16" t="n">
        <v>0</v>
      </c>
      <c r="AIY264" s="16" t="n">
        <v>0</v>
      </c>
      <c r="AIZ264" s="0" t="n">
        <v>0</v>
      </c>
      <c r="AJA264" s="0" t="s">
        <v>803</v>
      </c>
      <c r="AJB264" s="0" t="n">
        <v>80.5</v>
      </c>
      <c r="AJC264" s="16" t="n">
        <v>87.5</v>
      </c>
      <c r="AJD264" s="16" t="n">
        <v>83.4</v>
      </c>
      <c r="AJE264" s="16" t="n">
        <v>15.6</v>
      </c>
      <c r="AJF264" s="0" t="n">
        <v>91.61</v>
      </c>
      <c r="AJG264" s="0" t="n">
        <v>0</v>
      </c>
      <c r="AJH264" s="0" t="n">
        <v>8.39</v>
      </c>
      <c r="AJI264" s="0" t="n">
        <v>0</v>
      </c>
      <c r="AJJ264" s="0" t="n">
        <v>0</v>
      </c>
      <c r="AJK264" s="0" t="n">
        <v>0</v>
      </c>
      <c r="AJL264" s="0" t="n">
        <v>0</v>
      </c>
      <c r="AJM264" s="0" t="n">
        <v>0</v>
      </c>
      <c r="AJN264" s="0" t="n">
        <v>0</v>
      </c>
      <c r="AJO264" s="0" t="n">
        <v>0</v>
      </c>
      <c r="AJP264" s="0" t="n">
        <v>0</v>
      </c>
      <c r="AJQ264" s="0" t="n">
        <v>23.31</v>
      </c>
      <c r="AJR264" s="0" t="n">
        <v>21.38</v>
      </c>
      <c r="AJS264" s="0" t="n">
        <v>38.29</v>
      </c>
      <c r="AJT264" s="0" t="n">
        <v>0</v>
      </c>
      <c r="AJU264" s="0" t="n">
        <v>0</v>
      </c>
      <c r="AJV264" s="0" t="n">
        <v>30.3</v>
      </c>
      <c r="AJW264" s="0" t="n">
        <v>1</v>
      </c>
      <c r="AJX264" s="0" t="n">
        <v>21.68</v>
      </c>
      <c r="AJZ264" s="0" t="n">
        <v>2</v>
      </c>
      <c r="AKJ264" s="0" t="n">
        <v>28.2</v>
      </c>
      <c r="AKK264" s="0" t="n">
        <v>0</v>
      </c>
      <c r="AKV264" s="18"/>
      <c r="ALN264" s="0" t="n">
        <v>1</v>
      </c>
      <c r="ALO264" s="0" t="n">
        <v>50</v>
      </c>
      <c r="ALP264" s="0" t="n">
        <f aca="false">5+8+1+5+8</f>
        <v>27</v>
      </c>
      <c r="ALQ264" s="0" t="n">
        <f aca="false">3.67+2.94*2+0.73+0.65+0.52*2</f>
        <v>11.97</v>
      </c>
      <c r="ALR264" s="0" t="n">
        <v>3</v>
      </c>
      <c r="ALS264" s="0" t="n">
        <v>60</v>
      </c>
      <c r="ALT264" s="0" t="n">
        <v>4</v>
      </c>
      <c r="ALU264" s="0" t="n">
        <v>2.94</v>
      </c>
      <c r="ALV264" s="0" t="n">
        <v>3</v>
      </c>
    </row>
    <row r="265" customFormat="false" ht="13.8" hidden="false" customHeight="false" outlineLevel="0" collapsed="false">
      <c r="A265" s="1" t="s">
        <v>804</v>
      </c>
      <c r="B265" s="12" t="n">
        <v>42909</v>
      </c>
      <c r="C265" s="0" t="n">
        <v>2</v>
      </c>
      <c r="D265" s="13" t="n">
        <v>35559</v>
      </c>
      <c r="E265" s="12" t="n">
        <v>26385</v>
      </c>
      <c r="F265" s="14" t="n">
        <f aca="false">(B265-E265)/365.25</f>
        <v>45.2402464065708</v>
      </c>
      <c r="G265" s="14" t="n">
        <f aca="false">(B265-D265)/365.25</f>
        <v>20.1232032854209</v>
      </c>
      <c r="H265" s="19" t="s">
        <v>306</v>
      </c>
      <c r="I265" s="15" t="s">
        <v>793</v>
      </c>
      <c r="J265" s="15" t="s">
        <v>183</v>
      </c>
      <c r="K265" s="15" t="n">
        <v>8</v>
      </c>
      <c r="L265" s="19" t="n">
        <v>80</v>
      </c>
      <c r="M265" s="0" t="n">
        <v>1.72</v>
      </c>
      <c r="N265" s="16" t="n">
        <f aca="false">L265/(M265*M265)</f>
        <v>27.0416441319632</v>
      </c>
      <c r="O265" s="19" t="n">
        <v>0</v>
      </c>
      <c r="P265" s="19" t="n">
        <v>0</v>
      </c>
      <c r="Q265" s="19" t="n">
        <v>0</v>
      </c>
      <c r="R265" s="26" t="n">
        <v>0</v>
      </c>
      <c r="S265" s="26" t="n">
        <v>0</v>
      </c>
      <c r="T265" s="26" t="n">
        <v>0</v>
      </c>
      <c r="U265" s="19" t="n">
        <v>1</v>
      </c>
      <c r="V265" s="19" t="n">
        <v>6</v>
      </c>
      <c r="W265" s="19" t="n">
        <v>0</v>
      </c>
      <c r="X265" s="19" t="n">
        <v>1</v>
      </c>
      <c r="Y265" s="19" t="n">
        <v>0</v>
      </c>
      <c r="Z265" s="19" t="n">
        <v>0</v>
      </c>
      <c r="AA265" s="19" t="n">
        <v>0</v>
      </c>
      <c r="AB265" s="19" t="n">
        <v>0</v>
      </c>
      <c r="AC265" s="19" t="n">
        <v>1</v>
      </c>
      <c r="AD265" s="19" t="n">
        <v>40</v>
      </c>
      <c r="AE265" s="19" t="n">
        <v>0</v>
      </c>
      <c r="AF265" s="19" t="n">
        <v>0</v>
      </c>
      <c r="AG265" s="19" t="n">
        <v>0</v>
      </c>
      <c r="AH265" s="19" t="n">
        <v>0</v>
      </c>
      <c r="AI265" s="19" t="n">
        <v>1</v>
      </c>
      <c r="AJ265" s="19" t="n">
        <v>1</v>
      </c>
      <c r="AK265" s="19" t="n">
        <v>1</v>
      </c>
      <c r="AL265" s="19" t="n">
        <v>6</v>
      </c>
      <c r="AM265" s="19" t="n">
        <v>0</v>
      </c>
      <c r="AN265" s="19" t="n">
        <v>0</v>
      </c>
      <c r="AO265" s="19" t="n">
        <v>0</v>
      </c>
      <c r="AP265" s="19" t="n">
        <v>0</v>
      </c>
      <c r="AQ265" s="19" t="n">
        <v>0</v>
      </c>
      <c r="AR265" s="19" t="n">
        <v>0</v>
      </c>
      <c r="AS265" s="19" t="n">
        <v>0</v>
      </c>
      <c r="AT265" s="19" t="n">
        <v>0</v>
      </c>
      <c r="AU265" s="19" t="n">
        <v>0</v>
      </c>
      <c r="AV265" s="19" t="n">
        <v>0</v>
      </c>
      <c r="AW265" s="19" t="n">
        <v>0</v>
      </c>
      <c r="AX265" s="19" t="n">
        <v>0</v>
      </c>
      <c r="AY265" s="19" t="n">
        <v>0</v>
      </c>
      <c r="AZ265" s="19" t="n">
        <v>0</v>
      </c>
      <c r="BA265" s="19" t="n">
        <v>0</v>
      </c>
      <c r="BB265" s="19" t="n">
        <v>0</v>
      </c>
      <c r="BC265" s="19" t="n">
        <v>0</v>
      </c>
      <c r="BD265" s="19" t="n">
        <v>0</v>
      </c>
      <c r="BE265" s="19" t="n">
        <v>0</v>
      </c>
      <c r="BF265" s="19" t="n">
        <v>0</v>
      </c>
      <c r="BG265" s="19" t="n">
        <v>0</v>
      </c>
      <c r="BH265" s="19" t="n">
        <v>0</v>
      </c>
      <c r="BI265" s="19" t="n">
        <v>0</v>
      </c>
      <c r="BJ265" s="19" t="n">
        <v>1</v>
      </c>
      <c r="BK265" s="19" t="n">
        <v>1</v>
      </c>
      <c r="BL265" s="19" t="n">
        <v>1</v>
      </c>
      <c r="BM265" s="19" t="n">
        <v>9</v>
      </c>
      <c r="BN265" s="19" t="n">
        <v>0</v>
      </c>
      <c r="BO265" s="19" t="n">
        <v>0</v>
      </c>
      <c r="BP265" s="19" t="n">
        <v>0</v>
      </c>
      <c r="BQ265" s="19" t="n">
        <v>0</v>
      </c>
      <c r="BR265" s="19" t="n">
        <v>3</v>
      </c>
      <c r="BS265" s="19" t="n">
        <v>2</v>
      </c>
      <c r="BT265" s="19" t="n">
        <v>3</v>
      </c>
      <c r="BU265" s="19" t="n">
        <v>5</v>
      </c>
      <c r="BV265" s="19" t="n">
        <v>1</v>
      </c>
      <c r="BW265" s="19" t="n">
        <v>1</v>
      </c>
      <c r="BX265" s="19" t="n">
        <v>3</v>
      </c>
      <c r="BY265" s="19" t="n">
        <v>3</v>
      </c>
      <c r="BZ265" s="19" t="n">
        <v>4</v>
      </c>
      <c r="CA265" s="19" t="n">
        <v>4</v>
      </c>
      <c r="CB265" s="19" t="n">
        <v>5</v>
      </c>
      <c r="CC265" s="19" t="n">
        <v>5</v>
      </c>
      <c r="CD265" s="19" t="n">
        <v>3</v>
      </c>
      <c r="CE265" s="19" t="n">
        <v>4</v>
      </c>
      <c r="CF265" s="19" t="n">
        <v>4</v>
      </c>
      <c r="CG265" s="19" t="n">
        <v>4</v>
      </c>
      <c r="CH265" s="19" t="n">
        <v>3</v>
      </c>
      <c r="CI265" s="19" t="n">
        <v>3</v>
      </c>
      <c r="CJ265" s="19" t="n">
        <v>3</v>
      </c>
      <c r="CK265" s="19" t="n">
        <v>5</v>
      </c>
      <c r="CL265" s="0" t="s">
        <v>794</v>
      </c>
      <c r="CM265" s="0" t="n">
        <v>41.5</v>
      </c>
      <c r="CN265" s="16" t="n">
        <v>70</v>
      </c>
      <c r="CO265" s="16" t="n">
        <v>83.4</v>
      </c>
      <c r="CP265" s="16" t="n">
        <v>33.4</v>
      </c>
      <c r="CQ265" s="0" t="n">
        <v>67.05</v>
      </c>
      <c r="CR265" s="0" t="n">
        <v>0</v>
      </c>
      <c r="CS265" s="0" t="n">
        <v>5.87</v>
      </c>
      <c r="CT265" s="0" t="n">
        <v>12.48</v>
      </c>
      <c r="CU265" s="0" t="n">
        <v>14.6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18.75</v>
      </c>
      <c r="DD265" s="0" t="n">
        <v>14.73</v>
      </c>
      <c r="DE265" s="0" t="n">
        <v>5.87</v>
      </c>
      <c r="DF265" s="0" t="n">
        <v>0</v>
      </c>
      <c r="DG265" s="0" t="n">
        <v>0</v>
      </c>
      <c r="DH265" s="0" t="n">
        <v>0</v>
      </c>
      <c r="DU265" s="0" t="n">
        <v>0</v>
      </c>
      <c r="DV265" s="0" t="n">
        <v>1</v>
      </c>
      <c r="DW265" s="0" t="n">
        <v>23</v>
      </c>
      <c r="DX265" s="0" t="n">
        <v>3</v>
      </c>
      <c r="DY265" s="0" t="n">
        <f aca="false">1.47+0.73</f>
        <v>2.2</v>
      </c>
      <c r="DZ265" s="0" t="n">
        <v>3</v>
      </c>
      <c r="EG265" s="18"/>
      <c r="EY265" s="0" t="n">
        <v>1</v>
      </c>
      <c r="EZ265" s="0" t="n">
        <v>30</v>
      </c>
      <c r="FA265" s="0" t="n">
        <v>2</v>
      </c>
      <c r="FB265" s="0" t="n">
        <v>2.94</v>
      </c>
      <c r="FC265" s="0" t="n">
        <v>3</v>
      </c>
      <c r="GJ265" s="16" t="n">
        <v>1.6</v>
      </c>
      <c r="GK265" s="16" t="n">
        <v>1</v>
      </c>
      <c r="GL265" s="16" t="n">
        <v>1</v>
      </c>
      <c r="GM265" s="16"/>
      <c r="GN265" s="16" t="n">
        <f aca="false">4.08+3.06+0.18+0.72</f>
        <v>8.04</v>
      </c>
      <c r="GO265" s="16"/>
      <c r="GP265" s="16"/>
      <c r="GQ265" s="16"/>
      <c r="GR265" s="16"/>
      <c r="GS265" s="16"/>
      <c r="GT265" s="16"/>
      <c r="GU265" s="16" t="n">
        <v>6.47</v>
      </c>
      <c r="GV265" s="16" t="n">
        <v>6.24</v>
      </c>
      <c r="GW265" s="16"/>
      <c r="GX265" s="16"/>
      <c r="GY265" s="16" t="n">
        <v>0</v>
      </c>
      <c r="GZ265" s="16" t="n">
        <v>0</v>
      </c>
      <c r="HA265" s="16" t="n">
        <v>0</v>
      </c>
      <c r="HB265" s="0" t="n">
        <v>0</v>
      </c>
      <c r="HC265" s="0" t="s">
        <v>795</v>
      </c>
      <c r="HD265" s="0" t="n">
        <v>58</v>
      </c>
      <c r="HE265" s="16" t="n">
        <v>94.2</v>
      </c>
      <c r="HF265" s="16" t="n">
        <v>83.4</v>
      </c>
      <c r="HG265" s="16" t="n">
        <v>45.8</v>
      </c>
      <c r="HH265" s="0" t="n">
        <v>51.88</v>
      </c>
      <c r="HI265" s="0" t="n">
        <v>0</v>
      </c>
      <c r="HJ265" s="0" t="n">
        <v>42.28</v>
      </c>
      <c r="HK265" s="0" t="n">
        <v>0</v>
      </c>
      <c r="HL265" s="0" t="n">
        <v>1.81</v>
      </c>
      <c r="HM265" s="0" t="n">
        <v>0</v>
      </c>
      <c r="HN265" s="0" t="n">
        <v>4.03</v>
      </c>
      <c r="HO265" s="0" t="n">
        <v>0</v>
      </c>
      <c r="HP265" s="0" t="n">
        <v>3.02</v>
      </c>
      <c r="HQ265" s="0" t="n">
        <v>0</v>
      </c>
      <c r="HR265" s="0" t="n">
        <v>0</v>
      </c>
      <c r="HS265" s="0" t="n">
        <v>2.06</v>
      </c>
      <c r="HT265" s="0" t="n">
        <v>7.41</v>
      </c>
      <c r="HU265" s="0" t="n">
        <v>41.45</v>
      </c>
      <c r="HV265" s="0" t="n">
        <v>4.5</v>
      </c>
      <c r="HW265" s="0" t="n">
        <v>0</v>
      </c>
      <c r="HX265" s="0" t="n">
        <v>5.3</v>
      </c>
      <c r="HY265" s="0" t="n">
        <v>1</v>
      </c>
      <c r="HZ265" s="0" t="n">
        <v>5</v>
      </c>
      <c r="IB265" s="0" t="n">
        <v>1</v>
      </c>
      <c r="IL265" s="0" t="n">
        <v>3.9</v>
      </c>
      <c r="IM265" s="0" t="n">
        <v>0</v>
      </c>
      <c r="IX265" s="18"/>
      <c r="JP265" s="0" t="n">
        <v>1</v>
      </c>
      <c r="JQ265" s="0" t="n">
        <v>60</v>
      </c>
      <c r="JR265" s="0" t="n">
        <v>4</v>
      </c>
      <c r="JS265" s="0" t="n">
        <f aca="false">1.47*2</f>
        <v>2.94</v>
      </c>
      <c r="JT265" s="0" t="n">
        <v>2</v>
      </c>
      <c r="JU265" s="0" t="n">
        <v>50</v>
      </c>
      <c r="JV265" s="0" t="n">
        <v>9</v>
      </c>
      <c r="JW265" s="0" t="n">
        <f aca="false">0.9+0.12</f>
        <v>1.02</v>
      </c>
      <c r="JX265" s="0" t="n">
        <v>2</v>
      </c>
      <c r="JY265" s="0" t="n">
        <v>70</v>
      </c>
      <c r="JZ265" s="0" t="n">
        <v>4</v>
      </c>
      <c r="KA265" s="0" t="n">
        <v>0.4</v>
      </c>
      <c r="KB265" s="0" t="n">
        <v>2</v>
      </c>
      <c r="LA265" s="16" t="n">
        <v>0</v>
      </c>
      <c r="LB265" s="16" t="n">
        <v>0</v>
      </c>
      <c r="LC265" s="16"/>
      <c r="LD265" s="16"/>
      <c r="LE265" s="16"/>
      <c r="LF265" s="16"/>
      <c r="LG265" s="16"/>
      <c r="LH265" s="16"/>
      <c r="LI265" s="16"/>
      <c r="LJ265" s="16"/>
      <c r="LK265" s="16"/>
      <c r="LL265" s="16" t="n">
        <v>2.7</v>
      </c>
      <c r="LM265" s="16" t="n">
        <v>0.9</v>
      </c>
      <c r="LN265" s="16"/>
      <c r="LO265" s="16"/>
      <c r="LP265" s="16" t="n">
        <v>0</v>
      </c>
      <c r="LQ265" s="16" t="n">
        <v>0</v>
      </c>
      <c r="LR265" s="16" t="n">
        <v>0</v>
      </c>
      <c r="LS265" s="0" t="n">
        <v>0</v>
      </c>
      <c r="LT265" s="0" t="s">
        <v>796</v>
      </c>
      <c r="LU265" s="0" t="n">
        <v>50.5</v>
      </c>
      <c r="LV265" s="16" t="n">
        <v>78.7</v>
      </c>
      <c r="LW265" s="16" t="n">
        <v>83.4</v>
      </c>
      <c r="LX265" s="16" t="n">
        <v>45.1</v>
      </c>
      <c r="LY265" s="0" t="n">
        <v>50.98</v>
      </c>
      <c r="LZ265" s="0" t="n">
        <v>1.99</v>
      </c>
      <c r="MA265" s="0" t="n">
        <v>41.43</v>
      </c>
      <c r="MB265" s="0" t="n">
        <v>0</v>
      </c>
      <c r="MC265" s="0" t="n">
        <v>1.81</v>
      </c>
      <c r="MD265" s="0" t="n">
        <v>0</v>
      </c>
      <c r="ME265" s="0" t="n">
        <v>3.78</v>
      </c>
      <c r="MF265" s="0" t="n">
        <v>0</v>
      </c>
      <c r="MG265" s="0" t="n">
        <v>3.02</v>
      </c>
      <c r="MH265" s="0" t="n">
        <v>0</v>
      </c>
      <c r="MI265" s="0" t="n">
        <v>0</v>
      </c>
      <c r="MJ265" s="0" t="n">
        <v>1.81</v>
      </c>
      <c r="MK265" s="0" t="n">
        <v>12.52</v>
      </c>
      <c r="ML265" s="0" t="n">
        <v>41.44</v>
      </c>
      <c r="MM265" s="0" t="n">
        <v>3.05</v>
      </c>
      <c r="MN265" s="0" t="n">
        <v>0</v>
      </c>
      <c r="MO265" s="0" t="n">
        <v>0</v>
      </c>
      <c r="MP265" s="0" t="n">
        <v>0</v>
      </c>
      <c r="NC265" s="0" t="n">
        <v>3</v>
      </c>
      <c r="ND265" s="0" t="n">
        <v>0</v>
      </c>
      <c r="NO265" s="18"/>
      <c r="OG265" s="0" t="n">
        <v>1</v>
      </c>
      <c r="OH265" s="0" t="n">
        <v>60</v>
      </c>
      <c r="OI265" s="0" t="n">
        <v>4</v>
      </c>
      <c r="OJ265" s="0" t="n">
        <f aca="false">1.47*2</f>
        <v>2.94</v>
      </c>
      <c r="OK265" s="0" t="n">
        <v>2</v>
      </c>
      <c r="OL265" s="0" t="n">
        <v>50</v>
      </c>
      <c r="OM265" s="0" t="n">
        <v>9</v>
      </c>
      <c r="ON265" s="0" t="n">
        <f aca="false">0.9+0.12</f>
        <v>1.02</v>
      </c>
      <c r="OO265" s="0" t="n">
        <v>2</v>
      </c>
      <c r="OP265" s="0" t="n">
        <v>70</v>
      </c>
      <c r="OQ265" s="0" t="n">
        <v>4</v>
      </c>
      <c r="OR265" s="0" t="n">
        <v>0.4</v>
      </c>
      <c r="OS265" s="0" t="n">
        <v>2</v>
      </c>
      <c r="PR265" s="16" t="n">
        <v>0</v>
      </c>
      <c r="PS265" s="16" t="n">
        <v>0</v>
      </c>
      <c r="PT265" s="16"/>
      <c r="PU265" s="16"/>
      <c r="PV265" s="16"/>
      <c r="PW265" s="16"/>
      <c r="PX265" s="16"/>
      <c r="PY265" s="16"/>
      <c r="PZ265" s="16"/>
      <c r="QA265" s="16"/>
      <c r="QB265" s="16"/>
      <c r="QC265" s="16" t="n">
        <v>2.14</v>
      </c>
      <c r="QD265" s="16" t="n">
        <v>2.14</v>
      </c>
      <c r="QE265" s="16"/>
      <c r="QF265" s="16"/>
      <c r="QG265" s="16" t="n">
        <v>0</v>
      </c>
      <c r="QH265" s="16" t="n">
        <v>0</v>
      </c>
      <c r="QI265" s="16" t="n">
        <v>0</v>
      </c>
      <c r="QJ265" s="0" t="n">
        <v>0</v>
      </c>
      <c r="QK265" s="0" t="s">
        <v>797</v>
      </c>
      <c r="QL265" s="0" t="n">
        <v>52.5</v>
      </c>
      <c r="QM265" s="16" t="n">
        <v>84.4</v>
      </c>
      <c r="QN265" s="16" t="n">
        <v>83.4</v>
      </c>
      <c r="QO265" s="16" t="n">
        <v>45.2</v>
      </c>
      <c r="QP265" s="0" t="n">
        <v>36.52</v>
      </c>
      <c r="QQ265" s="0" t="n">
        <v>0</v>
      </c>
      <c r="QR265" s="0" t="n">
        <v>24.46</v>
      </c>
      <c r="QS265" s="0" t="n">
        <v>5.81</v>
      </c>
      <c r="QT265" s="0" t="n">
        <v>9.54</v>
      </c>
      <c r="QU265" s="0" t="n">
        <v>0</v>
      </c>
      <c r="QV265" s="0" t="n">
        <v>22.12</v>
      </c>
      <c r="QW265" s="0" t="n">
        <v>2.71</v>
      </c>
      <c r="QX265" s="0" t="n">
        <v>5.34</v>
      </c>
      <c r="QY265" s="0" t="n">
        <v>3.86</v>
      </c>
      <c r="QZ265" s="0" t="n">
        <v>0</v>
      </c>
      <c r="RA265" s="0" t="n">
        <v>0</v>
      </c>
      <c r="RB265" s="0" t="n">
        <v>4.3</v>
      </c>
      <c r="RC265" s="0" t="n">
        <v>3.92</v>
      </c>
      <c r="RD265" s="0" t="n">
        <v>7.14</v>
      </c>
      <c r="RE265" s="0" t="n">
        <v>0.77</v>
      </c>
      <c r="RF265" s="0" t="n">
        <v>0</v>
      </c>
      <c r="RG265" s="0" t="n">
        <v>0</v>
      </c>
      <c r="RT265" s="0" t="n">
        <v>1.4</v>
      </c>
      <c r="RU265" s="0" t="n">
        <v>1</v>
      </c>
      <c r="RV265" s="0" t="n">
        <v>55</v>
      </c>
      <c r="RW265" s="0" t="n">
        <v>1</v>
      </c>
      <c r="RX265" s="0" t="n">
        <v>0.77</v>
      </c>
      <c r="RY265" s="0" t="n">
        <v>2</v>
      </c>
      <c r="RZ265" s="0" t="n">
        <v>35</v>
      </c>
      <c r="SA265" s="0" t="n">
        <v>1</v>
      </c>
      <c r="SB265" s="0" t="n">
        <v>0.13</v>
      </c>
      <c r="SC265" s="0" t="n">
        <v>3</v>
      </c>
      <c r="SF265" s="18"/>
      <c r="SX265" s="0" t="n">
        <v>1</v>
      </c>
      <c r="SY265" s="0" t="n">
        <v>50</v>
      </c>
      <c r="SZ265" s="0" t="n">
        <v>1</v>
      </c>
      <c r="TA265" s="0" t="n">
        <v>0.36</v>
      </c>
      <c r="TB265" s="0" t="n">
        <v>1</v>
      </c>
      <c r="UI265" s="16" t="n">
        <v>0.07</v>
      </c>
      <c r="UJ265" s="16" t="n">
        <v>1</v>
      </c>
      <c r="UK265" s="16" t="n">
        <v>1</v>
      </c>
      <c r="UL265" s="16"/>
      <c r="UM265" s="16" t="n">
        <f aca="false">0.07*2+0.05*3</f>
        <v>0.29</v>
      </c>
      <c r="UN265" s="16"/>
      <c r="UO265" s="16"/>
      <c r="UP265" s="16"/>
      <c r="UQ265" s="16"/>
      <c r="UR265" s="16"/>
      <c r="US265" s="16"/>
      <c r="UT265" s="16" t="n">
        <v>0.05</v>
      </c>
      <c r="UU265" s="16" t="n">
        <v>0.05</v>
      </c>
      <c r="UV265" s="16"/>
      <c r="UW265" s="16"/>
      <c r="UX265" s="16" t="n">
        <v>5.76</v>
      </c>
      <c r="UY265" s="16" t="n">
        <v>0</v>
      </c>
      <c r="UZ265" s="16" t="n">
        <v>0</v>
      </c>
      <c r="VA265" s="0" t="n">
        <v>1</v>
      </c>
      <c r="VB265" s="0" t="s">
        <v>798</v>
      </c>
      <c r="VC265" s="0" t="n">
        <v>47.5</v>
      </c>
      <c r="VD265" s="16" t="n">
        <v>97.8</v>
      </c>
      <c r="VE265" s="16" t="n">
        <v>83.4</v>
      </c>
      <c r="VF265" s="16" t="n">
        <v>26.3</v>
      </c>
      <c r="VG265" s="0" t="n">
        <v>54.22</v>
      </c>
      <c r="VH265" s="0" t="n">
        <v>0</v>
      </c>
      <c r="VI265" s="0" t="n">
        <v>0</v>
      </c>
      <c r="VJ265" s="0" t="n">
        <v>0</v>
      </c>
      <c r="VK265" s="0" t="n">
        <v>32.13</v>
      </c>
      <c r="VL265" s="0" t="n">
        <v>0</v>
      </c>
      <c r="VM265" s="0" t="n">
        <v>13.65</v>
      </c>
      <c r="VN265" s="0" t="n">
        <v>0</v>
      </c>
      <c r="VO265" s="0" t="n">
        <v>0</v>
      </c>
      <c r="VP265" s="0" t="n">
        <v>0</v>
      </c>
      <c r="VQ265" s="0" t="n">
        <v>0</v>
      </c>
      <c r="VR265" s="0" t="n">
        <v>25.5</v>
      </c>
      <c r="VS265" s="0" t="n">
        <v>61.05</v>
      </c>
      <c r="VT265" s="0" t="n">
        <v>6.61</v>
      </c>
      <c r="VU265" s="0" t="n">
        <v>3.67</v>
      </c>
      <c r="VV265" s="0" t="n">
        <v>0</v>
      </c>
      <c r="VW265" s="0" t="n">
        <v>10.5</v>
      </c>
      <c r="VX265" s="0" t="n">
        <v>1</v>
      </c>
      <c r="VY265" s="0" t="n">
        <v>3</v>
      </c>
      <c r="WA265" s="0" t="n">
        <v>1</v>
      </c>
      <c r="WK265" s="0" t="n">
        <v>7.1</v>
      </c>
      <c r="WL265" s="0" t="n">
        <v>0</v>
      </c>
      <c r="WW265" s="18"/>
      <c r="XO265" s="0" t="n">
        <v>1</v>
      </c>
      <c r="XP265" s="0" t="n">
        <v>60</v>
      </c>
      <c r="XQ265" s="0" t="n">
        <v>10</v>
      </c>
      <c r="XR265" s="0" t="n">
        <f aca="false">3.67*2</f>
        <v>7.34</v>
      </c>
      <c r="XS265" s="0" t="n">
        <v>3</v>
      </c>
      <c r="YZ265" s="16" t="n">
        <v>3.22</v>
      </c>
      <c r="ZA265" s="16" t="n">
        <v>1</v>
      </c>
      <c r="ZB265" s="16" t="n">
        <v>1</v>
      </c>
      <c r="ZC265" s="16"/>
      <c r="ZD265" s="16" t="n">
        <f aca="false">1.65*3+4.08+0.54+0.52</f>
        <v>10.09</v>
      </c>
      <c r="ZE265" s="16"/>
      <c r="ZF265" s="16"/>
      <c r="ZG265" s="16"/>
      <c r="ZH265" s="16"/>
      <c r="ZI265" s="16"/>
      <c r="ZJ265" s="16"/>
      <c r="ZK265" s="16" t="n">
        <v>0</v>
      </c>
      <c r="ZL265" s="16" t="n">
        <v>0</v>
      </c>
      <c r="ZM265" s="16"/>
      <c r="ZN265" s="16"/>
      <c r="ZO265" s="16" t="n">
        <v>0</v>
      </c>
      <c r="ZP265" s="16" t="n">
        <v>0</v>
      </c>
      <c r="ZQ265" s="16" t="n">
        <v>0</v>
      </c>
      <c r="ZR265" s="0" t="n">
        <v>0</v>
      </c>
      <c r="ZS265" s="0" t="s">
        <v>799</v>
      </c>
      <c r="ZT265" s="0" t="n">
        <v>44</v>
      </c>
      <c r="ZU265" s="16" t="n">
        <v>88.5</v>
      </c>
      <c r="ZV265" s="16" t="n">
        <v>83.4</v>
      </c>
      <c r="ZW265" s="16" t="n">
        <v>21.4</v>
      </c>
      <c r="ZX265" s="0" t="n">
        <v>59.53</v>
      </c>
      <c r="ZY265" s="0" t="n">
        <v>0</v>
      </c>
      <c r="ZZ265" s="0" t="n">
        <v>0</v>
      </c>
      <c r="AAA265" s="0" t="n">
        <v>0</v>
      </c>
      <c r="AAB265" s="0" t="n">
        <v>27.73</v>
      </c>
      <c r="AAC265" s="0" t="n">
        <v>0</v>
      </c>
      <c r="AAD265" s="0" t="n">
        <v>12.75</v>
      </c>
      <c r="AAE265" s="0" t="n">
        <v>0</v>
      </c>
      <c r="AAF265" s="0" t="n">
        <v>0</v>
      </c>
      <c r="AAG265" s="0" t="n">
        <v>0</v>
      </c>
      <c r="AAH265" s="0" t="n">
        <v>0</v>
      </c>
      <c r="AAI265" s="0" t="n">
        <v>18.64</v>
      </c>
      <c r="AAJ265" s="0" t="n">
        <v>50.48</v>
      </c>
      <c r="AAK265" s="0" t="n">
        <v>6.61</v>
      </c>
      <c r="AAL265" s="0" t="n">
        <v>3.67</v>
      </c>
      <c r="AAM265" s="0" t="n">
        <v>0</v>
      </c>
      <c r="AAN265" s="0" t="n">
        <v>10.5</v>
      </c>
      <c r="AAO265" s="0" t="n">
        <v>1</v>
      </c>
      <c r="AAP265" s="0" t="n">
        <v>3</v>
      </c>
      <c r="AAQ265" s="0" t="n">
        <v>1</v>
      </c>
      <c r="ABB265" s="0" t="n">
        <v>7.1</v>
      </c>
      <c r="ABC265" s="0" t="n">
        <v>0</v>
      </c>
      <c r="ABN265" s="18"/>
      <c r="ACF265" s="0" t="n">
        <v>1</v>
      </c>
      <c r="ACG265" s="0" t="n">
        <v>60</v>
      </c>
      <c r="ACH265" s="0" t="n">
        <v>10</v>
      </c>
      <c r="ACI265" s="0" t="n">
        <f aca="false">3.67*2</f>
        <v>7.34</v>
      </c>
      <c r="ACJ265" s="0" t="n">
        <v>4</v>
      </c>
      <c r="ADQ265" s="16" t="n">
        <v>2.37</v>
      </c>
      <c r="ADR265" s="16" t="n">
        <v>1</v>
      </c>
      <c r="ADS265" s="16" t="n">
        <v>1</v>
      </c>
      <c r="ADT265" s="16"/>
      <c r="ADU265" s="16" t="n">
        <f aca="false">1.65+4.08+0.54+3.77</f>
        <v>10.04</v>
      </c>
      <c r="ADV265" s="16"/>
      <c r="ADW265" s="16"/>
      <c r="ADX265" s="16"/>
      <c r="ADY265" s="16"/>
      <c r="ADZ265" s="16"/>
      <c r="AEA265" s="16"/>
      <c r="AEB265" s="16" t="n">
        <v>0.25</v>
      </c>
      <c r="AEC265" s="16" t="n">
        <v>0.25</v>
      </c>
      <c r="AED265" s="16"/>
      <c r="AEE265" s="16"/>
      <c r="AEF265" s="16" t="n">
        <v>0</v>
      </c>
      <c r="AEG265" s="16" t="n">
        <v>0</v>
      </c>
      <c r="AEH265" s="16" t="n">
        <v>3</v>
      </c>
      <c r="AEI265" s="0" t="n">
        <v>0</v>
      </c>
      <c r="AEJ265" s="0" t="s">
        <v>800</v>
      </c>
      <c r="AEK265" s="0" t="n">
        <v>27.5</v>
      </c>
      <c r="AEL265" s="16" t="n">
        <v>44</v>
      </c>
      <c r="AEM265" s="16" t="n">
        <v>83.4</v>
      </c>
      <c r="AEN265" s="16" t="n">
        <v>26.1</v>
      </c>
      <c r="AEO265" s="0" t="n">
        <v>15.93</v>
      </c>
      <c r="AEP265" s="0" t="n">
        <v>0</v>
      </c>
      <c r="AEQ265" s="0" t="n">
        <v>0</v>
      </c>
      <c r="AER265" s="0" t="n">
        <v>1.1</v>
      </c>
      <c r="AES265" s="0" t="n">
        <v>2.91</v>
      </c>
      <c r="AET265" s="0" t="n">
        <v>0</v>
      </c>
      <c r="AEU265" s="0" t="n">
        <v>79.32</v>
      </c>
      <c r="AEV265" s="0" t="n">
        <v>5.87</v>
      </c>
      <c r="AEW265" s="0" t="n">
        <v>17.05</v>
      </c>
      <c r="AEX265" s="0" t="n">
        <v>0</v>
      </c>
      <c r="AEY265" s="0" t="n">
        <v>0</v>
      </c>
      <c r="AEZ265" s="0" t="n">
        <v>4.43</v>
      </c>
      <c r="AFA265" s="0" t="n">
        <v>3.08</v>
      </c>
      <c r="AFB265" s="0" t="n">
        <v>0.78</v>
      </c>
      <c r="AFC265" s="0" t="n">
        <v>0.73</v>
      </c>
      <c r="AFD265" s="0" t="n">
        <v>0</v>
      </c>
      <c r="AFE265" s="0" t="n">
        <v>0</v>
      </c>
      <c r="AFF265" s="0" t="n">
        <v>0</v>
      </c>
      <c r="AFS265" s="0" t="n">
        <v>0</v>
      </c>
      <c r="AFT265" s="0" t="n">
        <v>0</v>
      </c>
      <c r="AGE265" s="18"/>
      <c r="AGW265" s="0" t="n">
        <v>1</v>
      </c>
      <c r="AGX265" s="0" t="n">
        <v>50</v>
      </c>
      <c r="AGY265" s="0" t="n">
        <v>1</v>
      </c>
      <c r="AGZ265" s="0" t="n">
        <v>0.73</v>
      </c>
      <c r="AHA265" s="0" t="n">
        <v>3</v>
      </c>
      <c r="AIH265" s="16" t="n">
        <v>0.29</v>
      </c>
      <c r="AII265" s="16" t="n">
        <v>1</v>
      </c>
      <c r="AIJ265" s="16" t="n">
        <v>1</v>
      </c>
      <c r="AIK265" s="16"/>
      <c r="AIL265" s="16" t="n">
        <f aca="false">0.08*8+0.2*4</f>
        <v>1.44</v>
      </c>
      <c r="AIM265" s="16"/>
      <c r="AIN265" s="16"/>
      <c r="AIO265" s="16"/>
      <c r="AIP265" s="16"/>
      <c r="AIQ265" s="16"/>
      <c r="AIR265" s="16"/>
      <c r="AIS265" s="16" t="n">
        <v>0.79</v>
      </c>
      <c r="AIT265" s="16" t="n">
        <v>0.8</v>
      </c>
      <c r="AIU265" s="16"/>
      <c r="AIV265" s="16"/>
      <c r="AIW265" s="16" t="n">
        <v>0</v>
      </c>
      <c r="AIX265" s="16" t="n">
        <v>0</v>
      </c>
      <c r="AIY265" s="16" t="n">
        <v>0</v>
      </c>
      <c r="AIZ265" s="0" t="n">
        <v>0</v>
      </c>
      <c r="AJA265" s="0" t="s">
        <v>322</v>
      </c>
      <c r="AJB265" s="0" t="n">
        <v>29</v>
      </c>
      <c r="AJC265" s="16" t="n">
        <v>79.1</v>
      </c>
      <c r="AJD265" s="16" t="n">
        <v>83.4</v>
      </c>
      <c r="AJE265" s="16" t="n">
        <v>18.7</v>
      </c>
      <c r="AJF265" s="0" t="n">
        <v>83.49</v>
      </c>
      <c r="AJG265" s="0" t="n">
        <v>0</v>
      </c>
      <c r="AJH265" s="0" t="n">
        <v>16.51</v>
      </c>
      <c r="AJI265" s="0" t="n">
        <v>0</v>
      </c>
      <c r="AJJ265" s="0" t="n">
        <v>0</v>
      </c>
      <c r="AJK265" s="0" t="n">
        <v>0</v>
      </c>
      <c r="AJL265" s="0" t="n">
        <v>0</v>
      </c>
      <c r="AJM265" s="0" t="n">
        <v>0</v>
      </c>
      <c r="AJN265" s="0" t="n">
        <v>0</v>
      </c>
      <c r="AJO265" s="0" t="n">
        <v>0</v>
      </c>
      <c r="AJP265" s="0" t="n">
        <v>0</v>
      </c>
      <c r="AJQ265" s="0" t="n">
        <v>0</v>
      </c>
      <c r="AJR265" s="0" t="n">
        <v>45.32</v>
      </c>
      <c r="AJS265" s="0" t="n">
        <v>18.71</v>
      </c>
      <c r="AJT265" s="0" t="n">
        <v>0</v>
      </c>
      <c r="AJU265" s="0" t="n">
        <v>0</v>
      </c>
      <c r="AJV265" s="0" t="n">
        <v>0</v>
      </c>
      <c r="AJW265" s="0" t="n">
        <v>0</v>
      </c>
      <c r="AKJ265" s="0" t="n">
        <v>0</v>
      </c>
      <c r="AKK265" s="0" t="n">
        <v>0</v>
      </c>
      <c r="AKV265" s="18"/>
      <c r="ALN265" s="0" t="n">
        <v>0</v>
      </c>
    </row>
    <row r="266" customFormat="false" ht="13.8" hidden="false" customHeight="false" outlineLevel="0" collapsed="false">
      <c r="A266" s="1" t="s">
        <v>805</v>
      </c>
      <c r="B266" s="12" t="n">
        <v>42908</v>
      </c>
      <c r="C266" s="0" t="n">
        <v>2</v>
      </c>
      <c r="D266" s="13" t="n">
        <v>42814</v>
      </c>
      <c r="E266" s="12" t="n">
        <v>35730</v>
      </c>
      <c r="F266" s="14" t="n">
        <f aca="false">(B266-E266)/365.25</f>
        <v>19.6522929500342</v>
      </c>
      <c r="G266" s="14" t="n">
        <f aca="false">(B266-D266)/365.25</f>
        <v>0.257357973990418</v>
      </c>
      <c r="H266" s="19" t="s">
        <v>306</v>
      </c>
      <c r="I266" s="15" t="s">
        <v>793</v>
      </c>
      <c r="J266" s="15" t="s">
        <v>183</v>
      </c>
      <c r="K266" s="15" t="n">
        <v>8</v>
      </c>
      <c r="L266" s="19" t="n">
        <v>90</v>
      </c>
      <c r="M266" s="0" t="n">
        <v>1.8</v>
      </c>
      <c r="N266" s="16" t="n">
        <f aca="false">L266/(M266*M266)</f>
        <v>27.7777777777778</v>
      </c>
      <c r="O266" s="19" t="n">
        <v>0</v>
      </c>
      <c r="P266" s="19" t="n">
        <v>0</v>
      </c>
      <c r="Q266" s="19" t="n">
        <v>0</v>
      </c>
      <c r="R266" s="26" t="n">
        <v>0</v>
      </c>
      <c r="S266" s="26" t="n">
        <v>0</v>
      </c>
      <c r="T266" s="26" t="n">
        <v>0</v>
      </c>
      <c r="U266" s="19" t="n">
        <v>0</v>
      </c>
      <c r="V266" s="19" t="n">
        <v>0</v>
      </c>
      <c r="W266" s="19" t="n">
        <v>1</v>
      </c>
      <c r="X266" s="19" t="n">
        <v>0</v>
      </c>
      <c r="Y266" s="19" t="n">
        <v>0</v>
      </c>
      <c r="Z266" s="19" t="n">
        <v>0</v>
      </c>
      <c r="AA266" s="19" t="n">
        <v>0</v>
      </c>
      <c r="AB266" s="19" t="n">
        <v>0</v>
      </c>
      <c r="AC266" s="19" t="n">
        <v>0</v>
      </c>
      <c r="AD266" s="19" t="n">
        <v>0</v>
      </c>
      <c r="AE266" s="19" t="n">
        <v>0</v>
      </c>
      <c r="AF266" s="19" t="n">
        <v>0</v>
      </c>
      <c r="AG266" s="19" t="n">
        <v>0</v>
      </c>
      <c r="AH266" s="19" t="n">
        <v>0</v>
      </c>
      <c r="AI266" s="19" t="n">
        <v>0</v>
      </c>
      <c r="AJ266" s="19" t="n">
        <v>0</v>
      </c>
      <c r="AK266" s="19" t="n">
        <v>0</v>
      </c>
      <c r="AL266" s="19" t="n">
        <v>0</v>
      </c>
      <c r="AM266" s="19" t="n">
        <v>0</v>
      </c>
      <c r="AN266" s="19" t="n">
        <v>0</v>
      </c>
      <c r="AO266" s="19" t="n">
        <v>0</v>
      </c>
      <c r="AP266" s="19" t="n">
        <v>0</v>
      </c>
      <c r="AQ266" s="19" t="n">
        <v>0</v>
      </c>
      <c r="AR266" s="19" t="n">
        <v>0</v>
      </c>
      <c r="AS266" s="19" t="n">
        <v>0</v>
      </c>
      <c r="AT266" s="19" t="n">
        <v>0</v>
      </c>
      <c r="AU266" s="19" t="n">
        <v>0</v>
      </c>
      <c r="AV266" s="19" t="n">
        <v>0</v>
      </c>
      <c r="AW266" s="19" t="n">
        <v>0</v>
      </c>
      <c r="AX266" s="19" t="n">
        <v>0</v>
      </c>
      <c r="AY266" s="19" t="n">
        <v>0</v>
      </c>
      <c r="AZ266" s="19" t="n">
        <v>0</v>
      </c>
      <c r="BA266" s="19" t="n">
        <v>0</v>
      </c>
      <c r="BB266" s="19" t="n">
        <v>0</v>
      </c>
      <c r="BC266" s="19" t="n">
        <v>0</v>
      </c>
      <c r="BD266" s="19" t="n">
        <v>0</v>
      </c>
      <c r="BE266" s="19" t="n">
        <v>0</v>
      </c>
      <c r="BF266" s="19" t="n">
        <v>0</v>
      </c>
      <c r="BG266" s="19" t="n">
        <v>0</v>
      </c>
      <c r="BH266" s="19" t="n">
        <v>0</v>
      </c>
      <c r="BI266" s="19" t="n">
        <v>0</v>
      </c>
      <c r="BJ266" s="19" t="n">
        <v>0</v>
      </c>
      <c r="BK266" s="19" t="n">
        <v>0</v>
      </c>
      <c r="BL266" s="19" t="n">
        <v>0</v>
      </c>
      <c r="BM266" s="19" t="n">
        <v>0</v>
      </c>
      <c r="BN266" s="19" t="n">
        <v>0</v>
      </c>
      <c r="BO266" s="19" t="n">
        <v>0</v>
      </c>
      <c r="BP266" s="19" t="n">
        <v>0</v>
      </c>
      <c r="BQ266" s="19" t="n">
        <v>0</v>
      </c>
      <c r="BR266" s="19" t="n">
        <v>3</v>
      </c>
      <c r="BS266" s="19" t="n">
        <v>2</v>
      </c>
      <c r="BT266" s="19" t="n">
        <v>3</v>
      </c>
      <c r="BU266" s="19" t="n">
        <v>5</v>
      </c>
      <c r="BV266" s="19" t="n">
        <v>2</v>
      </c>
      <c r="BW266" s="19" t="n">
        <v>3</v>
      </c>
      <c r="BX266" s="19" t="n">
        <v>3</v>
      </c>
      <c r="BY266" s="19" t="n">
        <v>5</v>
      </c>
      <c r="BZ266" s="19" t="n">
        <v>5</v>
      </c>
      <c r="CA266" s="19" t="n">
        <v>4</v>
      </c>
      <c r="CB266" s="19" t="n">
        <v>4</v>
      </c>
      <c r="CC266" s="19" t="n">
        <v>5</v>
      </c>
      <c r="CD266" s="19" t="n">
        <v>5</v>
      </c>
      <c r="CE266" s="19" t="n">
        <v>5</v>
      </c>
      <c r="CF266" s="19" t="n">
        <v>4</v>
      </c>
      <c r="CG266" s="19" t="n">
        <v>5</v>
      </c>
      <c r="CH266" s="19" t="n">
        <v>4</v>
      </c>
      <c r="CI266" s="19" t="n">
        <v>3</v>
      </c>
      <c r="CJ266" s="19" t="n">
        <v>5</v>
      </c>
      <c r="CK266" s="19" t="n">
        <v>10</v>
      </c>
      <c r="CL266" s="0" t="s">
        <v>794</v>
      </c>
      <c r="CM266" s="0" t="n">
        <v>41.5</v>
      </c>
      <c r="CN266" s="16" t="n">
        <v>70</v>
      </c>
      <c r="CO266" s="16" t="n">
        <v>83.4</v>
      </c>
      <c r="CP266" s="16" t="n">
        <v>33.4</v>
      </c>
      <c r="CQ266" s="0" t="n">
        <v>67.05</v>
      </c>
      <c r="CR266" s="0" t="n">
        <v>0</v>
      </c>
      <c r="CS266" s="0" t="n">
        <v>5.87</v>
      </c>
      <c r="CT266" s="0" t="n">
        <v>12.48</v>
      </c>
      <c r="CU266" s="0" t="n">
        <v>14.6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18.75</v>
      </c>
      <c r="DD266" s="0" t="n">
        <v>14.73</v>
      </c>
      <c r="DE266" s="0" t="n">
        <v>5.87</v>
      </c>
      <c r="DF266" s="0" t="n">
        <v>0</v>
      </c>
      <c r="DG266" s="0" t="n">
        <v>0</v>
      </c>
      <c r="DH266" s="0" t="n">
        <v>0</v>
      </c>
      <c r="DU266" s="0" t="n">
        <v>0</v>
      </c>
      <c r="DV266" s="0" t="n">
        <v>1</v>
      </c>
      <c r="DW266" s="0" t="n">
        <v>23</v>
      </c>
      <c r="DX266" s="0" t="n">
        <v>3</v>
      </c>
      <c r="DY266" s="0" t="n">
        <f aca="false">1.47+0.73</f>
        <v>2.2</v>
      </c>
      <c r="DZ266" s="0" t="n">
        <v>3</v>
      </c>
      <c r="EG266" s="18"/>
      <c r="EY266" s="0" t="n">
        <v>1</v>
      </c>
      <c r="EZ266" s="0" t="n">
        <v>30</v>
      </c>
      <c r="FA266" s="0" t="n">
        <v>2</v>
      </c>
      <c r="FB266" s="0" t="n">
        <v>2.94</v>
      </c>
      <c r="FC266" s="0" t="n">
        <v>3</v>
      </c>
      <c r="GJ266" s="16" t="n">
        <v>1.6</v>
      </c>
      <c r="GK266" s="16" t="n">
        <v>1</v>
      </c>
      <c r="GL266" s="16" t="n">
        <v>1</v>
      </c>
      <c r="GM266" s="16"/>
      <c r="GN266" s="16" t="n">
        <f aca="false">4.08+3.06+0.18+0.72</f>
        <v>8.04</v>
      </c>
      <c r="GO266" s="16"/>
      <c r="GP266" s="16"/>
      <c r="GQ266" s="16"/>
      <c r="GR266" s="16"/>
      <c r="GS266" s="16"/>
      <c r="GT266" s="16"/>
      <c r="GU266" s="16" t="n">
        <v>6.47</v>
      </c>
      <c r="GV266" s="16" t="n">
        <v>6.24</v>
      </c>
      <c r="GW266" s="16"/>
      <c r="GX266" s="16"/>
      <c r="GY266" s="16" t="n">
        <v>0</v>
      </c>
      <c r="GZ266" s="16" t="n">
        <v>0</v>
      </c>
      <c r="HA266" s="16" t="n">
        <v>0</v>
      </c>
      <c r="HB266" s="0" t="n">
        <v>0</v>
      </c>
      <c r="HC266" s="0" t="s">
        <v>795</v>
      </c>
      <c r="HD266" s="0" t="n">
        <v>58</v>
      </c>
      <c r="HE266" s="16" t="n">
        <v>94.2</v>
      </c>
      <c r="HF266" s="16" t="n">
        <v>83.4</v>
      </c>
      <c r="HG266" s="16" t="n">
        <v>45.8</v>
      </c>
      <c r="HH266" s="0" t="n">
        <v>51.88</v>
      </c>
      <c r="HI266" s="0" t="n">
        <v>0</v>
      </c>
      <c r="HJ266" s="0" t="n">
        <v>42.28</v>
      </c>
      <c r="HK266" s="0" t="n">
        <v>0</v>
      </c>
      <c r="HL266" s="0" t="n">
        <v>1.81</v>
      </c>
      <c r="HM266" s="0" t="n">
        <v>0</v>
      </c>
      <c r="HN266" s="0" t="n">
        <v>4.03</v>
      </c>
      <c r="HO266" s="0" t="n">
        <v>0</v>
      </c>
      <c r="HP266" s="0" t="n">
        <v>3.02</v>
      </c>
      <c r="HQ266" s="0" t="n">
        <v>0</v>
      </c>
      <c r="HR266" s="0" t="n">
        <v>0</v>
      </c>
      <c r="HS266" s="0" t="n">
        <v>2.06</v>
      </c>
      <c r="HT266" s="0" t="n">
        <v>7.41</v>
      </c>
      <c r="HU266" s="0" t="n">
        <v>41.45</v>
      </c>
      <c r="HV266" s="0" t="n">
        <v>4.5</v>
      </c>
      <c r="HW266" s="0" t="n">
        <v>0</v>
      </c>
      <c r="HX266" s="0" t="n">
        <v>5.3</v>
      </c>
      <c r="HY266" s="0" t="n">
        <v>1</v>
      </c>
      <c r="HZ266" s="0" t="n">
        <v>5</v>
      </c>
      <c r="IB266" s="0" t="n">
        <v>1</v>
      </c>
      <c r="IL266" s="0" t="n">
        <v>3.9</v>
      </c>
      <c r="IM266" s="0" t="n">
        <v>0</v>
      </c>
      <c r="IX266" s="18"/>
      <c r="JP266" s="0" t="n">
        <v>1</v>
      </c>
      <c r="JQ266" s="0" t="n">
        <v>60</v>
      </c>
      <c r="JR266" s="0" t="n">
        <v>4</v>
      </c>
      <c r="JS266" s="0" t="n">
        <f aca="false">1.47*2</f>
        <v>2.94</v>
      </c>
      <c r="JT266" s="0" t="n">
        <v>2</v>
      </c>
      <c r="JU266" s="0" t="n">
        <v>50</v>
      </c>
      <c r="JV266" s="0" t="n">
        <v>9</v>
      </c>
      <c r="JW266" s="0" t="n">
        <f aca="false">0.9+0.12</f>
        <v>1.02</v>
      </c>
      <c r="JX266" s="0" t="n">
        <v>2</v>
      </c>
      <c r="JY266" s="0" t="n">
        <v>70</v>
      </c>
      <c r="JZ266" s="0" t="n">
        <v>4</v>
      </c>
      <c r="KA266" s="0" t="n">
        <v>0.4</v>
      </c>
      <c r="KB266" s="0" t="n">
        <v>2</v>
      </c>
      <c r="LA266" s="16" t="n">
        <v>0</v>
      </c>
      <c r="LB266" s="16" t="n">
        <v>0</v>
      </c>
      <c r="LC266" s="16"/>
      <c r="LD266" s="16"/>
      <c r="LE266" s="16"/>
      <c r="LF266" s="16"/>
      <c r="LG266" s="16"/>
      <c r="LH266" s="16"/>
      <c r="LI266" s="16"/>
      <c r="LJ266" s="16"/>
      <c r="LK266" s="16"/>
      <c r="LL266" s="16" t="n">
        <v>2.7</v>
      </c>
      <c r="LM266" s="16" t="n">
        <v>0.9</v>
      </c>
      <c r="LN266" s="16"/>
      <c r="LO266" s="16"/>
      <c r="LP266" s="16" t="n">
        <v>0</v>
      </c>
      <c r="LQ266" s="16" t="n">
        <v>0</v>
      </c>
      <c r="LR266" s="16" t="n">
        <v>0</v>
      </c>
      <c r="LS266" s="0" t="n">
        <v>0</v>
      </c>
      <c r="LT266" s="0" t="s">
        <v>796</v>
      </c>
      <c r="LU266" s="0" t="n">
        <v>50.5</v>
      </c>
      <c r="LV266" s="16" t="n">
        <v>78.7</v>
      </c>
      <c r="LW266" s="16" t="n">
        <v>83.4</v>
      </c>
      <c r="LX266" s="16" t="n">
        <v>45.1</v>
      </c>
      <c r="LY266" s="0" t="n">
        <v>50.98</v>
      </c>
      <c r="LZ266" s="0" t="n">
        <v>1.99</v>
      </c>
      <c r="MA266" s="0" t="n">
        <v>41.43</v>
      </c>
      <c r="MB266" s="0" t="n">
        <v>0</v>
      </c>
      <c r="MC266" s="0" t="n">
        <v>1.81</v>
      </c>
      <c r="MD266" s="0" t="n">
        <v>0</v>
      </c>
      <c r="ME266" s="0" t="n">
        <v>3.78</v>
      </c>
      <c r="MF266" s="0" t="n">
        <v>0</v>
      </c>
      <c r="MG266" s="0" t="n">
        <v>3.02</v>
      </c>
      <c r="MH266" s="0" t="n">
        <v>0</v>
      </c>
      <c r="MI266" s="0" t="n">
        <v>0</v>
      </c>
      <c r="MJ266" s="0" t="n">
        <v>1.81</v>
      </c>
      <c r="MK266" s="0" t="n">
        <v>12.52</v>
      </c>
      <c r="ML266" s="0" t="n">
        <v>41.44</v>
      </c>
      <c r="MM266" s="0" t="n">
        <v>3.05</v>
      </c>
      <c r="MN266" s="0" t="n">
        <v>0</v>
      </c>
      <c r="MO266" s="0" t="n">
        <v>0</v>
      </c>
      <c r="MP266" s="0" t="n">
        <v>0</v>
      </c>
      <c r="NC266" s="0" t="n">
        <v>3</v>
      </c>
      <c r="ND266" s="0" t="n">
        <v>0</v>
      </c>
      <c r="NO266" s="18"/>
      <c r="OG266" s="0" t="n">
        <v>1</v>
      </c>
      <c r="OH266" s="0" t="n">
        <v>60</v>
      </c>
      <c r="OI266" s="0" t="n">
        <v>4</v>
      </c>
      <c r="OJ266" s="0" t="n">
        <f aca="false">1.47*2</f>
        <v>2.94</v>
      </c>
      <c r="OK266" s="0" t="n">
        <v>2</v>
      </c>
      <c r="OL266" s="0" t="n">
        <v>50</v>
      </c>
      <c r="OM266" s="0" t="n">
        <v>9</v>
      </c>
      <c r="ON266" s="0" t="n">
        <f aca="false">0.9+0.12</f>
        <v>1.02</v>
      </c>
      <c r="OO266" s="0" t="n">
        <v>2</v>
      </c>
      <c r="OP266" s="0" t="n">
        <v>70</v>
      </c>
      <c r="OQ266" s="0" t="n">
        <v>4</v>
      </c>
      <c r="OR266" s="0" t="n">
        <v>0.4</v>
      </c>
      <c r="OS266" s="0" t="n">
        <v>2</v>
      </c>
      <c r="PR266" s="16" t="n">
        <v>0</v>
      </c>
      <c r="PS266" s="16" t="n">
        <v>0</v>
      </c>
      <c r="PT266" s="16"/>
      <c r="PU266" s="16"/>
      <c r="PV266" s="16"/>
      <c r="PW266" s="16"/>
      <c r="PX266" s="16"/>
      <c r="PY266" s="16"/>
      <c r="PZ266" s="16"/>
      <c r="QA266" s="16"/>
      <c r="QB266" s="16"/>
      <c r="QC266" s="16" t="n">
        <v>2.14</v>
      </c>
      <c r="QD266" s="16" t="n">
        <v>2.14</v>
      </c>
      <c r="QE266" s="16"/>
      <c r="QF266" s="16"/>
      <c r="QG266" s="16" t="n">
        <v>0</v>
      </c>
      <c r="QH266" s="16" t="n">
        <v>0</v>
      </c>
      <c r="QI266" s="16" t="n">
        <v>0</v>
      </c>
      <c r="QJ266" s="0" t="n">
        <v>0</v>
      </c>
      <c r="QK266" s="0" t="s">
        <v>797</v>
      </c>
      <c r="QL266" s="0" t="n">
        <v>52.5</v>
      </c>
      <c r="QM266" s="16" t="n">
        <v>84.4</v>
      </c>
      <c r="QN266" s="16" t="n">
        <v>83.4</v>
      </c>
      <c r="QO266" s="16" t="n">
        <v>45.2</v>
      </c>
      <c r="QP266" s="0" t="n">
        <v>36.52</v>
      </c>
      <c r="QQ266" s="0" t="n">
        <v>0</v>
      </c>
      <c r="QR266" s="0" t="n">
        <v>24.46</v>
      </c>
      <c r="QS266" s="0" t="n">
        <v>5.81</v>
      </c>
      <c r="QT266" s="0" t="n">
        <v>9.54</v>
      </c>
      <c r="QU266" s="0" t="n">
        <v>0</v>
      </c>
      <c r="QV266" s="0" t="n">
        <v>22.12</v>
      </c>
      <c r="QW266" s="0" t="n">
        <v>2.71</v>
      </c>
      <c r="QX266" s="0" t="n">
        <v>5.34</v>
      </c>
      <c r="QY266" s="0" t="n">
        <v>3.86</v>
      </c>
      <c r="QZ266" s="0" t="n">
        <v>0</v>
      </c>
      <c r="RA266" s="0" t="n">
        <v>0</v>
      </c>
      <c r="RB266" s="0" t="n">
        <v>4.3</v>
      </c>
      <c r="RC266" s="0" t="n">
        <v>3.92</v>
      </c>
      <c r="RD266" s="0" t="n">
        <v>7.14</v>
      </c>
      <c r="RE266" s="0" t="n">
        <v>0.77</v>
      </c>
      <c r="RF266" s="0" t="n">
        <v>0</v>
      </c>
      <c r="RG266" s="0" t="n">
        <v>0</v>
      </c>
      <c r="RT266" s="0" t="n">
        <v>1.4</v>
      </c>
      <c r="RU266" s="0" t="n">
        <v>1</v>
      </c>
      <c r="RV266" s="0" t="n">
        <v>55</v>
      </c>
      <c r="RW266" s="0" t="n">
        <v>1</v>
      </c>
      <c r="RX266" s="0" t="n">
        <v>0.77</v>
      </c>
      <c r="RY266" s="0" t="n">
        <v>2</v>
      </c>
      <c r="RZ266" s="0" t="n">
        <v>35</v>
      </c>
      <c r="SA266" s="0" t="n">
        <v>1</v>
      </c>
      <c r="SB266" s="0" t="n">
        <v>0.13</v>
      </c>
      <c r="SC266" s="0" t="n">
        <v>3</v>
      </c>
      <c r="SF266" s="18"/>
      <c r="SX266" s="0" t="n">
        <v>1</v>
      </c>
      <c r="SY266" s="0" t="n">
        <v>50</v>
      </c>
      <c r="SZ266" s="0" t="n">
        <v>1</v>
      </c>
      <c r="TA266" s="0" t="n">
        <v>0.36</v>
      </c>
      <c r="TB266" s="0" t="n">
        <v>1</v>
      </c>
      <c r="UI266" s="16" t="n">
        <v>0.07</v>
      </c>
      <c r="UJ266" s="16" t="n">
        <v>1</v>
      </c>
      <c r="UK266" s="16" t="n">
        <v>1</v>
      </c>
      <c r="UL266" s="16"/>
      <c r="UM266" s="16" t="n">
        <f aca="false">0.07*2+0.05*3</f>
        <v>0.29</v>
      </c>
      <c r="UN266" s="16"/>
      <c r="UO266" s="16"/>
      <c r="UP266" s="16"/>
      <c r="UQ266" s="16"/>
      <c r="UR266" s="16"/>
      <c r="US266" s="16"/>
      <c r="UT266" s="16" t="n">
        <v>0.05</v>
      </c>
      <c r="UU266" s="16" t="n">
        <v>0.05</v>
      </c>
      <c r="UV266" s="16"/>
      <c r="UW266" s="16"/>
      <c r="UX266" s="16" t="n">
        <v>5.76</v>
      </c>
      <c r="UY266" s="16" t="n">
        <v>0</v>
      </c>
      <c r="UZ266" s="16" t="n">
        <v>0</v>
      </c>
      <c r="VA266" s="0" t="n">
        <v>1</v>
      </c>
      <c r="VB266" s="0" t="s">
        <v>798</v>
      </c>
      <c r="VC266" s="0" t="n">
        <v>47.5</v>
      </c>
      <c r="VD266" s="16" t="n">
        <v>97.8</v>
      </c>
      <c r="VE266" s="16" t="n">
        <v>83.4</v>
      </c>
      <c r="VF266" s="16" t="n">
        <v>26.3</v>
      </c>
      <c r="VG266" s="0" t="n">
        <v>54.22</v>
      </c>
      <c r="VH266" s="0" t="n">
        <v>0</v>
      </c>
      <c r="VI266" s="0" t="n">
        <v>0</v>
      </c>
      <c r="VJ266" s="0" t="n">
        <v>0</v>
      </c>
      <c r="VK266" s="0" t="n">
        <v>32.13</v>
      </c>
      <c r="VL266" s="0" t="n">
        <v>0</v>
      </c>
      <c r="VM266" s="0" t="n">
        <v>13.65</v>
      </c>
      <c r="VN266" s="0" t="n">
        <v>0</v>
      </c>
      <c r="VO266" s="0" t="n">
        <v>0</v>
      </c>
      <c r="VP266" s="0" t="n">
        <v>0</v>
      </c>
      <c r="VQ266" s="0" t="n">
        <v>0</v>
      </c>
      <c r="VR266" s="0" t="n">
        <v>25.5</v>
      </c>
      <c r="VS266" s="0" t="n">
        <v>61.05</v>
      </c>
      <c r="VT266" s="0" t="n">
        <v>6.61</v>
      </c>
      <c r="VU266" s="0" t="n">
        <v>3.67</v>
      </c>
      <c r="VV266" s="0" t="n">
        <v>0</v>
      </c>
      <c r="VW266" s="0" t="n">
        <v>10.5</v>
      </c>
      <c r="VX266" s="0" t="n">
        <v>1</v>
      </c>
      <c r="VY266" s="0" t="n">
        <v>3</v>
      </c>
      <c r="WA266" s="0" t="n">
        <v>1</v>
      </c>
      <c r="WK266" s="0" t="n">
        <v>7.1</v>
      </c>
      <c r="WL266" s="0" t="n">
        <v>0</v>
      </c>
      <c r="WW266" s="18"/>
      <c r="XO266" s="0" t="n">
        <v>1</v>
      </c>
      <c r="XP266" s="0" t="n">
        <v>60</v>
      </c>
      <c r="XQ266" s="0" t="n">
        <v>10</v>
      </c>
      <c r="XR266" s="0" t="n">
        <f aca="false">3.67*2</f>
        <v>7.34</v>
      </c>
      <c r="XS266" s="0" t="n">
        <v>3</v>
      </c>
      <c r="YZ266" s="16" t="n">
        <v>3.22</v>
      </c>
      <c r="ZA266" s="16" t="n">
        <v>1</v>
      </c>
      <c r="ZB266" s="16" t="n">
        <v>1</v>
      </c>
      <c r="ZC266" s="16"/>
      <c r="ZD266" s="16" t="n">
        <f aca="false">1.65*3+4.08+0.54+0.52</f>
        <v>10.09</v>
      </c>
      <c r="ZE266" s="16"/>
      <c r="ZF266" s="16"/>
      <c r="ZG266" s="16"/>
      <c r="ZH266" s="16"/>
      <c r="ZI266" s="16"/>
      <c r="ZJ266" s="16"/>
      <c r="ZK266" s="16" t="n">
        <v>0</v>
      </c>
      <c r="ZL266" s="16" t="n">
        <v>0</v>
      </c>
      <c r="ZM266" s="16"/>
      <c r="ZN266" s="16"/>
      <c r="ZO266" s="16" t="n">
        <v>0</v>
      </c>
      <c r="ZP266" s="16" t="n">
        <v>0</v>
      </c>
      <c r="ZQ266" s="16" t="n">
        <v>0</v>
      </c>
      <c r="ZR266" s="0" t="n">
        <v>0</v>
      </c>
      <c r="ZS266" s="0" t="s">
        <v>799</v>
      </c>
      <c r="ZT266" s="0" t="n">
        <v>44</v>
      </c>
      <c r="ZU266" s="16" t="n">
        <v>88.5</v>
      </c>
      <c r="ZV266" s="16" t="n">
        <v>83.4</v>
      </c>
      <c r="ZW266" s="16" t="n">
        <v>21.4</v>
      </c>
      <c r="ZX266" s="0" t="n">
        <v>59.53</v>
      </c>
      <c r="ZY266" s="0" t="n">
        <v>0</v>
      </c>
      <c r="ZZ266" s="0" t="n">
        <v>0</v>
      </c>
      <c r="AAA266" s="0" t="n">
        <v>0</v>
      </c>
      <c r="AAB266" s="0" t="n">
        <v>27.73</v>
      </c>
      <c r="AAC266" s="0" t="n">
        <v>0</v>
      </c>
      <c r="AAD266" s="0" t="n">
        <v>12.75</v>
      </c>
      <c r="AAE266" s="0" t="n">
        <v>0</v>
      </c>
      <c r="AAF266" s="0" t="n">
        <v>0</v>
      </c>
      <c r="AAG266" s="0" t="n">
        <v>0</v>
      </c>
      <c r="AAH266" s="0" t="n">
        <v>0</v>
      </c>
      <c r="AAI266" s="0" t="n">
        <v>18.64</v>
      </c>
      <c r="AAJ266" s="0" t="n">
        <v>50.48</v>
      </c>
      <c r="AAK266" s="0" t="n">
        <v>6.61</v>
      </c>
      <c r="AAL266" s="0" t="n">
        <v>3.67</v>
      </c>
      <c r="AAM266" s="0" t="n">
        <v>0</v>
      </c>
      <c r="AAN266" s="0" t="n">
        <v>10.5</v>
      </c>
      <c r="AAO266" s="0" t="n">
        <v>1</v>
      </c>
      <c r="AAP266" s="0" t="n">
        <v>3</v>
      </c>
      <c r="AAQ266" s="0" t="n">
        <v>1</v>
      </c>
      <c r="ABB266" s="0" t="n">
        <v>7.1</v>
      </c>
      <c r="ABC266" s="0" t="n">
        <v>0</v>
      </c>
      <c r="ABN266" s="18"/>
      <c r="ACF266" s="0" t="n">
        <v>1</v>
      </c>
      <c r="ACG266" s="0" t="n">
        <v>60</v>
      </c>
      <c r="ACH266" s="0" t="n">
        <v>10</v>
      </c>
      <c r="ACI266" s="0" t="n">
        <f aca="false">3.67*2</f>
        <v>7.34</v>
      </c>
      <c r="ACJ266" s="0" t="n">
        <v>4</v>
      </c>
      <c r="ADQ266" s="16" t="n">
        <v>2.37</v>
      </c>
      <c r="ADR266" s="16" t="n">
        <v>1</v>
      </c>
      <c r="ADS266" s="16" t="n">
        <v>1</v>
      </c>
      <c r="ADT266" s="16"/>
      <c r="ADU266" s="16" t="n">
        <f aca="false">1.65+4.08+0.54+3.77</f>
        <v>10.04</v>
      </c>
      <c r="ADV266" s="16"/>
      <c r="ADW266" s="16"/>
      <c r="ADX266" s="16"/>
      <c r="ADY266" s="16"/>
      <c r="ADZ266" s="16"/>
      <c r="AEA266" s="16"/>
      <c r="AEB266" s="16" t="n">
        <v>0.25</v>
      </c>
      <c r="AEC266" s="16" t="n">
        <v>0.25</v>
      </c>
      <c r="AED266" s="16"/>
      <c r="AEE266" s="16"/>
      <c r="AEF266" s="16" t="n">
        <v>0</v>
      </c>
      <c r="AEG266" s="16" t="n">
        <v>0</v>
      </c>
      <c r="AEH266" s="16" t="n">
        <v>3</v>
      </c>
      <c r="AEI266" s="0" t="n">
        <v>0</v>
      </c>
      <c r="AEJ266" s="0" t="s">
        <v>800</v>
      </c>
      <c r="AEK266" s="0" t="n">
        <v>27.5</v>
      </c>
      <c r="AEL266" s="16" t="n">
        <v>44</v>
      </c>
      <c r="AEM266" s="16" t="n">
        <v>83.4</v>
      </c>
      <c r="AEN266" s="16" t="n">
        <v>26.1</v>
      </c>
      <c r="AEO266" s="0" t="n">
        <v>15.93</v>
      </c>
      <c r="AEP266" s="0" t="n">
        <v>0</v>
      </c>
      <c r="AEQ266" s="0" t="n">
        <v>0</v>
      </c>
      <c r="AER266" s="0" t="n">
        <v>1.1</v>
      </c>
      <c r="AES266" s="0" t="n">
        <v>2.91</v>
      </c>
      <c r="AET266" s="0" t="n">
        <v>0</v>
      </c>
      <c r="AEU266" s="0" t="n">
        <v>79.32</v>
      </c>
      <c r="AEV266" s="0" t="n">
        <v>5.87</v>
      </c>
      <c r="AEW266" s="0" t="n">
        <v>17.05</v>
      </c>
      <c r="AEX266" s="0" t="n">
        <v>0</v>
      </c>
      <c r="AEY266" s="0" t="n">
        <v>0</v>
      </c>
      <c r="AEZ266" s="0" t="n">
        <v>4.43</v>
      </c>
      <c r="AFA266" s="0" t="n">
        <v>3.08</v>
      </c>
      <c r="AFB266" s="0" t="n">
        <v>0.78</v>
      </c>
      <c r="AFC266" s="0" t="n">
        <v>0.73</v>
      </c>
      <c r="AFD266" s="0" t="n">
        <v>0</v>
      </c>
      <c r="AFE266" s="0" t="n">
        <v>0</v>
      </c>
      <c r="AFF266" s="0" t="n">
        <v>0</v>
      </c>
      <c r="AFS266" s="0" t="n">
        <v>0</v>
      </c>
      <c r="AFT266" s="0" t="n">
        <v>0</v>
      </c>
      <c r="AGE266" s="18"/>
      <c r="AGW266" s="0" t="n">
        <v>1</v>
      </c>
      <c r="AGX266" s="0" t="n">
        <v>50</v>
      </c>
      <c r="AGY266" s="0" t="n">
        <v>1</v>
      </c>
      <c r="AGZ266" s="0" t="n">
        <v>0.73</v>
      </c>
      <c r="AHA266" s="0" t="n">
        <v>3</v>
      </c>
      <c r="AIH266" s="16" t="n">
        <v>0.29</v>
      </c>
      <c r="AII266" s="16" t="n">
        <v>1</v>
      </c>
      <c r="AIJ266" s="16" t="n">
        <v>1</v>
      </c>
      <c r="AIK266" s="16"/>
      <c r="AIL266" s="16" t="n">
        <f aca="false">0.08*8+0.2*4</f>
        <v>1.44</v>
      </c>
      <c r="AIM266" s="16"/>
      <c r="AIN266" s="16"/>
      <c r="AIO266" s="16"/>
      <c r="AIP266" s="16"/>
      <c r="AIQ266" s="16"/>
      <c r="AIR266" s="16"/>
      <c r="AIS266" s="16" t="n">
        <v>0.79</v>
      </c>
      <c r="AIT266" s="16" t="n">
        <v>0.8</v>
      </c>
      <c r="AIU266" s="16"/>
      <c r="AIV266" s="16"/>
      <c r="AIW266" s="16" t="n">
        <v>0</v>
      </c>
      <c r="AIX266" s="16" t="n">
        <v>0</v>
      </c>
      <c r="AIY266" s="16" t="n">
        <v>0</v>
      </c>
      <c r="AIZ266" s="0" t="n">
        <v>0</v>
      </c>
      <c r="AJA266" s="0" t="s">
        <v>322</v>
      </c>
      <c r="AJB266" s="0" t="n">
        <v>29</v>
      </c>
      <c r="AJC266" s="16" t="n">
        <v>79.1</v>
      </c>
      <c r="AJD266" s="16" t="n">
        <v>83.4</v>
      </c>
      <c r="AJE266" s="16" t="n">
        <v>18.7</v>
      </c>
      <c r="AJF266" s="0" t="n">
        <v>83.49</v>
      </c>
      <c r="AJG266" s="0" t="n">
        <v>0</v>
      </c>
      <c r="AJH266" s="0" t="n">
        <v>16.51</v>
      </c>
      <c r="AJI266" s="0" t="n">
        <v>0</v>
      </c>
      <c r="AJJ266" s="0" t="n">
        <v>0</v>
      </c>
      <c r="AJK266" s="0" t="n">
        <v>0</v>
      </c>
      <c r="AJL266" s="0" t="n">
        <v>0</v>
      </c>
      <c r="AJM266" s="0" t="n">
        <v>0</v>
      </c>
      <c r="AJN266" s="0" t="n">
        <v>0</v>
      </c>
      <c r="AJO266" s="0" t="n">
        <v>0</v>
      </c>
      <c r="AJP266" s="0" t="n">
        <v>0</v>
      </c>
      <c r="AJQ266" s="0" t="n">
        <v>0</v>
      </c>
      <c r="AJR266" s="0" t="n">
        <v>45.32</v>
      </c>
      <c r="AJS266" s="0" t="n">
        <v>18.71</v>
      </c>
      <c r="AJT266" s="0" t="n">
        <v>0</v>
      </c>
      <c r="AJU266" s="0" t="n">
        <v>0</v>
      </c>
      <c r="AJV266" s="0" t="n">
        <v>0</v>
      </c>
      <c r="AJW266" s="0" t="n">
        <v>0</v>
      </c>
      <c r="AKJ266" s="0" t="n">
        <v>0</v>
      </c>
      <c r="AKK266" s="0" t="n">
        <v>0</v>
      </c>
      <c r="AKV266" s="18"/>
      <c r="ALN266" s="0" t="n">
        <v>0</v>
      </c>
    </row>
    <row r="267" customFormat="false" ht="13.8" hidden="false" customHeight="false" outlineLevel="0" collapsed="false">
      <c r="A267" s="1" t="s">
        <v>806</v>
      </c>
      <c r="B267" s="12" t="n">
        <v>42909</v>
      </c>
      <c r="C267" s="0" t="n">
        <v>2</v>
      </c>
      <c r="D267" s="13" t="n">
        <v>42804</v>
      </c>
      <c r="E267" s="12" t="n">
        <v>30766</v>
      </c>
      <c r="F267" s="14" t="n">
        <f aca="false">(B267-E267)/365.25</f>
        <v>33.2457221081451</v>
      </c>
      <c r="G267" s="14" t="n">
        <f aca="false">(B267-D267)/365.25</f>
        <v>0.287474332648871</v>
      </c>
      <c r="H267" s="19" t="s">
        <v>306</v>
      </c>
      <c r="I267" s="15" t="s">
        <v>793</v>
      </c>
      <c r="J267" s="15" t="s">
        <v>183</v>
      </c>
      <c r="K267" s="15" t="n">
        <v>8</v>
      </c>
      <c r="L267" s="19" t="n">
        <v>110</v>
      </c>
      <c r="M267" s="0" t="n">
        <v>1.83</v>
      </c>
      <c r="N267" s="16" t="n">
        <f aca="false">L267/(M267*M267)</f>
        <v>32.8466063483532</v>
      </c>
      <c r="O267" s="19" t="n">
        <v>0</v>
      </c>
      <c r="P267" s="19" t="n">
        <v>0</v>
      </c>
      <c r="Q267" s="19" t="n">
        <v>0</v>
      </c>
      <c r="R267" s="26" t="n">
        <v>0</v>
      </c>
      <c r="S267" s="26" t="n">
        <v>0</v>
      </c>
      <c r="T267" s="26" t="n">
        <v>0</v>
      </c>
      <c r="U267" s="19" t="n">
        <v>0</v>
      </c>
      <c r="V267" s="19" t="n">
        <v>0</v>
      </c>
      <c r="W267" s="19" t="n">
        <v>0</v>
      </c>
      <c r="X267" s="19" t="n">
        <v>0</v>
      </c>
      <c r="Y267" s="19" t="n">
        <v>1</v>
      </c>
      <c r="Z267" s="19" t="n">
        <v>2</v>
      </c>
      <c r="AA267" s="19" t="n">
        <v>120</v>
      </c>
      <c r="AB267" s="19" t="s">
        <v>184</v>
      </c>
      <c r="AC267" s="19" t="n">
        <v>1</v>
      </c>
      <c r="AD267" s="19" t="n">
        <v>10</v>
      </c>
      <c r="AE267" s="19" t="n">
        <v>0</v>
      </c>
      <c r="AF267" s="19" t="n">
        <v>0</v>
      </c>
      <c r="AG267" s="19" t="n">
        <v>0</v>
      </c>
      <c r="AH267" s="19" t="n">
        <v>0</v>
      </c>
      <c r="AI267" s="19" t="n">
        <v>0</v>
      </c>
      <c r="AJ267" s="19" t="n">
        <v>0</v>
      </c>
      <c r="AK267" s="19" t="n">
        <v>0</v>
      </c>
      <c r="AL267" s="19" t="n">
        <v>0</v>
      </c>
      <c r="AM267" s="19" t="n">
        <v>0</v>
      </c>
      <c r="AN267" s="19" t="n">
        <v>0</v>
      </c>
      <c r="AO267" s="19" t="n">
        <v>0</v>
      </c>
      <c r="AP267" s="19" t="n">
        <v>0</v>
      </c>
      <c r="AQ267" s="19" t="n">
        <v>0</v>
      </c>
      <c r="AR267" s="19" t="n">
        <v>0</v>
      </c>
      <c r="AS267" s="19" t="n">
        <v>0</v>
      </c>
      <c r="AT267" s="19" t="n">
        <v>0</v>
      </c>
      <c r="AU267" s="19" t="n">
        <v>0</v>
      </c>
      <c r="AV267" s="19" t="n">
        <v>0</v>
      </c>
      <c r="AW267" s="19" t="n">
        <v>0</v>
      </c>
      <c r="AX267" s="19" t="n">
        <v>0</v>
      </c>
      <c r="AY267" s="19" t="n">
        <v>0</v>
      </c>
      <c r="AZ267" s="19" t="n">
        <v>0</v>
      </c>
      <c r="BA267" s="19" t="n">
        <v>0</v>
      </c>
      <c r="BB267" s="19" t="n">
        <v>0</v>
      </c>
      <c r="BC267" s="19" t="n">
        <v>0</v>
      </c>
      <c r="BD267" s="19" t="n">
        <v>0</v>
      </c>
      <c r="BE267" s="19" t="n">
        <v>0</v>
      </c>
      <c r="BF267" s="19" t="n">
        <v>0</v>
      </c>
      <c r="BG267" s="19" t="n">
        <v>0</v>
      </c>
      <c r="BH267" s="19" t="n">
        <v>0</v>
      </c>
      <c r="BI267" s="19" t="n">
        <v>0</v>
      </c>
      <c r="BJ267" s="19" t="n">
        <v>0</v>
      </c>
      <c r="BK267" s="19" t="n">
        <v>0</v>
      </c>
      <c r="BL267" s="19" t="n">
        <v>0</v>
      </c>
      <c r="BM267" s="19" t="n">
        <v>0</v>
      </c>
      <c r="BN267" s="19" t="n">
        <v>0</v>
      </c>
      <c r="BO267" s="19" t="n">
        <v>0</v>
      </c>
      <c r="BP267" s="19" t="n">
        <v>0</v>
      </c>
      <c r="BQ267" s="19" t="n">
        <v>0</v>
      </c>
      <c r="BR267" s="19" t="n">
        <v>1</v>
      </c>
      <c r="BS267" s="19" t="n">
        <v>2</v>
      </c>
      <c r="BT267" s="19" t="n">
        <v>5</v>
      </c>
      <c r="BU267" s="19" t="n">
        <v>5</v>
      </c>
      <c r="BV267" s="19" t="n">
        <v>3</v>
      </c>
      <c r="BW267" s="19" t="n">
        <v>1</v>
      </c>
      <c r="BX267" s="19" t="n">
        <v>2</v>
      </c>
      <c r="BY267" s="19" t="n">
        <v>3</v>
      </c>
      <c r="BZ267" s="19" t="n">
        <v>4</v>
      </c>
      <c r="CA267" s="19" t="n">
        <v>4</v>
      </c>
      <c r="CB267" s="19" t="n">
        <v>4</v>
      </c>
      <c r="CC267" s="19" t="n">
        <v>5</v>
      </c>
      <c r="CD267" s="19" t="n">
        <v>3</v>
      </c>
      <c r="CE267" s="19" t="n">
        <v>5</v>
      </c>
      <c r="CF267" s="19" t="n">
        <v>4</v>
      </c>
      <c r="CG267" s="19" t="n">
        <v>5</v>
      </c>
      <c r="CH267" s="19" t="n">
        <v>4</v>
      </c>
      <c r="CI267" s="19" t="n">
        <v>4</v>
      </c>
      <c r="CJ267" s="19" t="n">
        <v>4</v>
      </c>
      <c r="CK267" s="19" t="n">
        <v>8</v>
      </c>
      <c r="CL267" s="0" t="s">
        <v>794</v>
      </c>
      <c r="CM267" s="0" t="n">
        <v>41.5</v>
      </c>
      <c r="CN267" s="16" t="n">
        <v>70</v>
      </c>
      <c r="CO267" s="16" t="n">
        <v>83.4</v>
      </c>
      <c r="CP267" s="16" t="n">
        <v>33.4</v>
      </c>
      <c r="CQ267" s="0" t="n">
        <v>67.05</v>
      </c>
      <c r="CR267" s="0" t="n">
        <v>0</v>
      </c>
      <c r="CS267" s="0" t="n">
        <v>5.87</v>
      </c>
      <c r="CT267" s="0" t="n">
        <v>12.48</v>
      </c>
      <c r="CU267" s="0" t="n">
        <v>14.6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18.75</v>
      </c>
      <c r="DD267" s="0" t="n">
        <v>14.73</v>
      </c>
      <c r="DE267" s="0" t="n">
        <v>5.87</v>
      </c>
      <c r="DF267" s="0" t="n">
        <v>0</v>
      </c>
      <c r="DG267" s="0" t="n">
        <v>0</v>
      </c>
      <c r="DH267" s="0" t="n">
        <v>0</v>
      </c>
      <c r="DU267" s="0" t="n">
        <v>0</v>
      </c>
      <c r="DV267" s="0" t="n">
        <v>1</v>
      </c>
      <c r="DW267" s="0" t="n">
        <v>23</v>
      </c>
      <c r="DX267" s="0" t="n">
        <v>3</v>
      </c>
      <c r="DY267" s="0" t="n">
        <f aca="false">1.47+0.73</f>
        <v>2.2</v>
      </c>
      <c r="DZ267" s="0" t="n">
        <v>3</v>
      </c>
      <c r="EG267" s="18"/>
      <c r="EY267" s="0" t="n">
        <v>1</v>
      </c>
      <c r="EZ267" s="0" t="n">
        <v>30</v>
      </c>
      <c r="FA267" s="0" t="n">
        <v>2</v>
      </c>
      <c r="FB267" s="0" t="n">
        <v>2.94</v>
      </c>
      <c r="FC267" s="0" t="n">
        <v>3</v>
      </c>
      <c r="GJ267" s="16" t="n">
        <v>1.6</v>
      </c>
      <c r="GK267" s="16" t="n">
        <v>1</v>
      </c>
      <c r="GL267" s="16" t="n">
        <v>1</v>
      </c>
      <c r="GM267" s="16"/>
      <c r="GN267" s="16" t="n">
        <f aca="false">4.08+3.06+0.18+0.72</f>
        <v>8.04</v>
      </c>
      <c r="GO267" s="16"/>
      <c r="GP267" s="16"/>
      <c r="GQ267" s="16"/>
      <c r="GR267" s="16"/>
      <c r="GS267" s="16"/>
      <c r="GT267" s="16"/>
      <c r="GU267" s="16" t="n">
        <v>6.47</v>
      </c>
      <c r="GV267" s="16" t="n">
        <v>6.24</v>
      </c>
      <c r="GW267" s="16"/>
      <c r="GX267" s="16"/>
      <c r="GY267" s="16" t="n">
        <v>0</v>
      </c>
      <c r="GZ267" s="16" t="n">
        <v>0</v>
      </c>
      <c r="HA267" s="16" t="n">
        <v>0</v>
      </c>
      <c r="HB267" s="0" t="n">
        <v>0</v>
      </c>
      <c r="HC267" s="0" t="s">
        <v>795</v>
      </c>
      <c r="HD267" s="0" t="n">
        <v>58</v>
      </c>
      <c r="HE267" s="16" t="n">
        <v>94.2</v>
      </c>
      <c r="HF267" s="16" t="n">
        <v>83.4</v>
      </c>
      <c r="HG267" s="16" t="n">
        <v>45.8</v>
      </c>
      <c r="HH267" s="0" t="n">
        <v>51.88</v>
      </c>
      <c r="HI267" s="0" t="n">
        <v>0</v>
      </c>
      <c r="HJ267" s="0" t="n">
        <v>42.28</v>
      </c>
      <c r="HK267" s="0" t="n">
        <v>0</v>
      </c>
      <c r="HL267" s="0" t="n">
        <v>1.81</v>
      </c>
      <c r="HM267" s="0" t="n">
        <v>0</v>
      </c>
      <c r="HN267" s="0" t="n">
        <v>4.03</v>
      </c>
      <c r="HO267" s="0" t="n">
        <v>0</v>
      </c>
      <c r="HP267" s="0" t="n">
        <v>3.02</v>
      </c>
      <c r="HQ267" s="0" t="n">
        <v>0</v>
      </c>
      <c r="HR267" s="0" t="n">
        <v>0</v>
      </c>
      <c r="HS267" s="0" t="n">
        <v>2.06</v>
      </c>
      <c r="HT267" s="0" t="n">
        <v>7.41</v>
      </c>
      <c r="HU267" s="0" t="n">
        <v>41.45</v>
      </c>
      <c r="HV267" s="0" t="n">
        <v>4.5</v>
      </c>
      <c r="HW267" s="0" t="n">
        <v>0</v>
      </c>
      <c r="HX267" s="0" t="n">
        <v>5.3</v>
      </c>
      <c r="HY267" s="0" t="n">
        <v>1</v>
      </c>
      <c r="HZ267" s="0" t="n">
        <v>5</v>
      </c>
      <c r="IB267" s="0" t="n">
        <v>1</v>
      </c>
      <c r="IL267" s="0" t="n">
        <v>3.9</v>
      </c>
      <c r="IM267" s="0" t="n">
        <v>0</v>
      </c>
      <c r="IX267" s="18"/>
      <c r="JP267" s="0" t="n">
        <v>1</v>
      </c>
      <c r="JQ267" s="0" t="n">
        <v>60</v>
      </c>
      <c r="JR267" s="0" t="n">
        <v>4</v>
      </c>
      <c r="JS267" s="0" t="n">
        <f aca="false">1.47*2</f>
        <v>2.94</v>
      </c>
      <c r="JT267" s="0" t="n">
        <v>2</v>
      </c>
      <c r="JU267" s="0" t="n">
        <v>50</v>
      </c>
      <c r="JV267" s="0" t="n">
        <v>9</v>
      </c>
      <c r="JW267" s="0" t="n">
        <f aca="false">0.9+0.12</f>
        <v>1.02</v>
      </c>
      <c r="JX267" s="0" t="n">
        <v>2</v>
      </c>
      <c r="JY267" s="0" t="n">
        <v>70</v>
      </c>
      <c r="JZ267" s="0" t="n">
        <v>4</v>
      </c>
      <c r="KA267" s="0" t="n">
        <v>0.4</v>
      </c>
      <c r="KB267" s="0" t="n">
        <v>2</v>
      </c>
      <c r="LA267" s="16" t="n">
        <v>0</v>
      </c>
      <c r="LB267" s="16" t="n">
        <v>0</v>
      </c>
      <c r="LC267" s="16"/>
      <c r="LD267" s="16"/>
      <c r="LE267" s="16"/>
      <c r="LF267" s="16"/>
      <c r="LG267" s="16"/>
      <c r="LH267" s="16"/>
      <c r="LI267" s="16"/>
      <c r="LJ267" s="16"/>
      <c r="LK267" s="16"/>
      <c r="LL267" s="16" t="n">
        <v>2.7</v>
      </c>
      <c r="LM267" s="16" t="n">
        <v>0.9</v>
      </c>
      <c r="LN267" s="16"/>
      <c r="LO267" s="16"/>
      <c r="LP267" s="16" t="n">
        <v>0</v>
      </c>
      <c r="LQ267" s="16" t="n">
        <v>0</v>
      </c>
      <c r="LR267" s="16" t="n">
        <v>0</v>
      </c>
      <c r="LS267" s="0" t="n">
        <v>0</v>
      </c>
      <c r="LT267" s="0" t="s">
        <v>796</v>
      </c>
      <c r="LU267" s="0" t="n">
        <v>50.5</v>
      </c>
      <c r="LV267" s="16" t="n">
        <v>78.7</v>
      </c>
      <c r="LW267" s="16" t="n">
        <v>83.4</v>
      </c>
      <c r="LX267" s="16" t="n">
        <v>45.1</v>
      </c>
      <c r="LY267" s="0" t="n">
        <v>50.98</v>
      </c>
      <c r="LZ267" s="0" t="n">
        <v>1.99</v>
      </c>
      <c r="MA267" s="0" t="n">
        <v>41.43</v>
      </c>
      <c r="MB267" s="0" t="n">
        <v>0</v>
      </c>
      <c r="MC267" s="0" t="n">
        <v>1.81</v>
      </c>
      <c r="MD267" s="0" t="n">
        <v>0</v>
      </c>
      <c r="ME267" s="0" t="n">
        <v>3.78</v>
      </c>
      <c r="MF267" s="0" t="n">
        <v>0</v>
      </c>
      <c r="MG267" s="0" t="n">
        <v>3.02</v>
      </c>
      <c r="MH267" s="0" t="n">
        <v>0</v>
      </c>
      <c r="MI267" s="0" t="n">
        <v>0</v>
      </c>
      <c r="MJ267" s="0" t="n">
        <v>1.81</v>
      </c>
      <c r="MK267" s="0" t="n">
        <v>12.52</v>
      </c>
      <c r="ML267" s="0" t="n">
        <v>41.44</v>
      </c>
      <c r="MM267" s="0" t="n">
        <v>3.05</v>
      </c>
      <c r="MN267" s="0" t="n">
        <v>0</v>
      </c>
      <c r="MO267" s="0" t="n">
        <v>0</v>
      </c>
      <c r="MP267" s="0" t="n">
        <v>0</v>
      </c>
      <c r="NC267" s="0" t="n">
        <v>3</v>
      </c>
      <c r="ND267" s="0" t="n">
        <v>0</v>
      </c>
      <c r="NO267" s="18"/>
      <c r="OG267" s="0" t="n">
        <v>1</v>
      </c>
      <c r="OH267" s="0" t="n">
        <v>60</v>
      </c>
      <c r="OI267" s="0" t="n">
        <v>4</v>
      </c>
      <c r="OJ267" s="0" t="n">
        <f aca="false">1.47*2</f>
        <v>2.94</v>
      </c>
      <c r="OK267" s="0" t="n">
        <v>2</v>
      </c>
      <c r="OL267" s="0" t="n">
        <v>50</v>
      </c>
      <c r="OM267" s="0" t="n">
        <v>9</v>
      </c>
      <c r="ON267" s="0" t="n">
        <f aca="false">0.9+0.12</f>
        <v>1.02</v>
      </c>
      <c r="OO267" s="0" t="n">
        <v>2</v>
      </c>
      <c r="OP267" s="0" t="n">
        <v>70</v>
      </c>
      <c r="OQ267" s="0" t="n">
        <v>4</v>
      </c>
      <c r="OR267" s="0" t="n">
        <v>0.4</v>
      </c>
      <c r="OS267" s="0" t="n">
        <v>2</v>
      </c>
      <c r="PR267" s="16" t="n">
        <v>0</v>
      </c>
      <c r="PS267" s="16" t="n">
        <v>0</v>
      </c>
      <c r="PT267" s="16"/>
      <c r="PU267" s="16"/>
      <c r="PV267" s="16"/>
      <c r="PW267" s="16"/>
      <c r="PX267" s="16"/>
      <c r="PY267" s="16"/>
      <c r="PZ267" s="16"/>
      <c r="QA267" s="16"/>
      <c r="QB267" s="16"/>
      <c r="QC267" s="16" t="n">
        <v>2.14</v>
      </c>
      <c r="QD267" s="16" t="n">
        <v>2.14</v>
      </c>
      <c r="QE267" s="16"/>
      <c r="QF267" s="16"/>
      <c r="QG267" s="16" t="n">
        <v>0</v>
      </c>
      <c r="QH267" s="16" t="n">
        <v>0</v>
      </c>
      <c r="QI267" s="16" t="n">
        <v>0</v>
      </c>
      <c r="QJ267" s="0" t="n">
        <v>0</v>
      </c>
      <c r="QK267" s="0" t="s">
        <v>322</v>
      </c>
      <c r="QL267" s="0" t="n">
        <v>29</v>
      </c>
      <c r="QM267" s="16" t="n">
        <v>79.1</v>
      </c>
      <c r="QN267" s="16" t="n">
        <v>83.4</v>
      </c>
      <c r="QO267" s="16" t="n">
        <v>18.7</v>
      </c>
      <c r="QP267" s="0" t="n">
        <v>83.49</v>
      </c>
      <c r="QQ267" s="0" t="n">
        <v>0</v>
      </c>
      <c r="QR267" s="0" t="n">
        <v>16.51</v>
      </c>
      <c r="QS267" s="0" t="n">
        <v>0</v>
      </c>
      <c r="QT267" s="0" t="n">
        <v>0</v>
      </c>
      <c r="QU267" s="0" t="n">
        <v>0</v>
      </c>
      <c r="QV267" s="0" t="n">
        <v>0</v>
      </c>
      <c r="QW267" s="0" t="n">
        <v>0</v>
      </c>
      <c r="QX267" s="0" t="n">
        <v>0</v>
      </c>
      <c r="QY267" s="0" t="n">
        <v>0</v>
      </c>
      <c r="QZ267" s="0" t="n">
        <v>0</v>
      </c>
      <c r="RA267" s="0" t="n">
        <v>0</v>
      </c>
      <c r="RB267" s="0" t="n">
        <v>45.32</v>
      </c>
      <c r="RC267" s="0" t="n">
        <v>18.71</v>
      </c>
      <c r="RD267" s="0" t="n">
        <v>0</v>
      </c>
      <c r="RE267" s="0" t="n">
        <v>0</v>
      </c>
      <c r="RF267" s="0" t="n">
        <v>0</v>
      </c>
      <c r="RG267" s="0" t="n">
        <v>0</v>
      </c>
      <c r="RT267" s="0" t="n">
        <v>0</v>
      </c>
      <c r="RU267" s="0" t="n">
        <v>0</v>
      </c>
      <c r="SF267" s="18"/>
      <c r="SX267" s="0" t="n">
        <v>0</v>
      </c>
      <c r="UI267" s="16" t="n">
        <v>4.45</v>
      </c>
      <c r="UJ267" s="16" t="n">
        <v>1</v>
      </c>
      <c r="UK267" s="16" t="n">
        <v>1</v>
      </c>
      <c r="UL267" s="16"/>
      <c r="UM267" s="16" t="n">
        <f aca="false">5.14*2</f>
        <v>10.28</v>
      </c>
      <c r="UN267" s="16"/>
      <c r="UO267" s="16"/>
      <c r="UP267" s="16"/>
      <c r="UQ267" s="16"/>
      <c r="UR267" s="16"/>
      <c r="US267" s="16"/>
      <c r="UT267" s="16" t="n">
        <v>5.55</v>
      </c>
      <c r="UU267" s="16" t="n">
        <v>10.28</v>
      </c>
      <c r="UV267" s="16"/>
      <c r="UW267" s="16"/>
      <c r="UX267" s="16" t="n">
        <v>0</v>
      </c>
      <c r="UY267" s="16" t="n">
        <v>0</v>
      </c>
      <c r="UZ267" s="16" t="n">
        <v>0</v>
      </c>
      <c r="VA267" s="0" t="n">
        <v>0</v>
      </c>
      <c r="VB267" s="0" t="s">
        <v>803</v>
      </c>
      <c r="VC267" s="0" t="n">
        <v>80.5</v>
      </c>
      <c r="VD267" s="16" t="n">
        <v>87.5</v>
      </c>
      <c r="VE267" s="16" t="n">
        <v>83.4</v>
      </c>
      <c r="VF267" s="16" t="n">
        <v>15.6</v>
      </c>
      <c r="VG267" s="0" t="n">
        <v>91.61</v>
      </c>
      <c r="VH267" s="0" t="n">
        <v>0</v>
      </c>
      <c r="VI267" s="0" t="n">
        <v>8.39</v>
      </c>
      <c r="VJ267" s="0" t="n">
        <v>0</v>
      </c>
      <c r="VK267" s="0" t="n">
        <v>0</v>
      </c>
      <c r="VL267" s="0" t="n">
        <v>0</v>
      </c>
      <c r="VM267" s="0" t="n">
        <v>0</v>
      </c>
      <c r="VN267" s="0" t="n">
        <v>0</v>
      </c>
      <c r="VO267" s="0" t="n">
        <v>0</v>
      </c>
      <c r="VP267" s="0" t="n">
        <v>0</v>
      </c>
      <c r="VQ267" s="0" t="n">
        <v>0</v>
      </c>
      <c r="VR267" s="0" t="n">
        <v>23.31</v>
      </c>
      <c r="VS267" s="0" t="n">
        <v>21.38</v>
      </c>
      <c r="VT267" s="0" t="n">
        <v>38.29</v>
      </c>
      <c r="VU267" s="0" t="n">
        <v>0</v>
      </c>
      <c r="VV267" s="0" t="n">
        <v>0</v>
      </c>
      <c r="VW267" s="0" t="n">
        <v>30.3</v>
      </c>
      <c r="VX267" s="0" t="n">
        <v>1</v>
      </c>
      <c r="VY267" s="0" t="n">
        <v>21.68</v>
      </c>
      <c r="WA267" s="0" t="n">
        <v>2</v>
      </c>
      <c r="WK267" s="0" t="n">
        <v>28.2</v>
      </c>
      <c r="WL267" s="0" t="n">
        <v>0</v>
      </c>
      <c r="WW267" s="18"/>
      <c r="XO267" s="0" t="n">
        <v>1</v>
      </c>
      <c r="XP267" s="0" t="n">
        <v>50</v>
      </c>
      <c r="XQ267" s="0" t="n">
        <f aca="false">5+8+1+5+8</f>
        <v>27</v>
      </c>
      <c r="XR267" s="0" t="n">
        <f aca="false">3.67+2.94*2+0.73+0.65+0.52*2</f>
        <v>11.97</v>
      </c>
      <c r="XS267" s="0" t="n">
        <v>3</v>
      </c>
      <c r="XT267" s="0" t="n">
        <v>60</v>
      </c>
      <c r="XU267" s="0" t="n">
        <v>4</v>
      </c>
      <c r="XV267" s="0" t="n">
        <v>2.94</v>
      </c>
      <c r="XW267" s="0" t="n">
        <v>3</v>
      </c>
      <c r="YZ267" s="16" t="n">
        <v>0</v>
      </c>
      <c r="ZA267" s="16" t="n">
        <v>0</v>
      </c>
      <c r="ZB267" s="16"/>
      <c r="ZC267" s="16"/>
      <c r="ZD267" s="16"/>
      <c r="ZE267" s="16"/>
      <c r="ZF267" s="16"/>
      <c r="ZG267" s="16"/>
      <c r="ZH267" s="16"/>
      <c r="ZI267" s="16"/>
      <c r="ZJ267" s="16"/>
      <c r="ZK267" s="16" t="n">
        <v>6.24</v>
      </c>
      <c r="ZL267" s="16" t="n">
        <v>9.55</v>
      </c>
      <c r="ZM267" s="16"/>
      <c r="ZN267" s="16"/>
      <c r="ZO267" s="16" t="n">
        <v>0</v>
      </c>
      <c r="ZP267" s="16" t="n">
        <v>0</v>
      </c>
      <c r="ZQ267" s="16" t="n">
        <v>0</v>
      </c>
      <c r="ZR267" s="0" t="n">
        <v>0</v>
      </c>
      <c r="ZS267" s="0" t="s">
        <v>807</v>
      </c>
      <c r="ZT267" s="0" t="n">
        <v>85.5</v>
      </c>
      <c r="ZU267" s="16" t="n">
        <v>86</v>
      </c>
      <c r="ZV267" s="16" t="n">
        <v>83.4</v>
      </c>
      <c r="ZW267" s="16" t="n">
        <v>12.4</v>
      </c>
      <c r="ZX267" s="0" t="n">
        <v>69.6</v>
      </c>
      <c r="ZY267" s="0" t="n">
        <v>24.04</v>
      </c>
      <c r="ZZ267" s="0" t="n">
        <v>6.35</v>
      </c>
      <c r="AAA267" s="0" t="n">
        <v>0</v>
      </c>
      <c r="AAB267" s="0" t="n">
        <v>0</v>
      </c>
      <c r="AAC267" s="0" t="n">
        <v>0</v>
      </c>
      <c r="AAD267" s="0" t="n">
        <v>0</v>
      </c>
      <c r="AAE267" s="0" t="n">
        <v>0</v>
      </c>
      <c r="AAF267" s="0" t="n">
        <v>0</v>
      </c>
      <c r="AAG267" s="0" t="n">
        <v>0</v>
      </c>
      <c r="AAH267" s="0" t="n">
        <v>0</v>
      </c>
      <c r="AAI267" s="0" t="n">
        <v>21.02</v>
      </c>
      <c r="AAJ267" s="0" t="n">
        <v>18.37</v>
      </c>
      <c r="AAK267" s="0" t="n">
        <v>30.83</v>
      </c>
      <c r="AAL267" s="0" t="n">
        <v>2.81</v>
      </c>
      <c r="AAM267" s="0" t="n">
        <v>0</v>
      </c>
      <c r="AAN267" s="0" t="n">
        <v>43.8</v>
      </c>
      <c r="AAO267" s="0" t="n">
        <v>1</v>
      </c>
      <c r="AAP267" s="0" t="n">
        <v>15</v>
      </c>
      <c r="AAR267" s="0" t="n">
        <v>1</v>
      </c>
      <c r="AAS267" s="0" t="n">
        <v>7</v>
      </c>
      <c r="AAU267" s="0" t="n">
        <v>3</v>
      </c>
      <c r="AAV267" s="0" t="n">
        <v>11.9</v>
      </c>
      <c r="AAW267" s="0" t="n">
        <v>2</v>
      </c>
      <c r="ABB267" s="0" t="n">
        <v>16.2</v>
      </c>
      <c r="ABC267" s="0" t="n">
        <v>1</v>
      </c>
      <c r="ABD267" s="0" t="n">
        <v>52</v>
      </c>
      <c r="ABE267" s="0" t="n">
        <f aca="false">6+8+5+8</f>
        <v>27</v>
      </c>
      <c r="ABF267" s="0" t="n">
        <f aca="false">2.94*2+4.4+0.65+0.52*2</f>
        <v>11.97</v>
      </c>
      <c r="ABG267" s="0" t="n">
        <v>2</v>
      </c>
      <c r="ABN267" s="18"/>
      <c r="ACF267" s="0" t="n">
        <v>1</v>
      </c>
      <c r="ACG267" s="0" t="n">
        <v>40</v>
      </c>
      <c r="ACH267" s="0" t="n">
        <v>3</v>
      </c>
      <c r="ACI267" s="0" t="n">
        <f aca="false">2.2+0.73+0.39</f>
        <v>3.32</v>
      </c>
      <c r="ACJ267" s="0" t="n">
        <v>3</v>
      </c>
      <c r="ACK267" s="0" t="n">
        <v>60</v>
      </c>
      <c r="ACL267" s="0" t="n">
        <v>4</v>
      </c>
      <c r="ACM267" s="0" t="n">
        <v>2.94</v>
      </c>
      <c r="ACN267" s="0" t="n">
        <v>3</v>
      </c>
      <c r="ADQ267" s="16" t="n">
        <v>7.64</v>
      </c>
      <c r="ADR267" s="16" t="n">
        <v>1</v>
      </c>
      <c r="ADS267" s="16" t="n">
        <v>3</v>
      </c>
      <c r="ADT267" s="16"/>
      <c r="ADU267" s="16" t="n">
        <v>2.94</v>
      </c>
      <c r="ADV267" s="16"/>
      <c r="ADW267" s="16"/>
      <c r="ADX267" s="16"/>
      <c r="ADY267" s="16"/>
      <c r="ADZ267" s="16"/>
      <c r="AEA267" s="16"/>
      <c r="AEB267" s="16" t="n">
        <v>5.26</v>
      </c>
      <c r="AEC267" s="16" t="n">
        <v>2.94</v>
      </c>
      <c r="AED267" s="16"/>
      <c r="AEE267" s="16"/>
      <c r="AEF267" s="16" t="n">
        <v>0</v>
      </c>
      <c r="AEG267" s="16" t="n">
        <v>0</v>
      </c>
      <c r="AEH267" s="16" t="n">
        <v>0</v>
      </c>
      <c r="AEI267" s="0" t="n">
        <v>0</v>
      </c>
      <c r="AEJ267" s="0" t="s">
        <v>808</v>
      </c>
      <c r="AEK267" s="0" t="n">
        <v>4.5</v>
      </c>
      <c r="AEL267" s="16" t="n">
        <v>61.1</v>
      </c>
      <c r="AEM267" s="16" t="n">
        <v>83.4</v>
      </c>
      <c r="AEN267" s="16" t="n">
        <v>4.1</v>
      </c>
      <c r="AEO267" s="0" t="n">
        <v>98.62</v>
      </c>
      <c r="AEP267" s="0" t="n">
        <v>0</v>
      </c>
      <c r="AEQ267" s="0" t="n">
        <v>1.38</v>
      </c>
      <c r="AER267" s="0" t="n">
        <v>0</v>
      </c>
      <c r="AES267" s="0" t="n">
        <v>0</v>
      </c>
      <c r="AET267" s="0" t="n">
        <v>0</v>
      </c>
      <c r="AEU267" s="0" t="n">
        <v>0</v>
      </c>
      <c r="AEV267" s="0" t="n">
        <v>0</v>
      </c>
      <c r="AEW267" s="0" t="n">
        <v>0</v>
      </c>
      <c r="AEX267" s="0" t="n">
        <v>0</v>
      </c>
      <c r="AEY267" s="0" t="n">
        <v>0</v>
      </c>
      <c r="AEZ267" s="0" t="n">
        <v>0</v>
      </c>
      <c r="AFA267" s="0" t="n">
        <v>9.17</v>
      </c>
      <c r="AFB267" s="0" t="n">
        <v>0</v>
      </c>
      <c r="AFC267" s="0" t="n">
        <v>0</v>
      </c>
      <c r="AFD267" s="0" t="n">
        <v>0</v>
      </c>
      <c r="AFE267" s="0" t="n">
        <v>0</v>
      </c>
      <c r="AFF267" s="0" t="n">
        <v>0</v>
      </c>
      <c r="AFS267" s="0" t="n">
        <v>0</v>
      </c>
      <c r="AFT267" s="0" t="n">
        <v>0</v>
      </c>
      <c r="AGE267" s="18"/>
      <c r="AGW267" s="0" t="n">
        <v>0</v>
      </c>
      <c r="AIH267" s="16" t="n">
        <v>0</v>
      </c>
      <c r="AII267" s="16" t="n">
        <v>0</v>
      </c>
      <c r="AIJ267" s="16"/>
      <c r="AIK267" s="16"/>
      <c r="AIL267" s="16"/>
      <c r="AIM267" s="16"/>
      <c r="AIN267" s="16"/>
      <c r="AIO267" s="16"/>
      <c r="AIP267" s="16"/>
      <c r="AIQ267" s="16"/>
      <c r="AIR267" s="16"/>
      <c r="AIS267" s="16" t="n">
        <v>0</v>
      </c>
      <c r="AIT267" s="16" t="n">
        <v>0</v>
      </c>
      <c r="AIU267" s="16"/>
      <c r="AIV267" s="16"/>
      <c r="AIW267" s="16" t="n">
        <v>0</v>
      </c>
      <c r="AIX267" s="16" t="n">
        <v>0</v>
      </c>
      <c r="AIY267" s="16" t="n">
        <v>0</v>
      </c>
      <c r="AIZ267" s="0" t="n">
        <v>0</v>
      </c>
      <c r="AJA267" s="15"/>
      <c r="AJB267" s="15"/>
      <c r="AJI267" s="15"/>
      <c r="AJJ267" s="15"/>
      <c r="AJQ267" s="15"/>
      <c r="AJR267" s="15"/>
      <c r="AJY267" s="15"/>
      <c r="AJZ267" s="15"/>
      <c r="AKG267" s="15"/>
      <c r="AKH267" s="15"/>
      <c r="AKO267" s="15"/>
      <c r="AKP267" s="15"/>
      <c r="AKW267" s="15"/>
      <c r="AKX267" s="15"/>
      <c r="ALE267" s="15"/>
      <c r="ALF267" s="15"/>
      <c r="ALM267" s="15"/>
      <c r="ALN267" s="15"/>
      <c r="ALU267" s="15"/>
      <c r="ALV267" s="15"/>
      <c r="AMC267" s="15"/>
      <c r="AMD267" s="15"/>
    </row>
    <row r="268" customFormat="false" ht="13.8" hidden="false" customHeight="false" outlineLevel="0" collapsed="false">
      <c r="A268" s="1" t="s">
        <v>809</v>
      </c>
      <c r="B268" s="12" t="n">
        <v>42909</v>
      </c>
      <c r="C268" s="0" t="n">
        <v>2</v>
      </c>
      <c r="D268" s="13" t="n">
        <v>42793</v>
      </c>
      <c r="E268" s="12" t="n">
        <v>35295</v>
      </c>
      <c r="F268" s="14" t="n">
        <f aca="false">(B268-E268)/365.25</f>
        <v>20.8459958932238</v>
      </c>
      <c r="G268" s="14" t="n">
        <f aca="false">(B268-D268)/365.25</f>
        <v>0.317590691307324</v>
      </c>
      <c r="H268" s="19" t="s">
        <v>306</v>
      </c>
      <c r="I268" s="15" t="s">
        <v>793</v>
      </c>
      <c r="J268" s="15" t="s">
        <v>183</v>
      </c>
      <c r="K268" s="15" t="n">
        <v>8</v>
      </c>
      <c r="L268" s="19"/>
      <c r="M268" s="0" t="n">
        <v>1.6</v>
      </c>
      <c r="N268" s="16" t="n">
        <f aca="false">L268/(M268*M268)</f>
        <v>0</v>
      </c>
      <c r="O268" s="19" t="n">
        <v>0</v>
      </c>
      <c r="P268" s="19" t="n">
        <v>0</v>
      </c>
      <c r="Q268" s="19" t="n">
        <v>0</v>
      </c>
      <c r="R268" s="26" t="n">
        <v>0</v>
      </c>
      <c r="S268" s="26" t="n">
        <v>0</v>
      </c>
      <c r="T268" s="26" t="n">
        <v>0</v>
      </c>
      <c r="U268" s="19" t="n">
        <v>0</v>
      </c>
      <c r="V268" s="19" t="n">
        <v>0</v>
      </c>
      <c r="W268" s="19" t="n">
        <v>0</v>
      </c>
      <c r="X268" s="19" t="n">
        <v>0</v>
      </c>
      <c r="Y268" s="19" t="n">
        <v>1</v>
      </c>
      <c r="Z268" s="19" t="n">
        <v>2</v>
      </c>
      <c r="AA268" s="19"/>
      <c r="AB268" s="19" t="s">
        <v>349</v>
      </c>
      <c r="AC268" s="19" t="n">
        <v>0</v>
      </c>
      <c r="AD268" s="19" t="n">
        <v>0</v>
      </c>
      <c r="AE268" s="19" t="n">
        <v>0</v>
      </c>
      <c r="AF268" s="19" t="n">
        <v>0</v>
      </c>
      <c r="AG268" s="19" t="n">
        <v>0</v>
      </c>
      <c r="AH268" s="19" t="n">
        <v>0</v>
      </c>
      <c r="AI268" s="19" t="n">
        <v>0</v>
      </c>
      <c r="AJ268" s="19" t="n">
        <v>0</v>
      </c>
      <c r="AK268" s="19" t="n">
        <v>0</v>
      </c>
      <c r="AL268" s="19" t="n">
        <v>0</v>
      </c>
      <c r="AM268" s="19" t="n">
        <v>0</v>
      </c>
      <c r="AN268" s="19" t="n">
        <v>0</v>
      </c>
      <c r="AO268" s="19" t="n">
        <v>0</v>
      </c>
      <c r="AP268" s="19" t="n">
        <v>0</v>
      </c>
      <c r="AQ268" s="19" t="n">
        <v>0</v>
      </c>
      <c r="AR268" s="19" t="n">
        <v>0</v>
      </c>
      <c r="AS268" s="19" t="n">
        <v>0</v>
      </c>
      <c r="AT268" s="19" t="n">
        <v>0</v>
      </c>
      <c r="AU268" s="19" t="n">
        <v>0</v>
      </c>
      <c r="AV268" s="19" t="n">
        <v>0</v>
      </c>
      <c r="AW268" s="19" t="n">
        <v>0</v>
      </c>
      <c r="AX268" s="19" t="n">
        <v>0</v>
      </c>
      <c r="AY268" s="19" t="n">
        <v>0</v>
      </c>
      <c r="AZ268" s="19" t="n">
        <v>0</v>
      </c>
      <c r="BA268" s="19" t="n">
        <v>0</v>
      </c>
      <c r="BB268" s="19" t="n">
        <v>0</v>
      </c>
      <c r="BC268" s="19" t="n">
        <v>0</v>
      </c>
      <c r="BD268" s="19" t="n">
        <v>0</v>
      </c>
      <c r="BE268" s="19" t="n">
        <v>0</v>
      </c>
      <c r="BF268" s="19" t="n">
        <v>0</v>
      </c>
      <c r="BG268" s="19" t="n">
        <v>0</v>
      </c>
      <c r="BH268" s="19" t="n">
        <v>0</v>
      </c>
      <c r="BI268" s="19" t="n">
        <v>0</v>
      </c>
      <c r="BJ268" s="19" t="n">
        <v>0</v>
      </c>
      <c r="BK268" s="19" t="n">
        <v>0</v>
      </c>
      <c r="BL268" s="19" t="n">
        <v>0</v>
      </c>
      <c r="BM268" s="19" t="n">
        <v>0</v>
      </c>
      <c r="BN268" s="19" t="n">
        <v>0</v>
      </c>
      <c r="BO268" s="19" t="n">
        <v>0</v>
      </c>
      <c r="BP268" s="19" t="n">
        <v>0</v>
      </c>
      <c r="BQ268" s="19" t="n">
        <v>0</v>
      </c>
      <c r="BR268" s="19" t="n">
        <v>1</v>
      </c>
      <c r="BS268" s="19" t="n">
        <v>1</v>
      </c>
      <c r="BT268" s="19" t="n">
        <v>3</v>
      </c>
      <c r="BU268" s="19" t="n">
        <v>5</v>
      </c>
      <c r="BV268" s="19" t="n">
        <v>1</v>
      </c>
      <c r="BW268" s="19" t="n">
        <v>2</v>
      </c>
      <c r="BX268" s="19" t="n">
        <v>1</v>
      </c>
      <c r="BY268" s="19" t="n">
        <v>3</v>
      </c>
      <c r="BZ268" s="19" t="n">
        <v>5</v>
      </c>
      <c r="CA268" s="19" t="n">
        <v>5</v>
      </c>
      <c r="CB268" s="19" t="n">
        <v>5</v>
      </c>
      <c r="CC268" s="19" t="n">
        <v>5</v>
      </c>
      <c r="CD268" s="19" t="n">
        <v>4</v>
      </c>
      <c r="CE268" s="19" t="n">
        <v>5</v>
      </c>
      <c r="CF268" s="19" t="n">
        <v>2</v>
      </c>
      <c r="CG268" s="19" t="n">
        <v>5</v>
      </c>
      <c r="CH268" s="19" t="n">
        <v>5</v>
      </c>
      <c r="CI268" s="19" t="n">
        <v>5</v>
      </c>
      <c r="CJ268" s="19" t="n">
        <v>5</v>
      </c>
      <c r="CK268" s="19" t="n">
        <v>8</v>
      </c>
      <c r="CL268" s="0" t="s">
        <v>797</v>
      </c>
      <c r="CM268" s="0" t="n">
        <v>52.5</v>
      </c>
      <c r="CN268" s="16" t="n">
        <v>84.4</v>
      </c>
      <c r="CO268" s="16" t="n">
        <v>83.4</v>
      </c>
      <c r="CP268" s="16" t="n">
        <v>45.2</v>
      </c>
      <c r="CQ268" s="0" t="n">
        <v>36.52</v>
      </c>
      <c r="CR268" s="0" t="n">
        <v>0</v>
      </c>
      <c r="CS268" s="0" t="n">
        <v>24.46</v>
      </c>
      <c r="CT268" s="0" t="n">
        <v>5.81</v>
      </c>
      <c r="CU268" s="0" t="n">
        <v>9.54</v>
      </c>
      <c r="CV268" s="0" t="n">
        <v>0</v>
      </c>
      <c r="CW268" s="0" t="n">
        <v>22.12</v>
      </c>
      <c r="CX268" s="0" t="n">
        <v>2.71</v>
      </c>
      <c r="CY268" s="0" t="n">
        <v>5.34</v>
      </c>
      <c r="CZ268" s="0" t="n">
        <v>3.86</v>
      </c>
      <c r="DA268" s="0" t="n">
        <v>0</v>
      </c>
      <c r="DB268" s="0" t="n">
        <v>0</v>
      </c>
      <c r="DC268" s="0" t="n">
        <v>4.3</v>
      </c>
      <c r="DD268" s="0" t="n">
        <v>3.92</v>
      </c>
      <c r="DE268" s="0" t="n">
        <v>7.14</v>
      </c>
      <c r="DF268" s="0" t="n">
        <v>0.77</v>
      </c>
      <c r="DG268" s="0" t="n">
        <v>0</v>
      </c>
      <c r="DH268" s="0" t="n">
        <v>0</v>
      </c>
      <c r="DU268" s="0" t="n">
        <v>1.4</v>
      </c>
      <c r="DV268" s="0" t="n">
        <v>1</v>
      </c>
      <c r="DW268" s="0" t="n">
        <v>55</v>
      </c>
      <c r="DX268" s="0" t="n">
        <v>1</v>
      </c>
      <c r="DY268" s="0" t="n">
        <v>0.77</v>
      </c>
      <c r="DZ268" s="0" t="n">
        <v>2</v>
      </c>
      <c r="EA268" s="0" t="n">
        <v>35</v>
      </c>
      <c r="EB268" s="0" t="n">
        <v>1</v>
      </c>
      <c r="EC268" s="0" t="n">
        <v>0.13</v>
      </c>
      <c r="ED268" s="0" t="n">
        <v>3</v>
      </c>
      <c r="EG268" s="18"/>
      <c r="EY268" s="0" t="n">
        <v>1</v>
      </c>
      <c r="EZ268" s="0" t="n">
        <v>50</v>
      </c>
      <c r="FA268" s="0" t="n">
        <v>1</v>
      </c>
      <c r="FB268" s="0" t="n">
        <v>0.36</v>
      </c>
      <c r="FC268" s="0" t="n">
        <v>1</v>
      </c>
      <c r="GJ268" s="16" t="n">
        <v>0.07</v>
      </c>
      <c r="GK268" s="16" t="n">
        <v>1</v>
      </c>
      <c r="GL268" s="16" t="n">
        <v>1</v>
      </c>
      <c r="GM268" s="16"/>
      <c r="GN268" s="16" t="n">
        <f aca="false">0.07*2+0.05*3</f>
        <v>0.29</v>
      </c>
      <c r="GO268" s="16"/>
      <c r="GP268" s="16"/>
      <c r="GQ268" s="16"/>
      <c r="GR268" s="16"/>
      <c r="GS268" s="16"/>
      <c r="GT268" s="16"/>
      <c r="GU268" s="16" t="n">
        <v>0.05</v>
      </c>
      <c r="GV268" s="16" t="n">
        <v>0.05</v>
      </c>
      <c r="GW268" s="16"/>
      <c r="GX268" s="16"/>
      <c r="GY268" s="16" t="n">
        <v>5.76</v>
      </c>
      <c r="GZ268" s="16" t="n">
        <v>0</v>
      </c>
      <c r="HA268" s="16" t="n">
        <v>0</v>
      </c>
      <c r="HB268" s="0" t="n">
        <v>1</v>
      </c>
      <c r="HC268" s="0" t="s">
        <v>798</v>
      </c>
      <c r="HD268" s="0" t="n">
        <v>47.5</v>
      </c>
      <c r="HE268" s="16" t="n">
        <v>97.8</v>
      </c>
      <c r="HF268" s="16" t="n">
        <v>83.4</v>
      </c>
      <c r="HG268" s="16" t="n">
        <v>26.3</v>
      </c>
      <c r="HH268" s="0" t="n">
        <v>54.22</v>
      </c>
      <c r="HI268" s="0" t="n">
        <v>0</v>
      </c>
      <c r="HJ268" s="0" t="n">
        <v>0</v>
      </c>
      <c r="HK268" s="0" t="n">
        <v>0</v>
      </c>
      <c r="HL268" s="0" t="n">
        <v>32.13</v>
      </c>
      <c r="HM268" s="0" t="n">
        <v>0</v>
      </c>
      <c r="HN268" s="0" t="n">
        <v>13.65</v>
      </c>
      <c r="HO268" s="0" t="n">
        <v>0</v>
      </c>
      <c r="HP268" s="0" t="n">
        <v>0</v>
      </c>
      <c r="HQ268" s="0" t="n">
        <v>0</v>
      </c>
      <c r="HR268" s="0" t="n">
        <v>0</v>
      </c>
      <c r="HS268" s="0" t="n">
        <v>25.5</v>
      </c>
      <c r="HT268" s="0" t="n">
        <v>61.05</v>
      </c>
      <c r="HU268" s="0" t="n">
        <v>6.61</v>
      </c>
      <c r="HV268" s="0" t="n">
        <v>3.67</v>
      </c>
      <c r="HW268" s="0" t="n">
        <v>0</v>
      </c>
      <c r="HX268" s="0" t="n">
        <v>10.5</v>
      </c>
      <c r="HY268" s="0" t="n">
        <v>1</v>
      </c>
      <c r="HZ268" s="0" t="n">
        <v>3</v>
      </c>
      <c r="IB268" s="0" t="n">
        <v>1</v>
      </c>
      <c r="IL268" s="0" t="n">
        <v>7.1</v>
      </c>
      <c r="IM268" s="0" t="n">
        <v>0</v>
      </c>
      <c r="IX268" s="18"/>
      <c r="JP268" s="0" t="n">
        <v>1</v>
      </c>
      <c r="JQ268" s="0" t="n">
        <v>60</v>
      </c>
      <c r="JR268" s="0" t="n">
        <v>10</v>
      </c>
      <c r="JS268" s="0" t="n">
        <f aca="false">3.67*2</f>
        <v>7.34</v>
      </c>
      <c r="JT268" s="0" t="n">
        <v>3</v>
      </c>
      <c r="LA268" s="16" t="n">
        <v>3.22</v>
      </c>
      <c r="LB268" s="16" t="n">
        <v>1</v>
      </c>
      <c r="LC268" s="16" t="n">
        <v>1</v>
      </c>
      <c r="LD268" s="16"/>
      <c r="LE268" s="16" t="n">
        <f aca="false">1.65*3+4.08+0.54+0.52</f>
        <v>10.09</v>
      </c>
      <c r="LF268" s="16"/>
      <c r="LG268" s="16"/>
      <c r="LH268" s="16"/>
      <c r="LI268" s="16"/>
      <c r="LJ268" s="16"/>
      <c r="LK268" s="16"/>
      <c r="LL268" s="16" t="n">
        <v>0</v>
      </c>
      <c r="LM268" s="16" t="n">
        <v>0</v>
      </c>
      <c r="LN268" s="16"/>
      <c r="LO268" s="16"/>
      <c r="LP268" s="16" t="n">
        <v>0</v>
      </c>
      <c r="LQ268" s="16" t="n">
        <v>0</v>
      </c>
      <c r="LR268" s="16" t="n">
        <v>0</v>
      </c>
      <c r="LS268" s="0" t="n">
        <v>0</v>
      </c>
      <c r="LT268" s="0" t="s">
        <v>799</v>
      </c>
      <c r="LU268" s="0" t="n">
        <v>44</v>
      </c>
      <c r="LV268" s="16" t="n">
        <v>88.5</v>
      </c>
      <c r="LW268" s="16" t="n">
        <v>83.4</v>
      </c>
      <c r="LX268" s="16" t="n">
        <v>21.4</v>
      </c>
      <c r="LY268" s="0" t="n">
        <v>59.53</v>
      </c>
      <c r="LZ268" s="0" t="n">
        <v>0</v>
      </c>
      <c r="MA268" s="0" t="n">
        <v>0</v>
      </c>
      <c r="MB268" s="0" t="n">
        <v>0</v>
      </c>
      <c r="MC268" s="0" t="n">
        <v>27.73</v>
      </c>
      <c r="MD268" s="0" t="n">
        <v>0</v>
      </c>
      <c r="ME268" s="0" t="n">
        <v>12.75</v>
      </c>
      <c r="MF268" s="0" t="n">
        <v>0</v>
      </c>
      <c r="MG268" s="0" t="n">
        <v>0</v>
      </c>
      <c r="MH268" s="0" t="n">
        <v>0</v>
      </c>
      <c r="MI268" s="0" t="n">
        <v>0</v>
      </c>
      <c r="MJ268" s="0" t="n">
        <v>18.64</v>
      </c>
      <c r="MK268" s="0" t="n">
        <v>50.48</v>
      </c>
      <c r="ML268" s="0" t="n">
        <v>6.61</v>
      </c>
      <c r="MM268" s="0" t="n">
        <v>3.67</v>
      </c>
      <c r="MN268" s="0" t="n">
        <v>0</v>
      </c>
      <c r="MO268" s="0" t="n">
        <v>10.5</v>
      </c>
      <c r="MP268" s="0" t="n">
        <v>1</v>
      </c>
      <c r="MQ268" s="0" t="n">
        <v>3</v>
      </c>
      <c r="MR268" s="0" t="n">
        <v>1</v>
      </c>
      <c r="NC268" s="0" t="n">
        <v>7.1</v>
      </c>
      <c r="ND268" s="0" t="n">
        <v>0</v>
      </c>
      <c r="NO268" s="18"/>
      <c r="OG268" s="0" t="n">
        <v>1</v>
      </c>
      <c r="OH268" s="0" t="n">
        <v>60</v>
      </c>
      <c r="OI268" s="0" t="n">
        <v>10</v>
      </c>
      <c r="OJ268" s="0" t="n">
        <f aca="false">3.67*2</f>
        <v>7.34</v>
      </c>
      <c r="OK268" s="0" t="n">
        <v>4</v>
      </c>
      <c r="PR268" s="16" t="n">
        <v>2.37</v>
      </c>
      <c r="PS268" s="16" t="n">
        <v>1</v>
      </c>
      <c r="PT268" s="16" t="n">
        <v>1</v>
      </c>
      <c r="PU268" s="16"/>
      <c r="PV268" s="16" t="n">
        <f aca="false">1.65+4.08+0.54+3.77</f>
        <v>10.04</v>
      </c>
      <c r="PW268" s="16"/>
      <c r="PX268" s="16"/>
      <c r="PY268" s="16"/>
      <c r="PZ268" s="16"/>
      <c r="QA268" s="16"/>
      <c r="QB268" s="16"/>
      <c r="QC268" s="16" t="n">
        <v>0.25</v>
      </c>
      <c r="QD268" s="16" t="n">
        <v>0.25</v>
      </c>
      <c r="QE268" s="16"/>
      <c r="QF268" s="16"/>
      <c r="QG268" s="16" t="n">
        <v>0</v>
      </c>
      <c r="QH268" s="16" t="n">
        <v>0</v>
      </c>
      <c r="QI268" s="16" t="n">
        <v>3</v>
      </c>
      <c r="QJ268" s="0" t="n">
        <v>0</v>
      </c>
      <c r="QO268" s="15"/>
      <c r="QP268" s="15"/>
      <c r="QW268" s="15"/>
      <c r="QX268" s="15"/>
      <c r="RE268" s="15"/>
      <c r="RF268" s="15"/>
      <c r="RM268" s="15"/>
      <c r="RN268" s="15"/>
      <c r="RU268" s="15"/>
      <c r="RV268" s="15"/>
      <c r="SC268" s="15"/>
      <c r="SD268" s="15"/>
      <c r="SK268" s="15"/>
      <c r="SL268" s="15"/>
      <c r="SS268" s="15"/>
      <c r="ST268" s="15"/>
      <c r="TA268" s="15"/>
      <c r="TB268" s="15"/>
      <c r="TI268" s="15"/>
      <c r="TJ268" s="15"/>
      <c r="TQ268" s="15"/>
      <c r="TR268" s="15"/>
      <c r="TY268" s="15"/>
      <c r="TZ268" s="15"/>
      <c r="UG268" s="15"/>
      <c r="UH268" s="15"/>
      <c r="UO268" s="15"/>
      <c r="UP268" s="15"/>
      <c r="UW268" s="15"/>
      <c r="UX268" s="15"/>
      <c r="VE268" s="15"/>
      <c r="VF268" s="15"/>
      <c r="VM268" s="15"/>
      <c r="VN268" s="15"/>
      <c r="VU268" s="15"/>
      <c r="VV268" s="15"/>
      <c r="WC268" s="15"/>
      <c r="WD268" s="15"/>
      <c r="WK268" s="15"/>
      <c r="WL268" s="15"/>
      <c r="WS268" s="15"/>
      <c r="WT268" s="15"/>
      <c r="XA268" s="15"/>
      <c r="XB268" s="15"/>
      <c r="XI268" s="15"/>
      <c r="XJ268" s="15"/>
      <c r="XQ268" s="15"/>
      <c r="XR268" s="15"/>
      <c r="XY268" s="15"/>
      <c r="XZ268" s="15"/>
      <c r="YG268" s="15"/>
      <c r="YH268" s="15"/>
      <c r="YO268" s="15"/>
      <c r="YP268" s="15"/>
      <c r="YW268" s="15"/>
      <c r="YX268" s="15"/>
      <c r="ZE268" s="15"/>
      <c r="ZF268" s="15"/>
      <c r="ZM268" s="15"/>
      <c r="ZN268" s="15"/>
      <c r="ZU268" s="15"/>
      <c r="ZV268" s="15"/>
      <c r="AAC268" s="15"/>
      <c r="AAD268" s="15"/>
      <c r="AAK268" s="15"/>
      <c r="AAL268" s="15"/>
      <c r="AAS268" s="15"/>
      <c r="AAT268" s="15"/>
      <c r="ABA268" s="15"/>
      <c r="ABB268" s="15"/>
      <c r="ABI268" s="15"/>
      <c r="ABJ268" s="15"/>
      <c r="ABQ268" s="15"/>
      <c r="ABR268" s="15"/>
      <c r="ABY268" s="15"/>
      <c r="ABZ268" s="15"/>
      <c r="ACG268" s="15"/>
      <c r="ACH268" s="15"/>
      <c r="ACO268" s="15"/>
      <c r="ACP268" s="15"/>
      <c r="ACW268" s="15"/>
      <c r="ACX268" s="15"/>
      <c r="ADE268" s="15"/>
      <c r="ADF268" s="15"/>
      <c r="ADM268" s="15"/>
      <c r="ADN268" s="15"/>
      <c r="ADU268" s="15"/>
      <c r="ADV268" s="15"/>
      <c r="AEC268" s="15"/>
      <c r="AED268" s="15"/>
      <c r="AEK268" s="15"/>
      <c r="AEL268" s="15"/>
      <c r="AES268" s="15"/>
      <c r="AET268" s="15"/>
      <c r="AFA268" s="15"/>
      <c r="AFB268" s="15"/>
      <c r="AFI268" s="15"/>
      <c r="AFJ268" s="15"/>
      <c r="AFQ268" s="15"/>
      <c r="AFR268" s="15"/>
      <c r="AFY268" s="15"/>
      <c r="AFZ268" s="15"/>
      <c r="AGG268" s="15"/>
      <c r="AGH268" s="15"/>
      <c r="AGO268" s="15"/>
      <c r="AGP268" s="15"/>
      <c r="AGW268" s="15"/>
      <c r="AGX268" s="15"/>
      <c r="AHE268" s="15"/>
      <c r="AHF268" s="15"/>
      <c r="AHM268" s="15"/>
      <c r="AHN268" s="15"/>
      <c r="AHU268" s="15"/>
      <c r="AHV268" s="15"/>
      <c r="AIC268" s="15"/>
      <c r="AID268" s="15"/>
      <c r="AIK268" s="15"/>
      <c r="AIL268" s="15"/>
      <c r="AIS268" s="15"/>
      <c r="AIT268" s="15"/>
      <c r="AJA268" s="15"/>
      <c r="AJB268" s="15"/>
      <c r="AJI268" s="15"/>
      <c r="AJJ268" s="15"/>
      <c r="AJQ268" s="15"/>
      <c r="AJR268" s="15"/>
      <c r="AJY268" s="15"/>
      <c r="AJZ268" s="15"/>
      <c r="AKG268" s="15"/>
      <c r="AKH268" s="15"/>
      <c r="AKO268" s="15"/>
      <c r="AKP268" s="15"/>
      <c r="AKW268" s="15"/>
      <c r="AKX268" s="15"/>
      <c r="ALE268" s="15"/>
      <c r="ALF268" s="15"/>
      <c r="ALM268" s="15"/>
      <c r="ALN268" s="15"/>
      <c r="ALU268" s="15"/>
      <c r="ALV268" s="15"/>
      <c r="AMC268" s="15"/>
      <c r="AMD268" s="15"/>
    </row>
    <row r="269" customFormat="false" ht="13.8" hidden="false" customHeight="false" outlineLevel="0" collapsed="false">
      <c r="A269" s="1" t="s">
        <v>810</v>
      </c>
      <c r="B269" s="12" t="n">
        <v>42901</v>
      </c>
      <c r="C269" s="0" t="n">
        <v>2</v>
      </c>
      <c r="D269" s="13" t="n">
        <v>42814</v>
      </c>
      <c r="E269" s="12" t="n">
        <v>35039</v>
      </c>
      <c r="F269" s="14" t="n">
        <f aca="false">(B269-E269)/365.25</f>
        <v>21.5249828884326</v>
      </c>
      <c r="G269" s="14" t="n">
        <f aca="false">(B269-D269)/365.25</f>
        <v>0.238193018480493</v>
      </c>
      <c r="H269" s="19" t="s">
        <v>217</v>
      </c>
      <c r="I269" s="15" t="s">
        <v>545</v>
      </c>
      <c r="J269" s="15" t="s">
        <v>181</v>
      </c>
      <c r="K269" s="15" t="n">
        <v>8</v>
      </c>
      <c r="L269" s="19" t="n">
        <v>76</v>
      </c>
      <c r="M269" s="0" t="n">
        <v>1.8</v>
      </c>
      <c r="N269" s="16" t="n">
        <f aca="false">L269/(M269*M269)</f>
        <v>23.4567901234568</v>
      </c>
      <c r="O269" s="19" t="n">
        <v>0</v>
      </c>
      <c r="P269" s="19" t="n">
        <v>0</v>
      </c>
      <c r="Q269" s="19" t="n">
        <v>0</v>
      </c>
      <c r="R269" s="26" t="n">
        <v>0</v>
      </c>
      <c r="S269" s="26" t="n">
        <v>0</v>
      </c>
      <c r="T269" s="26" t="n">
        <v>0</v>
      </c>
      <c r="U269" s="19" t="n">
        <v>0</v>
      </c>
      <c r="V269" s="19" t="n">
        <v>0</v>
      </c>
      <c r="W269" s="19" t="n">
        <v>0</v>
      </c>
      <c r="X269" s="19" t="n">
        <v>0</v>
      </c>
      <c r="Y269" s="19" t="n">
        <v>1</v>
      </c>
      <c r="Z269" s="19" t="n">
        <v>1</v>
      </c>
      <c r="AA269" s="19" t="n">
        <v>90</v>
      </c>
      <c r="AB269" s="19" t="s">
        <v>811</v>
      </c>
      <c r="AC269" s="19" t="n">
        <v>0</v>
      </c>
      <c r="AD269" s="19" t="n">
        <v>0</v>
      </c>
      <c r="AE269" s="19" t="n">
        <v>0</v>
      </c>
      <c r="AF269" s="19" t="n">
        <v>0</v>
      </c>
      <c r="AG269" s="19" t="n">
        <v>0</v>
      </c>
      <c r="AH269" s="19" t="n">
        <v>0</v>
      </c>
      <c r="AI269" s="19" t="n">
        <v>2</v>
      </c>
      <c r="AJ269" s="19" t="n">
        <v>0</v>
      </c>
      <c r="AK269" s="19" t="n">
        <v>0</v>
      </c>
      <c r="AL269" s="19" t="n">
        <v>0</v>
      </c>
      <c r="AM269" s="19" t="n">
        <v>0</v>
      </c>
      <c r="AN269" s="19" t="n">
        <v>0</v>
      </c>
      <c r="AO269" s="19" t="n">
        <v>0</v>
      </c>
      <c r="AP269" s="19" t="n">
        <v>0</v>
      </c>
      <c r="AQ269" s="19" t="n">
        <v>0</v>
      </c>
      <c r="AR269" s="19" t="n">
        <v>0</v>
      </c>
      <c r="AS269" s="19" t="n">
        <v>0</v>
      </c>
      <c r="AT269" s="19" t="n">
        <v>0</v>
      </c>
      <c r="AU269" s="19" t="n">
        <v>0</v>
      </c>
      <c r="AV269" s="19" t="n">
        <v>0</v>
      </c>
      <c r="AW269" s="19" t="n">
        <v>0</v>
      </c>
      <c r="AX269" s="19" t="n">
        <v>0</v>
      </c>
      <c r="AY269" s="19" t="n">
        <v>0</v>
      </c>
      <c r="AZ269" s="19" t="n">
        <v>0</v>
      </c>
      <c r="BA269" s="19" t="n">
        <v>0</v>
      </c>
      <c r="BB269" s="19" t="n">
        <v>0</v>
      </c>
      <c r="BC269" s="19" t="n">
        <v>0</v>
      </c>
      <c r="BD269" s="19" t="n">
        <v>0</v>
      </c>
      <c r="BE269" s="19" t="n">
        <v>0</v>
      </c>
      <c r="BF269" s="19" t="n">
        <v>0</v>
      </c>
      <c r="BG269" s="19" t="n">
        <v>0</v>
      </c>
      <c r="BH269" s="19" t="n">
        <v>0</v>
      </c>
      <c r="BI269" s="19" t="n">
        <v>0</v>
      </c>
      <c r="BJ269" s="19" t="n">
        <v>0</v>
      </c>
      <c r="BK269" s="19" t="n">
        <v>0</v>
      </c>
      <c r="BL269" s="19" t="n">
        <v>0</v>
      </c>
      <c r="BM269" s="19" t="n">
        <v>0</v>
      </c>
      <c r="BN269" s="19" t="n">
        <v>0</v>
      </c>
      <c r="BO269" s="19" t="n">
        <v>0</v>
      </c>
      <c r="BP269" s="19" t="n">
        <v>0</v>
      </c>
      <c r="BQ269" s="19" t="n">
        <v>0</v>
      </c>
      <c r="BR269" s="19" t="n">
        <v>1</v>
      </c>
      <c r="BS269" s="19" t="n">
        <v>1</v>
      </c>
      <c r="BT269" s="19" t="n">
        <v>1</v>
      </c>
      <c r="BU269" s="19" t="n">
        <v>4</v>
      </c>
      <c r="BV269" s="19" t="n">
        <v>2</v>
      </c>
      <c r="BW269" s="19" t="n">
        <v>1</v>
      </c>
      <c r="BX269" s="19" t="n">
        <v>3</v>
      </c>
      <c r="BY269" s="19" t="n">
        <v>3</v>
      </c>
      <c r="BZ269" s="19" t="n">
        <v>3</v>
      </c>
      <c r="CA269" s="19" t="n">
        <v>5</v>
      </c>
      <c r="CB269" s="19" t="n">
        <v>5</v>
      </c>
      <c r="CC269" s="19" t="n">
        <v>5</v>
      </c>
      <c r="CD269" s="19" t="n">
        <v>5</v>
      </c>
      <c r="CE269" s="19" t="n">
        <v>5</v>
      </c>
      <c r="CF269" s="19" t="n">
        <v>5</v>
      </c>
      <c r="CG269" s="19" t="n">
        <v>5</v>
      </c>
      <c r="CH269" s="19" t="n">
        <v>5</v>
      </c>
      <c r="CI269" s="19" t="n">
        <v>5</v>
      </c>
      <c r="CJ269" s="19" t="n">
        <v>5</v>
      </c>
      <c r="CK269" s="19" t="n">
        <v>10</v>
      </c>
      <c r="CL269" s="0" t="s">
        <v>555</v>
      </c>
      <c r="CM269" s="0" t="n">
        <v>35</v>
      </c>
      <c r="CN269" s="16" t="n">
        <v>78.8</v>
      </c>
      <c r="CO269" s="16" t="n">
        <v>80.4</v>
      </c>
      <c r="CP269" s="16" t="n">
        <v>17.2</v>
      </c>
      <c r="CQ269" s="0" t="n">
        <v>72.07</v>
      </c>
      <c r="CR269" s="0" t="n">
        <v>11.09</v>
      </c>
      <c r="CS269" s="0" t="n">
        <v>1.12</v>
      </c>
      <c r="CT269" s="0" t="n">
        <v>0</v>
      </c>
      <c r="CU269" s="0" t="n">
        <v>15.71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0</v>
      </c>
      <c r="DC269" s="0" t="n">
        <v>1.66</v>
      </c>
      <c r="DD269" s="0" t="n">
        <v>34.99</v>
      </c>
      <c r="DE269" s="0" t="n">
        <v>0</v>
      </c>
      <c r="DF269" s="0" t="n">
        <v>0</v>
      </c>
      <c r="DG269" s="0" t="n">
        <v>0</v>
      </c>
      <c r="DH269" s="0" t="n">
        <v>0</v>
      </c>
      <c r="DU269" s="0" t="n">
        <v>11.2</v>
      </c>
      <c r="DV269" s="0" t="n">
        <v>1</v>
      </c>
      <c r="DW269" s="0" t="n">
        <v>52</v>
      </c>
      <c r="DX269" s="0" t="n">
        <f aca="false">18+1+15</f>
        <v>34</v>
      </c>
      <c r="DY269" s="0" t="n">
        <f aca="false">3.2+2.05+0.07</f>
        <v>5.32</v>
      </c>
      <c r="DZ269" s="0" t="n">
        <v>2</v>
      </c>
      <c r="EG269" s="18"/>
      <c r="EY269" s="0" t="n">
        <v>0</v>
      </c>
      <c r="GJ269" s="16" t="n">
        <v>0</v>
      </c>
      <c r="GK269" s="16" t="n">
        <v>0</v>
      </c>
      <c r="GL269" s="16"/>
      <c r="GM269" s="16"/>
      <c r="GN269" s="16"/>
      <c r="GO269" s="16"/>
      <c r="GP269" s="16"/>
      <c r="GQ269" s="16"/>
      <c r="GR269" s="16"/>
      <c r="GS269" s="16"/>
      <c r="GT269" s="16"/>
      <c r="GU269" s="16" t="n">
        <v>6.16</v>
      </c>
      <c r="GV269" s="16" t="n">
        <v>7.21</v>
      </c>
      <c r="GW269" s="16"/>
      <c r="GX269" s="16"/>
      <c r="GY269" s="16" t="n">
        <v>0</v>
      </c>
      <c r="GZ269" s="16" t="n">
        <v>0</v>
      </c>
      <c r="HA269" s="16" t="n">
        <v>0</v>
      </c>
      <c r="HB269" s="0" t="n">
        <v>0</v>
      </c>
      <c r="HC269" s="0" t="s">
        <v>546</v>
      </c>
      <c r="HD269" s="0" t="n">
        <v>16.5</v>
      </c>
      <c r="HE269" s="16" t="n">
        <v>35.3</v>
      </c>
      <c r="HF269" s="16" t="n">
        <v>80.4</v>
      </c>
      <c r="HG269" s="16" t="n">
        <v>9.7</v>
      </c>
      <c r="HH269" s="0" t="n">
        <v>86.56</v>
      </c>
      <c r="HI269" s="0" t="n">
        <v>12.61</v>
      </c>
      <c r="HJ269" s="0" t="n">
        <v>0</v>
      </c>
      <c r="HK269" s="0" t="n">
        <v>0</v>
      </c>
      <c r="HL269" s="0" t="n">
        <v>0.83</v>
      </c>
      <c r="HM269" s="0" t="n">
        <v>0</v>
      </c>
      <c r="HN269" s="0" t="n">
        <v>0</v>
      </c>
      <c r="HO269" s="0" t="n">
        <v>0</v>
      </c>
      <c r="HP269" s="0" t="n">
        <v>0</v>
      </c>
      <c r="HQ269" s="0" t="n">
        <v>0</v>
      </c>
      <c r="HR269" s="0" t="n">
        <v>0</v>
      </c>
      <c r="HS269" s="0" t="n">
        <v>0</v>
      </c>
      <c r="HT269" s="0" t="n">
        <v>2.22</v>
      </c>
      <c r="HU269" s="0" t="n">
        <v>20.83</v>
      </c>
      <c r="HV269" s="0" t="n">
        <v>0</v>
      </c>
      <c r="HW269" s="0" t="n">
        <v>0</v>
      </c>
      <c r="HX269" s="0" t="n">
        <v>0</v>
      </c>
      <c r="HY269" s="0" t="n">
        <v>0</v>
      </c>
      <c r="IL269" s="0" t="n">
        <v>0.3</v>
      </c>
      <c r="IM269" s="0" t="n">
        <v>1</v>
      </c>
      <c r="IN269" s="0" t="n">
        <v>34</v>
      </c>
      <c r="IO269" s="0" t="n">
        <v>4</v>
      </c>
      <c r="IP269" s="0" t="n">
        <f aca="false">1.35+0.45+1.35+0.45</f>
        <v>3.6</v>
      </c>
      <c r="IQ269" s="0" t="n">
        <v>1</v>
      </c>
      <c r="IR269" s="0" t="n">
        <v>52</v>
      </c>
      <c r="IS269" s="0" t="n">
        <v>1</v>
      </c>
      <c r="IT269" s="0" t="n">
        <f aca="false">0.18</f>
        <v>0.18</v>
      </c>
      <c r="IU269" s="0" t="n">
        <v>2</v>
      </c>
      <c r="IX269" s="18"/>
      <c r="JP269" s="0" t="n">
        <v>0</v>
      </c>
      <c r="LA269" s="16" t="n">
        <v>0.28</v>
      </c>
      <c r="LB269" s="16" t="n">
        <v>1</v>
      </c>
      <c r="LC269" s="16" t="n">
        <v>2</v>
      </c>
      <c r="LD269" s="16"/>
      <c r="LE269" s="16" t="n">
        <f aca="false">0.37+0.26</f>
        <v>0.63</v>
      </c>
      <c r="LF269" s="16"/>
      <c r="LG269" s="16"/>
      <c r="LH269" s="16"/>
      <c r="LI269" s="16"/>
      <c r="LJ269" s="16"/>
      <c r="LK269" s="16"/>
      <c r="LL269" s="16" t="n">
        <v>5.99</v>
      </c>
      <c r="LM269" s="16" t="n">
        <v>5.34</v>
      </c>
      <c r="LN269" s="16"/>
      <c r="LO269" s="16"/>
      <c r="LP269" s="16" t="n">
        <v>0</v>
      </c>
      <c r="LQ269" s="16" t="n">
        <v>0</v>
      </c>
      <c r="LR269" s="16" t="n">
        <v>0</v>
      </c>
      <c r="LS269" s="0" t="n">
        <v>0</v>
      </c>
      <c r="LT269" s="0" t="s">
        <v>547</v>
      </c>
      <c r="LU269" s="0" t="n">
        <v>29.5</v>
      </c>
      <c r="LV269" s="16" t="n">
        <v>87.5</v>
      </c>
      <c r="LW269" s="16" t="n">
        <v>80.4</v>
      </c>
      <c r="LX269" s="16" t="n">
        <v>14.3</v>
      </c>
      <c r="LY269" s="0" t="n">
        <v>68.7</v>
      </c>
      <c r="LZ269" s="0" t="n">
        <v>23.24</v>
      </c>
      <c r="MA269" s="0" t="n">
        <v>1.79</v>
      </c>
      <c r="MB269" s="0" t="n">
        <v>0</v>
      </c>
      <c r="MC269" s="0" t="n">
        <v>6.27</v>
      </c>
      <c r="MD269" s="0" t="n">
        <v>0</v>
      </c>
      <c r="ME269" s="0" t="n">
        <v>0</v>
      </c>
      <c r="MF269" s="0" t="n">
        <v>0</v>
      </c>
      <c r="MG269" s="0" t="n">
        <v>0</v>
      </c>
      <c r="MH269" s="0" t="n">
        <v>0</v>
      </c>
      <c r="MI269" s="0" t="n">
        <v>0</v>
      </c>
      <c r="MJ269" s="0" t="n">
        <v>0</v>
      </c>
      <c r="MK269" s="0" t="n">
        <v>7.01</v>
      </c>
      <c r="ML269" s="0" t="n">
        <v>58.72</v>
      </c>
      <c r="MM269" s="0" t="n">
        <v>0.23</v>
      </c>
      <c r="MN269" s="0" t="n">
        <v>0</v>
      </c>
      <c r="MO269" s="0" t="n">
        <v>0.5</v>
      </c>
      <c r="MP269" s="0" t="n">
        <v>2</v>
      </c>
      <c r="MQ269" s="0" t="n">
        <v>7</v>
      </c>
      <c r="MR269" s="0" t="n">
        <v>0.08</v>
      </c>
      <c r="MW269" s="0" t="n">
        <v>7</v>
      </c>
      <c r="MX269" s="0" t="n">
        <v>0.08</v>
      </c>
      <c r="NC269" s="0" t="n">
        <v>0</v>
      </c>
      <c r="ND269" s="0" t="n">
        <v>1</v>
      </c>
      <c r="NE269" s="0" t="n">
        <v>23</v>
      </c>
      <c r="NF269" s="0" t="n">
        <v>2</v>
      </c>
      <c r="NG269" s="0" t="n">
        <v>0.9</v>
      </c>
      <c r="NH269" s="0" t="n">
        <v>3</v>
      </c>
      <c r="NO269" s="18"/>
      <c r="OG269" s="0" t="n">
        <v>1</v>
      </c>
      <c r="OH269" s="0" t="n">
        <v>50</v>
      </c>
      <c r="OI269" s="0" t="n">
        <v>2</v>
      </c>
      <c r="OJ269" s="0" t="n">
        <f aca="false">3.13+23.63</f>
        <v>26.76</v>
      </c>
      <c r="OK269" s="0" t="n">
        <v>3</v>
      </c>
      <c r="PR269" s="16" t="n">
        <v>1.49</v>
      </c>
      <c r="PS269" s="16" t="n">
        <v>1</v>
      </c>
      <c r="PT269" s="16" t="n">
        <v>1</v>
      </c>
      <c r="PU269" s="16"/>
      <c r="PV269" s="16" t="n">
        <f aca="false">1.91+2.02+2.02+1.35</f>
        <v>7.3</v>
      </c>
      <c r="PW269" s="16" t="n">
        <v>2</v>
      </c>
      <c r="PX269" s="16"/>
      <c r="PY269" s="16" t="n">
        <v>0.21</v>
      </c>
      <c r="PZ269" s="16"/>
      <c r="QA269" s="16"/>
      <c r="QB269" s="16"/>
      <c r="QC269" s="16" t="n">
        <v>10.82</v>
      </c>
      <c r="QD269" s="16" t="n">
        <v>14.57</v>
      </c>
      <c r="QE269" s="16"/>
      <c r="QF269" s="16"/>
      <c r="QG269" s="16" t="n">
        <v>2.24</v>
      </c>
      <c r="QH269" s="16" t="n">
        <v>0.9</v>
      </c>
      <c r="QI269" s="16" t="n">
        <v>0</v>
      </c>
      <c r="QJ269" s="0" t="n">
        <v>0</v>
      </c>
      <c r="QK269" s="0" t="s">
        <v>548</v>
      </c>
      <c r="QL269" s="0" t="n">
        <v>50</v>
      </c>
      <c r="QM269" s="16" t="n">
        <v>80</v>
      </c>
      <c r="QN269" s="16" t="n">
        <v>80.4</v>
      </c>
      <c r="QO269" s="16" t="n">
        <v>16.9</v>
      </c>
      <c r="QP269" s="0" t="n">
        <v>58.18</v>
      </c>
      <c r="QQ269" s="0" t="n">
        <v>32.94</v>
      </c>
      <c r="QR269" s="0" t="n">
        <v>1.79</v>
      </c>
      <c r="QS269" s="0" t="n">
        <v>0</v>
      </c>
      <c r="QT269" s="0" t="n">
        <v>7.09</v>
      </c>
      <c r="QU269" s="0" t="n">
        <v>0</v>
      </c>
      <c r="QV269" s="0" t="n">
        <v>0</v>
      </c>
      <c r="QW269" s="0" t="n">
        <v>0</v>
      </c>
      <c r="QX269" s="0" t="n">
        <v>0</v>
      </c>
      <c r="QY269" s="0" t="n">
        <v>0</v>
      </c>
      <c r="QZ269" s="0" t="n">
        <v>0</v>
      </c>
      <c r="RA269" s="0" t="n">
        <v>0</v>
      </c>
      <c r="RB269" s="0" t="n">
        <v>3.53</v>
      </c>
      <c r="RC269" s="0" t="n">
        <v>45.12</v>
      </c>
      <c r="RD269" s="0" t="n">
        <v>0</v>
      </c>
      <c r="RE269" s="0" t="n">
        <v>0</v>
      </c>
      <c r="RF269" s="0" t="n">
        <v>0</v>
      </c>
      <c r="RG269" s="0" t="n">
        <v>0</v>
      </c>
      <c r="RT269" s="0" t="n">
        <v>8.2</v>
      </c>
      <c r="RU269" s="0" t="n">
        <v>1</v>
      </c>
      <c r="RV269" s="0" t="n">
        <v>23</v>
      </c>
      <c r="RW269" s="0" t="n">
        <v>1</v>
      </c>
      <c r="RX269" s="0" t="n">
        <v>0.45</v>
      </c>
      <c r="RY269" s="0" t="n">
        <v>3</v>
      </c>
      <c r="RZ269" s="0" t="n">
        <v>34</v>
      </c>
      <c r="SA269" s="0" t="n">
        <v>28</v>
      </c>
      <c r="SB269" s="0" t="n">
        <f aca="false">0.45+0.18+1.6+0.24+0.37+4.39+0.49+0.04+0.32+0.05+1.38</f>
        <v>9.51</v>
      </c>
      <c r="SC269" s="0" t="n">
        <v>1</v>
      </c>
      <c r="SF269" s="18"/>
      <c r="SX269" s="0" t="n">
        <v>0</v>
      </c>
      <c r="UI269" s="16" t="n">
        <v>1.65</v>
      </c>
      <c r="UJ269" s="16" t="n">
        <v>1</v>
      </c>
      <c r="UK269" s="16" t="n">
        <v>1</v>
      </c>
      <c r="UL269" s="16"/>
      <c r="UM269" s="16" t="n">
        <f aca="false">0.18</f>
        <v>0.18</v>
      </c>
      <c r="UN269" s="16" t="n">
        <v>2</v>
      </c>
      <c r="UO269" s="16"/>
      <c r="UP269" s="16" t="n">
        <f aca="false">1.65+0.91+6.23+0.66</f>
        <v>9.45</v>
      </c>
      <c r="UQ269" s="16"/>
      <c r="UR269" s="16"/>
      <c r="US269" s="16"/>
      <c r="UT269" s="16" t="n">
        <v>20.65</v>
      </c>
      <c r="UU269" s="16" t="n">
        <v>33.56</v>
      </c>
      <c r="UV269" s="16"/>
      <c r="UW269" s="16"/>
      <c r="UX269" s="16" t="n">
        <v>2.24</v>
      </c>
      <c r="UY269" s="16" t="n">
        <v>0.45</v>
      </c>
      <c r="UZ269" s="16" t="n">
        <v>0</v>
      </c>
      <c r="VA269" s="0" t="n">
        <v>0.45</v>
      </c>
      <c r="VB269" s="0" t="s">
        <v>549</v>
      </c>
      <c r="VC269" s="0" t="n">
        <v>31.5</v>
      </c>
      <c r="VD269" s="16" t="n">
        <v>79.9</v>
      </c>
      <c r="VE269" s="16" t="n">
        <v>80.4</v>
      </c>
      <c r="VF269" s="16" t="n">
        <v>17.8</v>
      </c>
      <c r="VG269" s="0" t="n">
        <v>71.45</v>
      </c>
      <c r="VH269" s="0" t="n">
        <v>9.43</v>
      </c>
      <c r="VI269" s="0" t="n">
        <v>1.12</v>
      </c>
      <c r="VJ269" s="0" t="n">
        <v>0</v>
      </c>
      <c r="VK269" s="0" t="n">
        <v>18.01</v>
      </c>
      <c r="VL269" s="0" t="n">
        <v>0</v>
      </c>
      <c r="VM269" s="0" t="n">
        <v>0</v>
      </c>
      <c r="VN269" s="0" t="n">
        <v>0</v>
      </c>
      <c r="VO269" s="0" t="n">
        <v>0</v>
      </c>
      <c r="VP269" s="0" t="n">
        <v>0</v>
      </c>
      <c r="VQ269" s="0" t="n">
        <v>0</v>
      </c>
      <c r="VR269" s="0" t="n">
        <v>0</v>
      </c>
      <c r="VS269" s="0" t="n">
        <v>8.44</v>
      </c>
      <c r="VT269" s="0" t="n">
        <v>63.45</v>
      </c>
      <c r="VU269" s="0" t="n">
        <v>0</v>
      </c>
      <c r="VV269" s="0" t="n">
        <v>0</v>
      </c>
      <c r="VW269" s="0" t="n">
        <v>0</v>
      </c>
      <c r="VX269" s="0" t="n">
        <v>0</v>
      </c>
      <c r="WK269" s="0" t="n">
        <v>2</v>
      </c>
      <c r="WL269" s="0" t="n">
        <v>1</v>
      </c>
      <c r="WM269" s="0" t="n">
        <v>52</v>
      </c>
      <c r="WN269" s="0" t="n">
        <v>2</v>
      </c>
      <c r="WO269" s="0" t="n">
        <f aca="false">0.9+0.02</f>
        <v>0.92</v>
      </c>
      <c r="WP269" s="0" t="n">
        <v>2</v>
      </c>
      <c r="WW269" s="18"/>
      <c r="XO269" s="0" t="n">
        <v>1</v>
      </c>
      <c r="XP269" s="0" t="n">
        <v>50</v>
      </c>
      <c r="XQ269" s="0" t="n">
        <v>9</v>
      </c>
      <c r="XR269" s="0" t="n">
        <f aca="false">19.9+3.13</f>
        <v>23.03</v>
      </c>
      <c r="XS269" s="0" t="n">
        <v>3</v>
      </c>
      <c r="YZ269" s="16" t="n">
        <v>1.47</v>
      </c>
      <c r="ZA269" s="16" t="n">
        <v>1</v>
      </c>
      <c r="ZB269" s="16" t="n">
        <v>1</v>
      </c>
      <c r="ZC269" s="16"/>
      <c r="ZD269" s="16" t="n">
        <v>2.13</v>
      </c>
      <c r="ZE269" s="16" t="n">
        <v>2</v>
      </c>
      <c r="ZF269" s="16"/>
      <c r="ZG269" s="16" t="n">
        <v>3.37</v>
      </c>
      <c r="ZH269" s="16"/>
      <c r="ZI269" s="16"/>
      <c r="ZJ269" s="16"/>
      <c r="ZK269" s="16" t="n">
        <v>5.55</v>
      </c>
      <c r="ZL269" s="16" t="n">
        <v>6.42</v>
      </c>
      <c r="ZM269" s="16"/>
      <c r="ZN269" s="16"/>
      <c r="ZO269" s="16" t="n">
        <v>0</v>
      </c>
      <c r="ZP269" s="16" t="n">
        <v>0</v>
      </c>
      <c r="ZQ269" s="16" t="n">
        <v>4.48</v>
      </c>
      <c r="ZR269" s="0" t="n">
        <v>0</v>
      </c>
      <c r="ZS269" s="0" t="s">
        <v>550</v>
      </c>
      <c r="ZT269" s="0" t="n">
        <v>17</v>
      </c>
      <c r="ZU269" s="16" t="n">
        <v>87.8</v>
      </c>
      <c r="ZV269" s="16" t="n">
        <v>80.4</v>
      </c>
      <c r="ZW269" s="16" t="n">
        <v>11.6</v>
      </c>
      <c r="ZX269" s="0" t="n">
        <v>86.21</v>
      </c>
      <c r="ZY269" s="0" t="n">
        <v>1.64</v>
      </c>
      <c r="ZZ269" s="0" t="n">
        <v>0.45</v>
      </c>
      <c r="AAA269" s="0" t="n">
        <v>0</v>
      </c>
      <c r="AAB269" s="0" t="n">
        <v>11.7</v>
      </c>
      <c r="AAC269" s="0" t="n">
        <v>0</v>
      </c>
      <c r="AAD269" s="0" t="n">
        <v>0</v>
      </c>
      <c r="AAE269" s="0" t="n">
        <v>0</v>
      </c>
      <c r="AAF269" s="0" t="n">
        <v>0</v>
      </c>
      <c r="AAG269" s="0" t="n">
        <v>0</v>
      </c>
      <c r="AAH269" s="0" t="n">
        <v>0</v>
      </c>
      <c r="AAI269" s="0" t="n">
        <v>0</v>
      </c>
      <c r="AAJ269" s="0" t="n">
        <v>14.73</v>
      </c>
      <c r="AAK269" s="0" t="n">
        <v>7.98</v>
      </c>
      <c r="AAL269" s="0" t="n">
        <v>0</v>
      </c>
      <c r="AAM269" s="0" t="n">
        <v>0</v>
      </c>
      <c r="AAN269" s="0" t="n">
        <v>0</v>
      </c>
      <c r="AAO269" s="0" t="n">
        <v>0</v>
      </c>
      <c r="ABB269" s="0" t="n">
        <v>0</v>
      </c>
      <c r="ABC269" s="0" t="n">
        <v>0</v>
      </c>
      <c r="ABN269" s="18"/>
      <c r="ACF269" s="0" t="n">
        <v>0</v>
      </c>
      <c r="ADQ269" s="16" t="n">
        <v>0</v>
      </c>
      <c r="ADR269" s="16" t="n">
        <v>0</v>
      </c>
      <c r="ADS269" s="16"/>
      <c r="ADT269" s="16"/>
      <c r="ADU269" s="16"/>
      <c r="ADV269" s="16"/>
      <c r="ADW269" s="16"/>
      <c r="ADX269" s="16"/>
      <c r="ADY269" s="16"/>
      <c r="ADZ269" s="16"/>
      <c r="AEA269" s="16"/>
      <c r="AEB269" s="16" t="n">
        <v>5.22</v>
      </c>
      <c r="AEC269" s="16" t="n">
        <v>5.37</v>
      </c>
      <c r="AED269" s="16"/>
      <c r="AEE269" s="16"/>
      <c r="AEF269" s="16" t="n">
        <v>0</v>
      </c>
      <c r="AEG269" s="16" t="n">
        <v>0</v>
      </c>
      <c r="AEH269" s="16" t="n">
        <v>0.19</v>
      </c>
      <c r="AEI269" s="0" t="n">
        <v>0</v>
      </c>
      <c r="AEJ269" s="0" t="s">
        <v>551</v>
      </c>
      <c r="AEK269" s="0" t="n">
        <v>17.5</v>
      </c>
      <c r="AEL269" s="16" t="n">
        <v>87.6</v>
      </c>
      <c r="AEM269" s="16" t="n">
        <v>80.4</v>
      </c>
      <c r="AEN269" s="16" t="n">
        <v>12</v>
      </c>
      <c r="AEO269" s="0" t="n">
        <v>84.96</v>
      </c>
      <c r="AEP269" s="0" t="n">
        <v>1.61</v>
      </c>
      <c r="AEQ269" s="0" t="n">
        <v>0.45</v>
      </c>
      <c r="AER269" s="0" t="n">
        <v>0</v>
      </c>
      <c r="AES269" s="0" t="n">
        <v>12.98</v>
      </c>
      <c r="AET269" s="0" t="n">
        <v>0</v>
      </c>
      <c r="AEU269" s="0" t="n">
        <v>0</v>
      </c>
      <c r="AEV269" s="0" t="n">
        <v>0</v>
      </c>
      <c r="AEW269" s="0" t="n">
        <v>0</v>
      </c>
      <c r="AEX269" s="0" t="n">
        <v>0</v>
      </c>
      <c r="AEY269" s="0" t="n">
        <v>0</v>
      </c>
      <c r="AEZ269" s="0" t="n">
        <v>0</v>
      </c>
      <c r="AFA269" s="0" t="n">
        <v>15.99</v>
      </c>
      <c r="AFB269" s="0" t="n">
        <v>7.84</v>
      </c>
      <c r="AFC269" s="0" t="n">
        <v>0</v>
      </c>
      <c r="AFD269" s="0" t="n">
        <v>0</v>
      </c>
      <c r="AFE269" s="0" t="n">
        <v>0</v>
      </c>
      <c r="AFF269" s="0" t="n">
        <v>0</v>
      </c>
      <c r="AFS269" s="0" t="n">
        <v>0</v>
      </c>
      <c r="AFT269" s="0" t="n">
        <v>0</v>
      </c>
      <c r="AGE269" s="18"/>
      <c r="AGW269" s="0" t="n">
        <v>0</v>
      </c>
      <c r="AIH269" s="16" t="n">
        <v>0</v>
      </c>
      <c r="AII269" s="16" t="n">
        <v>0</v>
      </c>
      <c r="AIJ269" s="16"/>
      <c r="AIK269" s="16"/>
      <c r="AIL269" s="16"/>
      <c r="AIM269" s="16"/>
      <c r="AIN269" s="16"/>
      <c r="AIO269" s="16"/>
      <c r="AIP269" s="16"/>
      <c r="AIQ269" s="16"/>
      <c r="AIR269" s="16"/>
      <c r="AIS269" s="16" t="n">
        <v>5.22</v>
      </c>
      <c r="AIT269" s="16" t="n">
        <v>5.37</v>
      </c>
      <c r="AIU269" s="16"/>
      <c r="AIV269" s="16"/>
      <c r="AIW269" s="16" t="n">
        <v>0</v>
      </c>
      <c r="AIX269" s="16" t="n">
        <v>0</v>
      </c>
      <c r="AIY269" s="16" t="n">
        <v>0.19</v>
      </c>
      <c r="AIZ269" s="0" t="n">
        <v>0</v>
      </c>
      <c r="AJA269" s="0" t="s">
        <v>552</v>
      </c>
      <c r="AJB269" s="0" t="n">
        <v>16.5</v>
      </c>
      <c r="AJC269" s="16" t="n">
        <v>73.2</v>
      </c>
      <c r="AJD269" s="16" t="n">
        <v>80.4</v>
      </c>
      <c r="AJE269" s="16" t="n">
        <v>10.2</v>
      </c>
      <c r="AJF269" s="0" t="n">
        <v>69.43</v>
      </c>
      <c r="AJG269" s="0" t="n">
        <v>29.45</v>
      </c>
      <c r="AJH269" s="0" t="n">
        <v>1.12</v>
      </c>
      <c r="AJI269" s="0" t="n">
        <v>0</v>
      </c>
      <c r="AJJ269" s="0" t="n">
        <v>0</v>
      </c>
      <c r="AJK269" s="0" t="n">
        <v>0</v>
      </c>
      <c r="AJL269" s="0" t="n">
        <v>0</v>
      </c>
      <c r="AJM269" s="0" t="n">
        <v>0</v>
      </c>
      <c r="AJN269" s="0" t="n">
        <v>0</v>
      </c>
      <c r="AJO269" s="0" t="n">
        <v>0</v>
      </c>
      <c r="AJP269" s="0" t="n">
        <v>0</v>
      </c>
      <c r="AJQ269" s="0" t="n">
        <v>0</v>
      </c>
      <c r="AJR269" s="0" t="n">
        <v>29.3</v>
      </c>
      <c r="AJS269" s="0" t="n">
        <v>10.81</v>
      </c>
      <c r="AJT269" s="0" t="n">
        <v>0</v>
      </c>
      <c r="AJU269" s="0" t="n">
        <v>0</v>
      </c>
      <c r="AJV269" s="0" t="n">
        <v>5.9</v>
      </c>
      <c r="AJW269" s="0" t="n">
        <v>2</v>
      </c>
      <c r="AJX269" s="0" t="n">
        <v>3</v>
      </c>
      <c r="AJY269" s="0" t="n">
        <v>2.01</v>
      </c>
      <c r="AKD269" s="0" t="n">
        <v>3</v>
      </c>
      <c r="AKE269" s="0" t="n">
        <v>2.01</v>
      </c>
      <c r="AKJ269" s="0" t="n">
        <v>0</v>
      </c>
      <c r="AKK269" s="0" t="n">
        <v>0</v>
      </c>
      <c r="AKV269" s="18"/>
      <c r="ALN269" s="0" t="n">
        <v>0</v>
      </c>
    </row>
    <row r="270" customFormat="false" ht="13.8" hidden="false" customHeight="false" outlineLevel="0" collapsed="false">
      <c r="A270" s="1" t="s">
        <v>812</v>
      </c>
      <c r="B270" s="12" t="n">
        <v>42902</v>
      </c>
      <c r="C270" s="0" t="n">
        <v>2</v>
      </c>
      <c r="D270" s="13" t="n">
        <v>35744</v>
      </c>
      <c r="E270" s="12" t="n">
        <v>28214</v>
      </c>
      <c r="F270" s="14" t="n">
        <f aca="false">(B270-E270)/365.25</f>
        <v>40.2135523613963</v>
      </c>
      <c r="G270" s="14" t="n">
        <f aca="false">(B270-D270)/365.25</f>
        <v>19.5975359342916</v>
      </c>
      <c r="H270" s="19" t="s">
        <v>217</v>
      </c>
      <c r="I270" s="15" t="s">
        <v>545</v>
      </c>
      <c r="J270" s="15" t="s">
        <v>181</v>
      </c>
      <c r="K270" s="15" t="n">
        <v>8</v>
      </c>
      <c r="L270" s="19" t="n">
        <v>82</v>
      </c>
      <c r="M270" s="0" t="n">
        <v>1.77</v>
      </c>
      <c r="N270" s="16" t="n">
        <f aca="false">L270/(M270*M270)</f>
        <v>26.1738325513103</v>
      </c>
      <c r="O270" s="19" t="n">
        <v>0</v>
      </c>
      <c r="P270" s="19" t="n">
        <v>0</v>
      </c>
      <c r="Q270" s="19" t="n">
        <v>0</v>
      </c>
      <c r="R270" s="26" t="n">
        <v>0</v>
      </c>
      <c r="S270" s="26" t="n">
        <v>0</v>
      </c>
      <c r="T270" s="26" t="n">
        <v>0</v>
      </c>
      <c r="U270" s="19" t="n">
        <v>0</v>
      </c>
      <c r="V270" s="19" t="n">
        <v>0</v>
      </c>
      <c r="W270" s="19" t="n">
        <v>0</v>
      </c>
      <c r="X270" s="19" t="n">
        <v>0</v>
      </c>
      <c r="Y270" s="19" t="n">
        <v>0</v>
      </c>
      <c r="Z270" s="19" t="n">
        <v>0</v>
      </c>
      <c r="AA270" s="19" t="n">
        <v>0</v>
      </c>
      <c r="AB270" s="19" t="n">
        <v>0</v>
      </c>
      <c r="AC270" s="19" t="n">
        <v>0</v>
      </c>
      <c r="AD270" s="19" t="n">
        <v>0</v>
      </c>
      <c r="AE270" s="19" t="n">
        <v>0</v>
      </c>
      <c r="AF270" s="19" t="n">
        <v>0</v>
      </c>
      <c r="AG270" s="19" t="n">
        <v>0</v>
      </c>
      <c r="AH270" s="19" t="n">
        <v>0</v>
      </c>
      <c r="AI270" s="19" t="n">
        <v>0</v>
      </c>
      <c r="AJ270" s="19" t="n">
        <v>0</v>
      </c>
      <c r="AK270" s="19" t="n">
        <v>0</v>
      </c>
      <c r="AL270" s="19" t="n">
        <v>0</v>
      </c>
      <c r="AM270" s="19" t="n">
        <v>0</v>
      </c>
      <c r="AN270" s="19" t="n">
        <v>0</v>
      </c>
      <c r="AO270" s="19" t="n">
        <v>0</v>
      </c>
      <c r="AP270" s="19" t="n">
        <v>0</v>
      </c>
      <c r="AQ270" s="19" t="n">
        <v>0</v>
      </c>
      <c r="AR270" s="19" t="n">
        <v>0</v>
      </c>
      <c r="AS270" s="19" t="n">
        <v>1</v>
      </c>
      <c r="AT270" s="19" t="n">
        <v>0</v>
      </c>
      <c r="AU270" s="19" t="n">
        <v>0</v>
      </c>
      <c r="AV270" s="19" t="n">
        <v>0</v>
      </c>
      <c r="AW270" s="19" t="n">
        <v>0</v>
      </c>
      <c r="AX270" s="19" t="n">
        <v>1</v>
      </c>
      <c r="AY270" s="19" t="n">
        <v>0</v>
      </c>
      <c r="AZ270" s="19" t="n">
        <v>0</v>
      </c>
      <c r="BA270" s="19" t="n">
        <v>0</v>
      </c>
      <c r="BB270" s="19" t="n">
        <v>0</v>
      </c>
      <c r="BC270" s="19" t="n">
        <v>0</v>
      </c>
      <c r="BD270" s="19" t="n">
        <v>0</v>
      </c>
      <c r="BE270" s="19" t="n">
        <v>0</v>
      </c>
      <c r="BF270" s="19" t="n">
        <v>0</v>
      </c>
      <c r="BG270" s="19" t="n">
        <v>0</v>
      </c>
      <c r="BH270" s="19" t="n">
        <v>0</v>
      </c>
      <c r="BI270" s="19" t="n">
        <v>0</v>
      </c>
      <c r="BJ270" s="19" t="n">
        <v>0</v>
      </c>
      <c r="BK270" s="19" t="n">
        <v>0</v>
      </c>
      <c r="BL270" s="19" t="n">
        <v>0</v>
      </c>
      <c r="BM270" s="19" t="n">
        <v>0</v>
      </c>
      <c r="BN270" s="19" t="n">
        <v>0</v>
      </c>
      <c r="BO270" s="19" t="n">
        <v>0</v>
      </c>
      <c r="BP270" s="19" t="n">
        <v>0</v>
      </c>
      <c r="BQ270" s="19" t="n">
        <v>0</v>
      </c>
      <c r="BR270" s="19" t="n">
        <v>5</v>
      </c>
      <c r="BS270" s="19" t="n">
        <v>2</v>
      </c>
      <c r="BT270" s="19" t="n">
        <v>4</v>
      </c>
      <c r="BU270" s="19" t="n">
        <v>5</v>
      </c>
      <c r="BV270" s="19" t="n">
        <v>2</v>
      </c>
      <c r="BW270" s="19" t="n">
        <v>1</v>
      </c>
      <c r="BX270" s="19" t="n">
        <v>2</v>
      </c>
      <c r="BY270" s="19" t="n">
        <v>3</v>
      </c>
      <c r="BZ270" s="19" t="n">
        <v>4</v>
      </c>
      <c r="CA270" s="19" t="n">
        <v>2</v>
      </c>
      <c r="CB270" s="19" t="n">
        <v>2</v>
      </c>
      <c r="CC270" s="19" t="n">
        <v>5</v>
      </c>
      <c r="CD270" s="19" t="n">
        <v>1</v>
      </c>
      <c r="CE270" s="19" t="n">
        <v>4</v>
      </c>
      <c r="CF270" s="19" t="n">
        <v>4</v>
      </c>
      <c r="CG270" s="19" t="n">
        <v>4</v>
      </c>
      <c r="CH270" s="19" t="n">
        <v>3</v>
      </c>
      <c r="CI270" s="19" t="n">
        <v>4</v>
      </c>
      <c r="CJ270" s="19" t="n">
        <v>2</v>
      </c>
      <c r="CK270" s="19" t="n">
        <v>9</v>
      </c>
      <c r="CL270" s="0" t="s">
        <v>555</v>
      </c>
      <c r="CM270" s="0" t="n">
        <v>35</v>
      </c>
      <c r="CN270" s="16" t="n">
        <v>78.8</v>
      </c>
      <c r="CO270" s="16" t="n">
        <v>80.4</v>
      </c>
      <c r="CP270" s="16" t="n">
        <v>17.2</v>
      </c>
      <c r="CQ270" s="0" t="n">
        <v>72.07</v>
      </c>
      <c r="CR270" s="0" t="n">
        <v>11.09</v>
      </c>
      <c r="CS270" s="0" t="n">
        <v>1.12</v>
      </c>
      <c r="CT270" s="0" t="n">
        <v>0</v>
      </c>
      <c r="CU270" s="0" t="n">
        <v>15.71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1.66</v>
      </c>
      <c r="DD270" s="0" t="n">
        <v>34.99</v>
      </c>
      <c r="DE270" s="0" t="n">
        <v>0</v>
      </c>
      <c r="DF270" s="0" t="n">
        <v>0</v>
      </c>
      <c r="DG270" s="0" t="n">
        <v>0</v>
      </c>
      <c r="DH270" s="0" t="n">
        <v>0</v>
      </c>
      <c r="DU270" s="0" t="n">
        <v>11.2</v>
      </c>
      <c r="DV270" s="0" t="n">
        <v>1</v>
      </c>
      <c r="DW270" s="0" t="n">
        <v>52</v>
      </c>
      <c r="DX270" s="0" t="n">
        <f aca="false">18+1+15</f>
        <v>34</v>
      </c>
      <c r="DY270" s="0" t="n">
        <f aca="false">3.2+2.05+0.07</f>
        <v>5.32</v>
      </c>
      <c r="DZ270" s="0" t="n">
        <v>2</v>
      </c>
      <c r="EG270" s="18"/>
      <c r="EY270" s="0" t="n">
        <v>0</v>
      </c>
      <c r="GJ270" s="16" t="n">
        <v>0</v>
      </c>
      <c r="GK270" s="16" t="n">
        <v>0</v>
      </c>
      <c r="GL270" s="16"/>
      <c r="GM270" s="16"/>
      <c r="GN270" s="16"/>
      <c r="GO270" s="16"/>
      <c r="GP270" s="16"/>
      <c r="GQ270" s="16"/>
      <c r="GR270" s="16"/>
      <c r="GS270" s="16"/>
      <c r="GT270" s="16"/>
      <c r="GU270" s="16" t="n">
        <v>6.16</v>
      </c>
      <c r="GV270" s="16" t="n">
        <v>7.21</v>
      </c>
      <c r="GW270" s="16"/>
      <c r="GX270" s="16"/>
      <c r="GY270" s="16" t="n">
        <v>0</v>
      </c>
      <c r="GZ270" s="16" t="n">
        <v>0</v>
      </c>
      <c r="HA270" s="16" t="n">
        <v>0</v>
      </c>
      <c r="HB270" s="0" t="n">
        <v>0</v>
      </c>
      <c r="HC270" s="0" t="s">
        <v>546</v>
      </c>
      <c r="HD270" s="0" t="n">
        <v>16.5</v>
      </c>
      <c r="HE270" s="16" t="n">
        <v>35.3</v>
      </c>
      <c r="HF270" s="16" t="n">
        <v>80.4</v>
      </c>
      <c r="HG270" s="16" t="n">
        <v>9.7</v>
      </c>
      <c r="HH270" s="0" t="n">
        <v>86.56</v>
      </c>
      <c r="HI270" s="0" t="n">
        <v>12.61</v>
      </c>
      <c r="HJ270" s="0" t="n">
        <v>0</v>
      </c>
      <c r="HK270" s="0" t="n">
        <v>0</v>
      </c>
      <c r="HL270" s="0" t="n">
        <v>0.83</v>
      </c>
      <c r="HM270" s="0" t="n">
        <v>0</v>
      </c>
      <c r="HN270" s="0" t="n">
        <v>0</v>
      </c>
      <c r="HO270" s="0" t="n">
        <v>0</v>
      </c>
      <c r="HP270" s="0" t="n">
        <v>0</v>
      </c>
      <c r="HQ270" s="0" t="n">
        <v>0</v>
      </c>
      <c r="HR270" s="0" t="n">
        <v>0</v>
      </c>
      <c r="HS270" s="0" t="n">
        <v>0</v>
      </c>
      <c r="HT270" s="0" t="n">
        <v>2.22</v>
      </c>
      <c r="HU270" s="0" t="n">
        <v>20.83</v>
      </c>
      <c r="HV270" s="0" t="n">
        <v>0</v>
      </c>
      <c r="HW270" s="0" t="n">
        <v>0</v>
      </c>
      <c r="HX270" s="0" t="n">
        <v>0</v>
      </c>
      <c r="HY270" s="0" t="n">
        <v>0</v>
      </c>
      <c r="IL270" s="0" t="n">
        <v>0.3</v>
      </c>
      <c r="IM270" s="0" t="n">
        <v>1</v>
      </c>
      <c r="IN270" s="0" t="n">
        <v>34</v>
      </c>
      <c r="IO270" s="0" t="n">
        <v>4</v>
      </c>
      <c r="IP270" s="0" t="n">
        <f aca="false">1.35+0.45+1.35+0.45</f>
        <v>3.6</v>
      </c>
      <c r="IQ270" s="0" t="n">
        <v>1</v>
      </c>
      <c r="IR270" s="0" t="n">
        <v>52</v>
      </c>
      <c r="IS270" s="0" t="n">
        <v>1</v>
      </c>
      <c r="IT270" s="0" t="n">
        <f aca="false">0.18</f>
        <v>0.18</v>
      </c>
      <c r="IU270" s="0" t="n">
        <v>2</v>
      </c>
      <c r="IX270" s="18"/>
      <c r="JP270" s="0" t="n">
        <v>0</v>
      </c>
      <c r="LA270" s="16" t="n">
        <v>0.28</v>
      </c>
      <c r="LB270" s="16" t="n">
        <v>1</v>
      </c>
      <c r="LC270" s="16" t="n">
        <v>2</v>
      </c>
      <c r="LD270" s="16"/>
      <c r="LE270" s="16" t="n">
        <f aca="false">0.37+0.26</f>
        <v>0.63</v>
      </c>
      <c r="LF270" s="16"/>
      <c r="LG270" s="16"/>
      <c r="LH270" s="16"/>
      <c r="LI270" s="16"/>
      <c r="LJ270" s="16"/>
      <c r="LK270" s="16"/>
      <c r="LL270" s="16" t="n">
        <v>5.99</v>
      </c>
      <c r="LM270" s="16" t="n">
        <v>5.34</v>
      </c>
      <c r="LN270" s="16"/>
      <c r="LO270" s="16"/>
      <c r="LP270" s="16" t="n">
        <v>0</v>
      </c>
      <c r="LQ270" s="16" t="n">
        <v>0</v>
      </c>
      <c r="LR270" s="16" t="n">
        <v>0</v>
      </c>
      <c r="LS270" s="0" t="n">
        <v>0</v>
      </c>
      <c r="LT270" s="0" t="s">
        <v>547</v>
      </c>
      <c r="LU270" s="0" t="n">
        <v>29.5</v>
      </c>
      <c r="LV270" s="16" t="n">
        <v>87.5</v>
      </c>
      <c r="LW270" s="16" t="n">
        <v>80.4</v>
      </c>
      <c r="LX270" s="16" t="n">
        <v>14.3</v>
      </c>
      <c r="LY270" s="0" t="n">
        <v>68.7</v>
      </c>
      <c r="LZ270" s="0" t="n">
        <v>23.24</v>
      </c>
      <c r="MA270" s="0" t="n">
        <v>1.79</v>
      </c>
      <c r="MB270" s="0" t="n">
        <v>0</v>
      </c>
      <c r="MC270" s="0" t="n">
        <v>6.27</v>
      </c>
      <c r="MD270" s="0" t="n">
        <v>0</v>
      </c>
      <c r="ME270" s="0" t="n">
        <v>0</v>
      </c>
      <c r="MF270" s="0" t="n">
        <v>0</v>
      </c>
      <c r="MG270" s="0" t="n">
        <v>0</v>
      </c>
      <c r="MH270" s="0" t="n">
        <v>0</v>
      </c>
      <c r="MI270" s="0" t="n">
        <v>0</v>
      </c>
      <c r="MJ270" s="0" t="n">
        <v>0</v>
      </c>
      <c r="MK270" s="0" t="n">
        <v>7.01</v>
      </c>
      <c r="ML270" s="0" t="n">
        <v>58.72</v>
      </c>
      <c r="MM270" s="0" t="n">
        <v>0.23</v>
      </c>
      <c r="MN270" s="0" t="n">
        <v>0</v>
      </c>
      <c r="MO270" s="0" t="n">
        <v>0.5</v>
      </c>
      <c r="MP270" s="0" t="n">
        <v>2</v>
      </c>
      <c r="MQ270" s="0" t="n">
        <v>7</v>
      </c>
      <c r="MR270" s="0" t="n">
        <v>0.08</v>
      </c>
      <c r="MW270" s="0" t="n">
        <v>7</v>
      </c>
      <c r="MX270" s="0" t="n">
        <v>0.08</v>
      </c>
      <c r="NC270" s="0" t="n">
        <v>0</v>
      </c>
      <c r="ND270" s="0" t="n">
        <v>1</v>
      </c>
      <c r="NE270" s="0" t="n">
        <v>23</v>
      </c>
      <c r="NF270" s="0" t="n">
        <v>2</v>
      </c>
      <c r="NG270" s="0" t="n">
        <v>0.9</v>
      </c>
      <c r="NH270" s="0" t="n">
        <v>3</v>
      </c>
      <c r="NO270" s="18"/>
      <c r="OG270" s="0" t="n">
        <v>1</v>
      </c>
      <c r="OH270" s="0" t="n">
        <v>50</v>
      </c>
      <c r="OI270" s="0" t="n">
        <v>2</v>
      </c>
      <c r="OJ270" s="0" t="n">
        <f aca="false">3.13+23.63</f>
        <v>26.76</v>
      </c>
      <c r="OK270" s="0" t="n">
        <v>3</v>
      </c>
      <c r="PR270" s="16" t="n">
        <v>1.49</v>
      </c>
      <c r="PS270" s="16" t="n">
        <v>1</v>
      </c>
      <c r="PT270" s="16" t="n">
        <v>1</v>
      </c>
      <c r="PU270" s="16"/>
      <c r="PV270" s="16" t="n">
        <f aca="false">1.91+2.02+2.02+1.35</f>
        <v>7.3</v>
      </c>
      <c r="PW270" s="16" t="n">
        <v>2</v>
      </c>
      <c r="PX270" s="16"/>
      <c r="PY270" s="16" t="n">
        <v>0.21</v>
      </c>
      <c r="PZ270" s="16"/>
      <c r="QA270" s="16"/>
      <c r="QB270" s="16"/>
      <c r="QC270" s="16" t="n">
        <v>10.82</v>
      </c>
      <c r="QD270" s="16" t="n">
        <v>14.57</v>
      </c>
      <c r="QE270" s="16"/>
      <c r="QF270" s="16"/>
      <c r="QG270" s="16" t="n">
        <v>2.24</v>
      </c>
      <c r="QH270" s="16" t="n">
        <v>0.9</v>
      </c>
      <c r="QI270" s="16" t="n">
        <v>0</v>
      </c>
      <c r="QJ270" s="0" t="n">
        <v>0</v>
      </c>
      <c r="QK270" s="0" t="s">
        <v>548</v>
      </c>
      <c r="QL270" s="0" t="n">
        <v>50</v>
      </c>
      <c r="QM270" s="16" t="n">
        <v>80</v>
      </c>
      <c r="QN270" s="16" t="n">
        <v>80.4</v>
      </c>
      <c r="QO270" s="16" t="n">
        <v>16.9</v>
      </c>
      <c r="QP270" s="0" t="n">
        <v>58.18</v>
      </c>
      <c r="QQ270" s="0" t="n">
        <v>32.94</v>
      </c>
      <c r="QR270" s="0" t="n">
        <v>1.79</v>
      </c>
      <c r="QS270" s="0" t="n">
        <v>0</v>
      </c>
      <c r="QT270" s="0" t="n">
        <v>7.09</v>
      </c>
      <c r="QU270" s="0" t="n">
        <v>0</v>
      </c>
      <c r="QV270" s="0" t="n">
        <v>0</v>
      </c>
      <c r="QW270" s="0" t="n">
        <v>0</v>
      </c>
      <c r="QX270" s="0" t="n">
        <v>0</v>
      </c>
      <c r="QY270" s="0" t="n">
        <v>0</v>
      </c>
      <c r="QZ270" s="0" t="n">
        <v>0</v>
      </c>
      <c r="RA270" s="0" t="n">
        <v>0</v>
      </c>
      <c r="RB270" s="0" t="n">
        <v>3.53</v>
      </c>
      <c r="RC270" s="0" t="n">
        <v>45.12</v>
      </c>
      <c r="RD270" s="0" t="n">
        <v>0</v>
      </c>
      <c r="RE270" s="0" t="n">
        <v>0</v>
      </c>
      <c r="RF270" s="0" t="n">
        <v>0</v>
      </c>
      <c r="RG270" s="0" t="n">
        <v>0</v>
      </c>
      <c r="RT270" s="0" t="n">
        <v>8.2</v>
      </c>
      <c r="RU270" s="0" t="n">
        <v>1</v>
      </c>
      <c r="RV270" s="0" t="n">
        <v>23</v>
      </c>
      <c r="RW270" s="0" t="n">
        <v>1</v>
      </c>
      <c r="RX270" s="0" t="n">
        <v>0.45</v>
      </c>
      <c r="RY270" s="0" t="n">
        <v>3</v>
      </c>
      <c r="RZ270" s="0" t="n">
        <v>34</v>
      </c>
      <c r="SA270" s="0" t="n">
        <v>28</v>
      </c>
      <c r="SB270" s="0" t="n">
        <f aca="false">0.45+0.18+1.6+0.24+0.37+4.39+0.49+0.04+0.32+0.05+1.38</f>
        <v>9.51</v>
      </c>
      <c r="SC270" s="0" t="n">
        <v>1</v>
      </c>
      <c r="SF270" s="18"/>
      <c r="SX270" s="0" t="n">
        <v>0</v>
      </c>
      <c r="UI270" s="16" t="n">
        <v>1.65</v>
      </c>
      <c r="UJ270" s="16" t="n">
        <v>1</v>
      </c>
      <c r="UK270" s="16" t="n">
        <v>1</v>
      </c>
      <c r="UL270" s="16"/>
      <c r="UM270" s="16" t="n">
        <f aca="false">0.18</f>
        <v>0.18</v>
      </c>
      <c r="UN270" s="16" t="n">
        <v>2</v>
      </c>
      <c r="UO270" s="16"/>
      <c r="UP270" s="16" t="n">
        <f aca="false">1.65+0.91+6.23+0.66</f>
        <v>9.45</v>
      </c>
      <c r="UQ270" s="16"/>
      <c r="UR270" s="16"/>
      <c r="US270" s="16"/>
      <c r="UT270" s="16" t="n">
        <v>20.65</v>
      </c>
      <c r="UU270" s="16" t="n">
        <v>33.56</v>
      </c>
      <c r="UV270" s="16"/>
      <c r="UW270" s="16"/>
      <c r="UX270" s="16" t="n">
        <v>2.24</v>
      </c>
      <c r="UY270" s="16" t="n">
        <v>0.45</v>
      </c>
      <c r="UZ270" s="16" t="n">
        <v>0</v>
      </c>
      <c r="VA270" s="0" t="n">
        <v>0.45</v>
      </c>
      <c r="VB270" s="0" t="s">
        <v>549</v>
      </c>
      <c r="VC270" s="0" t="n">
        <v>31.5</v>
      </c>
      <c r="VD270" s="16" t="n">
        <v>79.9</v>
      </c>
      <c r="VE270" s="16" t="n">
        <v>80.4</v>
      </c>
      <c r="VF270" s="16" t="n">
        <v>17.8</v>
      </c>
      <c r="VG270" s="0" t="n">
        <v>71.45</v>
      </c>
      <c r="VH270" s="0" t="n">
        <v>9.43</v>
      </c>
      <c r="VI270" s="0" t="n">
        <v>1.12</v>
      </c>
      <c r="VJ270" s="0" t="n">
        <v>0</v>
      </c>
      <c r="VK270" s="0" t="n">
        <v>18.01</v>
      </c>
      <c r="VL270" s="0" t="n">
        <v>0</v>
      </c>
      <c r="VM270" s="0" t="n">
        <v>0</v>
      </c>
      <c r="VN270" s="0" t="n">
        <v>0</v>
      </c>
      <c r="VO270" s="0" t="n">
        <v>0</v>
      </c>
      <c r="VP270" s="0" t="n">
        <v>0</v>
      </c>
      <c r="VQ270" s="0" t="n">
        <v>0</v>
      </c>
      <c r="VR270" s="0" t="n">
        <v>0</v>
      </c>
      <c r="VS270" s="0" t="n">
        <v>8.44</v>
      </c>
      <c r="VT270" s="0" t="n">
        <v>63.45</v>
      </c>
      <c r="VU270" s="0" t="n">
        <v>0</v>
      </c>
      <c r="VV270" s="0" t="n">
        <v>0</v>
      </c>
      <c r="VW270" s="0" t="n">
        <v>0</v>
      </c>
      <c r="VX270" s="0" t="n">
        <v>0</v>
      </c>
      <c r="WK270" s="0" t="n">
        <v>2</v>
      </c>
      <c r="WL270" s="0" t="n">
        <v>1</v>
      </c>
      <c r="WM270" s="0" t="n">
        <v>52</v>
      </c>
      <c r="WN270" s="0" t="n">
        <v>2</v>
      </c>
      <c r="WO270" s="0" t="n">
        <f aca="false">0.9+0.02</f>
        <v>0.92</v>
      </c>
      <c r="WP270" s="0" t="n">
        <v>2</v>
      </c>
      <c r="WW270" s="18"/>
      <c r="XO270" s="0" t="n">
        <v>1</v>
      </c>
      <c r="XP270" s="0" t="n">
        <v>50</v>
      </c>
      <c r="XQ270" s="0" t="n">
        <v>9</v>
      </c>
      <c r="XR270" s="0" t="n">
        <f aca="false">19.9+3.13</f>
        <v>23.03</v>
      </c>
      <c r="XS270" s="0" t="n">
        <v>3</v>
      </c>
      <c r="YZ270" s="16" t="n">
        <v>1.47</v>
      </c>
      <c r="ZA270" s="16" t="n">
        <v>1</v>
      </c>
      <c r="ZB270" s="16" t="n">
        <v>1</v>
      </c>
      <c r="ZC270" s="16"/>
      <c r="ZD270" s="16" t="n">
        <v>2.13</v>
      </c>
      <c r="ZE270" s="16" t="n">
        <v>2</v>
      </c>
      <c r="ZF270" s="16"/>
      <c r="ZG270" s="16" t="n">
        <v>3.37</v>
      </c>
      <c r="ZH270" s="16"/>
      <c r="ZI270" s="16"/>
      <c r="ZJ270" s="16"/>
      <c r="ZK270" s="16" t="n">
        <v>5.55</v>
      </c>
      <c r="ZL270" s="16" t="n">
        <v>6.42</v>
      </c>
      <c r="ZM270" s="16"/>
      <c r="ZN270" s="16"/>
      <c r="ZO270" s="16" t="n">
        <v>0</v>
      </c>
      <c r="ZP270" s="16" t="n">
        <v>0</v>
      </c>
      <c r="ZQ270" s="16" t="n">
        <v>4.48</v>
      </c>
      <c r="ZR270" s="0" t="n">
        <v>0</v>
      </c>
      <c r="ZS270" s="0" t="s">
        <v>550</v>
      </c>
      <c r="ZT270" s="0" t="n">
        <v>17</v>
      </c>
      <c r="ZU270" s="16" t="n">
        <v>87.8</v>
      </c>
      <c r="ZV270" s="16" t="n">
        <v>80.4</v>
      </c>
      <c r="ZW270" s="16" t="n">
        <v>11.6</v>
      </c>
      <c r="ZX270" s="0" t="n">
        <v>86.21</v>
      </c>
      <c r="ZY270" s="0" t="n">
        <v>1.64</v>
      </c>
      <c r="ZZ270" s="0" t="n">
        <v>0.45</v>
      </c>
      <c r="AAA270" s="0" t="n">
        <v>0</v>
      </c>
      <c r="AAB270" s="0" t="n">
        <v>11.7</v>
      </c>
      <c r="AAC270" s="0" t="n">
        <v>0</v>
      </c>
      <c r="AAD270" s="0" t="n">
        <v>0</v>
      </c>
      <c r="AAE270" s="0" t="n">
        <v>0</v>
      </c>
      <c r="AAF270" s="0" t="n">
        <v>0</v>
      </c>
      <c r="AAG270" s="0" t="n">
        <v>0</v>
      </c>
      <c r="AAH270" s="0" t="n">
        <v>0</v>
      </c>
      <c r="AAI270" s="0" t="n">
        <v>0</v>
      </c>
      <c r="AAJ270" s="0" t="n">
        <v>14.73</v>
      </c>
      <c r="AAK270" s="0" t="n">
        <v>7.98</v>
      </c>
      <c r="AAL270" s="0" t="n">
        <v>0</v>
      </c>
      <c r="AAM270" s="0" t="n">
        <v>0</v>
      </c>
      <c r="AAN270" s="0" t="n">
        <v>0</v>
      </c>
      <c r="AAO270" s="0" t="n">
        <v>0</v>
      </c>
      <c r="ABB270" s="0" t="n">
        <v>0</v>
      </c>
      <c r="ABC270" s="0" t="n">
        <v>0</v>
      </c>
      <c r="ABN270" s="18"/>
      <c r="ACF270" s="0" t="n">
        <v>0</v>
      </c>
      <c r="ADQ270" s="16" t="n">
        <v>0</v>
      </c>
      <c r="ADR270" s="16" t="n">
        <v>0</v>
      </c>
      <c r="ADS270" s="16"/>
      <c r="ADT270" s="16"/>
      <c r="ADU270" s="16"/>
      <c r="ADV270" s="16"/>
      <c r="ADW270" s="16"/>
      <c r="ADX270" s="16"/>
      <c r="ADY270" s="16"/>
      <c r="ADZ270" s="16"/>
      <c r="AEA270" s="16"/>
      <c r="AEB270" s="16" t="n">
        <v>5.22</v>
      </c>
      <c r="AEC270" s="16" t="n">
        <v>5.37</v>
      </c>
      <c r="AED270" s="16"/>
      <c r="AEE270" s="16"/>
      <c r="AEF270" s="16" t="n">
        <v>0</v>
      </c>
      <c r="AEG270" s="16" t="n">
        <v>0</v>
      </c>
      <c r="AEH270" s="16" t="n">
        <v>0.19</v>
      </c>
      <c r="AEI270" s="0" t="n">
        <v>0</v>
      </c>
      <c r="AEJ270" s="0" t="s">
        <v>551</v>
      </c>
      <c r="AEK270" s="0" t="n">
        <v>17.5</v>
      </c>
      <c r="AEL270" s="16" t="n">
        <v>87.6</v>
      </c>
      <c r="AEM270" s="16" t="n">
        <v>80.4</v>
      </c>
      <c r="AEN270" s="16" t="n">
        <v>12</v>
      </c>
      <c r="AEO270" s="0" t="n">
        <v>84.96</v>
      </c>
      <c r="AEP270" s="0" t="n">
        <v>1.61</v>
      </c>
      <c r="AEQ270" s="0" t="n">
        <v>0.45</v>
      </c>
      <c r="AER270" s="0" t="n">
        <v>0</v>
      </c>
      <c r="AES270" s="0" t="n">
        <v>12.98</v>
      </c>
      <c r="AET270" s="0" t="n">
        <v>0</v>
      </c>
      <c r="AEU270" s="0" t="n">
        <v>0</v>
      </c>
      <c r="AEV270" s="0" t="n">
        <v>0</v>
      </c>
      <c r="AEW270" s="0" t="n">
        <v>0</v>
      </c>
      <c r="AEX270" s="0" t="n">
        <v>0</v>
      </c>
      <c r="AEY270" s="0" t="n">
        <v>0</v>
      </c>
      <c r="AEZ270" s="0" t="n">
        <v>0</v>
      </c>
      <c r="AFA270" s="0" t="n">
        <v>15.99</v>
      </c>
      <c r="AFB270" s="0" t="n">
        <v>7.84</v>
      </c>
      <c r="AFC270" s="0" t="n">
        <v>0</v>
      </c>
      <c r="AFD270" s="0" t="n">
        <v>0</v>
      </c>
      <c r="AFE270" s="0" t="n">
        <v>0</v>
      </c>
      <c r="AFF270" s="0" t="n">
        <v>0</v>
      </c>
      <c r="AFS270" s="0" t="n">
        <v>0</v>
      </c>
      <c r="AFT270" s="0" t="n">
        <v>0</v>
      </c>
      <c r="AGE270" s="18"/>
      <c r="AGW270" s="0" t="n">
        <v>0</v>
      </c>
      <c r="AIH270" s="16" t="n">
        <v>0</v>
      </c>
      <c r="AII270" s="16" t="n">
        <v>0</v>
      </c>
      <c r="AIJ270" s="16"/>
      <c r="AIK270" s="16"/>
      <c r="AIL270" s="16"/>
      <c r="AIM270" s="16"/>
      <c r="AIN270" s="16"/>
      <c r="AIO270" s="16"/>
      <c r="AIP270" s="16"/>
      <c r="AIQ270" s="16"/>
      <c r="AIR270" s="16"/>
      <c r="AIS270" s="16" t="n">
        <v>5.22</v>
      </c>
      <c r="AIT270" s="16" t="n">
        <v>5.37</v>
      </c>
      <c r="AIU270" s="16"/>
      <c r="AIV270" s="16"/>
      <c r="AIW270" s="16" t="n">
        <v>0</v>
      </c>
      <c r="AIX270" s="16" t="n">
        <v>0</v>
      </c>
      <c r="AIY270" s="16" t="n">
        <v>0.19</v>
      </c>
      <c r="AIZ270" s="0" t="n">
        <v>0</v>
      </c>
      <c r="AJA270" s="0" t="s">
        <v>552</v>
      </c>
      <c r="AJB270" s="0" t="n">
        <v>16.5</v>
      </c>
      <c r="AJC270" s="16" t="n">
        <v>73.2</v>
      </c>
      <c r="AJD270" s="16" t="n">
        <v>80.4</v>
      </c>
      <c r="AJE270" s="16" t="n">
        <v>10.2</v>
      </c>
      <c r="AJF270" s="0" t="n">
        <v>69.43</v>
      </c>
      <c r="AJG270" s="0" t="n">
        <v>29.45</v>
      </c>
      <c r="AJH270" s="0" t="n">
        <v>1.12</v>
      </c>
      <c r="AJI270" s="0" t="n">
        <v>0</v>
      </c>
      <c r="AJJ270" s="0" t="n">
        <v>0</v>
      </c>
      <c r="AJK270" s="0" t="n">
        <v>0</v>
      </c>
      <c r="AJL270" s="0" t="n">
        <v>0</v>
      </c>
      <c r="AJM270" s="0" t="n">
        <v>0</v>
      </c>
      <c r="AJN270" s="0" t="n">
        <v>0</v>
      </c>
      <c r="AJO270" s="0" t="n">
        <v>0</v>
      </c>
      <c r="AJP270" s="0" t="n">
        <v>0</v>
      </c>
      <c r="AJQ270" s="0" t="n">
        <v>0</v>
      </c>
      <c r="AJR270" s="0" t="n">
        <v>29.3</v>
      </c>
      <c r="AJS270" s="0" t="n">
        <v>10.81</v>
      </c>
      <c r="AJT270" s="0" t="n">
        <v>0</v>
      </c>
      <c r="AJU270" s="0" t="n">
        <v>0</v>
      </c>
      <c r="AJV270" s="0" t="n">
        <v>5.9</v>
      </c>
      <c r="AJW270" s="0" t="n">
        <v>2</v>
      </c>
      <c r="AJX270" s="0" t="n">
        <v>3</v>
      </c>
      <c r="AJY270" s="0" t="n">
        <v>2.01</v>
      </c>
      <c r="AKD270" s="0" t="n">
        <v>3</v>
      </c>
      <c r="AKE270" s="0" t="n">
        <v>2.01</v>
      </c>
      <c r="AKJ270" s="0" t="n">
        <v>0</v>
      </c>
      <c r="AKK270" s="0" t="n">
        <v>0</v>
      </c>
      <c r="AKV270" s="18"/>
      <c r="ALN270" s="0" t="n">
        <v>0</v>
      </c>
    </row>
    <row r="271" customFormat="false" ht="13.8" hidden="false" customHeight="false" outlineLevel="0" collapsed="false">
      <c r="A271" s="1" t="s">
        <v>813</v>
      </c>
      <c r="B271" s="12" t="n">
        <v>42905</v>
      </c>
      <c r="C271" s="0" t="n">
        <v>1</v>
      </c>
      <c r="D271" s="13" t="n">
        <v>42814</v>
      </c>
      <c r="E271" s="12" t="n">
        <v>32523</v>
      </c>
      <c r="F271" s="14" t="n">
        <f aca="false">(B271-E271)/365.25</f>
        <v>28.4243668720055</v>
      </c>
      <c r="G271" s="14" t="n">
        <f aca="false">(B271-D271)/365.25</f>
        <v>0.249144421629021</v>
      </c>
      <c r="H271" s="19" t="s">
        <v>217</v>
      </c>
      <c r="I271" s="15" t="s">
        <v>545</v>
      </c>
      <c r="J271" s="15" t="s">
        <v>181</v>
      </c>
      <c r="K271" s="15" t="n">
        <v>8</v>
      </c>
      <c r="L271" s="19" t="n">
        <v>70</v>
      </c>
      <c r="M271" s="0" t="n">
        <v>1.62</v>
      </c>
      <c r="N271" s="16" t="n">
        <f aca="false">L271/(M271*M271)</f>
        <v>26.6727632982777</v>
      </c>
      <c r="O271" s="19" t="n">
        <v>0</v>
      </c>
      <c r="P271" s="19" t="n">
        <v>0</v>
      </c>
      <c r="Q271" s="19" t="n">
        <v>0</v>
      </c>
      <c r="R271" s="26" t="n">
        <v>0</v>
      </c>
      <c r="S271" s="26" t="n">
        <v>0</v>
      </c>
      <c r="T271" s="26" t="n">
        <v>0</v>
      </c>
      <c r="U271" s="19" t="n">
        <v>1</v>
      </c>
      <c r="V271" s="19" t="n">
        <v>5</v>
      </c>
      <c r="W271" s="19" t="n">
        <v>1</v>
      </c>
      <c r="X271" s="19" t="n">
        <v>0</v>
      </c>
      <c r="Y271" s="19" t="n">
        <v>1</v>
      </c>
      <c r="Z271" s="19" t="n">
        <v>1</v>
      </c>
      <c r="AA271" s="19" t="n">
        <v>30</v>
      </c>
      <c r="AB271" s="19" t="s">
        <v>814</v>
      </c>
      <c r="AC271" s="19" t="n">
        <v>1</v>
      </c>
      <c r="AD271" s="19" t="n">
        <v>8</v>
      </c>
      <c r="AE271" s="19" t="n">
        <v>1</v>
      </c>
      <c r="AF271" s="19"/>
      <c r="AG271" s="19" t="n">
        <v>1</v>
      </c>
      <c r="AH271" s="19" t="n">
        <v>2</v>
      </c>
      <c r="AI271" s="19" t="n">
        <v>0</v>
      </c>
      <c r="AJ271" s="19" t="n">
        <v>0</v>
      </c>
      <c r="AK271" s="19" t="n">
        <v>0</v>
      </c>
      <c r="AL271" s="19" t="n">
        <v>0</v>
      </c>
      <c r="AM271" s="19" t="n">
        <v>0</v>
      </c>
      <c r="AN271" s="19" t="n">
        <v>0</v>
      </c>
      <c r="AO271" s="19" t="n">
        <v>0</v>
      </c>
      <c r="AP271" s="19" t="n">
        <v>0</v>
      </c>
      <c r="AQ271" s="19" t="n">
        <v>0</v>
      </c>
      <c r="AR271" s="19" t="n">
        <v>0</v>
      </c>
      <c r="AS271" s="19" t="n">
        <v>3</v>
      </c>
      <c r="AT271" s="19" t="n">
        <v>3</v>
      </c>
      <c r="AU271" s="19" t="n">
        <v>3</v>
      </c>
      <c r="AV271" s="19" t="n">
        <v>8</v>
      </c>
      <c r="AW271" s="19" t="n">
        <v>8</v>
      </c>
      <c r="AX271" s="19" t="n">
        <v>0</v>
      </c>
      <c r="AY271" s="19" t="n">
        <v>0</v>
      </c>
      <c r="AZ271" s="19" t="n">
        <v>0</v>
      </c>
      <c r="BA271" s="19" t="n">
        <v>0</v>
      </c>
      <c r="BB271" s="19" t="n">
        <v>0</v>
      </c>
      <c r="BC271" s="19" t="n">
        <v>0</v>
      </c>
      <c r="BD271" s="19" t="n">
        <v>0</v>
      </c>
      <c r="BE271" s="19" t="n">
        <v>0</v>
      </c>
      <c r="BF271" s="19" t="n">
        <v>0</v>
      </c>
      <c r="BG271" s="19" t="n">
        <v>0</v>
      </c>
      <c r="BH271" s="19" t="n">
        <v>0</v>
      </c>
      <c r="BI271" s="19" t="n">
        <v>0</v>
      </c>
      <c r="BJ271" s="19" t="n">
        <v>0</v>
      </c>
      <c r="BK271" s="19" t="n">
        <v>0</v>
      </c>
      <c r="BL271" s="19" t="n">
        <v>0</v>
      </c>
      <c r="BM271" s="19" t="n">
        <v>0</v>
      </c>
      <c r="BN271" s="19" t="n">
        <v>0</v>
      </c>
      <c r="BO271" s="19" t="n">
        <v>0</v>
      </c>
      <c r="BP271" s="19" t="n">
        <v>0</v>
      </c>
      <c r="BQ271" s="19" t="n">
        <v>0</v>
      </c>
      <c r="BR271" s="19" t="n">
        <v>3</v>
      </c>
      <c r="BS271" s="19" t="n">
        <v>2</v>
      </c>
      <c r="BT271" s="19" t="n">
        <v>2</v>
      </c>
      <c r="BU271" s="19" t="n">
        <v>5</v>
      </c>
      <c r="BV271" s="19" t="n">
        <v>1</v>
      </c>
      <c r="BW271" s="19" t="n">
        <v>1</v>
      </c>
      <c r="BX271" s="19" t="n">
        <v>2</v>
      </c>
      <c r="BY271" s="19" t="n">
        <v>3</v>
      </c>
      <c r="BZ271" s="19" t="n">
        <v>2</v>
      </c>
      <c r="CA271" s="19" t="n">
        <v>3</v>
      </c>
      <c r="CB271" s="19" t="n">
        <v>5</v>
      </c>
      <c r="CC271" s="19" t="n">
        <v>5</v>
      </c>
      <c r="CD271" s="19" t="n">
        <v>2</v>
      </c>
      <c r="CE271" s="19"/>
      <c r="CF271" s="19" t="n">
        <v>4</v>
      </c>
      <c r="CG271" s="19" t="n">
        <v>5</v>
      </c>
      <c r="CH271" s="19" t="n">
        <v>4</v>
      </c>
      <c r="CI271" s="19" t="n">
        <v>4</v>
      </c>
      <c r="CJ271" s="19" t="n">
        <v>4</v>
      </c>
      <c r="CK271" s="19" t="n">
        <v>9</v>
      </c>
      <c r="CL271" s="0" t="s">
        <v>555</v>
      </c>
      <c r="CM271" s="0" t="n">
        <v>35</v>
      </c>
      <c r="CN271" s="16" t="n">
        <v>78.8</v>
      </c>
      <c r="CO271" s="16" t="n">
        <v>80.4</v>
      </c>
      <c r="CP271" s="16" t="n">
        <v>17.2</v>
      </c>
      <c r="CQ271" s="0" t="n">
        <v>72.07</v>
      </c>
      <c r="CR271" s="0" t="n">
        <v>11.09</v>
      </c>
      <c r="CS271" s="0" t="n">
        <v>1.12</v>
      </c>
      <c r="CT271" s="0" t="n">
        <v>0</v>
      </c>
      <c r="CU271" s="0" t="n">
        <v>15.71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1.66</v>
      </c>
      <c r="DD271" s="0" t="n">
        <v>34.99</v>
      </c>
      <c r="DE271" s="0" t="n">
        <v>0</v>
      </c>
      <c r="DF271" s="0" t="n">
        <v>0</v>
      </c>
      <c r="DG271" s="0" t="n">
        <v>0</v>
      </c>
      <c r="DH271" s="0" t="n">
        <v>0</v>
      </c>
      <c r="DU271" s="0" t="n">
        <v>11.2</v>
      </c>
      <c r="DV271" s="0" t="n">
        <v>1</v>
      </c>
      <c r="DW271" s="0" t="n">
        <v>52</v>
      </c>
      <c r="DX271" s="0" t="n">
        <f aca="false">18+1+15</f>
        <v>34</v>
      </c>
      <c r="DY271" s="0" t="n">
        <f aca="false">3.2+2.05+0.07</f>
        <v>5.32</v>
      </c>
      <c r="DZ271" s="0" t="n">
        <v>2</v>
      </c>
      <c r="EG271" s="18"/>
      <c r="EY271" s="0" t="n">
        <v>0</v>
      </c>
      <c r="GJ271" s="16" t="n">
        <v>0</v>
      </c>
      <c r="GK271" s="16" t="n">
        <v>0</v>
      </c>
      <c r="GL271" s="16"/>
      <c r="GM271" s="16"/>
      <c r="GN271" s="16"/>
      <c r="GO271" s="16"/>
      <c r="GP271" s="16"/>
      <c r="GQ271" s="16"/>
      <c r="GR271" s="16"/>
      <c r="GS271" s="16"/>
      <c r="GT271" s="16"/>
      <c r="GU271" s="16" t="n">
        <v>6.16</v>
      </c>
      <c r="GV271" s="16" t="n">
        <v>7.21</v>
      </c>
      <c r="GW271" s="16"/>
      <c r="GX271" s="16"/>
      <c r="GY271" s="16" t="n">
        <v>0</v>
      </c>
      <c r="GZ271" s="16" t="n">
        <v>0</v>
      </c>
      <c r="HA271" s="16" t="n">
        <v>0</v>
      </c>
      <c r="HB271" s="0" t="n">
        <v>0</v>
      </c>
      <c r="HC271" s="0" t="s">
        <v>546</v>
      </c>
      <c r="HD271" s="0" t="n">
        <v>16.5</v>
      </c>
      <c r="HE271" s="16" t="n">
        <v>35.3</v>
      </c>
      <c r="HF271" s="16" t="n">
        <v>80.4</v>
      </c>
      <c r="HG271" s="16" t="n">
        <v>9.7</v>
      </c>
      <c r="HH271" s="0" t="n">
        <v>86.56</v>
      </c>
      <c r="HI271" s="0" t="n">
        <v>12.61</v>
      </c>
      <c r="HJ271" s="0" t="n">
        <v>0</v>
      </c>
      <c r="HK271" s="0" t="n">
        <v>0</v>
      </c>
      <c r="HL271" s="0" t="n">
        <v>0.83</v>
      </c>
      <c r="HM271" s="0" t="n">
        <v>0</v>
      </c>
      <c r="HN271" s="0" t="n">
        <v>0</v>
      </c>
      <c r="HO271" s="0" t="n">
        <v>0</v>
      </c>
      <c r="HP271" s="0" t="n">
        <v>0</v>
      </c>
      <c r="HQ271" s="0" t="n">
        <v>0</v>
      </c>
      <c r="HR271" s="0" t="n">
        <v>0</v>
      </c>
      <c r="HS271" s="0" t="n">
        <v>0</v>
      </c>
      <c r="HT271" s="0" t="n">
        <v>2.22</v>
      </c>
      <c r="HU271" s="0" t="n">
        <v>20.83</v>
      </c>
      <c r="HV271" s="0" t="n">
        <v>0</v>
      </c>
      <c r="HW271" s="0" t="n">
        <v>0</v>
      </c>
      <c r="HX271" s="0" t="n">
        <v>0</v>
      </c>
      <c r="HY271" s="0" t="n">
        <v>0</v>
      </c>
      <c r="IL271" s="0" t="n">
        <v>0.3</v>
      </c>
      <c r="IM271" s="0" t="n">
        <v>1</v>
      </c>
      <c r="IN271" s="0" t="n">
        <v>34</v>
      </c>
      <c r="IO271" s="0" t="n">
        <v>4</v>
      </c>
      <c r="IP271" s="0" t="n">
        <f aca="false">1.35+0.45+1.35+0.45</f>
        <v>3.6</v>
      </c>
      <c r="IQ271" s="0" t="n">
        <v>1</v>
      </c>
      <c r="IR271" s="0" t="n">
        <v>52</v>
      </c>
      <c r="IS271" s="0" t="n">
        <v>1</v>
      </c>
      <c r="IT271" s="0" t="n">
        <f aca="false">0.18</f>
        <v>0.18</v>
      </c>
      <c r="IU271" s="0" t="n">
        <v>2</v>
      </c>
      <c r="IX271" s="18"/>
      <c r="JP271" s="0" t="n">
        <v>0</v>
      </c>
      <c r="LA271" s="16" t="n">
        <v>0.28</v>
      </c>
      <c r="LB271" s="16" t="n">
        <v>1</v>
      </c>
      <c r="LC271" s="16" t="n">
        <v>2</v>
      </c>
      <c r="LD271" s="16"/>
      <c r="LE271" s="16" t="n">
        <f aca="false">0.37+0.26</f>
        <v>0.63</v>
      </c>
      <c r="LF271" s="16"/>
      <c r="LG271" s="16"/>
      <c r="LH271" s="16"/>
      <c r="LI271" s="16"/>
      <c r="LJ271" s="16"/>
      <c r="LK271" s="16"/>
      <c r="LL271" s="16" t="n">
        <v>5.99</v>
      </c>
      <c r="LM271" s="16" t="n">
        <v>5.34</v>
      </c>
      <c r="LN271" s="16"/>
      <c r="LO271" s="16"/>
      <c r="LP271" s="16" t="n">
        <v>0</v>
      </c>
      <c r="LQ271" s="16" t="n">
        <v>0</v>
      </c>
      <c r="LR271" s="16" t="n">
        <v>0</v>
      </c>
      <c r="LS271" s="0" t="n">
        <v>0</v>
      </c>
      <c r="LT271" s="0" t="s">
        <v>547</v>
      </c>
      <c r="LU271" s="0" t="n">
        <v>29.5</v>
      </c>
      <c r="LV271" s="16" t="n">
        <v>87.5</v>
      </c>
      <c r="LW271" s="16" t="n">
        <v>80.4</v>
      </c>
      <c r="LX271" s="16" t="n">
        <v>14.3</v>
      </c>
      <c r="LY271" s="0" t="n">
        <v>68.7</v>
      </c>
      <c r="LZ271" s="0" t="n">
        <v>23.24</v>
      </c>
      <c r="MA271" s="0" t="n">
        <v>1.79</v>
      </c>
      <c r="MB271" s="0" t="n">
        <v>0</v>
      </c>
      <c r="MC271" s="0" t="n">
        <v>6.27</v>
      </c>
      <c r="MD271" s="0" t="n">
        <v>0</v>
      </c>
      <c r="ME271" s="0" t="n">
        <v>0</v>
      </c>
      <c r="MF271" s="0" t="n">
        <v>0</v>
      </c>
      <c r="MG271" s="0" t="n">
        <v>0</v>
      </c>
      <c r="MH271" s="0" t="n">
        <v>0</v>
      </c>
      <c r="MI271" s="0" t="n">
        <v>0</v>
      </c>
      <c r="MJ271" s="0" t="n">
        <v>0</v>
      </c>
      <c r="MK271" s="0" t="n">
        <v>7.01</v>
      </c>
      <c r="ML271" s="0" t="n">
        <v>58.72</v>
      </c>
      <c r="MM271" s="0" t="n">
        <v>0.23</v>
      </c>
      <c r="MN271" s="0" t="n">
        <v>0</v>
      </c>
      <c r="MO271" s="0" t="n">
        <v>0.5</v>
      </c>
      <c r="MP271" s="0" t="n">
        <v>2</v>
      </c>
      <c r="MQ271" s="0" t="n">
        <v>7</v>
      </c>
      <c r="MR271" s="0" t="n">
        <v>0.08</v>
      </c>
      <c r="MW271" s="0" t="n">
        <v>7</v>
      </c>
      <c r="MX271" s="0" t="n">
        <v>0.08</v>
      </c>
      <c r="NC271" s="0" t="n">
        <v>0</v>
      </c>
      <c r="ND271" s="0" t="n">
        <v>1</v>
      </c>
      <c r="NE271" s="0" t="n">
        <v>23</v>
      </c>
      <c r="NF271" s="0" t="n">
        <v>2</v>
      </c>
      <c r="NG271" s="0" t="n">
        <v>0.9</v>
      </c>
      <c r="NH271" s="0" t="n">
        <v>3</v>
      </c>
      <c r="NO271" s="18"/>
      <c r="OG271" s="0" t="n">
        <v>1</v>
      </c>
      <c r="OH271" s="0" t="n">
        <v>50</v>
      </c>
      <c r="OI271" s="0" t="n">
        <v>2</v>
      </c>
      <c r="OJ271" s="0" t="n">
        <f aca="false">3.13+23.63</f>
        <v>26.76</v>
      </c>
      <c r="OK271" s="0" t="n">
        <v>3</v>
      </c>
      <c r="PR271" s="16" t="n">
        <v>1.49</v>
      </c>
      <c r="PS271" s="16" t="n">
        <v>1</v>
      </c>
      <c r="PT271" s="16" t="n">
        <v>1</v>
      </c>
      <c r="PU271" s="16"/>
      <c r="PV271" s="16" t="n">
        <f aca="false">1.91+2.02+2.02+1.35</f>
        <v>7.3</v>
      </c>
      <c r="PW271" s="16" t="n">
        <v>2</v>
      </c>
      <c r="PX271" s="16"/>
      <c r="PY271" s="16" t="n">
        <v>0.21</v>
      </c>
      <c r="PZ271" s="16"/>
      <c r="QA271" s="16"/>
      <c r="QB271" s="16"/>
      <c r="QC271" s="16" t="n">
        <v>10.82</v>
      </c>
      <c r="QD271" s="16" t="n">
        <v>14.57</v>
      </c>
      <c r="QE271" s="16"/>
      <c r="QF271" s="16"/>
      <c r="QG271" s="16" t="n">
        <v>2.24</v>
      </c>
      <c r="QH271" s="16" t="n">
        <v>0.9</v>
      </c>
      <c r="QI271" s="16" t="n">
        <v>0</v>
      </c>
      <c r="QJ271" s="0" t="n">
        <v>0</v>
      </c>
      <c r="QK271" s="0" t="s">
        <v>548</v>
      </c>
      <c r="QL271" s="0" t="n">
        <v>50</v>
      </c>
      <c r="QM271" s="16" t="n">
        <v>80</v>
      </c>
      <c r="QN271" s="16" t="n">
        <v>80.4</v>
      </c>
      <c r="QO271" s="16" t="n">
        <v>16.9</v>
      </c>
      <c r="QP271" s="0" t="n">
        <v>58.18</v>
      </c>
      <c r="QQ271" s="0" t="n">
        <v>32.94</v>
      </c>
      <c r="QR271" s="0" t="n">
        <v>1.79</v>
      </c>
      <c r="QS271" s="0" t="n">
        <v>0</v>
      </c>
      <c r="QT271" s="0" t="n">
        <v>7.09</v>
      </c>
      <c r="QU271" s="0" t="n">
        <v>0</v>
      </c>
      <c r="QV271" s="0" t="n">
        <v>0</v>
      </c>
      <c r="QW271" s="0" t="n">
        <v>0</v>
      </c>
      <c r="QX271" s="0" t="n">
        <v>0</v>
      </c>
      <c r="QY271" s="0" t="n">
        <v>0</v>
      </c>
      <c r="QZ271" s="0" t="n">
        <v>0</v>
      </c>
      <c r="RA271" s="0" t="n">
        <v>0</v>
      </c>
      <c r="RB271" s="0" t="n">
        <v>3.53</v>
      </c>
      <c r="RC271" s="0" t="n">
        <v>45.12</v>
      </c>
      <c r="RD271" s="0" t="n">
        <v>0</v>
      </c>
      <c r="RE271" s="0" t="n">
        <v>0</v>
      </c>
      <c r="RF271" s="0" t="n">
        <v>0</v>
      </c>
      <c r="RG271" s="0" t="n">
        <v>0</v>
      </c>
      <c r="RT271" s="0" t="n">
        <v>8.2</v>
      </c>
      <c r="RU271" s="0" t="n">
        <v>1</v>
      </c>
      <c r="RV271" s="0" t="n">
        <v>23</v>
      </c>
      <c r="RW271" s="0" t="n">
        <v>1</v>
      </c>
      <c r="RX271" s="0" t="n">
        <v>0.45</v>
      </c>
      <c r="RY271" s="0" t="n">
        <v>3</v>
      </c>
      <c r="RZ271" s="0" t="n">
        <v>34</v>
      </c>
      <c r="SA271" s="0" t="n">
        <v>28</v>
      </c>
      <c r="SB271" s="0" t="n">
        <f aca="false">0.45+0.18+1.6+0.24+0.37+4.39+0.49+0.04+0.32+0.05+1.38</f>
        <v>9.51</v>
      </c>
      <c r="SC271" s="0" t="n">
        <v>1</v>
      </c>
      <c r="SF271" s="18"/>
      <c r="SX271" s="0" t="n">
        <v>0</v>
      </c>
      <c r="UI271" s="16" t="n">
        <v>1.65</v>
      </c>
      <c r="UJ271" s="16" t="n">
        <v>1</v>
      </c>
      <c r="UK271" s="16" t="n">
        <v>1</v>
      </c>
      <c r="UL271" s="16"/>
      <c r="UM271" s="16" t="n">
        <f aca="false">0.18</f>
        <v>0.18</v>
      </c>
      <c r="UN271" s="16" t="n">
        <v>2</v>
      </c>
      <c r="UO271" s="16"/>
      <c r="UP271" s="16" t="n">
        <f aca="false">1.65+0.91+6.23+0.66</f>
        <v>9.45</v>
      </c>
      <c r="UQ271" s="16"/>
      <c r="UR271" s="16"/>
      <c r="US271" s="16"/>
      <c r="UT271" s="16" t="n">
        <v>20.65</v>
      </c>
      <c r="UU271" s="16" t="n">
        <v>33.56</v>
      </c>
      <c r="UV271" s="16"/>
      <c r="UW271" s="16"/>
      <c r="UX271" s="16" t="n">
        <v>2.24</v>
      </c>
      <c r="UY271" s="16" t="n">
        <v>0.45</v>
      </c>
      <c r="UZ271" s="16" t="n">
        <v>0</v>
      </c>
      <c r="VA271" s="0" t="n">
        <v>0.45</v>
      </c>
      <c r="VB271" s="0" t="s">
        <v>549</v>
      </c>
      <c r="VC271" s="0" t="n">
        <v>31.5</v>
      </c>
      <c r="VD271" s="16" t="n">
        <v>79.9</v>
      </c>
      <c r="VE271" s="16" t="n">
        <v>80.4</v>
      </c>
      <c r="VF271" s="16" t="n">
        <v>17.8</v>
      </c>
      <c r="VG271" s="0" t="n">
        <v>71.45</v>
      </c>
      <c r="VH271" s="0" t="n">
        <v>9.43</v>
      </c>
      <c r="VI271" s="0" t="n">
        <v>1.12</v>
      </c>
      <c r="VJ271" s="0" t="n">
        <v>0</v>
      </c>
      <c r="VK271" s="0" t="n">
        <v>18.01</v>
      </c>
      <c r="VL271" s="0" t="n">
        <v>0</v>
      </c>
      <c r="VM271" s="0" t="n">
        <v>0</v>
      </c>
      <c r="VN271" s="0" t="n">
        <v>0</v>
      </c>
      <c r="VO271" s="0" t="n">
        <v>0</v>
      </c>
      <c r="VP271" s="0" t="n">
        <v>0</v>
      </c>
      <c r="VQ271" s="0" t="n">
        <v>0</v>
      </c>
      <c r="VR271" s="0" t="n">
        <v>0</v>
      </c>
      <c r="VS271" s="0" t="n">
        <v>8.44</v>
      </c>
      <c r="VT271" s="0" t="n">
        <v>63.45</v>
      </c>
      <c r="VU271" s="0" t="n">
        <v>0</v>
      </c>
      <c r="VV271" s="0" t="n">
        <v>0</v>
      </c>
      <c r="VW271" s="0" t="n">
        <v>0</v>
      </c>
      <c r="VX271" s="0" t="n">
        <v>0</v>
      </c>
      <c r="WK271" s="0" t="n">
        <v>2</v>
      </c>
      <c r="WL271" s="0" t="n">
        <v>1</v>
      </c>
      <c r="WM271" s="0" t="n">
        <v>52</v>
      </c>
      <c r="WN271" s="0" t="n">
        <v>2</v>
      </c>
      <c r="WO271" s="0" t="n">
        <f aca="false">0.9+0.02</f>
        <v>0.92</v>
      </c>
      <c r="WP271" s="0" t="n">
        <v>2</v>
      </c>
      <c r="WW271" s="18"/>
      <c r="XO271" s="0" t="n">
        <v>1</v>
      </c>
      <c r="XP271" s="0" t="n">
        <v>50</v>
      </c>
      <c r="XQ271" s="0" t="n">
        <v>9</v>
      </c>
      <c r="XR271" s="0" t="n">
        <f aca="false">19.9+3.13</f>
        <v>23.03</v>
      </c>
      <c r="XS271" s="0" t="n">
        <v>3</v>
      </c>
      <c r="YZ271" s="16" t="n">
        <v>1.47</v>
      </c>
      <c r="ZA271" s="16" t="n">
        <v>1</v>
      </c>
      <c r="ZB271" s="16" t="n">
        <v>1</v>
      </c>
      <c r="ZC271" s="16"/>
      <c r="ZD271" s="16" t="n">
        <v>2.13</v>
      </c>
      <c r="ZE271" s="16" t="n">
        <v>2</v>
      </c>
      <c r="ZF271" s="16"/>
      <c r="ZG271" s="16" t="n">
        <v>3.37</v>
      </c>
      <c r="ZH271" s="16"/>
      <c r="ZI271" s="16"/>
      <c r="ZJ271" s="16"/>
      <c r="ZK271" s="16" t="n">
        <v>5.55</v>
      </c>
      <c r="ZL271" s="16" t="n">
        <v>6.42</v>
      </c>
      <c r="ZM271" s="16"/>
      <c r="ZN271" s="16"/>
      <c r="ZO271" s="16" t="n">
        <v>0</v>
      </c>
      <c r="ZP271" s="16" t="n">
        <v>0</v>
      </c>
      <c r="ZQ271" s="16" t="n">
        <v>4.48</v>
      </c>
      <c r="ZR271" s="0" t="n">
        <v>0</v>
      </c>
      <c r="ZS271" s="0" t="s">
        <v>550</v>
      </c>
      <c r="ZT271" s="0" t="n">
        <v>17</v>
      </c>
      <c r="ZU271" s="16" t="n">
        <v>87.8</v>
      </c>
      <c r="ZV271" s="16" t="n">
        <v>80.4</v>
      </c>
      <c r="ZW271" s="16" t="n">
        <v>11.6</v>
      </c>
      <c r="ZX271" s="0" t="n">
        <v>86.21</v>
      </c>
      <c r="ZY271" s="0" t="n">
        <v>1.64</v>
      </c>
      <c r="ZZ271" s="0" t="n">
        <v>0.45</v>
      </c>
      <c r="AAA271" s="0" t="n">
        <v>0</v>
      </c>
      <c r="AAB271" s="0" t="n">
        <v>11.7</v>
      </c>
      <c r="AAC271" s="0" t="n">
        <v>0</v>
      </c>
      <c r="AAD271" s="0" t="n">
        <v>0</v>
      </c>
      <c r="AAE271" s="0" t="n">
        <v>0</v>
      </c>
      <c r="AAF271" s="0" t="n">
        <v>0</v>
      </c>
      <c r="AAG271" s="0" t="n">
        <v>0</v>
      </c>
      <c r="AAH271" s="0" t="n">
        <v>0</v>
      </c>
      <c r="AAI271" s="0" t="n">
        <v>0</v>
      </c>
      <c r="AAJ271" s="0" t="n">
        <v>14.73</v>
      </c>
      <c r="AAK271" s="0" t="n">
        <v>7.98</v>
      </c>
      <c r="AAL271" s="0" t="n">
        <v>0</v>
      </c>
      <c r="AAM271" s="0" t="n">
        <v>0</v>
      </c>
      <c r="AAN271" s="0" t="n">
        <v>0</v>
      </c>
      <c r="AAO271" s="0" t="n">
        <v>0</v>
      </c>
      <c r="ABB271" s="0" t="n">
        <v>0</v>
      </c>
      <c r="ABC271" s="0" t="n">
        <v>0</v>
      </c>
      <c r="ABN271" s="18"/>
      <c r="ACF271" s="0" t="n">
        <v>0</v>
      </c>
      <c r="ADQ271" s="16" t="n">
        <v>0</v>
      </c>
      <c r="ADR271" s="16" t="n">
        <v>0</v>
      </c>
      <c r="ADS271" s="16"/>
      <c r="ADT271" s="16"/>
      <c r="ADU271" s="16"/>
      <c r="ADV271" s="16"/>
      <c r="ADW271" s="16"/>
      <c r="ADX271" s="16"/>
      <c r="ADY271" s="16"/>
      <c r="ADZ271" s="16"/>
      <c r="AEA271" s="16"/>
      <c r="AEB271" s="16" t="n">
        <v>5.22</v>
      </c>
      <c r="AEC271" s="16" t="n">
        <v>5.37</v>
      </c>
      <c r="AED271" s="16"/>
      <c r="AEE271" s="16"/>
      <c r="AEF271" s="16" t="n">
        <v>0</v>
      </c>
      <c r="AEG271" s="16" t="n">
        <v>0</v>
      </c>
      <c r="AEH271" s="16" t="n">
        <v>0.19</v>
      </c>
      <c r="AEI271" s="0" t="n">
        <v>0</v>
      </c>
      <c r="AEJ271" s="0" t="s">
        <v>551</v>
      </c>
      <c r="AEK271" s="0" t="n">
        <v>17.5</v>
      </c>
      <c r="AEL271" s="16" t="n">
        <v>87.6</v>
      </c>
      <c r="AEM271" s="16" t="n">
        <v>80.4</v>
      </c>
      <c r="AEN271" s="16" t="n">
        <v>12</v>
      </c>
      <c r="AEO271" s="0" t="n">
        <v>84.96</v>
      </c>
      <c r="AEP271" s="0" t="n">
        <v>1.61</v>
      </c>
      <c r="AEQ271" s="0" t="n">
        <v>0.45</v>
      </c>
      <c r="AER271" s="0" t="n">
        <v>0</v>
      </c>
      <c r="AES271" s="0" t="n">
        <v>12.98</v>
      </c>
      <c r="AET271" s="0" t="n">
        <v>0</v>
      </c>
      <c r="AEU271" s="0" t="n">
        <v>0</v>
      </c>
      <c r="AEV271" s="0" t="n">
        <v>0</v>
      </c>
      <c r="AEW271" s="0" t="n">
        <v>0</v>
      </c>
      <c r="AEX271" s="0" t="n">
        <v>0</v>
      </c>
      <c r="AEY271" s="0" t="n">
        <v>0</v>
      </c>
      <c r="AEZ271" s="0" t="n">
        <v>0</v>
      </c>
      <c r="AFA271" s="0" t="n">
        <v>15.99</v>
      </c>
      <c r="AFB271" s="0" t="n">
        <v>7.84</v>
      </c>
      <c r="AFC271" s="0" t="n">
        <v>0</v>
      </c>
      <c r="AFD271" s="0" t="n">
        <v>0</v>
      </c>
      <c r="AFE271" s="0" t="n">
        <v>0</v>
      </c>
      <c r="AFF271" s="0" t="n">
        <v>0</v>
      </c>
      <c r="AFS271" s="0" t="n">
        <v>0</v>
      </c>
      <c r="AFT271" s="0" t="n">
        <v>0</v>
      </c>
      <c r="AGE271" s="18"/>
      <c r="AGW271" s="0" t="n">
        <v>0</v>
      </c>
      <c r="AIH271" s="16" t="n">
        <v>0</v>
      </c>
      <c r="AII271" s="16" t="n">
        <v>0</v>
      </c>
      <c r="AIJ271" s="16"/>
      <c r="AIK271" s="16"/>
      <c r="AIL271" s="16"/>
      <c r="AIM271" s="16"/>
      <c r="AIN271" s="16"/>
      <c r="AIO271" s="16"/>
      <c r="AIP271" s="16"/>
      <c r="AIQ271" s="16"/>
      <c r="AIR271" s="16"/>
      <c r="AIS271" s="16" t="n">
        <v>5.22</v>
      </c>
      <c r="AIT271" s="16" t="n">
        <v>5.37</v>
      </c>
      <c r="AIU271" s="16"/>
      <c r="AIV271" s="16"/>
      <c r="AIW271" s="16" t="n">
        <v>0</v>
      </c>
      <c r="AIX271" s="16" t="n">
        <v>0</v>
      </c>
      <c r="AIY271" s="16" t="n">
        <v>0.19</v>
      </c>
      <c r="AIZ271" s="0" t="n">
        <v>0</v>
      </c>
      <c r="AJA271" s="0" t="s">
        <v>552</v>
      </c>
      <c r="AJB271" s="0" t="n">
        <v>16.5</v>
      </c>
      <c r="AJC271" s="16" t="n">
        <v>73.2</v>
      </c>
      <c r="AJD271" s="16" t="n">
        <v>80.4</v>
      </c>
      <c r="AJE271" s="16" t="n">
        <v>10.2</v>
      </c>
      <c r="AJF271" s="0" t="n">
        <v>69.43</v>
      </c>
      <c r="AJG271" s="0" t="n">
        <v>29.45</v>
      </c>
      <c r="AJH271" s="0" t="n">
        <v>1.12</v>
      </c>
      <c r="AJI271" s="0" t="n">
        <v>0</v>
      </c>
      <c r="AJJ271" s="0" t="n">
        <v>0</v>
      </c>
      <c r="AJK271" s="0" t="n">
        <v>0</v>
      </c>
      <c r="AJL271" s="0" t="n">
        <v>0</v>
      </c>
      <c r="AJM271" s="0" t="n">
        <v>0</v>
      </c>
      <c r="AJN271" s="0" t="n">
        <v>0</v>
      </c>
      <c r="AJO271" s="0" t="n">
        <v>0</v>
      </c>
      <c r="AJP271" s="0" t="n">
        <v>0</v>
      </c>
      <c r="AJQ271" s="0" t="n">
        <v>0</v>
      </c>
      <c r="AJR271" s="0" t="n">
        <v>29.3</v>
      </c>
      <c r="AJS271" s="0" t="n">
        <v>10.81</v>
      </c>
      <c r="AJT271" s="0" t="n">
        <v>0</v>
      </c>
      <c r="AJU271" s="0" t="n">
        <v>0</v>
      </c>
      <c r="AJV271" s="0" t="n">
        <v>5.9</v>
      </c>
      <c r="AJW271" s="0" t="n">
        <v>2</v>
      </c>
      <c r="AJX271" s="0" t="n">
        <v>3</v>
      </c>
      <c r="AJY271" s="0" t="n">
        <v>2.01</v>
      </c>
      <c r="AKD271" s="0" t="n">
        <v>3</v>
      </c>
      <c r="AKE271" s="0" t="n">
        <v>2.01</v>
      </c>
      <c r="AKJ271" s="0" t="n">
        <v>0</v>
      </c>
      <c r="AKK271" s="0" t="n">
        <v>0</v>
      </c>
      <c r="AKV271" s="18"/>
      <c r="ALN271" s="0" t="n">
        <v>0</v>
      </c>
    </row>
    <row r="272" customFormat="false" ht="13.8" hidden="false" customHeight="false" outlineLevel="0" collapsed="false">
      <c r="A272" s="1" t="s">
        <v>815</v>
      </c>
      <c r="B272" s="12" t="n">
        <v>42909</v>
      </c>
      <c r="C272" s="0" t="n">
        <v>1</v>
      </c>
      <c r="D272" s="13" t="n">
        <v>40513</v>
      </c>
      <c r="E272" s="12" t="n">
        <v>27325</v>
      </c>
      <c r="F272" s="14" t="n">
        <f aca="false">(B272-E272)/365.25</f>
        <v>42.6666666666667</v>
      </c>
      <c r="G272" s="14" t="n">
        <f aca="false">(B272-D272)/365.25</f>
        <v>6.55989048596851</v>
      </c>
      <c r="H272" s="19" t="s">
        <v>228</v>
      </c>
      <c r="I272" s="15" t="s">
        <v>447</v>
      </c>
      <c r="J272" s="15" t="s">
        <v>181</v>
      </c>
      <c r="K272" s="15" t="n">
        <v>4</v>
      </c>
      <c r="L272" s="19" t="n">
        <v>62</v>
      </c>
      <c r="M272" s="0" t="n">
        <v>1.56</v>
      </c>
      <c r="N272" s="16" t="n">
        <f aca="false">L272/(M272*M272)</f>
        <v>25.4766600920447</v>
      </c>
      <c r="O272" s="19" t="n">
        <v>0</v>
      </c>
      <c r="P272" s="19" t="n">
        <v>0</v>
      </c>
      <c r="Q272" s="19" t="n">
        <v>0</v>
      </c>
      <c r="R272" s="26" t="n">
        <v>0</v>
      </c>
      <c r="S272" s="26" t="n">
        <v>0</v>
      </c>
      <c r="T272" s="26" t="n">
        <v>0</v>
      </c>
      <c r="U272" s="19" t="n">
        <v>0</v>
      </c>
      <c r="V272" s="19" t="n">
        <v>0</v>
      </c>
      <c r="W272" s="19" t="n">
        <v>0</v>
      </c>
      <c r="X272" s="19" t="n">
        <v>0</v>
      </c>
      <c r="Y272" s="19" t="n">
        <v>1</v>
      </c>
      <c r="Z272" s="19" t="n">
        <v>3</v>
      </c>
      <c r="AA272" s="19" t="n">
        <v>60</v>
      </c>
      <c r="AB272" s="19" t="s">
        <v>308</v>
      </c>
      <c r="AC272" s="19" t="n">
        <v>0</v>
      </c>
      <c r="AD272" s="19" t="n">
        <v>0</v>
      </c>
      <c r="AE272" s="19" t="n">
        <v>0</v>
      </c>
      <c r="AF272" s="19" t="n">
        <v>0</v>
      </c>
      <c r="AG272" s="19" t="n">
        <v>0</v>
      </c>
      <c r="AH272" s="19" t="n">
        <v>0</v>
      </c>
      <c r="AI272" s="19" t="n">
        <v>0</v>
      </c>
      <c r="AJ272" s="19" t="n">
        <v>0</v>
      </c>
      <c r="AK272" s="19" t="n">
        <v>0</v>
      </c>
      <c r="AL272" s="19" t="n">
        <v>0</v>
      </c>
      <c r="AM272" s="19" t="n">
        <v>0</v>
      </c>
      <c r="AN272" s="19" t="n">
        <v>3</v>
      </c>
      <c r="AO272" s="19" t="n">
        <v>3</v>
      </c>
      <c r="AP272" s="19" t="n">
        <v>3</v>
      </c>
      <c r="AQ272" s="19"/>
      <c r="AR272" s="19" t="n">
        <v>3</v>
      </c>
      <c r="AS272" s="19" t="n">
        <v>1</v>
      </c>
      <c r="AT272" s="19" t="n">
        <v>1</v>
      </c>
      <c r="AU272" s="19" t="n">
        <v>1</v>
      </c>
      <c r="AV272" s="19" t="n">
        <v>3</v>
      </c>
      <c r="AW272" s="19"/>
      <c r="AX272" s="19" t="n">
        <v>0</v>
      </c>
      <c r="AY272" s="19" t="n">
        <v>0</v>
      </c>
      <c r="AZ272" s="19" t="n">
        <v>0</v>
      </c>
      <c r="BA272" s="19" t="n">
        <v>0</v>
      </c>
      <c r="BB272" s="19" t="n">
        <v>0</v>
      </c>
      <c r="BC272" s="19" t="n">
        <v>0</v>
      </c>
      <c r="BD272" s="19" t="n">
        <v>0</v>
      </c>
      <c r="BE272" s="19" t="n">
        <v>0</v>
      </c>
      <c r="BF272" s="19" t="n">
        <v>0</v>
      </c>
      <c r="BG272" s="19" t="n">
        <v>0</v>
      </c>
      <c r="BH272" s="19" t="n">
        <v>0</v>
      </c>
      <c r="BI272" s="19" t="n">
        <v>0</v>
      </c>
      <c r="BJ272" s="19" t="n">
        <v>0</v>
      </c>
      <c r="BK272" s="19" t="n">
        <v>0</v>
      </c>
      <c r="BL272" s="19" t="n">
        <v>0</v>
      </c>
      <c r="BM272" s="19" t="n">
        <v>0</v>
      </c>
      <c r="BN272" s="19" t="n">
        <v>0</v>
      </c>
      <c r="BO272" s="19" t="n">
        <v>0</v>
      </c>
      <c r="BP272" s="19" t="n">
        <v>0</v>
      </c>
      <c r="BQ272" s="19" t="n">
        <v>0</v>
      </c>
      <c r="BR272" s="19" t="n">
        <v>2</v>
      </c>
      <c r="BS272" s="19" t="n">
        <v>3</v>
      </c>
      <c r="BT272" s="19" t="n">
        <v>3</v>
      </c>
      <c r="BU272" s="19" t="n">
        <v>5</v>
      </c>
      <c r="BV272" s="19" t="n">
        <v>2</v>
      </c>
      <c r="BW272" s="19" t="n">
        <v>3</v>
      </c>
      <c r="BX272" s="19" t="n">
        <v>3</v>
      </c>
      <c r="BY272" s="19" t="n">
        <v>4</v>
      </c>
      <c r="BZ272" s="19" t="n">
        <v>3</v>
      </c>
      <c r="CA272" s="19" t="n">
        <v>4</v>
      </c>
      <c r="CB272" s="19" t="n">
        <v>5</v>
      </c>
      <c r="CC272" s="19" t="n">
        <v>5</v>
      </c>
      <c r="CD272" s="19" t="n">
        <v>3</v>
      </c>
      <c r="CE272" s="19" t="n">
        <v>4</v>
      </c>
      <c r="CF272" s="19" t="n">
        <v>5</v>
      </c>
      <c r="CG272" s="19" t="n">
        <v>5</v>
      </c>
      <c r="CH272" s="19" t="n">
        <v>3</v>
      </c>
      <c r="CI272" s="19" t="n">
        <v>4</v>
      </c>
      <c r="CJ272" s="19" t="n">
        <v>5</v>
      </c>
      <c r="CK272" s="19" t="n">
        <v>10</v>
      </c>
      <c r="CL272" s="0" t="n">
        <v>57</v>
      </c>
      <c r="CM272" s="0" t="n">
        <v>24.5</v>
      </c>
      <c r="CN272" s="16" t="n">
        <v>70</v>
      </c>
      <c r="CO272" s="16" t="n">
        <v>80.4</v>
      </c>
      <c r="CP272" s="16" t="n">
        <v>15.5</v>
      </c>
      <c r="CQ272" s="0" t="n">
        <v>85.6</v>
      </c>
      <c r="CR272" s="0" t="n">
        <v>0</v>
      </c>
      <c r="CS272" s="0" t="n">
        <v>0</v>
      </c>
      <c r="CT272" s="0" t="n">
        <v>0</v>
      </c>
      <c r="CU272" s="0" t="n">
        <v>14.4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6.46</v>
      </c>
      <c r="DD272" s="0" t="n">
        <v>24.97</v>
      </c>
      <c r="DE272" s="0" t="n">
        <v>15</v>
      </c>
      <c r="DF272" s="0" t="n">
        <v>0</v>
      </c>
      <c r="DG272" s="0" t="n">
        <v>0</v>
      </c>
      <c r="DH272" s="0" t="n">
        <v>0</v>
      </c>
      <c r="DU272" s="0" t="n">
        <v>3.6</v>
      </c>
      <c r="DV272" s="0" t="n">
        <v>1</v>
      </c>
      <c r="DW272" s="0" t="n">
        <v>35</v>
      </c>
      <c r="DX272" s="0" t="n">
        <v>1</v>
      </c>
      <c r="DY272" s="0" t="n">
        <v>0.76</v>
      </c>
      <c r="DZ272" s="0" t="n">
        <v>3</v>
      </c>
      <c r="EG272" s="18"/>
      <c r="EY272" s="0" t="n">
        <v>1</v>
      </c>
      <c r="EZ272" s="0" t="n">
        <v>60</v>
      </c>
      <c r="FA272" s="0" t="n">
        <v>5</v>
      </c>
      <c r="FB272" s="0" t="n">
        <f aca="false">2.04+0.14</f>
        <v>2.18</v>
      </c>
      <c r="FC272" s="0" t="n">
        <v>3</v>
      </c>
      <c r="GJ272" s="16" t="n">
        <v>0.63</v>
      </c>
      <c r="GK272" s="16" t="n">
        <v>1</v>
      </c>
      <c r="GL272" s="16" t="n">
        <v>1</v>
      </c>
      <c r="GM272" s="16"/>
      <c r="GN272" s="16" t="n">
        <v>4.23</v>
      </c>
      <c r="GO272" s="16"/>
      <c r="GP272" s="16"/>
      <c r="GQ272" s="16"/>
      <c r="GR272" s="16"/>
      <c r="GS272" s="16"/>
      <c r="GT272" s="16"/>
      <c r="GU272" s="16" t="n">
        <v>3.25</v>
      </c>
      <c r="GV272" s="16" t="n">
        <v>3.26</v>
      </c>
      <c r="GW272" s="16"/>
      <c r="GX272" s="16"/>
      <c r="GY272" s="16" t="n">
        <v>0</v>
      </c>
      <c r="GZ272" s="16" t="n">
        <v>0</v>
      </c>
      <c r="HA272" s="16" t="n">
        <v>0</v>
      </c>
      <c r="HB272" s="0" t="n">
        <v>0</v>
      </c>
      <c r="HC272" s="0" t="s">
        <v>455</v>
      </c>
      <c r="HD272" s="0" t="n">
        <v>48.5</v>
      </c>
      <c r="HE272" s="16" t="n">
        <v>90.8</v>
      </c>
      <c r="HF272" s="16" t="n">
        <v>80.4</v>
      </c>
      <c r="HG272" s="16" t="n">
        <v>27.5</v>
      </c>
      <c r="HH272" s="0" t="n">
        <v>74.34</v>
      </c>
      <c r="HI272" s="0" t="n">
        <v>0</v>
      </c>
      <c r="HJ272" s="0" t="n">
        <v>12.29</v>
      </c>
      <c r="HK272" s="0" t="n">
        <v>0</v>
      </c>
      <c r="HL272" s="0" t="n">
        <v>13.37</v>
      </c>
      <c r="HM272" s="0" t="n">
        <v>0</v>
      </c>
      <c r="HN272" s="0" t="n">
        <v>0</v>
      </c>
      <c r="HO272" s="0" t="n">
        <v>0</v>
      </c>
      <c r="HP272" s="0" t="n">
        <v>0</v>
      </c>
      <c r="HQ272" s="0" t="n">
        <v>0</v>
      </c>
      <c r="HR272" s="0" t="n">
        <v>0</v>
      </c>
      <c r="HS272" s="0" t="n">
        <v>0</v>
      </c>
      <c r="HT272" s="0" t="n">
        <v>0</v>
      </c>
      <c r="HU272" s="0" t="n">
        <v>14.01</v>
      </c>
      <c r="HV272" s="0" t="n">
        <v>63.09</v>
      </c>
      <c r="HW272" s="0" t="n">
        <v>0</v>
      </c>
      <c r="HX272" s="0" t="n">
        <v>0</v>
      </c>
      <c r="HY272" s="0" t="n">
        <v>0</v>
      </c>
      <c r="IL272" s="0" t="n">
        <v>13</v>
      </c>
      <c r="IM272" s="0" t="n">
        <v>1</v>
      </c>
      <c r="IN272" s="0" t="n">
        <v>34</v>
      </c>
      <c r="IO272" s="0" t="n">
        <v>11</v>
      </c>
      <c r="IP272" s="0" t="n">
        <f aca="false">11.42+1.34</f>
        <v>12.76</v>
      </c>
      <c r="IQ272" s="0" t="n">
        <v>1</v>
      </c>
      <c r="IR272" s="0" t="n">
        <v>68</v>
      </c>
      <c r="IS272" s="0" t="n">
        <v>15</v>
      </c>
      <c r="IT272" s="0" t="n">
        <v>2.8</v>
      </c>
      <c r="IU272" s="0" t="n">
        <v>1</v>
      </c>
      <c r="IX272" s="18"/>
      <c r="JP272" s="0" t="n">
        <v>1</v>
      </c>
      <c r="JQ272" s="0" t="n">
        <v>60</v>
      </c>
      <c r="JR272" s="0" t="n">
        <v>20</v>
      </c>
      <c r="JS272" s="0" t="n">
        <v>15.23</v>
      </c>
      <c r="JT272" s="0" t="n">
        <v>3</v>
      </c>
      <c r="LA272" s="16" t="n">
        <v>0</v>
      </c>
      <c r="LB272" s="16" t="n">
        <v>0</v>
      </c>
      <c r="LC272" s="16"/>
      <c r="LD272" s="16"/>
      <c r="LE272" s="16"/>
      <c r="LF272" s="16"/>
      <c r="LG272" s="16"/>
      <c r="LH272" s="16"/>
      <c r="LI272" s="16"/>
      <c r="LJ272" s="16"/>
      <c r="LK272" s="16"/>
      <c r="LL272" s="16" t="n">
        <v>0</v>
      </c>
      <c r="LM272" s="16" t="n">
        <v>0</v>
      </c>
      <c r="LN272" s="16"/>
      <c r="LO272" s="16"/>
      <c r="LP272" s="16" t="n">
        <v>7.46</v>
      </c>
      <c r="LQ272" s="16" t="n">
        <v>0</v>
      </c>
      <c r="LR272" s="16" t="n">
        <v>0</v>
      </c>
      <c r="LS272" s="0" t="n">
        <v>1</v>
      </c>
      <c r="LT272" s="0" t="s">
        <v>448</v>
      </c>
      <c r="LU272" s="0" t="n">
        <v>47</v>
      </c>
      <c r="LV272" s="16" t="n">
        <v>90.2</v>
      </c>
      <c r="LW272" s="16" t="n">
        <v>80.4</v>
      </c>
      <c r="LX272" s="16" t="n">
        <v>15.2</v>
      </c>
      <c r="LY272" s="0" t="n">
        <v>86.39</v>
      </c>
      <c r="LZ272" s="0" t="n">
        <v>0</v>
      </c>
      <c r="MA272" s="0" t="n">
        <v>0</v>
      </c>
      <c r="MB272" s="0" t="n">
        <v>0</v>
      </c>
      <c r="MC272" s="0" t="n">
        <v>13.61</v>
      </c>
      <c r="MD272" s="0" t="n">
        <v>0</v>
      </c>
      <c r="ME272" s="0" t="n">
        <v>0</v>
      </c>
      <c r="MF272" s="0" t="n">
        <v>0</v>
      </c>
      <c r="MG272" s="0" t="n">
        <v>0</v>
      </c>
      <c r="MH272" s="0" t="n">
        <v>0</v>
      </c>
      <c r="MI272" s="0" t="n">
        <v>0</v>
      </c>
      <c r="MJ272" s="0" t="n">
        <v>0</v>
      </c>
      <c r="MK272" s="0" t="n">
        <v>16.36</v>
      </c>
      <c r="ML272" s="0" t="n">
        <v>23.57</v>
      </c>
      <c r="MM272" s="0" t="n">
        <v>29.14</v>
      </c>
      <c r="MN272" s="0" t="n">
        <v>0</v>
      </c>
      <c r="MO272" s="0" t="n">
        <v>0</v>
      </c>
      <c r="MP272" s="0" t="n">
        <v>0</v>
      </c>
      <c r="NC272" s="0" t="n">
        <v>23.6</v>
      </c>
      <c r="ND272" s="0" t="n">
        <v>1</v>
      </c>
      <c r="NE272" s="0" t="n">
        <v>68</v>
      </c>
      <c r="NF272" s="0" t="n">
        <v>8</v>
      </c>
      <c r="NG272" s="0" t="n">
        <f aca="false">0.76+0.03+0.27+0.05+0.03</f>
        <v>1.14</v>
      </c>
      <c r="NH272" s="0" t="n">
        <v>1</v>
      </c>
      <c r="NI272" s="0" t="n">
        <v>35</v>
      </c>
      <c r="NJ272" s="0" t="n">
        <v>4</v>
      </c>
      <c r="NK272" s="0" t="n">
        <f aca="false">1.52+0.27</f>
        <v>1.79</v>
      </c>
      <c r="NL272" s="0" t="n">
        <v>3</v>
      </c>
      <c r="NM272" s="0" t="n">
        <v>103</v>
      </c>
      <c r="NN272" s="0" t="n">
        <v>3</v>
      </c>
      <c r="NO272" s="18" t="n">
        <v>2.02</v>
      </c>
      <c r="NP272" s="0" t="n">
        <v>3</v>
      </c>
      <c r="OG272" s="0" t="n">
        <v>1</v>
      </c>
      <c r="OH272" s="0" t="n">
        <v>80</v>
      </c>
      <c r="OI272" s="0" t="n">
        <v>3</v>
      </c>
      <c r="OJ272" s="0" t="n">
        <f aca="false">0.04*2+0.45</f>
        <v>0.53</v>
      </c>
      <c r="OK272" s="0" t="n">
        <v>3</v>
      </c>
      <c r="PR272" s="16" t="n">
        <v>0.4</v>
      </c>
      <c r="PS272" s="16" t="n">
        <v>1</v>
      </c>
      <c r="PT272" s="16" t="n">
        <v>1</v>
      </c>
      <c r="PU272" s="16"/>
      <c r="PV272" s="16" t="n">
        <f aca="false">1.25+0.1</f>
        <v>1.35</v>
      </c>
      <c r="PW272" s="16"/>
      <c r="PX272" s="16"/>
      <c r="PY272" s="16"/>
      <c r="PZ272" s="16"/>
      <c r="QA272" s="16"/>
      <c r="QB272" s="16"/>
      <c r="QC272" s="16" t="n">
        <v>4.96</v>
      </c>
      <c r="QD272" s="16" t="n">
        <v>2.6</v>
      </c>
      <c r="QE272" s="16"/>
      <c r="QF272" s="16"/>
      <c r="QG272" s="16" t="n">
        <v>0</v>
      </c>
      <c r="QH272" s="16" t="n">
        <v>0</v>
      </c>
      <c r="QI272" s="16" t="n">
        <v>0</v>
      </c>
      <c r="QJ272" s="0" t="n">
        <v>0</v>
      </c>
      <c r="QK272" s="0" t="s">
        <v>449</v>
      </c>
      <c r="QL272" s="0" t="n">
        <v>46.5</v>
      </c>
      <c r="QM272" s="16" t="n">
        <v>82.8</v>
      </c>
      <c r="QN272" s="16" t="n">
        <v>80.4</v>
      </c>
      <c r="QO272" s="16" t="n">
        <v>14.9</v>
      </c>
      <c r="QP272" s="0" t="n">
        <v>82.52</v>
      </c>
      <c r="QQ272" s="0" t="n">
        <v>0</v>
      </c>
      <c r="QR272" s="0" t="n">
        <v>0</v>
      </c>
      <c r="QS272" s="0" t="n">
        <v>0</v>
      </c>
      <c r="QT272" s="0" t="n">
        <v>17.48</v>
      </c>
      <c r="QU272" s="0" t="n">
        <v>0</v>
      </c>
      <c r="QV272" s="0" t="n">
        <v>0</v>
      </c>
      <c r="QW272" s="0" t="n">
        <v>0</v>
      </c>
      <c r="QX272" s="0" t="n">
        <v>0</v>
      </c>
      <c r="QY272" s="0" t="n">
        <v>0</v>
      </c>
      <c r="QZ272" s="0" t="n">
        <v>0</v>
      </c>
      <c r="RA272" s="0" t="n">
        <v>0</v>
      </c>
      <c r="RB272" s="0" t="n">
        <v>37.3</v>
      </c>
      <c r="RC272" s="0" t="n">
        <v>16.79</v>
      </c>
      <c r="RD272" s="0" t="n">
        <v>15.04</v>
      </c>
      <c r="RE272" s="0" t="n">
        <v>0</v>
      </c>
      <c r="RF272" s="0" t="n">
        <v>0</v>
      </c>
      <c r="RG272" s="0" t="n">
        <v>0</v>
      </c>
      <c r="RT272" s="0" t="n">
        <v>18.9</v>
      </c>
      <c r="RU272" s="0" t="n">
        <v>1</v>
      </c>
      <c r="RV272" s="0" t="n">
        <v>68</v>
      </c>
      <c r="RW272" s="0" t="n">
        <v>1</v>
      </c>
      <c r="RX272" s="0" t="n">
        <v>0.13</v>
      </c>
      <c r="RY272" s="0" t="n">
        <v>1</v>
      </c>
      <c r="RZ272" s="0" t="n">
        <v>35</v>
      </c>
      <c r="SA272" s="0" t="n">
        <v>3</v>
      </c>
      <c r="SB272" s="0" t="n">
        <v>2.25</v>
      </c>
      <c r="SC272" s="0" t="n">
        <v>3</v>
      </c>
      <c r="SD272" s="0" t="n">
        <v>47</v>
      </c>
      <c r="SE272" s="0" t="n">
        <v>10</v>
      </c>
      <c r="SF272" s="18" t="n">
        <f aca="false">0.27+0.08+0.08+0.11+0.61+0.04</f>
        <v>1.19</v>
      </c>
      <c r="SG272" s="0" t="n">
        <v>3</v>
      </c>
      <c r="SX272" s="0" t="n">
        <v>1</v>
      </c>
      <c r="SY272" s="0" t="n">
        <v>80</v>
      </c>
      <c r="SZ272" s="0" t="n">
        <v>1</v>
      </c>
      <c r="TA272" s="0" t="n">
        <v>0.13</v>
      </c>
      <c r="TB272" s="0" t="n">
        <v>3</v>
      </c>
      <c r="UI272" s="16" t="n">
        <v>1.15</v>
      </c>
      <c r="UJ272" s="16" t="n">
        <v>1</v>
      </c>
      <c r="UK272" s="16" t="n">
        <v>3</v>
      </c>
      <c r="UL272" s="16"/>
      <c r="UM272" s="16" t="n">
        <f aca="false">1.06+0.37*2</f>
        <v>1.8</v>
      </c>
      <c r="UN272" s="16"/>
      <c r="UO272" s="16"/>
      <c r="UP272" s="16"/>
      <c r="UQ272" s="16"/>
      <c r="UR272" s="16"/>
      <c r="US272" s="16"/>
      <c r="UT272" s="16" t="n">
        <v>9.75</v>
      </c>
      <c r="UU272" s="16" t="n">
        <v>11.26</v>
      </c>
      <c r="UV272" s="16"/>
      <c r="UW272" s="16"/>
      <c r="UX272" s="16" t="n">
        <v>0</v>
      </c>
      <c r="UY272" s="16" t="n">
        <v>0</v>
      </c>
      <c r="UZ272" s="16" t="n">
        <v>0</v>
      </c>
      <c r="VA272" s="0" t="n">
        <v>0</v>
      </c>
      <c r="VB272" s="0" t="s">
        <v>456</v>
      </c>
      <c r="VC272" s="0" t="n">
        <v>79.5</v>
      </c>
      <c r="VD272" s="16" t="n">
        <v>92.6</v>
      </c>
      <c r="VE272" s="16" t="n">
        <v>80.4</v>
      </c>
      <c r="VF272" s="16" t="n">
        <v>25.3</v>
      </c>
      <c r="VG272" s="0" t="n">
        <v>77.91</v>
      </c>
      <c r="VH272" s="0" t="n">
        <v>0</v>
      </c>
      <c r="VI272" s="0" t="n">
        <v>0.76</v>
      </c>
      <c r="VJ272" s="0" t="n">
        <v>0</v>
      </c>
      <c r="VK272" s="0" t="n">
        <v>21.33</v>
      </c>
      <c r="VL272" s="0" t="n">
        <v>0</v>
      </c>
      <c r="VM272" s="0" t="n">
        <v>0</v>
      </c>
      <c r="VN272" s="0" t="n">
        <v>0</v>
      </c>
      <c r="VO272" s="0" t="n">
        <v>0</v>
      </c>
      <c r="VP272" s="0" t="n">
        <v>0</v>
      </c>
      <c r="VQ272" s="0" t="n">
        <v>0</v>
      </c>
      <c r="VR272" s="0" t="n">
        <v>4.99</v>
      </c>
      <c r="VS272" s="0" t="n">
        <v>0</v>
      </c>
      <c r="VT272" s="0" t="n">
        <v>5.93</v>
      </c>
      <c r="VU272" s="0" t="n">
        <v>41.31</v>
      </c>
      <c r="VV272" s="0" t="n">
        <v>0</v>
      </c>
      <c r="VW272" s="0" t="n">
        <v>10.6</v>
      </c>
      <c r="VX272" s="0" t="n">
        <v>2</v>
      </c>
      <c r="VY272" s="0" t="n">
        <v>3</v>
      </c>
      <c r="VZ272" s="0" t="n">
        <v>6.39</v>
      </c>
      <c r="WE272" s="0" t="n">
        <v>3</v>
      </c>
      <c r="WF272" s="0" t="n">
        <v>6.39</v>
      </c>
      <c r="WK272" s="0" t="n">
        <v>19.9</v>
      </c>
      <c r="WL272" s="0" t="n">
        <v>1</v>
      </c>
      <c r="WM272" s="0" t="n">
        <v>52</v>
      </c>
      <c r="WN272" s="0" t="n">
        <v>2</v>
      </c>
      <c r="WO272" s="0" t="n">
        <f aca="false">0.05+0.08</f>
        <v>0.13</v>
      </c>
      <c r="WP272" s="0" t="n">
        <v>2</v>
      </c>
      <c r="WQ272" s="0" t="n">
        <v>47</v>
      </c>
      <c r="WR272" s="0" t="n">
        <v>12</v>
      </c>
      <c r="WS272" s="0" t="n">
        <f aca="false">1.52+0.11+0.27+0.07+0.1+0.16+0.13+0.13</f>
        <v>2.49</v>
      </c>
      <c r="WT272" s="0" t="n">
        <v>3</v>
      </c>
      <c r="WW272" s="18"/>
      <c r="XO272" s="0" t="n">
        <v>0</v>
      </c>
      <c r="YZ272" s="16" t="n">
        <v>6.39</v>
      </c>
      <c r="ZA272" s="16" t="n">
        <v>1</v>
      </c>
      <c r="ZB272" s="16" t="n">
        <v>2</v>
      </c>
      <c r="ZC272" s="16"/>
      <c r="ZD272" s="16" t="n">
        <f aca="false">2.11+1.52+2.11+0.3+0.22*2</f>
        <v>6.48</v>
      </c>
      <c r="ZE272" s="16"/>
      <c r="ZF272" s="16"/>
      <c r="ZG272" s="16"/>
      <c r="ZH272" s="16"/>
      <c r="ZI272" s="16"/>
      <c r="ZJ272" s="16"/>
      <c r="ZK272" s="16" t="n">
        <v>14.55</v>
      </c>
      <c r="ZL272" s="16" t="n">
        <v>28.78</v>
      </c>
      <c r="ZM272" s="16"/>
      <c r="ZN272" s="16"/>
      <c r="ZO272" s="16" t="n">
        <v>0</v>
      </c>
      <c r="ZP272" s="16" t="n">
        <v>0</v>
      </c>
      <c r="ZQ272" s="16" t="n">
        <v>0</v>
      </c>
      <c r="ZR272" s="0" t="n">
        <v>0</v>
      </c>
      <c r="ZS272" s="0" t="s">
        <v>450</v>
      </c>
      <c r="ZT272" s="0" t="n">
        <v>33.5</v>
      </c>
      <c r="ZU272" s="16" t="n">
        <v>82.2</v>
      </c>
      <c r="ZV272" s="16" t="n">
        <v>80.4</v>
      </c>
      <c r="ZW272" s="16" t="n">
        <v>19.5</v>
      </c>
      <c r="ZX272" s="0" t="n">
        <v>80.12</v>
      </c>
      <c r="ZY272" s="0" t="n">
        <v>0</v>
      </c>
      <c r="ZZ272" s="0" t="n">
        <v>0</v>
      </c>
      <c r="AAA272" s="0" t="n">
        <v>0</v>
      </c>
      <c r="AAB272" s="0" t="n">
        <v>19.88</v>
      </c>
      <c r="AAC272" s="0" t="n">
        <v>0</v>
      </c>
      <c r="AAD272" s="0" t="n">
        <v>0</v>
      </c>
      <c r="AAE272" s="0" t="n">
        <v>0</v>
      </c>
      <c r="AAF272" s="0" t="n">
        <v>0</v>
      </c>
      <c r="AAG272" s="0" t="n">
        <v>0</v>
      </c>
      <c r="AAH272" s="0" t="n">
        <v>0</v>
      </c>
      <c r="AAI272" s="0" t="n">
        <v>0</v>
      </c>
      <c r="AAJ272" s="0" t="n">
        <v>0</v>
      </c>
      <c r="AAK272" s="0" t="n">
        <v>16.82</v>
      </c>
      <c r="AAL272" s="0" t="n">
        <v>20.29</v>
      </c>
      <c r="AAM272" s="0" t="n">
        <v>0</v>
      </c>
      <c r="AAN272" s="0" t="n">
        <v>0</v>
      </c>
      <c r="AAO272" s="0" t="n">
        <v>0</v>
      </c>
      <c r="ABB272" s="0" t="n">
        <v>0</v>
      </c>
      <c r="ABC272" s="0" t="n">
        <v>0</v>
      </c>
      <c r="ABN272" s="18"/>
      <c r="ACF272" s="0" t="n">
        <v>0</v>
      </c>
      <c r="ADQ272" s="16" t="n">
        <v>2.43</v>
      </c>
      <c r="ADR272" s="16" t="n">
        <v>1</v>
      </c>
      <c r="ADS272" s="16" t="n">
        <v>2</v>
      </c>
      <c r="ADT272" s="16"/>
      <c r="ADU272" s="16" t="n">
        <f aca="false">8.46+0.21+0.37</f>
        <v>9.04</v>
      </c>
      <c r="ADV272" s="16"/>
      <c r="ADW272" s="16"/>
      <c r="ADX272" s="16"/>
      <c r="ADY272" s="16"/>
      <c r="ADZ272" s="16"/>
      <c r="AEA272" s="16"/>
      <c r="AEB272" s="16" t="n">
        <v>9.41</v>
      </c>
      <c r="AEC272" s="16" t="n">
        <v>22.76</v>
      </c>
      <c r="AED272" s="16"/>
      <c r="AEE272" s="16"/>
      <c r="AEF272" s="16" t="n">
        <v>0</v>
      </c>
      <c r="AEG272" s="16" t="n">
        <v>0</v>
      </c>
      <c r="AEH272" s="16" t="n">
        <v>0</v>
      </c>
      <c r="AEI272" s="0" t="n">
        <v>0</v>
      </c>
      <c r="AEJ272" s="0" t="s">
        <v>457</v>
      </c>
      <c r="AEK272" s="0" t="n">
        <v>21</v>
      </c>
      <c r="AEL272" s="16" t="n">
        <v>68.8</v>
      </c>
      <c r="AEM272" s="16" t="n">
        <v>80.4</v>
      </c>
      <c r="AEN272" s="16" t="n">
        <v>11.1</v>
      </c>
      <c r="AEO272" s="0" t="n">
        <v>92.71</v>
      </c>
      <c r="AEP272" s="0" t="n">
        <v>0</v>
      </c>
      <c r="AEQ272" s="0" t="n">
        <v>0</v>
      </c>
      <c r="AER272" s="0" t="n">
        <v>0</v>
      </c>
      <c r="AES272" s="0" t="n">
        <v>7.29</v>
      </c>
      <c r="AET272" s="0" t="n">
        <v>0</v>
      </c>
      <c r="AEU272" s="0" t="n">
        <v>0</v>
      </c>
      <c r="AEV272" s="0" t="n">
        <v>0</v>
      </c>
      <c r="AEW272" s="0" t="n">
        <v>0</v>
      </c>
      <c r="AEX272" s="0" t="n">
        <v>0</v>
      </c>
      <c r="AEY272" s="0" t="n">
        <v>0</v>
      </c>
      <c r="AEZ272" s="0" t="n">
        <v>0</v>
      </c>
      <c r="AFA272" s="0" t="n">
        <v>0</v>
      </c>
      <c r="AFB272" s="0" t="n">
        <v>2.43</v>
      </c>
      <c r="AFC272" s="0" t="n">
        <v>9.89</v>
      </c>
      <c r="AFD272" s="0" t="n">
        <v>0</v>
      </c>
      <c r="AFE272" s="0" t="n">
        <v>0</v>
      </c>
      <c r="AFF272" s="0" t="n">
        <v>0</v>
      </c>
      <c r="AFS272" s="0" t="n">
        <v>1</v>
      </c>
      <c r="AFT272" s="0" t="n">
        <v>1</v>
      </c>
      <c r="AFU272" s="0" t="n">
        <v>68</v>
      </c>
      <c r="AFV272" s="0" t="n">
        <v>7</v>
      </c>
      <c r="AFW272" s="0" t="n">
        <f aca="false">0.05+0.03+0.27+0.03</f>
        <v>0.38</v>
      </c>
      <c r="AFX272" s="0" t="n">
        <v>1</v>
      </c>
      <c r="AGE272" s="18"/>
      <c r="AGW272" s="0" t="n">
        <v>0</v>
      </c>
      <c r="AIH272" s="16" t="n">
        <v>0.67</v>
      </c>
      <c r="AII272" s="16" t="n">
        <v>1</v>
      </c>
      <c r="AIJ272" s="16" t="n">
        <v>2</v>
      </c>
      <c r="AIK272" s="16"/>
      <c r="AIL272" s="16" t="n">
        <f aca="false">0.28*2</f>
        <v>0.56</v>
      </c>
      <c r="AIM272" s="16"/>
      <c r="AIN272" s="16"/>
      <c r="AIO272" s="16"/>
      <c r="AIP272" s="16"/>
      <c r="AIQ272" s="16"/>
      <c r="AIR272" s="16"/>
      <c r="AIS272" s="16" t="n">
        <v>7.38</v>
      </c>
      <c r="AIT272" s="16" t="n">
        <v>10.32</v>
      </c>
      <c r="AIU272" s="16"/>
      <c r="AIV272" s="16"/>
      <c r="AIW272" s="16" t="n">
        <v>0</v>
      </c>
      <c r="AIX272" s="16" t="n">
        <v>0</v>
      </c>
      <c r="AIY272" s="16" t="n">
        <v>0</v>
      </c>
      <c r="AIZ272" s="0" t="n">
        <v>0</v>
      </c>
      <c r="AJA272" s="0" t="s">
        <v>451</v>
      </c>
      <c r="AJB272" s="0" t="n">
        <v>48.5</v>
      </c>
      <c r="AJC272" s="16" t="n">
        <v>83.8</v>
      </c>
      <c r="AJD272" s="16" t="n">
        <v>80.4</v>
      </c>
      <c r="AJE272" s="16" t="n">
        <v>34.3</v>
      </c>
      <c r="AJF272" s="0" t="n">
        <v>70.08</v>
      </c>
      <c r="AJG272" s="0" t="n">
        <v>0</v>
      </c>
      <c r="AJH272" s="0" t="n">
        <v>18.24</v>
      </c>
      <c r="AJI272" s="0" t="n">
        <v>1.05</v>
      </c>
      <c r="AJJ272" s="0" t="n">
        <v>1.14</v>
      </c>
      <c r="AJK272" s="0" t="n">
        <v>0</v>
      </c>
      <c r="AJL272" s="0" t="n">
        <v>0</v>
      </c>
      <c r="AJM272" s="0" t="n">
        <v>0</v>
      </c>
      <c r="AJN272" s="0" t="n">
        <v>0</v>
      </c>
      <c r="AJO272" s="0" t="n">
        <v>0</v>
      </c>
      <c r="AJP272" s="0" t="n">
        <v>0</v>
      </c>
      <c r="AJQ272" s="0" t="n">
        <v>19.39</v>
      </c>
      <c r="AJR272" s="0" t="n">
        <v>3.64</v>
      </c>
      <c r="AJS272" s="0" t="n">
        <v>13.61</v>
      </c>
      <c r="AJT272" s="0" t="n">
        <v>5.23</v>
      </c>
      <c r="AJU272" s="0" t="n">
        <v>9.49</v>
      </c>
      <c r="AJV272" s="0" t="n">
        <v>2.6</v>
      </c>
      <c r="AJW272" s="0" t="n">
        <v>2</v>
      </c>
      <c r="AJX272" s="0" t="n">
        <v>3</v>
      </c>
      <c r="AJY272" s="0" t="n">
        <v>1.01</v>
      </c>
      <c r="AKD272" s="0" t="n">
        <v>3</v>
      </c>
      <c r="AKE272" s="0" t="n">
        <v>1.01</v>
      </c>
      <c r="AKJ272" s="0" t="n">
        <v>1.7</v>
      </c>
      <c r="AKK272" s="0" t="n">
        <v>0</v>
      </c>
      <c r="AKV272" s="18"/>
      <c r="ALN272" s="0" t="n">
        <v>1</v>
      </c>
      <c r="ALO272" s="0" t="n">
        <v>60</v>
      </c>
      <c r="ALP272" s="0" t="n">
        <v>1</v>
      </c>
      <c r="ALQ272" s="0" t="n">
        <v>1.05</v>
      </c>
      <c r="ALR272" s="0" t="n">
        <v>1</v>
      </c>
    </row>
    <row r="273" customFormat="false" ht="13.8" hidden="false" customHeight="false" outlineLevel="0" collapsed="false">
      <c r="A273" s="1" t="s">
        <v>816</v>
      </c>
      <c r="B273" s="12" t="n">
        <v>42907</v>
      </c>
      <c r="C273" s="0" t="n">
        <v>2</v>
      </c>
      <c r="D273" s="13" t="n">
        <v>34862</v>
      </c>
      <c r="E273" s="12" t="n">
        <v>23272</v>
      </c>
      <c r="F273" s="14" t="n">
        <f aca="false">(B273-E273)/365.25</f>
        <v>53.7577002053388</v>
      </c>
      <c r="G273" s="14" t="n">
        <f aca="false">(B273-D273)/365.25</f>
        <v>22.0260095824778</v>
      </c>
      <c r="H273" s="19" t="s">
        <v>181</v>
      </c>
      <c r="I273" s="15" t="s">
        <v>817</v>
      </c>
      <c r="J273" s="15" t="s">
        <v>181</v>
      </c>
      <c r="K273" s="15" t="n">
        <v>8</v>
      </c>
      <c r="L273" s="19" t="n">
        <v>79</v>
      </c>
      <c r="M273" s="0" t="n">
        <v>1.81</v>
      </c>
      <c r="N273" s="16" t="n">
        <f aca="false">L273/(M273*M273)</f>
        <v>24.1140380330271</v>
      </c>
      <c r="O273" s="19" t="n">
        <v>0</v>
      </c>
      <c r="P273" s="19" t="n">
        <v>0</v>
      </c>
      <c r="Q273" s="19" t="n">
        <v>0</v>
      </c>
      <c r="R273" s="26" t="n">
        <v>0</v>
      </c>
      <c r="S273" s="26" t="n">
        <v>0</v>
      </c>
      <c r="T273" s="26" t="n">
        <v>0</v>
      </c>
      <c r="U273" s="19" t="n">
        <v>0</v>
      </c>
      <c r="V273" s="19" t="n">
        <v>0</v>
      </c>
      <c r="W273" s="19" t="n">
        <v>0</v>
      </c>
      <c r="X273" s="19" t="n">
        <v>0</v>
      </c>
      <c r="Y273" s="19" t="n">
        <v>1</v>
      </c>
      <c r="Z273" s="19" t="n">
        <v>3</v>
      </c>
      <c r="AA273" s="19" t="n">
        <v>30</v>
      </c>
      <c r="AB273" s="19" t="s">
        <v>818</v>
      </c>
      <c r="AC273" s="19" t="n">
        <v>0</v>
      </c>
      <c r="AD273" s="19" t="n">
        <v>0</v>
      </c>
      <c r="AE273" s="19" t="n">
        <v>0</v>
      </c>
      <c r="AF273" s="19" t="n">
        <v>0</v>
      </c>
      <c r="AG273" s="19" t="n">
        <v>0</v>
      </c>
      <c r="AH273" s="19" t="n">
        <v>0</v>
      </c>
      <c r="AI273" s="19" t="n">
        <v>2</v>
      </c>
      <c r="AJ273" s="19" t="n">
        <v>2</v>
      </c>
      <c r="AK273" s="19" t="n">
        <v>2</v>
      </c>
      <c r="AL273" s="19" t="n">
        <v>0</v>
      </c>
      <c r="AM273" s="19" t="n">
        <v>7</v>
      </c>
      <c r="AN273" s="19" t="n">
        <v>0</v>
      </c>
      <c r="AO273" s="19" t="n">
        <v>0</v>
      </c>
      <c r="AP273" s="19" t="n">
        <v>0</v>
      </c>
      <c r="AQ273" s="19" t="n">
        <v>0</v>
      </c>
      <c r="AR273" s="19" t="n">
        <v>0</v>
      </c>
      <c r="AS273" s="19" t="n">
        <v>0</v>
      </c>
      <c r="AT273" s="19" t="n">
        <v>0</v>
      </c>
      <c r="AU273" s="19" t="n">
        <v>0</v>
      </c>
      <c r="AV273" s="19" t="n">
        <v>0</v>
      </c>
      <c r="AW273" s="19" t="n">
        <v>0</v>
      </c>
      <c r="AX273" s="19" t="n">
        <v>0</v>
      </c>
      <c r="AY273" s="19" t="n">
        <v>0</v>
      </c>
      <c r="AZ273" s="19" t="n">
        <v>0</v>
      </c>
      <c r="BA273" s="19" t="n">
        <v>0</v>
      </c>
      <c r="BB273" s="19" t="n">
        <v>0</v>
      </c>
      <c r="BC273" s="19" t="n">
        <v>0</v>
      </c>
      <c r="BD273" s="19" t="n">
        <v>0</v>
      </c>
      <c r="BE273" s="19" t="n">
        <v>0</v>
      </c>
      <c r="BF273" s="19" t="n">
        <v>0</v>
      </c>
      <c r="BG273" s="19" t="n">
        <v>0</v>
      </c>
      <c r="BH273" s="19" t="n">
        <v>0</v>
      </c>
      <c r="BI273" s="19" t="n">
        <v>0</v>
      </c>
      <c r="BJ273" s="19" t="n">
        <v>0</v>
      </c>
      <c r="BK273" s="19" t="n">
        <v>0</v>
      </c>
      <c r="BL273" s="19" t="n">
        <v>0</v>
      </c>
      <c r="BM273" s="19" t="n">
        <v>0</v>
      </c>
      <c r="BN273" s="19" t="n">
        <v>0</v>
      </c>
      <c r="BO273" s="19" t="n">
        <v>0</v>
      </c>
      <c r="BP273" s="19" t="n">
        <v>0</v>
      </c>
      <c r="BQ273" s="19" t="n">
        <v>0</v>
      </c>
      <c r="BR273" s="19" t="n">
        <v>2</v>
      </c>
      <c r="BS273" s="19" t="n">
        <v>3</v>
      </c>
      <c r="BT273" s="19" t="n">
        <v>4</v>
      </c>
      <c r="BU273" s="19" t="n">
        <v>5</v>
      </c>
      <c r="BV273" s="19" t="n">
        <v>3</v>
      </c>
      <c r="BW273" s="19" t="n">
        <v>3</v>
      </c>
      <c r="BX273" s="19" t="n">
        <v>4</v>
      </c>
      <c r="BY273" s="19" t="n">
        <v>3</v>
      </c>
      <c r="BZ273" s="19" t="n">
        <v>3</v>
      </c>
      <c r="CA273" s="19" t="n">
        <v>5</v>
      </c>
      <c r="CB273" s="19" t="n">
        <v>5</v>
      </c>
      <c r="CC273" s="19" t="n">
        <v>5</v>
      </c>
      <c r="CD273" s="19" t="n">
        <v>4</v>
      </c>
      <c r="CE273" s="19" t="n">
        <v>5</v>
      </c>
      <c r="CF273" s="19" t="n">
        <v>5</v>
      </c>
      <c r="CG273" s="19" t="n">
        <v>5</v>
      </c>
      <c r="CH273" s="19" t="n">
        <v>5</v>
      </c>
      <c r="CI273" s="19" t="n">
        <v>5</v>
      </c>
      <c r="CJ273" s="19" t="n">
        <v>4</v>
      </c>
      <c r="CK273" s="19" t="n">
        <v>8</v>
      </c>
      <c r="CL273" s="0" t="s">
        <v>819</v>
      </c>
      <c r="CM273" s="0" t="n">
        <v>34.5</v>
      </c>
      <c r="CN273" s="16" t="n">
        <v>76.2</v>
      </c>
      <c r="CO273" s="16" t="n">
        <v>80.4</v>
      </c>
      <c r="CP273" s="16" t="n">
        <v>34.1</v>
      </c>
      <c r="CQ273" s="0" t="n">
        <v>70.97</v>
      </c>
      <c r="CR273" s="17" t="n">
        <v>0</v>
      </c>
      <c r="CS273" s="0" t="n">
        <v>11.02</v>
      </c>
      <c r="CT273" s="0" t="n">
        <v>18.01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U273" s="0" t="n">
        <v>0</v>
      </c>
      <c r="DV273" s="0" t="n">
        <v>0</v>
      </c>
      <c r="EG273" s="18"/>
      <c r="EY273" s="0" t="n">
        <v>0</v>
      </c>
      <c r="GJ273" s="16" t="n">
        <v>0</v>
      </c>
      <c r="GK273" s="16" t="n">
        <v>0</v>
      </c>
      <c r="GL273" s="16"/>
      <c r="GM273" s="16"/>
      <c r="GN273" s="16"/>
      <c r="GO273" s="16"/>
      <c r="GP273" s="16"/>
      <c r="GQ273" s="16"/>
      <c r="GR273" s="16"/>
      <c r="GS273" s="16"/>
      <c r="GT273" s="16"/>
      <c r="GU273" s="16" t="n">
        <v>0</v>
      </c>
      <c r="GV273" s="16" t="n">
        <v>0</v>
      </c>
      <c r="GW273" s="16"/>
      <c r="GX273" s="16"/>
      <c r="GY273" s="16" t="n">
        <v>0</v>
      </c>
      <c r="GZ273" s="16" t="n">
        <v>0</v>
      </c>
      <c r="HA273" s="16" t="n">
        <v>0</v>
      </c>
      <c r="HB273" s="0" t="n">
        <v>0</v>
      </c>
      <c r="HC273" s="0" t="s">
        <v>820</v>
      </c>
      <c r="HD273" s="0" t="n">
        <v>48.5</v>
      </c>
      <c r="HE273" s="16" t="n">
        <v>67.9</v>
      </c>
      <c r="HF273" s="16" t="n">
        <v>80.4</v>
      </c>
      <c r="HG273" s="16" t="n">
        <v>24.3</v>
      </c>
      <c r="HH273" s="0" t="n">
        <v>78.79</v>
      </c>
      <c r="HI273" s="17" t="n">
        <v>0</v>
      </c>
      <c r="HJ273" s="0" t="n">
        <v>11.74</v>
      </c>
      <c r="HK273" s="0" t="n">
        <v>9.47</v>
      </c>
      <c r="HL273" s="0" t="n">
        <v>0</v>
      </c>
      <c r="HM273" s="0" t="n">
        <v>0</v>
      </c>
      <c r="HN273" s="0" t="n">
        <v>0</v>
      </c>
      <c r="HO273" s="0" t="n">
        <v>0</v>
      </c>
      <c r="HP273" s="0" t="n">
        <v>0</v>
      </c>
      <c r="HQ273" s="0" t="n">
        <v>0</v>
      </c>
      <c r="HR273" s="0" t="n">
        <v>0</v>
      </c>
      <c r="HS273" s="0" t="n">
        <v>0</v>
      </c>
      <c r="HT273" s="0" t="n">
        <v>0</v>
      </c>
      <c r="HU273" s="0" t="n">
        <v>0</v>
      </c>
      <c r="HV273" s="0" t="n">
        <v>0</v>
      </c>
      <c r="HW273" s="0" t="n">
        <v>0</v>
      </c>
      <c r="HX273" s="0" t="n">
        <v>0</v>
      </c>
      <c r="HY273" s="0" t="n">
        <v>0</v>
      </c>
      <c r="IL273" s="0" t="n">
        <v>23.8</v>
      </c>
      <c r="IM273" s="0" t="n">
        <v>1</v>
      </c>
      <c r="IN273" s="0" t="n">
        <v>25</v>
      </c>
      <c r="IO273" s="0" t="n">
        <v>1</v>
      </c>
      <c r="IP273" s="0" t="n">
        <v>0.06</v>
      </c>
      <c r="IQ273" s="0" t="n">
        <v>2</v>
      </c>
      <c r="IR273" s="0" t="n">
        <v>47</v>
      </c>
      <c r="IS273" s="0" t="n">
        <v>4</v>
      </c>
      <c r="IT273" s="0" t="n">
        <f aca="false">1.52*2</f>
        <v>3.04</v>
      </c>
      <c r="IU273" s="0" t="n">
        <v>3</v>
      </c>
      <c r="IX273" s="18"/>
      <c r="JP273" s="0" t="n">
        <v>0</v>
      </c>
      <c r="LA273" s="16" t="n">
        <v>0</v>
      </c>
      <c r="LB273" s="16" t="n">
        <v>0</v>
      </c>
      <c r="LC273" s="16"/>
      <c r="LD273" s="16"/>
      <c r="LE273" s="16"/>
      <c r="LF273" s="16"/>
      <c r="LG273" s="16"/>
      <c r="LH273" s="16"/>
      <c r="LI273" s="16"/>
      <c r="LJ273" s="16"/>
      <c r="LK273" s="16"/>
      <c r="LL273" s="16" t="n">
        <v>0</v>
      </c>
      <c r="LM273" s="16" t="n">
        <v>0</v>
      </c>
      <c r="LN273" s="16"/>
      <c r="LO273" s="16"/>
      <c r="LP273" s="16" t="n">
        <v>0</v>
      </c>
      <c r="LQ273" s="16" t="n">
        <v>0</v>
      </c>
      <c r="LR273" s="16" t="n">
        <v>0</v>
      </c>
      <c r="LS273" s="0" t="n">
        <v>0</v>
      </c>
      <c r="LT273" s="0" t="s">
        <v>821</v>
      </c>
      <c r="LU273" s="0" t="n">
        <v>26.5</v>
      </c>
      <c r="LV273" s="16" t="n">
        <v>82.8</v>
      </c>
      <c r="LW273" s="16" t="n">
        <v>80.4</v>
      </c>
      <c r="LX273" s="16" t="n">
        <v>26.4</v>
      </c>
      <c r="LY273" s="0" t="n">
        <v>79.3</v>
      </c>
      <c r="LZ273" s="17" t="n">
        <v>0</v>
      </c>
      <c r="MA273" s="0" t="n">
        <v>5.17</v>
      </c>
      <c r="MB273" s="0" t="n">
        <v>15.52</v>
      </c>
      <c r="MC273" s="0" t="n">
        <v>0</v>
      </c>
      <c r="MD273" s="0" t="n">
        <v>0</v>
      </c>
      <c r="ME273" s="0" t="n">
        <v>0</v>
      </c>
      <c r="MF273" s="0" t="n">
        <v>0</v>
      </c>
      <c r="MG273" s="0" t="n">
        <v>0</v>
      </c>
      <c r="MH273" s="0" t="n">
        <v>0</v>
      </c>
      <c r="MI273" s="0" t="n">
        <v>0</v>
      </c>
      <c r="MJ273" s="0" t="n">
        <v>0</v>
      </c>
      <c r="MK273" s="0" t="n">
        <v>0</v>
      </c>
      <c r="ML273" s="0" t="n">
        <v>2.73</v>
      </c>
      <c r="MM273" s="0" t="n">
        <v>0</v>
      </c>
      <c r="MN273" s="0" t="n">
        <v>0</v>
      </c>
      <c r="MO273" s="0" t="n">
        <v>0</v>
      </c>
      <c r="MP273" s="0" t="n">
        <v>0</v>
      </c>
      <c r="NC273" s="0" t="n">
        <v>0</v>
      </c>
      <c r="ND273" s="0" t="n">
        <v>1</v>
      </c>
      <c r="NE273" s="0" t="n">
        <v>68</v>
      </c>
      <c r="NF273" s="0" t="n">
        <v>1</v>
      </c>
      <c r="NG273" s="0" t="n">
        <v>0.03</v>
      </c>
      <c r="NH273" s="0" t="n">
        <v>1</v>
      </c>
      <c r="NO273" s="18"/>
      <c r="OG273" s="0" t="n">
        <v>0</v>
      </c>
      <c r="PR273" s="16" t="n">
        <v>0</v>
      </c>
      <c r="PS273" s="16" t="n">
        <v>0</v>
      </c>
      <c r="PT273" s="16"/>
      <c r="PU273" s="16"/>
      <c r="PV273" s="16"/>
      <c r="PW273" s="16"/>
      <c r="PX273" s="16"/>
      <c r="PY273" s="16"/>
      <c r="PZ273" s="16"/>
      <c r="QA273" s="16"/>
      <c r="QB273" s="16"/>
      <c r="QC273" s="16" t="n">
        <v>0.1</v>
      </c>
      <c r="QD273" s="16" t="n">
        <v>0.9</v>
      </c>
      <c r="QE273" s="16"/>
      <c r="QF273" s="16"/>
      <c r="QG273" s="16" t="n">
        <v>0</v>
      </c>
      <c r="QH273" s="16" t="n">
        <v>0</v>
      </c>
      <c r="QI273" s="16" t="n">
        <v>0</v>
      </c>
      <c r="QJ273" s="0" t="n">
        <v>0</v>
      </c>
      <c r="QK273" s="0" t="s">
        <v>822</v>
      </c>
      <c r="QL273" s="0" t="n">
        <v>35</v>
      </c>
      <c r="QM273" s="16" t="n">
        <v>85.3</v>
      </c>
      <c r="QN273" s="16" t="n">
        <v>80.4</v>
      </c>
      <c r="QO273" s="16" t="n">
        <v>29.7</v>
      </c>
      <c r="QP273" s="0" t="n">
        <v>79.3</v>
      </c>
      <c r="QQ273" s="17" t="n">
        <v>0</v>
      </c>
      <c r="QR273" s="0" t="n">
        <v>5.17</v>
      </c>
      <c r="QS273" s="0" t="n">
        <v>15.52</v>
      </c>
      <c r="QT273" s="0" t="n">
        <v>0</v>
      </c>
      <c r="QU273" s="0" t="n">
        <v>0</v>
      </c>
      <c r="QV273" s="0" t="n">
        <v>0</v>
      </c>
      <c r="QW273" s="0" t="n">
        <v>0</v>
      </c>
      <c r="QX273" s="0" t="n">
        <v>0</v>
      </c>
      <c r="QY273" s="0" t="n">
        <v>0</v>
      </c>
      <c r="RA273" s="0" t="n">
        <v>0</v>
      </c>
      <c r="RB273" s="0" t="n">
        <v>0</v>
      </c>
      <c r="RC273" s="0" t="n">
        <v>7.06</v>
      </c>
      <c r="RD273" s="0" t="n">
        <v>3.79</v>
      </c>
      <c r="RE273" s="0" t="n">
        <v>0</v>
      </c>
      <c r="RF273" s="0" t="n">
        <v>0</v>
      </c>
      <c r="RG273" s="0" t="n">
        <v>1</v>
      </c>
      <c r="RH273" s="0" t="n">
        <v>2</v>
      </c>
      <c r="RJ273" s="0" t="n">
        <v>1</v>
      </c>
      <c r="RN273" s="0" t="n">
        <v>2</v>
      </c>
      <c r="RP273" s="0" t="n">
        <v>1</v>
      </c>
      <c r="RT273" s="0" t="n">
        <v>5</v>
      </c>
      <c r="RU273" s="0" t="n">
        <v>1</v>
      </c>
      <c r="RV273" s="0" t="n">
        <v>68</v>
      </c>
      <c r="RW273" s="0" t="n">
        <v>6</v>
      </c>
      <c r="RX273" s="0" t="n">
        <f aca="false">2.66+3.05</f>
        <v>5.71</v>
      </c>
      <c r="RY273" s="0" t="n">
        <v>1</v>
      </c>
      <c r="SF273" s="18"/>
      <c r="SX273" s="0" t="n">
        <v>0</v>
      </c>
      <c r="UI273" s="16" t="n">
        <v>0</v>
      </c>
      <c r="UJ273" s="16" t="n">
        <v>0</v>
      </c>
      <c r="UK273" s="16"/>
      <c r="UL273" s="16"/>
      <c r="UM273" s="16"/>
      <c r="UN273" s="16"/>
      <c r="UO273" s="16"/>
      <c r="UP273" s="16"/>
      <c r="UQ273" s="16"/>
      <c r="UR273" s="16"/>
      <c r="US273" s="16"/>
      <c r="UT273" s="16" t="n">
        <v>0</v>
      </c>
      <c r="UU273" s="16" t="n">
        <v>0</v>
      </c>
      <c r="UV273" s="16"/>
      <c r="UW273" s="16"/>
      <c r="UX273" s="16" t="n">
        <v>0</v>
      </c>
      <c r="UY273" s="16" t="n">
        <v>0</v>
      </c>
      <c r="UZ273" s="16" t="n">
        <v>0</v>
      </c>
      <c r="VA273" s="0" t="n">
        <v>0</v>
      </c>
      <c r="VB273" s="0" t="s">
        <v>823</v>
      </c>
      <c r="VC273" s="0" t="n">
        <v>36</v>
      </c>
      <c r="VD273" s="16" t="n">
        <v>57.6</v>
      </c>
      <c r="VE273" s="16" t="n">
        <v>80.4</v>
      </c>
      <c r="VF273" s="16" t="n">
        <v>19.2</v>
      </c>
      <c r="VG273" s="0" t="n">
        <v>83.43</v>
      </c>
      <c r="VH273" s="17" t="n">
        <v>0</v>
      </c>
      <c r="VI273" s="0" t="n">
        <v>0</v>
      </c>
      <c r="VJ273" s="0" t="n">
        <v>0</v>
      </c>
      <c r="VK273" s="0" t="n">
        <v>16.57</v>
      </c>
      <c r="VL273" s="0" t="n">
        <v>0</v>
      </c>
      <c r="VM273" s="0" t="n">
        <v>0</v>
      </c>
      <c r="VN273" s="0" t="n">
        <v>0</v>
      </c>
      <c r="VO273" s="0" t="n">
        <v>0</v>
      </c>
      <c r="VP273" s="0" t="n">
        <v>0</v>
      </c>
      <c r="VQ273" s="0" t="n">
        <v>0</v>
      </c>
      <c r="VR273" s="0" t="n">
        <v>0</v>
      </c>
      <c r="VS273" s="0" t="n">
        <v>0</v>
      </c>
      <c r="VT273" s="0" t="n">
        <v>3.13</v>
      </c>
      <c r="VU273" s="0" t="n">
        <v>18.98</v>
      </c>
      <c r="VV273" s="0" t="n">
        <v>0</v>
      </c>
      <c r="VW273" s="0" t="n">
        <v>0</v>
      </c>
      <c r="VX273" s="0" t="n">
        <v>0</v>
      </c>
      <c r="WK273" s="0" t="n">
        <v>0</v>
      </c>
      <c r="WL273" s="0" t="n">
        <v>1</v>
      </c>
      <c r="WM273" s="0" t="n">
        <v>10</v>
      </c>
      <c r="WN273" s="0" t="n">
        <v>1</v>
      </c>
      <c r="WO273" s="0" t="n">
        <v>1.3</v>
      </c>
      <c r="WP273" s="0" t="n">
        <v>5</v>
      </c>
      <c r="WW273" s="18"/>
      <c r="XO273" s="0" t="n">
        <v>0</v>
      </c>
      <c r="YZ273" s="16" t="n">
        <v>0</v>
      </c>
      <c r="ZA273" s="16" t="n">
        <v>0</v>
      </c>
      <c r="ZB273" s="16"/>
      <c r="ZC273" s="16"/>
      <c r="ZD273" s="16"/>
      <c r="ZE273" s="16"/>
      <c r="ZF273" s="16"/>
      <c r="ZG273" s="16"/>
      <c r="ZH273" s="16"/>
      <c r="ZI273" s="16"/>
      <c r="ZJ273" s="16"/>
      <c r="ZK273" s="16" t="n">
        <v>6.14</v>
      </c>
      <c r="ZL273" s="16" t="n">
        <v>13.2</v>
      </c>
      <c r="ZM273" s="16"/>
      <c r="ZN273" s="16"/>
      <c r="ZO273" s="16" t="n">
        <v>10</v>
      </c>
      <c r="ZP273" s="16" t="n">
        <v>8.19</v>
      </c>
      <c r="ZQ273" s="16" t="n">
        <v>0</v>
      </c>
      <c r="ZR273" s="0" t="n">
        <v>1</v>
      </c>
      <c r="ZS273" s="0" t="s">
        <v>824</v>
      </c>
      <c r="ZT273" s="0" t="n">
        <v>2.5</v>
      </c>
      <c r="ZU273" s="16" t="n">
        <v>89.5</v>
      </c>
      <c r="ZV273" s="16" t="n">
        <v>80.4</v>
      </c>
      <c r="ZW273" s="16" t="n">
        <v>2.2</v>
      </c>
      <c r="ZX273" s="0" t="n">
        <v>98.4</v>
      </c>
      <c r="ZY273" s="17" t="n">
        <v>0</v>
      </c>
      <c r="ZZ273" s="0" t="n">
        <v>0</v>
      </c>
      <c r="AAA273" s="0" t="n">
        <v>0</v>
      </c>
      <c r="AAB273" s="0" t="n">
        <v>0</v>
      </c>
      <c r="AAC273" s="0" t="n">
        <v>0</v>
      </c>
      <c r="AAD273" s="0" t="n">
        <v>0</v>
      </c>
      <c r="AAE273" s="0" t="n">
        <v>0</v>
      </c>
      <c r="AAF273" s="0" t="n">
        <v>0</v>
      </c>
      <c r="AAG273" s="0" t="n">
        <v>0</v>
      </c>
      <c r="AAH273" s="0" t="n">
        <v>0</v>
      </c>
      <c r="AAI273" s="0" t="n">
        <v>0</v>
      </c>
      <c r="AAJ273" s="0" t="n">
        <v>0</v>
      </c>
      <c r="AAK273" s="0" t="n">
        <v>0</v>
      </c>
      <c r="AAL273" s="0" t="n">
        <v>0</v>
      </c>
      <c r="AAM273" s="0" t="n">
        <v>0</v>
      </c>
      <c r="AAN273" s="0" t="n">
        <v>0</v>
      </c>
      <c r="AAO273" s="0" t="n">
        <v>0</v>
      </c>
      <c r="ABB273" s="0" t="n">
        <v>0</v>
      </c>
      <c r="ABC273" s="0" t="n">
        <v>0</v>
      </c>
      <c r="ABN273" s="18"/>
      <c r="ACF273" s="0" t="n">
        <v>0</v>
      </c>
      <c r="ADQ273" s="16" t="n">
        <v>0</v>
      </c>
      <c r="ADR273" s="16" t="n">
        <v>0</v>
      </c>
      <c r="ADS273" s="16"/>
      <c r="ADT273" s="16"/>
      <c r="ADU273" s="16"/>
      <c r="ADV273" s="16"/>
      <c r="ADW273" s="16"/>
      <c r="ADX273" s="16"/>
      <c r="ADY273" s="16"/>
      <c r="ADZ273" s="16"/>
      <c r="AEA273" s="16"/>
      <c r="AEB273" s="16" t="n">
        <v>0</v>
      </c>
      <c r="AEC273" s="16" t="n">
        <v>0</v>
      </c>
      <c r="AED273" s="16"/>
      <c r="AEE273" s="16"/>
      <c r="AEF273" s="16" t="n">
        <v>0</v>
      </c>
      <c r="AEG273" s="16" t="n">
        <v>0</v>
      </c>
      <c r="AEH273" s="16" t="n">
        <v>0</v>
      </c>
      <c r="AEI273" s="0" t="n">
        <v>0</v>
      </c>
      <c r="AEJ273" s="0" t="s">
        <v>825</v>
      </c>
      <c r="AEK273" s="0" t="n">
        <v>20</v>
      </c>
      <c r="AEL273" s="16" t="n">
        <v>86.3</v>
      </c>
      <c r="AEM273" s="16" t="n">
        <v>80.4</v>
      </c>
      <c r="AEN273" s="16" t="n">
        <v>9.4</v>
      </c>
      <c r="AEO273" s="0" t="n">
        <v>99.87</v>
      </c>
      <c r="AEP273" s="17" t="n">
        <v>0</v>
      </c>
      <c r="AEQ273" s="0" t="n">
        <v>0</v>
      </c>
      <c r="AER273" s="0" t="n">
        <v>0</v>
      </c>
      <c r="AES273" s="0" t="n">
        <v>0.13</v>
      </c>
      <c r="AET273" s="0" t="n">
        <v>0</v>
      </c>
      <c r="AEU273" s="0" t="n">
        <v>0</v>
      </c>
      <c r="AEV273" s="0" t="n">
        <v>0</v>
      </c>
      <c r="AEW273" s="0" t="n">
        <v>0</v>
      </c>
      <c r="AEX273" s="0" t="n">
        <v>0</v>
      </c>
      <c r="AEY273" s="0" t="n">
        <v>0</v>
      </c>
      <c r="AEZ273" s="0" t="n">
        <v>0</v>
      </c>
      <c r="AFA273" s="0" t="n">
        <v>0</v>
      </c>
      <c r="AFB273" s="0" t="n">
        <v>25.58</v>
      </c>
      <c r="AFC273" s="0" t="n">
        <v>13.58</v>
      </c>
      <c r="AFD273" s="0" t="n">
        <v>0</v>
      </c>
      <c r="AFE273" s="0" t="n">
        <v>0</v>
      </c>
      <c r="AFF273" s="0" t="n">
        <v>0</v>
      </c>
      <c r="AFS273" s="0" t="n">
        <v>4.2</v>
      </c>
      <c r="AFT273" s="0" t="n">
        <v>1</v>
      </c>
      <c r="AFU273" s="0" t="n">
        <v>68</v>
      </c>
      <c r="AFV273" s="0" t="n">
        <v>5</v>
      </c>
      <c r="AFW273" s="0" t="n">
        <f aca="false">0.4+2.28</f>
        <v>2.68</v>
      </c>
      <c r="AFX273" s="0" t="n">
        <v>1</v>
      </c>
      <c r="AGE273" s="18"/>
      <c r="AGW273" s="0" t="n">
        <v>0</v>
      </c>
      <c r="AIH273" s="16" t="n">
        <v>2.28</v>
      </c>
      <c r="AII273" s="16" t="n">
        <v>1</v>
      </c>
      <c r="AIJ273" s="16" t="n">
        <v>2</v>
      </c>
      <c r="AIK273" s="16"/>
      <c r="AIL273" s="16" t="n">
        <f aca="false">2.24+0.09+12.69</f>
        <v>15.02</v>
      </c>
      <c r="AIM273" s="16"/>
      <c r="AIN273" s="16"/>
      <c r="AIO273" s="16"/>
      <c r="AIP273" s="16"/>
      <c r="AIQ273" s="16"/>
      <c r="AIR273" s="16"/>
      <c r="AIS273" s="16" t="n">
        <v>0</v>
      </c>
      <c r="AIT273" s="16" t="n">
        <v>0</v>
      </c>
      <c r="AIU273" s="16"/>
      <c r="AIV273" s="16"/>
      <c r="AIW273" s="16" t="n">
        <v>3.73</v>
      </c>
      <c r="AIX273" s="16" t="n">
        <v>0.14</v>
      </c>
      <c r="AIY273" s="16" t="n">
        <v>0</v>
      </c>
      <c r="AIZ273" s="0" t="n">
        <v>0</v>
      </c>
      <c r="AJA273" s="15"/>
      <c r="AJB273" s="15"/>
      <c r="AJI273" s="15"/>
      <c r="AJJ273" s="15"/>
      <c r="AJQ273" s="15"/>
      <c r="AJR273" s="15"/>
      <c r="AJY273" s="15"/>
      <c r="AJZ273" s="15"/>
      <c r="AKG273" s="15"/>
      <c r="AKH273" s="15"/>
      <c r="AKO273" s="15"/>
      <c r="AKP273" s="15"/>
      <c r="AKW273" s="15"/>
      <c r="AKX273" s="15"/>
      <c r="ALE273" s="15"/>
      <c r="ALF273" s="15"/>
      <c r="ALM273" s="15"/>
      <c r="ALN273" s="15"/>
      <c r="ALU273" s="15"/>
      <c r="ALV273" s="15"/>
      <c r="AMC273" s="15"/>
      <c r="AMD273" s="15"/>
    </row>
    <row r="274" customFormat="false" ht="13.8" hidden="false" customHeight="false" outlineLevel="0" collapsed="false">
      <c r="A274" s="1" t="s">
        <v>826</v>
      </c>
      <c r="B274" s="12" t="n">
        <v>42902</v>
      </c>
      <c r="C274" s="0" t="n">
        <v>2</v>
      </c>
      <c r="D274" s="13" t="n">
        <v>35009</v>
      </c>
      <c r="E274" s="12" t="n">
        <v>27469</v>
      </c>
      <c r="F274" s="14" t="n">
        <f aca="false">(B274-E274)/365.25</f>
        <v>42.2532511978097</v>
      </c>
      <c r="G274" s="14" t="n">
        <f aca="false">(B274-D274)/365.25</f>
        <v>21.6098562628337</v>
      </c>
      <c r="H274" s="19" t="s">
        <v>181</v>
      </c>
      <c r="I274" s="15" t="s">
        <v>817</v>
      </c>
      <c r="J274" s="15" t="s">
        <v>181</v>
      </c>
      <c r="K274" s="15" t="n">
        <v>8</v>
      </c>
      <c r="L274" s="19" t="n">
        <v>70</v>
      </c>
      <c r="M274" s="0" t="n">
        <v>1.75</v>
      </c>
      <c r="N274" s="16" t="n">
        <f aca="false">L274/(M274*M274)</f>
        <v>22.8571428571429</v>
      </c>
      <c r="O274" s="19" t="n">
        <v>0</v>
      </c>
      <c r="P274" s="19" t="n">
        <v>0</v>
      </c>
      <c r="Q274" s="19" t="n">
        <v>0</v>
      </c>
      <c r="R274" s="26" t="n">
        <v>0</v>
      </c>
      <c r="S274" s="26" t="n">
        <v>0</v>
      </c>
      <c r="T274" s="26" t="n">
        <v>0</v>
      </c>
      <c r="U274" s="19" t="n">
        <v>0</v>
      </c>
      <c r="V274" s="19" t="n">
        <v>0</v>
      </c>
      <c r="W274" s="19" t="n">
        <v>0</v>
      </c>
      <c r="X274" s="19" t="n">
        <v>0</v>
      </c>
      <c r="Y274" s="19" t="n">
        <v>1</v>
      </c>
      <c r="Z274" s="19" t="n">
        <v>2</v>
      </c>
      <c r="AA274" s="19" t="n">
        <v>30</v>
      </c>
      <c r="AB274" s="19" t="s">
        <v>484</v>
      </c>
      <c r="AC274" s="19" t="n">
        <v>1</v>
      </c>
      <c r="AD274" s="19" t="n">
        <v>15</v>
      </c>
      <c r="AE274" s="19" t="n">
        <v>0</v>
      </c>
      <c r="AF274" s="19" t="n">
        <v>0</v>
      </c>
      <c r="AG274" s="19" t="n">
        <v>0</v>
      </c>
      <c r="AH274" s="19" t="n">
        <v>0</v>
      </c>
      <c r="AI274" s="19" t="n">
        <v>0</v>
      </c>
      <c r="AJ274" s="19" t="n">
        <v>0</v>
      </c>
      <c r="AK274" s="19" t="n">
        <v>0</v>
      </c>
      <c r="AL274" s="19" t="n">
        <v>0</v>
      </c>
      <c r="AM274" s="19"/>
      <c r="AN274" s="19" t="n">
        <v>0</v>
      </c>
      <c r="AO274" s="19" t="n">
        <v>0</v>
      </c>
      <c r="AP274" s="19" t="n">
        <v>0</v>
      </c>
      <c r="AQ274" s="19" t="n">
        <v>0</v>
      </c>
      <c r="AR274" s="19" t="n">
        <v>0</v>
      </c>
      <c r="AS274" s="19" t="n">
        <v>0</v>
      </c>
      <c r="AT274" s="19" t="n">
        <v>0</v>
      </c>
      <c r="AU274" s="19" t="n">
        <v>0</v>
      </c>
      <c r="AV274" s="19" t="n">
        <v>0</v>
      </c>
      <c r="AW274" s="19" t="n">
        <v>0</v>
      </c>
      <c r="AX274" s="19" t="n">
        <v>0</v>
      </c>
      <c r="AY274" s="19" t="n">
        <v>0</v>
      </c>
      <c r="AZ274" s="19" t="n">
        <v>0</v>
      </c>
      <c r="BA274" s="19" t="n">
        <v>0</v>
      </c>
      <c r="BB274" s="19" t="n">
        <v>0</v>
      </c>
      <c r="BC274" s="19" t="n">
        <v>0</v>
      </c>
      <c r="BD274" s="19" t="n">
        <v>0</v>
      </c>
      <c r="BE274" s="19" t="n">
        <v>0</v>
      </c>
      <c r="BF274" s="19" t="n">
        <v>0</v>
      </c>
      <c r="BG274" s="19" t="n">
        <v>0</v>
      </c>
      <c r="BH274" s="19" t="n">
        <v>0</v>
      </c>
      <c r="BI274" s="19" t="n">
        <v>0</v>
      </c>
      <c r="BJ274" s="19" t="n">
        <v>0</v>
      </c>
      <c r="BK274" s="19" t="n">
        <v>0</v>
      </c>
      <c r="BL274" s="19" t="n">
        <v>0</v>
      </c>
      <c r="BM274" s="19" t="n">
        <v>0</v>
      </c>
      <c r="BN274" s="19" t="n">
        <v>0</v>
      </c>
      <c r="BO274" s="19" t="n">
        <v>0</v>
      </c>
      <c r="BP274" s="19" t="n">
        <v>0</v>
      </c>
      <c r="BQ274" s="19" t="n">
        <v>0</v>
      </c>
      <c r="BR274" s="19" t="n">
        <v>1</v>
      </c>
      <c r="BS274" s="19" t="n">
        <v>2</v>
      </c>
      <c r="BT274" s="19" t="n">
        <v>3</v>
      </c>
      <c r="BU274" s="19" t="n">
        <v>5</v>
      </c>
      <c r="BV274" s="19" t="n">
        <v>3</v>
      </c>
      <c r="BW274" s="19" t="n">
        <v>1</v>
      </c>
      <c r="BX274" s="19" t="n">
        <v>5</v>
      </c>
      <c r="BY274" s="19" t="n">
        <v>4</v>
      </c>
      <c r="BZ274" s="19" t="n">
        <v>5</v>
      </c>
      <c r="CA274" s="19" t="n">
        <v>5</v>
      </c>
      <c r="CB274" s="19" t="n">
        <v>5</v>
      </c>
      <c r="CC274" s="19" t="n">
        <v>5</v>
      </c>
      <c r="CD274" s="19" t="n">
        <v>3</v>
      </c>
      <c r="CE274" s="19" t="n">
        <v>5</v>
      </c>
      <c r="CF274" s="19" t="n">
        <v>5</v>
      </c>
      <c r="CG274" s="19" t="n">
        <v>5</v>
      </c>
      <c r="CH274" s="19" t="n">
        <v>5</v>
      </c>
      <c r="CI274" s="19" t="n">
        <v>5</v>
      </c>
      <c r="CJ274" s="19" t="n">
        <v>5</v>
      </c>
      <c r="CK274" s="19" t="n">
        <v>10</v>
      </c>
      <c r="CL274" s="0" t="s">
        <v>819</v>
      </c>
      <c r="CM274" s="0" t="n">
        <v>34.5</v>
      </c>
      <c r="CN274" s="16" t="n">
        <v>76.2</v>
      </c>
      <c r="CO274" s="16" t="n">
        <v>80.4</v>
      </c>
      <c r="CP274" s="16" t="n">
        <v>34.1</v>
      </c>
      <c r="CQ274" s="0" t="n">
        <v>70.97</v>
      </c>
      <c r="CR274" s="17" t="n">
        <v>0</v>
      </c>
      <c r="CS274" s="0" t="n">
        <v>11.02</v>
      </c>
      <c r="CT274" s="0" t="n">
        <v>18.01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U274" s="0" t="n">
        <v>0</v>
      </c>
      <c r="DV274" s="0" t="n">
        <v>0</v>
      </c>
      <c r="EG274" s="18"/>
      <c r="EY274" s="0" t="n">
        <v>0</v>
      </c>
      <c r="GJ274" s="16" t="n">
        <v>0</v>
      </c>
      <c r="GK274" s="16" t="n">
        <v>0</v>
      </c>
      <c r="GL274" s="16"/>
      <c r="GM274" s="16"/>
      <c r="GN274" s="16"/>
      <c r="GO274" s="16"/>
      <c r="GP274" s="16"/>
      <c r="GQ274" s="16"/>
      <c r="GR274" s="16"/>
      <c r="GS274" s="16"/>
      <c r="GT274" s="16"/>
      <c r="GU274" s="16" t="n">
        <v>0</v>
      </c>
      <c r="GV274" s="16" t="n">
        <v>0</v>
      </c>
      <c r="GW274" s="16"/>
      <c r="GX274" s="16"/>
      <c r="GY274" s="16" t="n">
        <v>0</v>
      </c>
      <c r="GZ274" s="16" t="n">
        <v>0</v>
      </c>
      <c r="HA274" s="16" t="n">
        <v>0</v>
      </c>
      <c r="HB274" s="0" t="n">
        <v>0</v>
      </c>
      <c r="HC274" s="0" t="s">
        <v>820</v>
      </c>
      <c r="HD274" s="0" t="n">
        <v>48.5</v>
      </c>
      <c r="HE274" s="16" t="n">
        <v>67.9</v>
      </c>
      <c r="HF274" s="16" t="n">
        <v>80.4</v>
      </c>
      <c r="HG274" s="16" t="n">
        <v>24.3</v>
      </c>
      <c r="HH274" s="0" t="n">
        <v>78.79</v>
      </c>
      <c r="HI274" s="17" t="n">
        <v>0</v>
      </c>
      <c r="HJ274" s="0" t="n">
        <v>11.74</v>
      </c>
      <c r="HK274" s="0" t="n">
        <v>9.47</v>
      </c>
      <c r="HL274" s="0" t="n">
        <v>0</v>
      </c>
      <c r="HM274" s="0" t="n">
        <v>0</v>
      </c>
      <c r="HN274" s="0" t="n">
        <v>0</v>
      </c>
      <c r="HO274" s="0" t="n">
        <v>0</v>
      </c>
      <c r="HP274" s="0" t="n">
        <v>0</v>
      </c>
      <c r="HQ274" s="0" t="n">
        <v>0</v>
      </c>
      <c r="HR274" s="0" t="n">
        <v>0</v>
      </c>
      <c r="HS274" s="0" t="n">
        <v>0</v>
      </c>
      <c r="HT274" s="0" t="n">
        <v>0</v>
      </c>
      <c r="HU274" s="0" t="n">
        <v>0</v>
      </c>
      <c r="HV274" s="0" t="n">
        <v>0</v>
      </c>
      <c r="HW274" s="0" t="n">
        <v>0</v>
      </c>
      <c r="HX274" s="0" t="n">
        <v>0</v>
      </c>
      <c r="HY274" s="0" t="n">
        <v>0</v>
      </c>
      <c r="IL274" s="0" t="n">
        <v>23.8</v>
      </c>
      <c r="IM274" s="0" t="n">
        <v>1</v>
      </c>
      <c r="IN274" s="0" t="n">
        <v>25</v>
      </c>
      <c r="IO274" s="0" t="n">
        <v>1</v>
      </c>
      <c r="IP274" s="0" t="n">
        <v>0.06</v>
      </c>
      <c r="IQ274" s="0" t="n">
        <v>2</v>
      </c>
      <c r="IR274" s="0" t="n">
        <v>47</v>
      </c>
      <c r="IS274" s="0" t="n">
        <v>4</v>
      </c>
      <c r="IT274" s="0" t="n">
        <f aca="false">1.52*2</f>
        <v>3.04</v>
      </c>
      <c r="IU274" s="0" t="n">
        <v>3</v>
      </c>
      <c r="IX274" s="18"/>
      <c r="JP274" s="0" t="n">
        <v>0</v>
      </c>
      <c r="LA274" s="16" t="n">
        <v>0</v>
      </c>
      <c r="LB274" s="16" t="n">
        <v>0</v>
      </c>
      <c r="LC274" s="16"/>
      <c r="LD274" s="16"/>
      <c r="LE274" s="16"/>
      <c r="LF274" s="16"/>
      <c r="LG274" s="16"/>
      <c r="LH274" s="16"/>
      <c r="LI274" s="16"/>
      <c r="LJ274" s="16"/>
      <c r="LK274" s="16"/>
      <c r="LL274" s="16" t="n">
        <v>0</v>
      </c>
      <c r="LM274" s="16" t="n">
        <v>0</v>
      </c>
      <c r="LN274" s="16"/>
      <c r="LO274" s="16"/>
      <c r="LP274" s="16" t="n">
        <v>0</v>
      </c>
      <c r="LQ274" s="16" t="n">
        <v>0</v>
      </c>
      <c r="LR274" s="16" t="n">
        <v>0</v>
      </c>
      <c r="LS274" s="0" t="n">
        <v>0</v>
      </c>
      <c r="LT274" s="0" t="s">
        <v>821</v>
      </c>
      <c r="LU274" s="0" t="n">
        <v>26.5</v>
      </c>
      <c r="LV274" s="16" t="n">
        <v>82.8</v>
      </c>
      <c r="LW274" s="16" t="n">
        <v>80.4</v>
      </c>
      <c r="LX274" s="16" t="n">
        <v>26.4</v>
      </c>
      <c r="LY274" s="0" t="n">
        <v>79.3</v>
      </c>
      <c r="LZ274" s="17" t="n">
        <v>0</v>
      </c>
      <c r="MA274" s="0" t="n">
        <v>5.17</v>
      </c>
      <c r="MB274" s="0" t="n">
        <v>15.52</v>
      </c>
      <c r="MC274" s="0" t="n">
        <v>0</v>
      </c>
      <c r="MD274" s="0" t="n">
        <v>0</v>
      </c>
      <c r="ME274" s="0" t="n">
        <v>0</v>
      </c>
      <c r="MF274" s="0" t="n">
        <v>0</v>
      </c>
      <c r="MG274" s="0" t="n">
        <v>0</v>
      </c>
      <c r="MH274" s="0" t="n">
        <v>0</v>
      </c>
      <c r="MI274" s="0" t="n">
        <v>0</v>
      </c>
      <c r="MJ274" s="0" t="n">
        <v>0</v>
      </c>
      <c r="MK274" s="0" t="n">
        <v>0</v>
      </c>
      <c r="ML274" s="0" t="n">
        <v>2.73</v>
      </c>
      <c r="MM274" s="0" t="n">
        <v>0</v>
      </c>
      <c r="MN274" s="0" t="n">
        <v>0</v>
      </c>
      <c r="MO274" s="0" t="n">
        <v>0</v>
      </c>
      <c r="MP274" s="0" t="n">
        <v>0</v>
      </c>
      <c r="NC274" s="0" t="n">
        <v>0</v>
      </c>
      <c r="ND274" s="0" t="n">
        <v>1</v>
      </c>
      <c r="NE274" s="0" t="n">
        <v>68</v>
      </c>
      <c r="NF274" s="0" t="n">
        <v>1</v>
      </c>
      <c r="NG274" s="0" t="n">
        <v>0.03</v>
      </c>
      <c r="NH274" s="0" t="n">
        <v>1</v>
      </c>
      <c r="NO274" s="18"/>
      <c r="OG274" s="0" t="n">
        <v>0</v>
      </c>
      <c r="PR274" s="16" t="n">
        <v>0</v>
      </c>
      <c r="PS274" s="16" t="n">
        <v>0</v>
      </c>
      <c r="PT274" s="16"/>
      <c r="PU274" s="16"/>
      <c r="PV274" s="16"/>
      <c r="PW274" s="16"/>
      <c r="PX274" s="16"/>
      <c r="PY274" s="16"/>
      <c r="PZ274" s="16"/>
      <c r="QA274" s="16"/>
      <c r="QB274" s="16"/>
      <c r="QC274" s="16" t="n">
        <v>0.1</v>
      </c>
      <c r="QD274" s="16" t="n">
        <v>0.9</v>
      </c>
      <c r="QE274" s="16"/>
      <c r="QF274" s="16"/>
      <c r="QG274" s="16" t="n">
        <v>0</v>
      </c>
      <c r="QH274" s="16" t="n">
        <v>0</v>
      </c>
      <c r="QI274" s="16" t="n">
        <v>0</v>
      </c>
      <c r="QJ274" s="0" t="n">
        <v>0</v>
      </c>
      <c r="QK274" s="0" t="s">
        <v>822</v>
      </c>
      <c r="QL274" s="0" t="n">
        <v>35</v>
      </c>
      <c r="QM274" s="16" t="n">
        <v>85.3</v>
      </c>
      <c r="QN274" s="16" t="n">
        <v>80.4</v>
      </c>
      <c r="QO274" s="16" t="n">
        <v>29.7</v>
      </c>
      <c r="QP274" s="0" t="n">
        <v>79.3</v>
      </c>
      <c r="QQ274" s="17" t="n">
        <v>0</v>
      </c>
      <c r="QR274" s="0" t="n">
        <v>5.17</v>
      </c>
      <c r="QS274" s="0" t="n">
        <v>15.52</v>
      </c>
      <c r="QT274" s="0" t="n">
        <v>0</v>
      </c>
      <c r="QU274" s="0" t="n">
        <v>0</v>
      </c>
      <c r="QV274" s="0" t="n">
        <v>0</v>
      </c>
      <c r="QW274" s="0" t="n">
        <v>0</v>
      </c>
      <c r="QX274" s="0" t="n">
        <v>0</v>
      </c>
      <c r="QY274" s="0" t="n">
        <v>0</v>
      </c>
      <c r="RA274" s="0" t="n">
        <v>0</v>
      </c>
      <c r="RB274" s="0" t="n">
        <v>0</v>
      </c>
      <c r="RC274" s="0" t="n">
        <v>7.06</v>
      </c>
      <c r="RD274" s="0" t="n">
        <v>3.79</v>
      </c>
      <c r="RE274" s="0" t="n">
        <v>0</v>
      </c>
      <c r="RF274" s="0" t="n">
        <v>0</v>
      </c>
      <c r="RG274" s="0" t="n">
        <v>1</v>
      </c>
      <c r="RH274" s="0" t="n">
        <v>2</v>
      </c>
      <c r="RJ274" s="0" t="n">
        <v>1</v>
      </c>
      <c r="RN274" s="0" t="n">
        <v>2</v>
      </c>
      <c r="RP274" s="0" t="n">
        <v>1</v>
      </c>
      <c r="RT274" s="0" t="n">
        <v>5</v>
      </c>
      <c r="RU274" s="0" t="n">
        <v>1</v>
      </c>
      <c r="RV274" s="0" t="n">
        <v>68</v>
      </c>
      <c r="RW274" s="0" t="n">
        <v>6</v>
      </c>
      <c r="RX274" s="0" t="n">
        <f aca="false">2.66+3.05</f>
        <v>5.71</v>
      </c>
      <c r="RY274" s="0" t="n">
        <v>1</v>
      </c>
      <c r="SF274" s="18"/>
      <c r="SX274" s="0" t="n">
        <v>0</v>
      </c>
      <c r="UI274" s="16" t="n">
        <v>0</v>
      </c>
      <c r="UJ274" s="16" t="n">
        <v>0</v>
      </c>
      <c r="UK274" s="16"/>
      <c r="UL274" s="16"/>
      <c r="UM274" s="16"/>
      <c r="UN274" s="16"/>
      <c r="UO274" s="16"/>
      <c r="UP274" s="16"/>
      <c r="UQ274" s="16"/>
      <c r="UR274" s="16"/>
      <c r="US274" s="16"/>
      <c r="UT274" s="16" t="n">
        <v>0</v>
      </c>
      <c r="UU274" s="16" t="n">
        <v>0</v>
      </c>
      <c r="UV274" s="16"/>
      <c r="UW274" s="16"/>
      <c r="UX274" s="16" t="n">
        <v>0</v>
      </c>
      <c r="UY274" s="16" t="n">
        <v>0</v>
      </c>
      <c r="UZ274" s="16" t="n">
        <v>0</v>
      </c>
      <c r="VA274" s="0" t="n">
        <v>0</v>
      </c>
      <c r="VB274" s="0" t="s">
        <v>823</v>
      </c>
      <c r="VC274" s="0" t="n">
        <v>36</v>
      </c>
      <c r="VD274" s="16" t="n">
        <v>57.6</v>
      </c>
      <c r="VE274" s="16" t="n">
        <v>80.4</v>
      </c>
      <c r="VF274" s="16" t="n">
        <v>19.2</v>
      </c>
      <c r="VG274" s="0" t="n">
        <v>83.43</v>
      </c>
      <c r="VH274" s="17" t="n">
        <v>0</v>
      </c>
      <c r="VI274" s="0" t="n">
        <v>0</v>
      </c>
      <c r="VJ274" s="0" t="n">
        <v>0</v>
      </c>
      <c r="VK274" s="0" t="n">
        <v>16.57</v>
      </c>
      <c r="VL274" s="0" t="n">
        <v>0</v>
      </c>
      <c r="VM274" s="0" t="n">
        <v>0</v>
      </c>
      <c r="VN274" s="0" t="n">
        <v>0</v>
      </c>
      <c r="VO274" s="0" t="n">
        <v>0</v>
      </c>
      <c r="VP274" s="0" t="n">
        <v>0</v>
      </c>
      <c r="VQ274" s="0" t="n">
        <v>0</v>
      </c>
      <c r="VR274" s="0" t="n">
        <v>0</v>
      </c>
      <c r="VS274" s="0" t="n">
        <v>0</v>
      </c>
      <c r="VT274" s="0" t="n">
        <v>3.13</v>
      </c>
      <c r="VU274" s="0" t="n">
        <v>18.98</v>
      </c>
      <c r="VV274" s="0" t="n">
        <v>0</v>
      </c>
      <c r="VW274" s="0" t="n">
        <v>0</v>
      </c>
      <c r="VX274" s="0" t="n">
        <v>0</v>
      </c>
      <c r="WK274" s="0" t="n">
        <v>0</v>
      </c>
      <c r="WL274" s="0" t="n">
        <v>1</v>
      </c>
      <c r="WM274" s="0" t="n">
        <v>10</v>
      </c>
      <c r="WN274" s="0" t="n">
        <v>1</v>
      </c>
      <c r="WO274" s="0" t="n">
        <v>1.3</v>
      </c>
      <c r="WP274" s="0" t="n">
        <v>5</v>
      </c>
      <c r="WW274" s="18"/>
      <c r="XO274" s="0" t="n">
        <v>0</v>
      </c>
      <c r="YZ274" s="16" t="n">
        <v>0</v>
      </c>
      <c r="ZA274" s="16" t="n">
        <v>0</v>
      </c>
      <c r="ZB274" s="16"/>
      <c r="ZC274" s="16"/>
      <c r="ZD274" s="16"/>
      <c r="ZE274" s="16"/>
      <c r="ZF274" s="16"/>
      <c r="ZG274" s="16"/>
      <c r="ZH274" s="16"/>
      <c r="ZI274" s="16"/>
      <c r="ZJ274" s="16"/>
      <c r="ZK274" s="16" t="n">
        <v>6.14</v>
      </c>
      <c r="ZL274" s="16" t="n">
        <v>13.2</v>
      </c>
      <c r="ZM274" s="16"/>
      <c r="ZN274" s="16"/>
      <c r="ZO274" s="16" t="n">
        <v>10</v>
      </c>
      <c r="ZP274" s="16" t="n">
        <v>8.19</v>
      </c>
      <c r="ZQ274" s="16" t="n">
        <v>0</v>
      </c>
      <c r="ZR274" s="0" t="n">
        <v>1</v>
      </c>
      <c r="ZS274" s="0" t="s">
        <v>824</v>
      </c>
      <c r="ZT274" s="0" t="n">
        <v>2.5</v>
      </c>
      <c r="ZU274" s="16" t="n">
        <v>89.5</v>
      </c>
      <c r="ZV274" s="16" t="n">
        <v>80.4</v>
      </c>
      <c r="ZW274" s="16" t="n">
        <v>2.2</v>
      </c>
      <c r="ZX274" s="0" t="n">
        <v>98.4</v>
      </c>
      <c r="ZY274" s="17" t="n">
        <v>0</v>
      </c>
      <c r="ZZ274" s="0" t="n">
        <v>0</v>
      </c>
      <c r="AAA274" s="0" t="n">
        <v>0</v>
      </c>
      <c r="AAB274" s="0" t="n">
        <v>0</v>
      </c>
      <c r="AAC274" s="0" t="n">
        <v>0</v>
      </c>
      <c r="AAD274" s="0" t="n">
        <v>0</v>
      </c>
      <c r="AAE274" s="0" t="n">
        <v>0</v>
      </c>
      <c r="AAF274" s="0" t="n">
        <v>0</v>
      </c>
      <c r="AAG274" s="0" t="n">
        <v>0</v>
      </c>
      <c r="AAH274" s="0" t="n">
        <v>0</v>
      </c>
      <c r="AAI274" s="0" t="n">
        <v>0</v>
      </c>
      <c r="AAJ274" s="0" t="n">
        <v>0</v>
      </c>
      <c r="AAK274" s="0" t="n">
        <v>0</v>
      </c>
      <c r="AAL274" s="0" t="n">
        <v>0</v>
      </c>
      <c r="AAM274" s="0" t="n">
        <v>0</v>
      </c>
      <c r="AAN274" s="0" t="n">
        <v>0</v>
      </c>
      <c r="AAO274" s="0" t="n">
        <v>0</v>
      </c>
      <c r="ABB274" s="0" t="n">
        <v>0</v>
      </c>
      <c r="ABC274" s="0" t="n">
        <v>0</v>
      </c>
      <c r="ABN274" s="18"/>
      <c r="ACF274" s="0" t="n">
        <v>0</v>
      </c>
      <c r="ADQ274" s="16" t="n">
        <v>0</v>
      </c>
      <c r="ADR274" s="16" t="n">
        <v>0</v>
      </c>
      <c r="ADS274" s="16"/>
      <c r="ADT274" s="16"/>
      <c r="ADU274" s="16"/>
      <c r="ADV274" s="16"/>
      <c r="ADW274" s="16"/>
      <c r="ADX274" s="16"/>
      <c r="ADY274" s="16"/>
      <c r="ADZ274" s="16"/>
      <c r="AEA274" s="16"/>
      <c r="AEB274" s="16" t="n">
        <v>0</v>
      </c>
      <c r="AEC274" s="16" t="n">
        <v>0</v>
      </c>
      <c r="AED274" s="16"/>
      <c r="AEE274" s="16"/>
      <c r="AEF274" s="16" t="n">
        <v>0</v>
      </c>
      <c r="AEG274" s="16" t="n">
        <v>0</v>
      </c>
      <c r="AEH274" s="16" t="n">
        <v>0</v>
      </c>
      <c r="AEI274" s="0" t="n">
        <v>0</v>
      </c>
      <c r="AEJ274" s="0" t="s">
        <v>825</v>
      </c>
      <c r="AEK274" s="0" t="n">
        <v>20</v>
      </c>
      <c r="AEL274" s="16" t="n">
        <v>86.3</v>
      </c>
      <c r="AEM274" s="16" t="n">
        <v>80.4</v>
      </c>
      <c r="AEN274" s="16" t="n">
        <v>9.4</v>
      </c>
      <c r="AEO274" s="0" t="n">
        <v>99.87</v>
      </c>
      <c r="AEP274" s="17" t="n">
        <v>0</v>
      </c>
      <c r="AEQ274" s="0" t="n">
        <v>0</v>
      </c>
      <c r="AER274" s="0" t="n">
        <v>0</v>
      </c>
      <c r="AES274" s="0" t="n">
        <v>0.13</v>
      </c>
      <c r="AET274" s="0" t="n">
        <v>0</v>
      </c>
      <c r="AEU274" s="0" t="n">
        <v>0</v>
      </c>
      <c r="AEV274" s="0" t="n">
        <v>0</v>
      </c>
      <c r="AEW274" s="0" t="n">
        <v>0</v>
      </c>
      <c r="AEX274" s="0" t="n">
        <v>0</v>
      </c>
      <c r="AEY274" s="0" t="n">
        <v>0</v>
      </c>
      <c r="AEZ274" s="0" t="n">
        <v>0</v>
      </c>
      <c r="AFA274" s="0" t="n">
        <v>0</v>
      </c>
      <c r="AFB274" s="0" t="n">
        <v>25.58</v>
      </c>
      <c r="AFC274" s="0" t="n">
        <v>13.58</v>
      </c>
      <c r="AFD274" s="0" t="n">
        <v>0</v>
      </c>
      <c r="AFE274" s="0" t="n">
        <v>0</v>
      </c>
      <c r="AFF274" s="0" t="n">
        <v>0</v>
      </c>
      <c r="AFS274" s="0" t="n">
        <v>4.2</v>
      </c>
      <c r="AFT274" s="0" t="n">
        <v>1</v>
      </c>
      <c r="AFU274" s="0" t="n">
        <v>68</v>
      </c>
      <c r="AFV274" s="0" t="n">
        <v>5</v>
      </c>
      <c r="AFW274" s="0" t="n">
        <f aca="false">0.4+2.28</f>
        <v>2.68</v>
      </c>
      <c r="AFX274" s="0" t="n">
        <v>1</v>
      </c>
      <c r="AGE274" s="18"/>
      <c r="AGW274" s="0" t="n">
        <v>0</v>
      </c>
      <c r="AIH274" s="16" t="n">
        <v>2.28</v>
      </c>
      <c r="AII274" s="16" t="n">
        <v>1</v>
      </c>
      <c r="AIJ274" s="16" t="n">
        <v>2</v>
      </c>
      <c r="AIK274" s="16"/>
      <c r="AIL274" s="16" t="n">
        <f aca="false">2.24+0.09+12.69</f>
        <v>15.02</v>
      </c>
      <c r="AIM274" s="16"/>
      <c r="AIN274" s="16"/>
      <c r="AIO274" s="16"/>
      <c r="AIP274" s="16"/>
      <c r="AIQ274" s="16"/>
      <c r="AIR274" s="16"/>
      <c r="AIS274" s="16" t="n">
        <v>0</v>
      </c>
      <c r="AIT274" s="16" t="n">
        <v>0</v>
      </c>
      <c r="AIU274" s="16"/>
      <c r="AIV274" s="16"/>
      <c r="AIW274" s="16" t="n">
        <v>3.73</v>
      </c>
      <c r="AIX274" s="16" t="n">
        <v>0.14</v>
      </c>
      <c r="AIY274" s="16" t="n">
        <v>0</v>
      </c>
      <c r="AIZ274" s="0" t="n">
        <v>0</v>
      </c>
      <c r="AJA274" s="0" t="s">
        <v>827</v>
      </c>
      <c r="AJB274" s="0" t="n">
        <v>16</v>
      </c>
      <c r="AJC274" s="16" t="n">
        <v>71.6</v>
      </c>
      <c r="AJD274" s="16" t="n">
        <v>80.4</v>
      </c>
      <c r="AJE274" s="16" t="n">
        <v>9.8</v>
      </c>
      <c r="AJF274" s="0" t="n">
        <v>100</v>
      </c>
      <c r="AJG274" s="17" t="n">
        <v>0</v>
      </c>
      <c r="AJH274" s="0" t="n">
        <v>0</v>
      </c>
      <c r="AJI274" s="0" t="n">
        <v>0</v>
      </c>
      <c r="AJJ274" s="0" t="n">
        <v>0</v>
      </c>
      <c r="AJK274" s="0" t="n">
        <v>0</v>
      </c>
      <c r="AJL274" s="0" t="n">
        <v>0</v>
      </c>
      <c r="AJM274" s="0" t="n">
        <v>0</v>
      </c>
      <c r="AJN274" s="0" t="n">
        <v>0</v>
      </c>
      <c r="AJO274" s="0" t="n">
        <v>0</v>
      </c>
      <c r="AJP274" s="0" t="n">
        <v>0</v>
      </c>
      <c r="AJQ274" s="0" t="n">
        <v>0</v>
      </c>
      <c r="AJR274" s="0" t="n">
        <v>0</v>
      </c>
      <c r="AJS274" s="0" t="n">
        <v>16.12</v>
      </c>
      <c r="AJT274" s="0" t="n">
        <v>13.45</v>
      </c>
      <c r="AJU274" s="0" t="n">
        <v>0</v>
      </c>
      <c r="AJV274" s="0" t="n">
        <v>0</v>
      </c>
      <c r="AJW274" s="0" t="n">
        <v>0</v>
      </c>
      <c r="AKJ274" s="0" t="n">
        <v>3.9</v>
      </c>
      <c r="AKK274" s="0" t="n">
        <v>1</v>
      </c>
      <c r="AKL274" s="0" t="n">
        <v>68</v>
      </c>
      <c r="AKM274" s="0" t="n">
        <v>5</v>
      </c>
      <c r="AKN274" s="0" t="n">
        <f aca="false">0.4+2.28</f>
        <v>2.68</v>
      </c>
      <c r="AKO274" s="0" t="n">
        <v>1</v>
      </c>
      <c r="AKV274" s="18"/>
      <c r="ALN274" s="0" t="n">
        <v>0</v>
      </c>
    </row>
    <row r="275" customFormat="false" ht="13.8" hidden="false" customHeight="false" outlineLevel="0" collapsed="false">
      <c r="A275" s="1" t="s">
        <v>828</v>
      </c>
      <c r="B275" s="12" t="n">
        <v>42902</v>
      </c>
      <c r="C275" s="0" t="n">
        <v>2</v>
      </c>
      <c r="D275" s="13" t="n">
        <v>34809</v>
      </c>
      <c r="E275" s="12" t="n">
        <v>25012</v>
      </c>
      <c r="F275" s="14" t="n">
        <f aca="false">(B275-E275)/365.25</f>
        <v>48.9801505817933</v>
      </c>
      <c r="G275" s="14" t="n">
        <f aca="false">(B275-D275)/365.25</f>
        <v>22.1574264202601</v>
      </c>
      <c r="H275" s="19" t="s">
        <v>181</v>
      </c>
      <c r="I275" s="15" t="s">
        <v>817</v>
      </c>
      <c r="J275" s="15" t="s">
        <v>181</v>
      </c>
      <c r="K275" s="15" t="n">
        <v>8</v>
      </c>
      <c r="L275" s="19"/>
      <c r="M275" s="0" t="n">
        <v>1.77</v>
      </c>
      <c r="N275" s="16" t="n">
        <f aca="false">L275/(M275*M275)</f>
        <v>0</v>
      </c>
      <c r="O275" s="19" t="n">
        <v>0</v>
      </c>
      <c r="P275" s="19" t="n">
        <v>0</v>
      </c>
      <c r="Q275" s="19" t="n">
        <v>0</v>
      </c>
      <c r="R275" s="26" t="n">
        <v>0</v>
      </c>
      <c r="S275" s="26" t="n">
        <v>0</v>
      </c>
      <c r="T275" s="26" t="n">
        <v>0</v>
      </c>
      <c r="U275" s="19" t="n">
        <v>0</v>
      </c>
      <c r="V275" s="19" t="n">
        <v>0</v>
      </c>
      <c r="W275" s="19" t="n">
        <v>1</v>
      </c>
      <c r="X275" s="19" t="n">
        <v>1</v>
      </c>
      <c r="Y275" s="19" t="n">
        <v>0</v>
      </c>
      <c r="Z275" s="19" t="n">
        <v>0</v>
      </c>
      <c r="AA275" s="19" t="n">
        <v>0</v>
      </c>
      <c r="AB275" s="19" t="n">
        <v>0</v>
      </c>
      <c r="AC275" s="19" t="n">
        <v>1</v>
      </c>
      <c r="AD275" s="19" t="n">
        <v>20</v>
      </c>
      <c r="AE275" s="19" t="n">
        <v>1</v>
      </c>
      <c r="AF275" s="19" t="n">
        <v>0</v>
      </c>
      <c r="AG275" s="19" t="n">
        <v>1</v>
      </c>
      <c r="AH275" s="19" t="n">
        <v>4</v>
      </c>
      <c r="AI275" s="19" t="n">
        <v>3</v>
      </c>
      <c r="AJ275" s="19" t="n">
        <v>0</v>
      </c>
      <c r="AK275" s="19" t="n">
        <v>3</v>
      </c>
      <c r="AL275" s="19"/>
      <c r="AM275" s="19" t="n">
        <v>4</v>
      </c>
      <c r="AN275" s="19" t="n">
        <v>0</v>
      </c>
      <c r="AO275" s="19" t="n">
        <v>0</v>
      </c>
      <c r="AP275" s="19" t="n">
        <v>0</v>
      </c>
      <c r="AQ275" s="19" t="n">
        <v>0</v>
      </c>
      <c r="AR275" s="19" t="n">
        <v>0</v>
      </c>
      <c r="AS275" s="19" t="n">
        <v>0</v>
      </c>
      <c r="AT275" s="19" t="n">
        <v>0</v>
      </c>
      <c r="AU275" s="19" t="n">
        <v>0</v>
      </c>
      <c r="AV275" s="19" t="n">
        <v>0</v>
      </c>
      <c r="AW275" s="19" t="n">
        <v>0</v>
      </c>
      <c r="AX275" s="19" t="n">
        <v>0</v>
      </c>
      <c r="AY275" s="19" t="n">
        <v>0</v>
      </c>
      <c r="AZ275" s="19" t="n">
        <v>0</v>
      </c>
      <c r="BA275" s="19" t="n">
        <v>0</v>
      </c>
      <c r="BB275" s="19" t="n">
        <v>1</v>
      </c>
      <c r="BC275" s="19" t="n">
        <v>0</v>
      </c>
      <c r="BD275" s="19" t="n">
        <v>1</v>
      </c>
      <c r="BE275" s="19" t="n">
        <v>4</v>
      </c>
      <c r="BF275" s="19" t="n">
        <v>0</v>
      </c>
      <c r="BG275" s="19" t="n">
        <v>0</v>
      </c>
      <c r="BH275" s="19" t="n">
        <v>0</v>
      </c>
      <c r="BI275" s="19" t="n">
        <v>0</v>
      </c>
      <c r="BJ275" s="19" t="n">
        <v>0</v>
      </c>
      <c r="BK275" s="19" t="n">
        <v>0</v>
      </c>
      <c r="BL275" s="19" t="n">
        <v>0</v>
      </c>
      <c r="BM275" s="19" t="n">
        <v>0</v>
      </c>
      <c r="BN275" s="19" t="n">
        <v>0</v>
      </c>
      <c r="BO275" s="19" t="n">
        <v>0</v>
      </c>
      <c r="BP275" s="19" t="n">
        <v>0</v>
      </c>
      <c r="BQ275" s="19" t="n">
        <v>0</v>
      </c>
      <c r="BR275" s="19" t="n">
        <v>2</v>
      </c>
      <c r="BS275" s="19"/>
      <c r="BT275" s="19" t="n">
        <v>4</v>
      </c>
      <c r="BU275" s="19" t="n">
        <v>4</v>
      </c>
      <c r="BV275" s="19" t="n">
        <v>3</v>
      </c>
      <c r="BW275" s="19" t="n">
        <v>3</v>
      </c>
      <c r="BX275" s="19" t="n">
        <v>3</v>
      </c>
      <c r="BY275" s="19" t="n">
        <v>3</v>
      </c>
      <c r="BZ275" s="19" t="n">
        <v>2</v>
      </c>
      <c r="CA275" s="19" t="n">
        <v>3</v>
      </c>
      <c r="CB275" s="19" t="n">
        <v>3</v>
      </c>
      <c r="CC275" s="19" t="n">
        <v>4</v>
      </c>
      <c r="CD275" s="19" t="n">
        <v>3</v>
      </c>
      <c r="CE275" s="19" t="n">
        <v>3</v>
      </c>
      <c r="CF275" s="19" t="n">
        <v>4</v>
      </c>
      <c r="CG275" s="19" t="n">
        <v>4</v>
      </c>
      <c r="CH275" s="19" t="n">
        <v>3</v>
      </c>
      <c r="CI275" s="19" t="n">
        <v>3</v>
      </c>
      <c r="CJ275" s="19" t="n">
        <v>4</v>
      </c>
      <c r="CK275" s="19"/>
      <c r="CL275" s="0" t="s">
        <v>819</v>
      </c>
      <c r="CM275" s="0" t="n">
        <v>34.5</v>
      </c>
      <c r="CN275" s="16" t="n">
        <v>76.2</v>
      </c>
      <c r="CO275" s="16" t="n">
        <v>80.4</v>
      </c>
      <c r="CP275" s="16" t="n">
        <v>34.1</v>
      </c>
      <c r="CQ275" s="0" t="n">
        <v>70.97</v>
      </c>
      <c r="CR275" s="17" t="n">
        <v>0</v>
      </c>
      <c r="CS275" s="0" t="n">
        <v>11.02</v>
      </c>
      <c r="CT275" s="0" t="n">
        <v>18.01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U275" s="0" t="n">
        <v>0</v>
      </c>
      <c r="DV275" s="0" t="n">
        <v>0</v>
      </c>
      <c r="EG275" s="18"/>
      <c r="EY275" s="0" t="n">
        <v>0</v>
      </c>
      <c r="GJ275" s="16" t="n">
        <v>0</v>
      </c>
      <c r="GK275" s="16" t="n">
        <v>0</v>
      </c>
      <c r="GL275" s="16"/>
      <c r="GM275" s="16"/>
      <c r="GN275" s="16"/>
      <c r="GO275" s="16"/>
      <c r="GP275" s="16"/>
      <c r="GQ275" s="16"/>
      <c r="GR275" s="16"/>
      <c r="GS275" s="16"/>
      <c r="GT275" s="16"/>
      <c r="GU275" s="16" t="n">
        <v>0</v>
      </c>
      <c r="GV275" s="16" t="n">
        <v>0</v>
      </c>
      <c r="GW275" s="16"/>
      <c r="GX275" s="16"/>
      <c r="GY275" s="16" t="n">
        <v>0</v>
      </c>
      <c r="GZ275" s="16" t="n">
        <v>0</v>
      </c>
      <c r="HA275" s="16" t="n">
        <v>0</v>
      </c>
      <c r="HB275" s="0" t="n">
        <v>0</v>
      </c>
      <c r="HC275" s="0" t="s">
        <v>820</v>
      </c>
      <c r="HD275" s="0" t="n">
        <v>48.5</v>
      </c>
      <c r="HE275" s="16" t="n">
        <v>67.9</v>
      </c>
      <c r="HF275" s="16" t="n">
        <v>80.4</v>
      </c>
      <c r="HG275" s="16" t="n">
        <v>24.3</v>
      </c>
      <c r="HH275" s="0" t="n">
        <v>78.79</v>
      </c>
      <c r="HI275" s="17" t="n">
        <v>0</v>
      </c>
      <c r="HJ275" s="0" t="n">
        <v>11.74</v>
      </c>
      <c r="HK275" s="0" t="n">
        <v>9.47</v>
      </c>
      <c r="HL275" s="0" t="n">
        <v>0</v>
      </c>
      <c r="HM275" s="0" t="n">
        <v>0</v>
      </c>
      <c r="HN275" s="0" t="n">
        <v>0</v>
      </c>
      <c r="HO275" s="0" t="n">
        <v>0</v>
      </c>
      <c r="HP275" s="0" t="n">
        <v>0</v>
      </c>
      <c r="HQ275" s="0" t="n">
        <v>0</v>
      </c>
      <c r="HR275" s="0" t="n">
        <v>0</v>
      </c>
      <c r="HS275" s="0" t="n">
        <v>0</v>
      </c>
      <c r="HT275" s="0" t="n">
        <v>0</v>
      </c>
      <c r="HU275" s="0" t="n">
        <v>0</v>
      </c>
      <c r="HV275" s="0" t="n">
        <v>0</v>
      </c>
      <c r="HW275" s="0" t="n">
        <v>0</v>
      </c>
      <c r="HX275" s="0" t="n">
        <v>0</v>
      </c>
      <c r="HY275" s="0" t="n">
        <v>0</v>
      </c>
      <c r="IL275" s="0" t="n">
        <v>23.8</v>
      </c>
      <c r="IM275" s="0" t="n">
        <v>1</v>
      </c>
      <c r="IN275" s="0" t="n">
        <v>25</v>
      </c>
      <c r="IO275" s="0" t="n">
        <v>1</v>
      </c>
      <c r="IP275" s="0" t="n">
        <v>0.06</v>
      </c>
      <c r="IQ275" s="0" t="n">
        <v>2</v>
      </c>
      <c r="IR275" s="0" t="n">
        <v>47</v>
      </c>
      <c r="IS275" s="0" t="n">
        <v>4</v>
      </c>
      <c r="IT275" s="0" t="n">
        <f aca="false">1.52*2</f>
        <v>3.04</v>
      </c>
      <c r="IU275" s="0" t="n">
        <v>3</v>
      </c>
      <c r="IX275" s="18"/>
      <c r="JP275" s="0" t="n">
        <v>0</v>
      </c>
      <c r="LA275" s="16" t="n">
        <v>0</v>
      </c>
      <c r="LB275" s="16" t="n">
        <v>0</v>
      </c>
      <c r="LC275" s="16"/>
      <c r="LD275" s="16"/>
      <c r="LE275" s="16"/>
      <c r="LF275" s="16"/>
      <c r="LG275" s="16"/>
      <c r="LH275" s="16"/>
      <c r="LI275" s="16"/>
      <c r="LJ275" s="16"/>
      <c r="LK275" s="16"/>
      <c r="LL275" s="16" t="n">
        <v>0</v>
      </c>
      <c r="LM275" s="16" t="n">
        <v>0</v>
      </c>
      <c r="LN275" s="16"/>
      <c r="LO275" s="16"/>
      <c r="LP275" s="16" t="n">
        <v>0</v>
      </c>
      <c r="LQ275" s="16" t="n">
        <v>0</v>
      </c>
      <c r="LR275" s="16" t="n">
        <v>0</v>
      </c>
      <c r="LS275" s="0" t="n">
        <v>0</v>
      </c>
      <c r="LT275" s="0" t="s">
        <v>821</v>
      </c>
      <c r="LU275" s="0" t="n">
        <v>26.5</v>
      </c>
      <c r="LV275" s="16" t="n">
        <v>82.8</v>
      </c>
      <c r="LW275" s="16" t="n">
        <v>80.4</v>
      </c>
      <c r="LX275" s="16" t="n">
        <v>26.4</v>
      </c>
      <c r="LY275" s="0" t="n">
        <v>79.3</v>
      </c>
      <c r="LZ275" s="17" t="n">
        <v>0</v>
      </c>
      <c r="MA275" s="0" t="n">
        <v>5.17</v>
      </c>
      <c r="MB275" s="0" t="n">
        <v>15.52</v>
      </c>
      <c r="MC275" s="0" t="n">
        <v>0</v>
      </c>
      <c r="MD275" s="0" t="n">
        <v>0</v>
      </c>
      <c r="ME275" s="0" t="n">
        <v>0</v>
      </c>
      <c r="MF275" s="0" t="n">
        <v>0</v>
      </c>
      <c r="MG275" s="0" t="n">
        <v>0</v>
      </c>
      <c r="MH275" s="0" t="n">
        <v>0</v>
      </c>
      <c r="MI275" s="0" t="n">
        <v>0</v>
      </c>
      <c r="MJ275" s="0" t="n">
        <v>0</v>
      </c>
      <c r="MK275" s="0" t="n">
        <v>0</v>
      </c>
      <c r="ML275" s="0" t="n">
        <v>2.73</v>
      </c>
      <c r="MM275" s="0" t="n">
        <v>0</v>
      </c>
      <c r="MN275" s="0" t="n">
        <v>0</v>
      </c>
      <c r="MO275" s="0" t="n">
        <v>0</v>
      </c>
      <c r="MP275" s="0" t="n">
        <v>0</v>
      </c>
      <c r="NC275" s="0" t="n">
        <v>0</v>
      </c>
      <c r="ND275" s="0" t="n">
        <v>1</v>
      </c>
      <c r="NE275" s="0" t="n">
        <v>68</v>
      </c>
      <c r="NF275" s="0" t="n">
        <v>1</v>
      </c>
      <c r="NG275" s="0" t="n">
        <v>0.03</v>
      </c>
      <c r="NH275" s="0" t="n">
        <v>1</v>
      </c>
      <c r="NO275" s="18"/>
      <c r="OG275" s="0" t="n">
        <v>0</v>
      </c>
      <c r="PR275" s="16" t="n">
        <v>0</v>
      </c>
      <c r="PS275" s="16" t="n">
        <v>0</v>
      </c>
      <c r="PT275" s="16"/>
      <c r="PU275" s="16"/>
      <c r="PV275" s="16"/>
      <c r="PW275" s="16"/>
      <c r="PX275" s="16"/>
      <c r="PY275" s="16"/>
      <c r="PZ275" s="16"/>
      <c r="QA275" s="16"/>
      <c r="QB275" s="16"/>
      <c r="QC275" s="16" t="n">
        <v>0.1</v>
      </c>
      <c r="QD275" s="16" t="n">
        <v>0.9</v>
      </c>
      <c r="QE275" s="16"/>
      <c r="QF275" s="16"/>
      <c r="QG275" s="16" t="n">
        <v>0</v>
      </c>
      <c r="QH275" s="16" t="n">
        <v>0</v>
      </c>
      <c r="QI275" s="16" t="n">
        <v>0</v>
      </c>
      <c r="QJ275" s="0" t="n">
        <v>0</v>
      </c>
      <c r="QK275" s="0" t="s">
        <v>822</v>
      </c>
      <c r="QL275" s="0" t="n">
        <v>35</v>
      </c>
      <c r="QM275" s="16" t="n">
        <v>85.3</v>
      </c>
      <c r="QN275" s="16" t="n">
        <v>80.4</v>
      </c>
      <c r="QO275" s="16" t="n">
        <v>29.7</v>
      </c>
      <c r="QP275" s="0" t="n">
        <v>79.3</v>
      </c>
      <c r="QQ275" s="17" t="n">
        <v>0</v>
      </c>
      <c r="QR275" s="0" t="n">
        <v>5.17</v>
      </c>
      <c r="QS275" s="0" t="n">
        <v>15.52</v>
      </c>
      <c r="QT275" s="0" t="n">
        <v>0</v>
      </c>
      <c r="QU275" s="0" t="n">
        <v>0</v>
      </c>
      <c r="QV275" s="0" t="n">
        <v>0</v>
      </c>
      <c r="QW275" s="0" t="n">
        <v>0</v>
      </c>
      <c r="QX275" s="0" t="n">
        <v>0</v>
      </c>
      <c r="QY275" s="0" t="n">
        <v>0</v>
      </c>
      <c r="RA275" s="0" t="n">
        <v>0</v>
      </c>
      <c r="RB275" s="0" t="n">
        <v>0</v>
      </c>
      <c r="RC275" s="0" t="n">
        <v>7.06</v>
      </c>
      <c r="RD275" s="0" t="n">
        <v>3.79</v>
      </c>
      <c r="RE275" s="0" t="n">
        <v>0</v>
      </c>
      <c r="RF275" s="0" t="n">
        <v>0</v>
      </c>
      <c r="RG275" s="0" t="n">
        <v>1</v>
      </c>
      <c r="RH275" s="0" t="n">
        <v>2</v>
      </c>
      <c r="RJ275" s="0" t="n">
        <v>1</v>
      </c>
      <c r="RN275" s="0" t="n">
        <v>2</v>
      </c>
      <c r="RP275" s="0" t="n">
        <v>1</v>
      </c>
      <c r="RT275" s="0" t="n">
        <v>5</v>
      </c>
      <c r="RU275" s="0" t="n">
        <v>1</v>
      </c>
      <c r="RV275" s="0" t="n">
        <v>68</v>
      </c>
      <c r="RW275" s="0" t="n">
        <v>6</v>
      </c>
      <c r="RX275" s="0" t="n">
        <f aca="false">2.66+3.05</f>
        <v>5.71</v>
      </c>
      <c r="RY275" s="0" t="n">
        <v>1</v>
      </c>
      <c r="SF275" s="18"/>
      <c r="SX275" s="0" t="n">
        <v>0</v>
      </c>
      <c r="UI275" s="16" t="n">
        <v>0</v>
      </c>
      <c r="UJ275" s="16" t="n">
        <v>0</v>
      </c>
      <c r="UK275" s="16"/>
      <c r="UL275" s="16"/>
      <c r="UM275" s="16"/>
      <c r="UN275" s="16"/>
      <c r="UO275" s="16"/>
      <c r="UP275" s="16"/>
      <c r="UQ275" s="16"/>
      <c r="UR275" s="16"/>
      <c r="US275" s="16"/>
      <c r="UT275" s="16" t="n">
        <v>0</v>
      </c>
      <c r="UU275" s="16" t="n">
        <v>0</v>
      </c>
      <c r="UV275" s="16"/>
      <c r="UW275" s="16"/>
      <c r="UX275" s="16" t="n">
        <v>0</v>
      </c>
      <c r="UY275" s="16" t="n">
        <v>0</v>
      </c>
      <c r="UZ275" s="16" t="n">
        <v>0</v>
      </c>
      <c r="VA275" s="0" t="n">
        <v>0</v>
      </c>
      <c r="VB275" s="0" t="s">
        <v>823</v>
      </c>
      <c r="VC275" s="0" t="n">
        <v>36</v>
      </c>
      <c r="VD275" s="16" t="n">
        <v>57.6</v>
      </c>
      <c r="VE275" s="16" t="n">
        <v>80.4</v>
      </c>
      <c r="VF275" s="16" t="n">
        <v>19.2</v>
      </c>
      <c r="VG275" s="0" t="n">
        <v>83.43</v>
      </c>
      <c r="VH275" s="17" t="n">
        <v>0</v>
      </c>
      <c r="VI275" s="0" t="n">
        <v>0</v>
      </c>
      <c r="VJ275" s="0" t="n">
        <v>0</v>
      </c>
      <c r="VK275" s="0" t="n">
        <v>16.57</v>
      </c>
      <c r="VL275" s="0" t="n">
        <v>0</v>
      </c>
      <c r="VM275" s="0" t="n">
        <v>0</v>
      </c>
      <c r="VN275" s="0" t="n">
        <v>0</v>
      </c>
      <c r="VO275" s="0" t="n">
        <v>0</v>
      </c>
      <c r="VP275" s="0" t="n">
        <v>0</v>
      </c>
      <c r="VQ275" s="0" t="n">
        <v>0</v>
      </c>
      <c r="VR275" s="0" t="n">
        <v>0</v>
      </c>
      <c r="VS275" s="0" t="n">
        <v>0</v>
      </c>
      <c r="VT275" s="0" t="n">
        <v>3.13</v>
      </c>
      <c r="VU275" s="0" t="n">
        <v>18.98</v>
      </c>
      <c r="VV275" s="0" t="n">
        <v>0</v>
      </c>
      <c r="VW275" s="0" t="n">
        <v>0</v>
      </c>
      <c r="VX275" s="0" t="n">
        <v>0</v>
      </c>
      <c r="WK275" s="0" t="n">
        <v>0</v>
      </c>
      <c r="WL275" s="0" t="n">
        <v>1</v>
      </c>
      <c r="WM275" s="0" t="n">
        <v>10</v>
      </c>
      <c r="WN275" s="0" t="n">
        <v>1</v>
      </c>
      <c r="WO275" s="0" t="n">
        <v>1.3</v>
      </c>
      <c r="WP275" s="0" t="n">
        <v>5</v>
      </c>
      <c r="WW275" s="18"/>
      <c r="XO275" s="0" t="n">
        <v>0</v>
      </c>
      <c r="YZ275" s="16" t="n">
        <v>0</v>
      </c>
      <c r="ZA275" s="16" t="n">
        <v>0</v>
      </c>
      <c r="ZB275" s="16"/>
      <c r="ZC275" s="16"/>
      <c r="ZD275" s="16"/>
      <c r="ZE275" s="16"/>
      <c r="ZF275" s="16"/>
      <c r="ZG275" s="16"/>
      <c r="ZH275" s="16"/>
      <c r="ZI275" s="16"/>
      <c r="ZJ275" s="16"/>
      <c r="ZK275" s="16" t="n">
        <v>6.14</v>
      </c>
      <c r="ZL275" s="16" t="n">
        <v>13.2</v>
      </c>
      <c r="ZM275" s="16"/>
      <c r="ZN275" s="16"/>
      <c r="ZO275" s="16" t="n">
        <v>10</v>
      </c>
      <c r="ZP275" s="16" t="n">
        <v>8.19</v>
      </c>
      <c r="ZQ275" s="16" t="n">
        <v>0</v>
      </c>
      <c r="ZR275" s="0" t="n">
        <v>1</v>
      </c>
      <c r="ZS275" s="0" t="s">
        <v>824</v>
      </c>
      <c r="ZT275" s="0" t="n">
        <v>2.5</v>
      </c>
      <c r="ZU275" s="16" t="n">
        <v>89.5</v>
      </c>
      <c r="ZV275" s="16" t="n">
        <v>80.4</v>
      </c>
      <c r="ZW275" s="16" t="n">
        <v>2.2</v>
      </c>
      <c r="ZX275" s="0" t="n">
        <v>98.4</v>
      </c>
      <c r="ZY275" s="17" t="n">
        <v>0</v>
      </c>
      <c r="ZZ275" s="0" t="n">
        <v>0</v>
      </c>
      <c r="AAA275" s="0" t="n">
        <v>0</v>
      </c>
      <c r="AAB275" s="0" t="n">
        <v>0</v>
      </c>
      <c r="AAC275" s="0" t="n">
        <v>0</v>
      </c>
      <c r="AAD275" s="0" t="n">
        <v>0</v>
      </c>
      <c r="AAE275" s="0" t="n">
        <v>0</v>
      </c>
      <c r="AAF275" s="0" t="n">
        <v>0</v>
      </c>
      <c r="AAG275" s="0" t="n">
        <v>0</v>
      </c>
      <c r="AAH275" s="0" t="n">
        <v>0</v>
      </c>
      <c r="AAI275" s="0" t="n">
        <v>0</v>
      </c>
      <c r="AAJ275" s="0" t="n">
        <v>0</v>
      </c>
      <c r="AAK275" s="0" t="n">
        <v>0</v>
      </c>
      <c r="AAL275" s="0" t="n">
        <v>0</v>
      </c>
      <c r="AAM275" s="0" t="n">
        <v>0</v>
      </c>
      <c r="AAN275" s="0" t="n">
        <v>0</v>
      </c>
      <c r="AAO275" s="0" t="n">
        <v>0</v>
      </c>
      <c r="ABB275" s="0" t="n">
        <v>0</v>
      </c>
      <c r="ABC275" s="0" t="n">
        <v>0</v>
      </c>
      <c r="ABN275" s="18"/>
      <c r="ACF275" s="0" t="n">
        <v>0</v>
      </c>
      <c r="ADQ275" s="16" t="n">
        <v>0</v>
      </c>
      <c r="ADR275" s="16" t="n">
        <v>0</v>
      </c>
      <c r="ADS275" s="16"/>
      <c r="ADT275" s="16"/>
      <c r="ADU275" s="16"/>
      <c r="ADV275" s="16"/>
      <c r="ADW275" s="16"/>
      <c r="ADX275" s="16"/>
      <c r="ADY275" s="16"/>
      <c r="ADZ275" s="16"/>
      <c r="AEA275" s="16"/>
      <c r="AEB275" s="16" t="n">
        <v>0</v>
      </c>
      <c r="AEC275" s="16" t="n">
        <v>0</v>
      </c>
      <c r="AED275" s="16"/>
      <c r="AEE275" s="16"/>
      <c r="AEF275" s="16" t="n">
        <v>0</v>
      </c>
      <c r="AEG275" s="16" t="n">
        <v>0</v>
      </c>
      <c r="AEH275" s="16" t="n">
        <v>0</v>
      </c>
      <c r="AEI275" s="0" t="n">
        <v>0</v>
      </c>
      <c r="AEJ275" s="0" t="s">
        <v>825</v>
      </c>
      <c r="AEK275" s="0" t="n">
        <v>20</v>
      </c>
      <c r="AEL275" s="16" t="n">
        <v>86.3</v>
      </c>
      <c r="AEM275" s="16" t="n">
        <v>80.4</v>
      </c>
      <c r="AEN275" s="16" t="n">
        <v>9.4</v>
      </c>
      <c r="AEO275" s="0" t="n">
        <v>99.87</v>
      </c>
      <c r="AEP275" s="17" t="n">
        <v>0</v>
      </c>
      <c r="AEQ275" s="0" t="n">
        <v>0</v>
      </c>
      <c r="AER275" s="0" t="n">
        <v>0</v>
      </c>
      <c r="AES275" s="0" t="n">
        <v>0.13</v>
      </c>
      <c r="AET275" s="0" t="n">
        <v>0</v>
      </c>
      <c r="AEU275" s="0" t="n">
        <v>0</v>
      </c>
      <c r="AEV275" s="0" t="n">
        <v>0</v>
      </c>
      <c r="AEW275" s="0" t="n">
        <v>0</v>
      </c>
      <c r="AEX275" s="0" t="n">
        <v>0</v>
      </c>
      <c r="AEY275" s="0" t="n">
        <v>0</v>
      </c>
      <c r="AEZ275" s="0" t="n">
        <v>0</v>
      </c>
      <c r="AFA275" s="0" t="n">
        <v>0</v>
      </c>
      <c r="AFB275" s="0" t="n">
        <v>25.58</v>
      </c>
      <c r="AFC275" s="0" t="n">
        <v>13.58</v>
      </c>
      <c r="AFD275" s="0" t="n">
        <v>0</v>
      </c>
      <c r="AFE275" s="0" t="n">
        <v>0</v>
      </c>
      <c r="AFF275" s="0" t="n">
        <v>0</v>
      </c>
      <c r="AFS275" s="0" t="n">
        <v>4.2</v>
      </c>
      <c r="AFT275" s="0" t="n">
        <v>1</v>
      </c>
      <c r="AFU275" s="0" t="n">
        <v>68</v>
      </c>
      <c r="AFV275" s="0" t="n">
        <v>5</v>
      </c>
      <c r="AFW275" s="0" t="n">
        <f aca="false">0.4+2.28</f>
        <v>2.68</v>
      </c>
      <c r="AFX275" s="0" t="n">
        <v>1</v>
      </c>
      <c r="AGE275" s="18"/>
      <c r="AGW275" s="0" t="n">
        <v>0</v>
      </c>
      <c r="AIH275" s="16" t="n">
        <v>2.28</v>
      </c>
      <c r="AII275" s="16" t="n">
        <v>1</v>
      </c>
      <c r="AIJ275" s="16" t="n">
        <v>2</v>
      </c>
      <c r="AIK275" s="16"/>
      <c r="AIL275" s="16" t="n">
        <f aca="false">2.24+0.09+12.69</f>
        <v>15.02</v>
      </c>
      <c r="AIM275" s="16"/>
      <c r="AIN275" s="16"/>
      <c r="AIO275" s="16"/>
      <c r="AIP275" s="16"/>
      <c r="AIQ275" s="16"/>
      <c r="AIR275" s="16"/>
      <c r="AIS275" s="16" t="n">
        <v>0</v>
      </c>
      <c r="AIT275" s="16" t="n">
        <v>0</v>
      </c>
      <c r="AIU275" s="16"/>
      <c r="AIV275" s="16"/>
      <c r="AIW275" s="16" t="n">
        <v>3.73</v>
      </c>
      <c r="AIX275" s="16" t="n">
        <v>0.14</v>
      </c>
      <c r="AIY275" s="16" t="n">
        <v>0</v>
      </c>
      <c r="AIZ275" s="0" t="n">
        <v>0</v>
      </c>
      <c r="AJA275" s="0" t="s">
        <v>827</v>
      </c>
      <c r="AJB275" s="0" t="n">
        <v>16</v>
      </c>
      <c r="AJC275" s="16" t="n">
        <v>71.6</v>
      </c>
      <c r="AJD275" s="16" t="n">
        <v>80.4</v>
      </c>
      <c r="AJE275" s="16" t="n">
        <v>9.8</v>
      </c>
      <c r="AJF275" s="0" t="n">
        <v>100</v>
      </c>
      <c r="AJG275" s="17" t="n">
        <v>0</v>
      </c>
      <c r="AJH275" s="0" t="n">
        <v>0</v>
      </c>
      <c r="AJI275" s="0" t="n">
        <v>0</v>
      </c>
      <c r="AJJ275" s="0" t="n">
        <v>0</v>
      </c>
      <c r="AJK275" s="0" t="n">
        <v>0</v>
      </c>
      <c r="AJL275" s="0" t="n">
        <v>0</v>
      </c>
      <c r="AJM275" s="0" t="n">
        <v>0</v>
      </c>
      <c r="AJN275" s="0" t="n">
        <v>0</v>
      </c>
      <c r="AJO275" s="0" t="n">
        <v>0</v>
      </c>
      <c r="AJP275" s="0" t="n">
        <v>0</v>
      </c>
      <c r="AJQ275" s="0" t="n">
        <v>0</v>
      </c>
      <c r="AJR275" s="0" t="n">
        <v>0</v>
      </c>
      <c r="AJS275" s="0" t="n">
        <v>16.12</v>
      </c>
      <c r="AJT275" s="0" t="n">
        <v>13.45</v>
      </c>
      <c r="AJU275" s="0" t="n">
        <v>0</v>
      </c>
      <c r="AJV275" s="0" t="n">
        <v>0</v>
      </c>
      <c r="AJW275" s="0" t="n">
        <v>0</v>
      </c>
      <c r="AKJ275" s="0" t="n">
        <v>3.9</v>
      </c>
      <c r="AKK275" s="0" t="n">
        <v>1</v>
      </c>
      <c r="AKL275" s="0" t="n">
        <v>68</v>
      </c>
      <c r="AKM275" s="0" t="n">
        <v>5</v>
      </c>
      <c r="AKN275" s="0" t="n">
        <f aca="false">0.4+2.28</f>
        <v>2.68</v>
      </c>
      <c r="AKO275" s="0" t="n">
        <v>1</v>
      </c>
      <c r="AKV275" s="18"/>
      <c r="ALN275" s="0" t="n">
        <v>0</v>
      </c>
    </row>
    <row r="276" customFormat="false" ht="13.8" hidden="false" customHeight="false" outlineLevel="0" collapsed="false">
      <c r="A276" s="1" t="s">
        <v>829</v>
      </c>
      <c r="B276" s="12" t="n">
        <v>42886</v>
      </c>
      <c r="C276" s="0" t="n">
        <v>2</v>
      </c>
      <c r="D276" s="13" t="n">
        <v>35030</v>
      </c>
      <c r="E276" s="12" t="n">
        <v>23568</v>
      </c>
      <c r="F276" s="14" t="n">
        <f aca="false">(B276-E276)/365.25</f>
        <v>52.8898015058179</v>
      </c>
      <c r="G276" s="14" t="n">
        <f aca="false">(B276-D276)/365.25</f>
        <v>21.5085557837098</v>
      </c>
      <c r="H276" s="19" t="s">
        <v>181</v>
      </c>
      <c r="I276" s="15" t="s">
        <v>817</v>
      </c>
      <c r="J276" s="15" t="s">
        <v>181</v>
      </c>
      <c r="K276" s="15" t="n">
        <v>4</v>
      </c>
      <c r="L276" s="19" t="n">
        <v>97</v>
      </c>
      <c r="M276" s="0" t="n">
        <v>1.82</v>
      </c>
      <c r="N276" s="16" t="n">
        <f aca="false">L276/(M276*M276)</f>
        <v>29.2839029102765</v>
      </c>
      <c r="O276" s="19" t="n">
        <v>1</v>
      </c>
      <c r="P276" s="19" t="n">
        <v>1</v>
      </c>
      <c r="Q276" s="19" t="s">
        <v>295</v>
      </c>
      <c r="R276" s="26" t="n">
        <v>0</v>
      </c>
      <c r="S276" s="26" t="n">
        <v>0</v>
      </c>
      <c r="T276" s="26" t="n">
        <v>0</v>
      </c>
      <c r="U276" s="19" t="n">
        <v>0</v>
      </c>
      <c r="V276" s="19" t="n">
        <v>0</v>
      </c>
      <c r="W276" s="19" t="n">
        <v>0</v>
      </c>
      <c r="X276" s="19" t="n">
        <v>0</v>
      </c>
      <c r="Y276" s="19" t="n">
        <v>0</v>
      </c>
      <c r="Z276" s="19" t="n">
        <v>0</v>
      </c>
      <c r="AA276" s="19" t="n">
        <v>0</v>
      </c>
      <c r="AB276" s="19" t="n">
        <v>0</v>
      </c>
      <c r="AC276" s="19" t="n">
        <v>1</v>
      </c>
      <c r="AD276" s="19" t="n">
        <v>10</v>
      </c>
      <c r="AE276" s="19" t="n">
        <v>1</v>
      </c>
      <c r="AF276" s="19" t="n">
        <v>1</v>
      </c>
      <c r="AG276" s="19" t="n">
        <v>1</v>
      </c>
      <c r="AH276" s="19" t="n">
        <v>4</v>
      </c>
      <c r="AI276" s="19" t="n">
        <v>0</v>
      </c>
      <c r="AJ276" s="19" t="n">
        <v>0</v>
      </c>
      <c r="AK276" s="19" t="n">
        <v>0</v>
      </c>
      <c r="AL276" s="19" t="n">
        <v>0</v>
      </c>
      <c r="AM276" s="26" t="n">
        <v>0</v>
      </c>
      <c r="AN276" s="19" t="n">
        <v>0</v>
      </c>
      <c r="AO276" s="19" t="n">
        <v>0</v>
      </c>
      <c r="AP276" s="19" t="n">
        <v>0</v>
      </c>
      <c r="AQ276" s="19" t="n">
        <v>0</v>
      </c>
      <c r="AR276" s="19" t="n">
        <v>0</v>
      </c>
      <c r="AS276" s="19" t="n">
        <v>0</v>
      </c>
      <c r="AT276" s="19" t="n">
        <v>0</v>
      </c>
      <c r="AU276" s="19" t="n">
        <v>0</v>
      </c>
      <c r="AV276" s="19" t="n">
        <v>0</v>
      </c>
      <c r="AW276" s="19" t="n">
        <v>0</v>
      </c>
      <c r="AX276" s="19" t="n">
        <v>0</v>
      </c>
      <c r="AY276" s="19" t="n">
        <v>0</v>
      </c>
      <c r="AZ276" s="19" t="n">
        <v>0</v>
      </c>
      <c r="BA276" s="19" t="n">
        <v>0</v>
      </c>
      <c r="BB276" s="19" t="n">
        <v>1</v>
      </c>
      <c r="BC276" s="19" t="n">
        <v>1</v>
      </c>
      <c r="BD276" s="19" t="n">
        <v>1</v>
      </c>
      <c r="BE276" s="19" t="n">
        <v>5</v>
      </c>
      <c r="BF276" s="19" t="n">
        <v>1</v>
      </c>
      <c r="BG276" s="19" t="n">
        <v>1</v>
      </c>
      <c r="BH276" s="19" t="n">
        <v>1</v>
      </c>
      <c r="BI276" s="19" t="n">
        <v>3</v>
      </c>
      <c r="BJ276" s="19" t="n">
        <v>0</v>
      </c>
      <c r="BK276" s="19" t="n">
        <v>0</v>
      </c>
      <c r="BL276" s="19" t="n">
        <v>0</v>
      </c>
      <c r="BM276" s="19" t="n">
        <v>0</v>
      </c>
      <c r="BN276" s="19" t="n">
        <v>0</v>
      </c>
      <c r="BO276" s="19" t="n">
        <v>0</v>
      </c>
      <c r="BP276" s="19" t="n">
        <v>0</v>
      </c>
      <c r="BQ276" s="19" t="n">
        <v>0</v>
      </c>
      <c r="BR276" s="19" t="n">
        <v>3</v>
      </c>
      <c r="BS276" s="19" t="n">
        <v>3</v>
      </c>
      <c r="BT276" s="19" t="n">
        <v>5</v>
      </c>
      <c r="BU276" s="19" t="n">
        <v>5</v>
      </c>
      <c r="BV276" s="19" t="n">
        <v>5</v>
      </c>
      <c r="BW276" s="19" t="n">
        <v>4</v>
      </c>
      <c r="BX276" s="19" t="n">
        <v>4</v>
      </c>
      <c r="BY276" s="19" t="n">
        <v>4</v>
      </c>
      <c r="BZ276" s="19" t="n">
        <v>5</v>
      </c>
      <c r="CA276" s="19" t="n">
        <v>4</v>
      </c>
      <c r="CB276" s="19" t="n">
        <v>4</v>
      </c>
      <c r="CC276" s="19" t="n">
        <v>4</v>
      </c>
      <c r="CD276" s="19" t="n">
        <v>4</v>
      </c>
      <c r="CE276" s="19" t="n">
        <v>3</v>
      </c>
      <c r="CF276" s="19" t="n">
        <v>4</v>
      </c>
      <c r="CG276" s="19" t="n">
        <v>4</v>
      </c>
      <c r="CH276" s="19" t="n">
        <v>4</v>
      </c>
      <c r="CI276" s="19" t="n">
        <v>4</v>
      </c>
      <c r="CJ276" s="19" t="n">
        <v>4</v>
      </c>
      <c r="CK276" s="19" t="n">
        <v>8</v>
      </c>
      <c r="CL276" s="0" t="s">
        <v>819</v>
      </c>
      <c r="CM276" s="0" t="n">
        <v>34.5</v>
      </c>
      <c r="CN276" s="16" t="n">
        <v>76.2</v>
      </c>
      <c r="CO276" s="16" t="n">
        <v>80.4</v>
      </c>
      <c r="CP276" s="16" t="n">
        <v>34.1</v>
      </c>
      <c r="CQ276" s="0" t="n">
        <v>70.97</v>
      </c>
      <c r="CR276" s="17" t="n">
        <v>0</v>
      </c>
      <c r="CS276" s="0" t="n">
        <v>11.02</v>
      </c>
      <c r="CT276" s="0" t="n">
        <v>18.01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U276" s="0" t="n">
        <v>0</v>
      </c>
      <c r="DV276" s="0" t="n">
        <v>0</v>
      </c>
      <c r="EG276" s="18"/>
      <c r="EY276" s="0" t="n">
        <v>0</v>
      </c>
      <c r="GJ276" s="16" t="n">
        <v>0</v>
      </c>
      <c r="GK276" s="16" t="n">
        <v>0</v>
      </c>
      <c r="GL276" s="16"/>
      <c r="GM276" s="16"/>
      <c r="GN276" s="16"/>
      <c r="GO276" s="16"/>
      <c r="GP276" s="16"/>
      <c r="GQ276" s="16"/>
      <c r="GR276" s="16"/>
      <c r="GS276" s="16"/>
      <c r="GT276" s="16"/>
      <c r="GU276" s="16" t="n">
        <v>0</v>
      </c>
      <c r="GV276" s="16" t="n">
        <v>0</v>
      </c>
      <c r="GW276" s="16"/>
      <c r="GX276" s="16"/>
      <c r="GY276" s="16" t="n">
        <v>0</v>
      </c>
      <c r="GZ276" s="16" t="n">
        <v>0</v>
      </c>
      <c r="HA276" s="16" t="n">
        <v>0</v>
      </c>
      <c r="HB276" s="0" t="n">
        <v>0</v>
      </c>
      <c r="HC276" s="0" t="s">
        <v>820</v>
      </c>
      <c r="HD276" s="0" t="n">
        <v>48.5</v>
      </c>
      <c r="HE276" s="16" t="n">
        <v>67.9</v>
      </c>
      <c r="HF276" s="16" t="n">
        <v>80.4</v>
      </c>
      <c r="HG276" s="16" t="n">
        <v>24.3</v>
      </c>
      <c r="HH276" s="0" t="n">
        <v>78.79</v>
      </c>
      <c r="HI276" s="17" t="n">
        <v>0</v>
      </c>
      <c r="HJ276" s="0" t="n">
        <v>11.74</v>
      </c>
      <c r="HK276" s="0" t="n">
        <v>9.47</v>
      </c>
      <c r="HL276" s="0" t="n">
        <v>0</v>
      </c>
      <c r="HM276" s="0" t="n">
        <v>0</v>
      </c>
      <c r="HN276" s="0" t="n">
        <v>0</v>
      </c>
      <c r="HO276" s="0" t="n">
        <v>0</v>
      </c>
      <c r="HP276" s="0" t="n">
        <v>0</v>
      </c>
      <c r="HQ276" s="0" t="n">
        <v>0</v>
      </c>
      <c r="HR276" s="0" t="n">
        <v>0</v>
      </c>
      <c r="HS276" s="0" t="n">
        <v>0</v>
      </c>
      <c r="HT276" s="0" t="n">
        <v>0</v>
      </c>
      <c r="HU276" s="0" t="n">
        <v>0</v>
      </c>
      <c r="HV276" s="0" t="n">
        <v>0</v>
      </c>
      <c r="HW276" s="0" t="n">
        <v>0</v>
      </c>
      <c r="HX276" s="0" t="n">
        <v>0</v>
      </c>
      <c r="HY276" s="0" t="n">
        <v>0</v>
      </c>
      <c r="IL276" s="0" t="n">
        <v>23.8</v>
      </c>
      <c r="IM276" s="0" t="n">
        <v>1</v>
      </c>
      <c r="IN276" s="0" t="n">
        <v>25</v>
      </c>
      <c r="IO276" s="0" t="n">
        <v>1</v>
      </c>
      <c r="IP276" s="0" t="n">
        <v>0.06</v>
      </c>
      <c r="IQ276" s="0" t="n">
        <v>2</v>
      </c>
      <c r="IR276" s="0" t="n">
        <v>47</v>
      </c>
      <c r="IS276" s="0" t="n">
        <v>4</v>
      </c>
      <c r="IT276" s="0" t="n">
        <f aca="false">1.52*2</f>
        <v>3.04</v>
      </c>
      <c r="IU276" s="0" t="n">
        <v>3</v>
      </c>
      <c r="IX276" s="18"/>
      <c r="JP276" s="0" t="n">
        <v>0</v>
      </c>
      <c r="LA276" s="16" t="n">
        <v>0</v>
      </c>
      <c r="LB276" s="16" t="n">
        <v>0</v>
      </c>
      <c r="LC276" s="16"/>
      <c r="LD276" s="16"/>
      <c r="LE276" s="16"/>
      <c r="LF276" s="16"/>
      <c r="LG276" s="16"/>
      <c r="LH276" s="16"/>
      <c r="LI276" s="16"/>
      <c r="LJ276" s="16"/>
      <c r="LK276" s="16"/>
      <c r="LL276" s="16" t="n">
        <v>0</v>
      </c>
      <c r="LM276" s="16" t="n">
        <v>0</v>
      </c>
      <c r="LN276" s="16"/>
      <c r="LO276" s="16"/>
      <c r="LP276" s="16" t="n">
        <v>0</v>
      </c>
      <c r="LQ276" s="16" t="n">
        <v>0</v>
      </c>
      <c r="LR276" s="16" t="n">
        <v>0</v>
      </c>
      <c r="LS276" s="0" t="n">
        <v>0</v>
      </c>
      <c r="LT276" s="0" t="s">
        <v>821</v>
      </c>
      <c r="LU276" s="0" t="n">
        <v>26.5</v>
      </c>
      <c r="LV276" s="16" t="n">
        <v>82.8</v>
      </c>
      <c r="LW276" s="16" t="n">
        <v>80.4</v>
      </c>
      <c r="LX276" s="16" t="n">
        <v>26.4</v>
      </c>
      <c r="LY276" s="0" t="n">
        <v>79.3</v>
      </c>
      <c r="LZ276" s="17" t="n">
        <v>0</v>
      </c>
      <c r="MA276" s="0" t="n">
        <v>5.17</v>
      </c>
      <c r="MB276" s="0" t="n">
        <v>15.52</v>
      </c>
      <c r="MC276" s="0" t="n">
        <v>0</v>
      </c>
      <c r="MD276" s="0" t="n">
        <v>0</v>
      </c>
      <c r="ME276" s="0" t="n">
        <v>0</v>
      </c>
      <c r="MF276" s="0" t="n">
        <v>0</v>
      </c>
      <c r="MG276" s="0" t="n">
        <v>0</v>
      </c>
      <c r="MH276" s="0" t="n">
        <v>0</v>
      </c>
      <c r="MI276" s="0" t="n">
        <v>0</v>
      </c>
      <c r="MJ276" s="0" t="n">
        <v>0</v>
      </c>
      <c r="MK276" s="0" t="n">
        <v>0</v>
      </c>
      <c r="ML276" s="0" t="n">
        <v>2.73</v>
      </c>
      <c r="MM276" s="0" t="n">
        <v>0</v>
      </c>
      <c r="MN276" s="0" t="n">
        <v>0</v>
      </c>
      <c r="MO276" s="0" t="n">
        <v>0</v>
      </c>
      <c r="MP276" s="0" t="n">
        <v>0</v>
      </c>
      <c r="NC276" s="0" t="n">
        <v>0</v>
      </c>
      <c r="ND276" s="0" t="n">
        <v>1</v>
      </c>
      <c r="NE276" s="0" t="n">
        <v>68</v>
      </c>
      <c r="NF276" s="0" t="n">
        <v>1</v>
      </c>
      <c r="NG276" s="0" t="n">
        <v>0.03</v>
      </c>
      <c r="NH276" s="0" t="n">
        <v>1</v>
      </c>
      <c r="NO276" s="18"/>
      <c r="OG276" s="0" t="n">
        <v>0</v>
      </c>
      <c r="PR276" s="16" t="n">
        <v>0</v>
      </c>
      <c r="PS276" s="16" t="n">
        <v>0</v>
      </c>
      <c r="PT276" s="16"/>
      <c r="PU276" s="16"/>
      <c r="PV276" s="16"/>
      <c r="PW276" s="16"/>
      <c r="PX276" s="16"/>
      <c r="PY276" s="16"/>
      <c r="PZ276" s="16"/>
      <c r="QA276" s="16"/>
      <c r="QB276" s="16"/>
      <c r="QC276" s="16" t="n">
        <v>0.1</v>
      </c>
      <c r="QD276" s="16" t="n">
        <v>0.9</v>
      </c>
      <c r="QE276" s="16"/>
      <c r="QF276" s="16"/>
      <c r="QG276" s="16" t="n">
        <v>0</v>
      </c>
      <c r="QH276" s="16" t="n">
        <v>0</v>
      </c>
      <c r="QI276" s="16" t="n">
        <v>0</v>
      </c>
      <c r="QJ276" s="0" t="n">
        <v>0</v>
      </c>
      <c r="QK276" s="0" t="s">
        <v>822</v>
      </c>
      <c r="QL276" s="0" t="n">
        <v>35</v>
      </c>
      <c r="QM276" s="16" t="n">
        <v>85.3</v>
      </c>
      <c r="QN276" s="16" t="n">
        <v>80.4</v>
      </c>
      <c r="QO276" s="16" t="n">
        <v>29.7</v>
      </c>
      <c r="QP276" s="0" t="n">
        <v>79.3</v>
      </c>
      <c r="QQ276" s="17" t="n">
        <v>0</v>
      </c>
      <c r="QR276" s="0" t="n">
        <v>5.17</v>
      </c>
      <c r="QS276" s="0" t="n">
        <v>15.52</v>
      </c>
      <c r="QT276" s="0" t="n">
        <v>0</v>
      </c>
      <c r="QU276" s="0" t="n">
        <v>0</v>
      </c>
      <c r="QV276" s="0" t="n">
        <v>0</v>
      </c>
      <c r="QW276" s="0" t="n">
        <v>0</v>
      </c>
      <c r="QX276" s="0" t="n">
        <v>0</v>
      </c>
      <c r="QY276" s="0" t="n">
        <v>0</v>
      </c>
      <c r="RA276" s="0" t="n">
        <v>0</v>
      </c>
      <c r="RB276" s="0" t="n">
        <v>0</v>
      </c>
      <c r="RC276" s="0" t="n">
        <v>7.06</v>
      </c>
      <c r="RD276" s="0" t="n">
        <v>3.79</v>
      </c>
      <c r="RE276" s="0" t="n">
        <v>0</v>
      </c>
      <c r="RF276" s="0" t="n">
        <v>0</v>
      </c>
      <c r="RG276" s="0" t="n">
        <v>1</v>
      </c>
      <c r="RH276" s="0" t="n">
        <v>2</v>
      </c>
      <c r="RJ276" s="0" t="n">
        <v>1</v>
      </c>
      <c r="RN276" s="0" t="n">
        <v>2</v>
      </c>
      <c r="RP276" s="0" t="n">
        <v>1</v>
      </c>
      <c r="RT276" s="0" t="n">
        <v>5</v>
      </c>
      <c r="RU276" s="0" t="n">
        <v>1</v>
      </c>
      <c r="RV276" s="0" t="n">
        <v>68</v>
      </c>
      <c r="RW276" s="0" t="n">
        <v>6</v>
      </c>
      <c r="RX276" s="0" t="n">
        <f aca="false">2.66+3.05</f>
        <v>5.71</v>
      </c>
      <c r="RY276" s="0" t="n">
        <v>1</v>
      </c>
      <c r="SF276" s="18"/>
      <c r="SX276" s="0" t="n">
        <v>0</v>
      </c>
      <c r="UI276" s="16" t="n">
        <v>0</v>
      </c>
      <c r="UJ276" s="16" t="n">
        <v>0</v>
      </c>
      <c r="UK276" s="16"/>
      <c r="UL276" s="16"/>
      <c r="UM276" s="16"/>
      <c r="UN276" s="16"/>
      <c r="UO276" s="16"/>
      <c r="UP276" s="16"/>
      <c r="UQ276" s="16"/>
      <c r="UR276" s="16"/>
      <c r="US276" s="16"/>
      <c r="UT276" s="16" t="n">
        <v>0</v>
      </c>
      <c r="UU276" s="16" t="n">
        <v>0</v>
      </c>
      <c r="UV276" s="16"/>
      <c r="UW276" s="16"/>
      <c r="UX276" s="16" t="n">
        <v>0</v>
      </c>
      <c r="UY276" s="16" t="n">
        <v>0</v>
      </c>
      <c r="UZ276" s="16" t="n">
        <v>0</v>
      </c>
      <c r="VA276" s="0" t="n">
        <v>0</v>
      </c>
      <c r="VB276" s="0" t="s">
        <v>823</v>
      </c>
      <c r="VC276" s="0" t="n">
        <v>36</v>
      </c>
      <c r="VD276" s="16" t="n">
        <v>57.6</v>
      </c>
      <c r="VE276" s="16" t="n">
        <v>80.4</v>
      </c>
      <c r="VF276" s="16" t="n">
        <v>19.2</v>
      </c>
      <c r="VG276" s="0" t="n">
        <v>83.43</v>
      </c>
      <c r="VH276" s="17" t="n">
        <v>0</v>
      </c>
      <c r="VI276" s="0" t="n">
        <v>0</v>
      </c>
      <c r="VJ276" s="0" t="n">
        <v>0</v>
      </c>
      <c r="VK276" s="0" t="n">
        <v>16.57</v>
      </c>
      <c r="VL276" s="0" t="n">
        <v>0</v>
      </c>
      <c r="VM276" s="0" t="n">
        <v>0</v>
      </c>
      <c r="VN276" s="0" t="n">
        <v>0</v>
      </c>
      <c r="VO276" s="0" t="n">
        <v>0</v>
      </c>
      <c r="VP276" s="0" t="n">
        <v>0</v>
      </c>
      <c r="VQ276" s="0" t="n">
        <v>0</v>
      </c>
      <c r="VR276" s="0" t="n">
        <v>0</v>
      </c>
      <c r="VS276" s="0" t="n">
        <v>0</v>
      </c>
      <c r="VT276" s="0" t="n">
        <v>3.13</v>
      </c>
      <c r="VU276" s="0" t="n">
        <v>18.98</v>
      </c>
      <c r="VV276" s="0" t="n">
        <v>0</v>
      </c>
      <c r="VW276" s="0" t="n">
        <v>0</v>
      </c>
      <c r="VX276" s="0" t="n">
        <v>0</v>
      </c>
      <c r="WK276" s="0" t="n">
        <v>0</v>
      </c>
      <c r="WL276" s="0" t="n">
        <v>1</v>
      </c>
      <c r="WM276" s="0" t="n">
        <v>10</v>
      </c>
      <c r="WN276" s="0" t="n">
        <v>1</v>
      </c>
      <c r="WO276" s="0" t="n">
        <v>1.3</v>
      </c>
      <c r="WP276" s="0" t="n">
        <v>5</v>
      </c>
      <c r="WW276" s="18"/>
      <c r="XO276" s="0" t="n">
        <v>0</v>
      </c>
      <c r="YZ276" s="16" t="n">
        <v>0</v>
      </c>
      <c r="ZA276" s="16" t="n">
        <v>0</v>
      </c>
      <c r="ZB276" s="16"/>
      <c r="ZC276" s="16"/>
      <c r="ZD276" s="16"/>
      <c r="ZE276" s="16"/>
      <c r="ZF276" s="16"/>
      <c r="ZG276" s="16"/>
      <c r="ZH276" s="16"/>
      <c r="ZI276" s="16"/>
      <c r="ZJ276" s="16"/>
      <c r="ZK276" s="16" t="n">
        <v>6.14</v>
      </c>
      <c r="ZL276" s="16" t="n">
        <v>13.2</v>
      </c>
      <c r="ZM276" s="16"/>
      <c r="ZN276" s="16"/>
      <c r="ZO276" s="16" t="n">
        <v>10</v>
      </c>
      <c r="ZP276" s="16" t="n">
        <v>8.19</v>
      </c>
      <c r="ZQ276" s="16" t="n">
        <v>0</v>
      </c>
      <c r="ZR276" s="0" t="n">
        <v>1</v>
      </c>
      <c r="ZS276" s="0" t="s">
        <v>824</v>
      </c>
      <c r="ZT276" s="0" t="n">
        <v>2.5</v>
      </c>
      <c r="ZU276" s="16" t="n">
        <v>89.5</v>
      </c>
      <c r="ZV276" s="16" t="n">
        <v>80.4</v>
      </c>
      <c r="ZW276" s="16" t="n">
        <v>2.2</v>
      </c>
      <c r="ZX276" s="0" t="n">
        <v>98.4</v>
      </c>
      <c r="ZY276" s="17" t="n">
        <v>0</v>
      </c>
      <c r="ZZ276" s="0" t="n">
        <v>0</v>
      </c>
      <c r="AAA276" s="0" t="n">
        <v>0</v>
      </c>
      <c r="AAB276" s="0" t="n">
        <v>0</v>
      </c>
      <c r="AAC276" s="0" t="n">
        <v>0</v>
      </c>
      <c r="AAD276" s="0" t="n">
        <v>0</v>
      </c>
      <c r="AAE276" s="0" t="n">
        <v>0</v>
      </c>
      <c r="AAF276" s="0" t="n">
        <v>0</v>
      </c>
      <c r="AAG276" s="0" t="n">
        <v>0</v>
      </c>
      <c r="AAH276" s="0" t="n">
        <v>0</v>
      </c>
      <c r="AAI276" s="0" t="n">
        <v>0</v>
      </c>
      <c r="AAJ276" s="0" t="n">
        <v>0</v>
      </c>
      <c r="AAK276" s="0" t="n">
        <v>0</v>
      </c>
      <c r="AAL276" s="0" t="n">
        <v>0</v>
      </c>
      <c r="AAM276" s="0" t="n">
        <v>0</v>
      </c>
      <c r="AAN276" s="0" t="n">
        <v>0</v>
      </c>
      <c r="AAO276" s="0" t="n">
        <v>0</v>
      </c>
      <c r="ABB276" s="0" t="n">
        <v>0</v>
      </c>
      <c r="ABC276" s="0" t="n">
        <v>0</v>
      </c>
      <c r="ABN276" s="18"/>
      <c r="ACF276" s="0" t="n">
        <v>0</v>
      </c>
      <c r="ADQ276" s="16" t="n">
        <v>0</v>
      </c>
      <c r="ADR276" s="16" t="n">
        <v>0</v>
      </c>
      <c r="ADS276" s="16"/>
      <c r="ADT276" s="16"/>
      <c r="ADU276" s="16"/>
      <c r="ADV276" s="16"/>
      <c r="ADW276" s="16"/>
      <c r="ADX276" s="16"/>
      <c r="ADY276" s="16"/>
      <c r="ADZ276" s="16"/>
      <c r="AEA276" s="16"/>
      <c r="AEB276" s="16" t="n">
        <v>0</v>
      </c>
      <c r="AEC276" s="16" t="n">
        <v>0</v>
      </c>
      <c r="AED276" s="16"/>
      <c r="AEE276" s="16"/>
      <c r="AEF276" s="16" t="n">
        <v>0</v>
      </c>
      <c r="AEG276" s="16" t="n">
        <v>0</v>
      </c>
      <c r="AEH276" s="16" t="n">
        <v>0</v>
      </c>
      <c r="AEI276" s="0" t="n">
        <v>0</v>
      </c>
      <c r="AEJ276" s="0" t="s">
        <v>825</v>
      </c>
      <c r="AEK276" s="0" t="n">
        <v>20</v>
      </c>
      <c r="AEL276" s="16" t="n">
        <v>86.3</v>
      </c>
      <c r="AEM276" s="16" t="n">
        <v>80.4</v>
      </c>
      <c r="AEN276" s="16" t="n">
        <v>9.4</v>
      </c>
      <c r="AEO276" s="0" t="n">
        <v>99.87</v>
      </c>
      <c r="AEP276" s="17" t="n">
        <v>0</v>
      </c>
      <c r="AEQ276" s="0" t="n">
        <v>0</v>
      </c>
      <c r="AER276" s="0" t="n">
        <v>0</v>
      </c>
      <c r="AES276" s="0" t="n">
        <v>0.13</v>
      </c>
      <c r="AET276" s="0" t="n">
        <v>0</v>
      </c>
      <c r="AEU276" s="0" t="n">
        <v>0</v>
      </c>
      <c r="AEV276" s="0" t="n">
        <v>0</v>
      </c>
      <c r="AEW276" s="0" t="n">
        <v>0</v>
      </c>
      <c r="AEX276" s="0" t="n">
        <v>0</v>
      </c>
      <c r="AEY276" s="0" t="n">
        <v>0</v>
      </c>
      <c r="AEZ276" s="0" t="n">
        <v>0</v>
      </c>
      <c r="AFA276" s="0" t="n">
        <v>0</v>
      </c>
      <c r="AFB276" s="0" t="n">
        <v>25.58</v>
      </c>
      <c r="AFC276" s="0" t="n">
        <v>13.58</v>
      </c>
      <c r="AFD276" s="0" t="n">
        <v>0</v>
      </c>
      <c r="AFE276" s="0" t="n">
        <v>0</v>
      </c>
      <c r="AFF276" s="0" t="n">
        <v>0</v>
      </c>
      <c r="AFS276" s="0" t="n">
        <v>4.2</v>
      </c>
      <c r="AFT276" s="0" t="n">
        <v>1</v>
      </c>
      <c r="AFU276" s="0" t="n">
        <v>68</v>
      </c>
      <c r="AFV276" s="0" t="n">
        <v>5</v>
      </c>
      <c r="AFW276" s="0" t="n">
        <f aca="false">0.4+2.28</f>
        <v>2.68</v>
      </c>
      <c r="AFX276" s="0" t="n">
        <v>1</v>
      </c>
      <c r="AGE276" s="18"/>
      <c r="AGW276" s="0" t="n">
        <v>0</v>
      </c>
      <c r="AIH276" s="16" t="n">
        <v>2.28</v>
      </c>
      <c r="AII276" s="16" t="n">
        <v>1</v>
      </c>
      <c r="AIJ276" s="16" t="n">
        <v>2</v>
      </c>
      <c r="AIK276" s="16"/>
      <c r="AIL276" s="16" t="n">
        <f aca="false">2.24+0.09+12.69</f>
        <v>15.02</v>
      </c>
      <c r="AIM276" s="16"/>
      <c r="AIN276" s="16"/>
      <c r="AIO276" s="16"/>
      <c r="AIP276" s="16"/>
      <c r="AIQ276" s="16"/>
      <c r="AIR276" s="16"/>
      <c r="AIS276" s="16" t="n">
        <v>0</v>
      </c>
      <c r="AIT276" s="16" t="n">
        <v>0</v>
      </c>
      <c r="AIU276" s="16"/>
      <c r="AIV276" s="16"/>
      <c r="AIW276" s="16" t="n">
        <v>3.73</v>
      </c>
      <c r="AIX276" s="16" t="n">
        <v>0.14</v>
      </c>
      <c r="AIY276" s="16" t="n">
        <v>0</v>
      </c>
      <c r="AIZ276" s="0" t="n">
        <v>0</v>
      </c>
      <c r="AJA276" s="0" t="s">
        <v>827</v>
      </c>
      <c r="AJB276" s="0" t="n">
        <v>16</v>
      </c>
      <c r="AJC276" s="16" t="n">
        <v>71.6</v>
      </c>
      <c r="AJD276" s="16" t="n">
        <v>80.4</v>
      </c>
      <c r="AJE276" s="16" t="n">
        <v>9.8</v>
      </c>
      <c r="AJF276" s="0" t="n">
        <v>100</v>
      </c>
      <c r="AJG276" s="17" t="n">
        <v>0</v>
      </c>
      <c r="AJH276" s="0" t="n">
        <v>0</v>
      </c>
      <c r="AJI276" s="0" t="n">
        <v>0</v>
      </c>
      <c r="AJJ276" s="0" t="n">
        <v>0</v>
      </c>
      <c r="AJK276" s="0" t="n">
        <v>0</v>
      </c>
      <c r="AJL276" s="0" t="n">
        <v>0</v>
      </c>
      <c r="AJM276" s="0" t="n">
        <v>0</v>
      </c>
      <c r="AJN276" s="0" t="n">
        <v>0</v>
      </c>
      <c r="AJO276" s="0" t="n">
        <v>0</v>
      </c>
      <c r="AJP276" s="0" t="n">
        <v>0</v>
      </c>
      <c r="AJQ276" s="0" t="n">
        <v>0</v>
      </c>
      <c r="AJR276" s="0" t="n">
        <v>0</v>
      </c>
      <c r="AJS276" s="0" t="n">
        <v>16.12</v>
      </c>
      <c r="AJT276" s="0" t="n">
        <v>13.45</v>
      </c>
      <c r="AJU276" s="0" t="n">
        <v>0</v>
      </c>
      <c r="AJV276" s="0" t="n">
        <v>0</v>
      </c>
      <c r="AJW276" s="0" t="n">
        <v>0</v>
      </c>
      <c r="AKJ276" s="0" t="n">
        <v>3.9</v>
      </c>
      <c r="AKK276" s="0" t="n">
        <v>1</v>
      </c>
      <c r="AKL276" s="0" t="n">
        <v>68</v>
      </c>
      <c r="AKM276" s="0" t="n">
        <v>5</v>
      </c>
      <c r="AKN276" s="0" t="n">
        <f aca="false">0.4+2.28</f>
        <v>2.68</v>
      </c>
      <c r="AKO276" s="0" t="n">
        <v>1</v>
      </c>
      <c r="AKV276" s="18"/>
      <c r="ALN276" s="0" t="n">
        <v>0</v>
      </c>
    </row>
    <row r="277" customFormat="false" ht="13.8" hidden="false" customHeight="false" outlineLevel="0" collapsed="false">
      <c r="A277" s="1" t="s">
        <v>830</v>
      </c>
      <c r="B277" s="12" t="n">
        <v>42905</v>
      </c>
      <c r="C277" s="0" t="n">
        <v>2</v>
      </c>
      <c r="D277" s="13" t="n">
        <v>35016</v>
      </c>
      <c r="E277" s="12" t="n">
        <v>27057</v>
      </c>
      <c r="F277" s="14" t="n">
        <f aca="false">(B277-E277)/365.25</f>
        <v>43.3894592744695</v>
      </c>
      <c r="G277" s="14" t="n">
        <f aca="false">(B277-D277)/365.25</f>
        <v>21.5989048596851</v>
      </c>
      <c r="H277" s="19" t="s">
        <v>181</v>
      </c>
      <c r="I277" s="15" t="s">
        <v>817</v>
      </c>
      <c r="J277" s="15" t="s">
        <v>181</v>
      </c>
      <c r="K277" s="15" t="n">
        <v>8</v>
      </c>
      <c r="L277" s="19" t="n">
        <v>110</v>
      </c>
      <c r="M277" s="0" t="n">
        <v>1.74</v>
      </c>
      <c r="N277" s="16" t="n">
        <f aca="false">L277/(M277*M277)</f>
        <v>36.3324085083895</v>
      </c>
      <c r="O277" s="19" t="n">
        <v>1</v>
      </c>
      <c r="P277" s="19"/>
      <c r="Q277" s="19"/>
      <c r="R277" s="26" t="n">
        <v>0</v>
      </c>
      <c r="S277" s="26" t="n">
        <v>0</v>
      </c>
      <c r="T277" s="26" t="n">
        <v>0</v>
      </c>
      <c r="U277" s="19" t="n">
        <v>0</v>
      </c>
      <c r="V277" s="19" t="n">
        <v>0</v>
      </c>
      <c r="W277" s="19" t="n">
        <v>0</v>
      </c>
      <c r="X277" s="19" t="n">
        <v>1</v>
      </c>
      <c r="Y277" s="19" t="n">
        <v>0</v>
      </c>
      <c r="Z277" s="19" t="n">
        <v>0</v>
      </c>
      <c r="AA277" s="19" t="n">
        <v>0</v>
      </c>
      <c r="AB277" s="19" t="n">
        <v>0</v>
      </c>
      <c r="AC277" s="19" t="n">
        <v>0</v>
      </c>
      <c r="AD277" s="19" t="n">
        <v>0</v>
      </c>
      <c r="AE277" s="19" t="n">
        <v>0</v>
      </c>
      <c r="AF277" s="19" t="n">
        <v>0</v>
      </c>
      <c r="AG277" s="19" t="n">
        <v>0</v>
      </c>
      <c r="AH277" s="19" t="n">
        <v>0</v>
      </c>
      <c r="AI277" s="19" t="n">
        <v>0</v>
      </c>
      <c r="AJ277" s="19" t="n">
        <v>0</v>
      </c>
      <c r="AK277" s="19" t="n">
        <v>0</v>
      </c>
      <c r="AL277" s="19" t="n">
        <v>0</v>
      </c>
      <c r="AM277" s="26" t="n">
        <v>0</v>
      </c>
      <c r="AN277" s="19" t="n">
        <v>3</v>
      </c>
      <c r="AO277" s="19" t="n">
        <v>3</v>
      </c>
      <c r="AP277" s="19" t="n">
        <v>3</v>
      </c>
      <c r="AQ277" s="19" t="n">
        <v>5</v>
      </c>
      <c r="AR277" s="19" t="n">
        <v>8</v>
      </c>
      <c r="AS277" s="19" t="n">
        <v>0</v>
      </c>
      <c r="AT277" s="19" t="n">
        <v>0</v>
      </c>
      <c r="AU277" s="19" t="n">
        <v>0</v>
      </c>
      <c r="AV277" s="19" t="n">
        <v>0</v>
      </c>
      <c r="AW277" s="19" t="n">
        <v>0</v>
      </c>
      <c r="AX277" s="19" t="n">
        <v>0</v>
      </c>
      <c r="AY277" s="19" t="n">
        <v>0</v>
      </c>
      <c r="AZ277" s="19" t="n">
        <v>0</v>
      </c>
      <c r="BA277" s="19" t="n">
        <v>0</v>
      </c>
      <c r="BB277" s="19" t="n">
        <v>1</v>
      </c>
      <c r="BC277" s="19" t="n">
        <v>1</v>
      </c>
      <c r="BD277" s="19" t="n">
        <v>0</v>
      </c>
      <c r="BE277" s="19" t="n">
        <v>0</v>
      </c>
      <c r="BF277" s="19" t="n">
        <v>0</v>
      </c>
      <c r="BG277" s="19" t="n">
        <v>0</v>
      </c>
      <c r="BH277" s="19" t="n">
        <v>0</v>
      </c>
      <c r="BI277" s="19" t="n">
        <v>0</v>
      </c>
      <c r="BJ277" s="19" t="n">
        <v>0</v>
      </c>
      <c r="BK277" s="19" t="n">
        <v>0</v>
      </c>
      <c r="BL277" s="19" t="n">
        <v>0</v>
      </c>
      <c r="BM277" s="19" t="n">
        <v>0</v>
      </c>
      <c r="BN277" s="19" t="n">
        <v>1</v>
      </c>
      <c r="BO277" s="19" t="n">
        <v>1</v>
      </c>
      <c r="BP277" s="19" t="n">
        <v>1</v>
      </c>
      <c r="BQ277" s="19" t="n">
        <v>7</v>
      </c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 t="n">
        <v>3</v>
      </c>
      <c r="CI277" s="19" t="n">
        <v>3</v>
      </c>
      <c r="CJ277" s="19" t="n">
        <v>2</v>
      </c>
      <c r="CK277" s="19" t="n">
        <v>3</v>
      </c>
      <c r="CL277" s="0" t="s">
        <v>819</v>
      </c>
      <c r="CM277" s="0" t="n">
        <v>34.5</v>
      </c>
      <c r="CN277" s="16" t="n">
        <v>76.2</v>
      </c>
      <c r="CO277" s="16" t="n">
        <v>80.4</v>
      </c>
      <c r="CP277" s="16" t="n">
        <v>34.1</v>
      </c>
      <c r="CQ277" s="0" t="n">
        <v>70.97</v>
      </c>
      <c r="CR277" s="17" t="n">
        <v>0</v>
      </c>
      <c r="CS277" s="0" t="n">
        <v>11.02</v>
      </c>
      <c r="CT277" s="0" t="n">
        <v>18.01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0</v>
      </c>
      <c r="DF277" s="0" t="n">
        <v>0</v>
      </c>
      <c r="DG277" s="0" t="n">
        <v>0</v>
      </c>
      <c r="DH277" s="0" t="n">
        <v>0</v>
      </c>
      <c r="DU277" s="0" t="n">
        <v>0</v>
      </c>
      <c r="DV277" s="0" t="n">
        <v>0</v>
      </c>
      <c r="EG277" s="18"/>
      <c r="EY277" s="0" t="n">
        <v>0</v>
      </c>
      <c r="GJ277" s="16" t="n">
        <v>0</v>
      </c>
      <c r="GK277" s="16" t="n">
        <v>0</v>
      </c>
      <c r="GL277" s="16"/>
      <c r="GM277" s="16"/>
      <c r="GN277" s="16"/>
      <c r="GO277" s="16"/>
      <c r="GP277" s="16"/>
      <c r="GQ277" s="16"/>
      <c r="GR277" s="16"/>
      <c r="GS277" s="16"/>
      <c r="GT277" s="16"/>
      <c r="GU277" s="16" t="n">
        <v>0</v>
      </c>
      <c r="GV277" s="16" t="n">
        <v>0</v>
      </c>
      <c r="GW277" s="16"/>
      <c r="GX277" s="16"/>
      <c r="GY277" s="16" t="n">
        <v>0</v>
      </c>
      <c r="GZ277" s="16" t="n">
        <v>0</v>
      </c>
      <c r="HA277" s="16" t="n">
        <v>0</v>
      </c>
      <c r="HB277" s="0" t="n">
        <v>0</v>
      </c>
      <c r="HC277" s="0" t="s">
        <v>820</v>
      </c>
      <c r="HD277" s="0" t="n">
        <v>48.5</v>
      </c>
      <c r="HE277" s="16" t="n">
        <v>67.9</v>
      </c>
      <c r="HF277" s="16" t="n">
        <v>80.4</v>
      </c>
      <c r="HG277" s="16" t="n">
        <v>24.3</v>
      </c>
      <c r="HH277" s="0" t="n">
        <v>78.79</v>
      </c>
      <c r="HI277" s="17" t="n">
        <v>0</v>
      </c>
      <c r="HJ277" s="0" t="n">
        <v>11.74</v>
      </c>
      <c r="HK277" s="0" t="n">
        <v>9.47</v>
      </c>
      <c r="HL277" s="0" t="n">
        <v>0</v>
      </c>
      <c r="HM277" s="0" t="n">
        <v>0</v>
      </c>
      <c r="HN277" s="0" t="n">
        <v>0</v>
      </c>
      <c r="HO277" s="0" t="n">
        <v>0</v>
      </c>
      <c r="HP277" s="0" t="n">
        <v>0</v>
      </c>
      <c r="HQ277" s="0" t="n">
        <v>0</v>
      </c>
      <c r="HR277" s="0" t="n">
        <v>0</v>
      </c>
      <c r="HS277" s="0" t="n">
        <v>0</v>
      </c>
      <c r="HT277" s="0" t="n">
        <v>0</v>
      </c>
      <c r="HU277" s="0" t="n">
        <v>0</v>
      </c>
      <c r="HV277" s="0" t="n">
        <v>0</v>
      </c>
      <c r="HW277" s="0" t="n">
        <v>0</v>
      </c>
      <c r="HX277" s="0" t="n">
        <v>0</v>
      </c>
      <c r="HY277" s="0" t="n">
        <v>0</v>
      </c>
      <c r="IL277" s="0" t="n">
        <v>23.8</v>
      </c>
      <c r="IM277" s="0" t="n">
        <v>1</v>
      </c>
      <c r="IN277" s="0" t="n">
        <v>25</v>
      </c>
      <c r="IO277" s="0" t="n">
        <v>1</v>
      </c>
      <c r="IP277" s="0" t="n">
        <v>0.06</v>
      </c>
      <c r="IQ277" s="0" t="n">
        <v>2</v>
      </c>
      <c r="IR277" s="0" t="n">
        <v>47</v>
      </c>
      <c r="IS277" s="0" t="n">
        <v>4</v>
      </c>
      <c r="IT277" s="0" t="n">
        <f aca="false">1.52*2</f>
        <v>3.04</v>
      </c>
      <c r="IU277" s="0" t="n">
        <v>3</v>
      </c>
      <c r="IX277" s="18"/>
      <c r="JP277" s="0" t="n">
        <v>0</v>
      </c>
      <c r="LA277" s="16" t="n">
        <v>0</v>
      </c>
      <c r="LB277" s="16" t="n">
        <v>0</v>
      </c>
      <c r="LC277" s="16"/>
      <c r="LD277" s="16"/>
      <c r="LE277" s="16"/>
      <c r="LF277" s="16"/>
      <c r="LG277" s="16"/>
      <c r="LH277" s="16"/>
      <c r="LI277" s="16"/>
      <c r="LJ277" s="16"/>
      <c r="LK277" s="16"/>
      <c r="LL277" s="16" t="n">
        <v>0</v>
      </c>
      <c r="LM277" s="16" t="n">
        <v>0</v>
      </c>
      <c r="LN277" s="16"/>
      <c r="LO277" s="16"/>
      <c r="LP277" s="16" t="n">
        <v>0</v>
      </c>
      <c r="LQ277" s="16" t="n">
        <v>0</v>
      </c>
      <c r="LR277" s="16" t="n">
        <v>0</v>
      </c>
      <c r="LS277" s="0" t="n">
        <v>0</v>
      </c>
      <c r="LT277" s="0" t="s">
        <v>821</v>
      </c>
      <c r="LU277" s="0" t="n">
        <v>26.5</v>
      </c>
      <c r="LV277" s="16" t="n">
        <v>82.8</v>
      </c>
      <c r="LW277" s="16" t="n">
        <v>80.4</v>
      </c>
      <c r="LX277" s="16" t="n">
        <v>26.4</v>
      </c>
      <c r="LY277" s="0" t="n">
        <v>79.3</v>
      </c>
      <c r="LZ277" s="17" t="n">
        <v>0</v>
      </c>
      <c r="MA277" s="0" t="n">
        <v>5.17</v>
      </c>
      <c r="MB277" s="0" t="n">
        <v>15.52</v>
      </c>
      <c r="MC277" s="0" t="n">
        <v>0</v>
      </c>
      <c r="MD277" s="0" t="n">
        <v>0</v>
      </c>
      <c r="ME277" s="0" t="n">
        <v>0</v>
      </c>
      <c r="MF277" s="0" t="n">
        <v>0</v>
      </c>
      <c r="MG277" s="0" t="n">
        <v>0</v>
      </c>
      <c r="MH277" s="0" t="n">
        <v>0</v>
      </c>
      <c r="MI277" s="0" t="n">
        <v>0</v>
      </c>
      <c r="MJ277" s="0" t="n">
        <v>0</v>
      </c>
      <c r="MK277" s="0" t="n">
        <v>0</v>
      </c>
      <c r="ML277" s="0" t="n">
        <v>2.73</v>
      </c>
      <c r="MM277" s="0" t="n">
        <v>0</v>
      </c>
      <c r="MN277" s="0" t="n">
        <v>0</v>
      </c>
      <c r="MO277" s="0" t="n">
        <v>0</v>
      </c>
      <c r="MP277" s="0" t="n">
        <v>0</v>
      </c>
      <c r="NC277" s="0" t="n">
        <v>0</v>
      </c>
      <c r="ND277" s="0" t="n">
        <v>1</v>
      </c>
      <c r="NE277" s="0" t="n">
        <v>68</v>
      </c>
      <c r="NF277" s="0" t="n">
        <v>1</v>
      </c>
      <c r="NG277" s="0" t="n">
        <v>0.03</v>
      </c>
      <c r="NH277" s="0" t="n">
        <v>1</v>
      </c>
      <c r="NO277" s="18"/>
      <c r="OG277" s="0" t="n">
        <v>0</v>
      </c>
      <c r="PR277" s="16" t="n">
        <v>0</v>
      </c>
      <c r="PS277" s="16" t="n">
        <v>0</v>
      </c>
      <c r="PT277" s="16"/>
      <c r="PU277" s="16"/>
      <c r="PV277" s="16"/>
      <c r="PW277" s="16"/>
      <c r="PX277" s="16"/>
      <c r="PY277" s="16"/>
      <c r="PZ277" s="16"/>
      <c r="QA277" s="16"/>
      <c r="QB277" s="16"/>
      <c r="QC277" s="16" t="n">
        <v>0.1</v>
      </c>
      <c r="QD277" s="16" t="n">
        <v>0.9</v>
      </c>
      <c r="QE277" s="16"/>
      <c r="QF277" s="16"/>
      <c r="QG277" s="16" t="n">
        <v>0</v>
      </c>
      <c r="QH277" s="16" t="n">
        <v>0</v>
      </c>
      <c r="QI277" s="16" t="n">
        <v>0</v>
      </c>
      <c r="QJ277" s="0" t="n">
        <v>0</v>
      </c>
      <c r="QK277" s="0" t="s">
        <v>822</v>
      </c>
      <c r="QL277" s="0" t="n">
        <v>35</v>
      </c>
      <c r="QM277" s="16" t="n">
        <v>85.3</v>
      </c>
      <c r="QN277" s="16" t="n">
        <v>80.4</v>
      </c>
      <c r="QO277" s="16" t="n">
        <v>29.7</v>
      </c>
      <c r="QP277" s="0" t="n">
        <v>79.3</v>
      </c>
      <c r="QQ277" s="17" t="n">
        <v>0</v>
      </c>
      <c r="QR277" s="0" t="n">
        <v>5.17</v>
      </c>
      <c r="QS277" s="0" t="n">
        <v>15.52</v>
      </c>
      <c r="QT277" s="0" t="n">
        <v>0</v>
      </c>
      <c r="QU277" s="0" t="n">
        <v>0</v>
      </c>
      <c r="QV277" s="0" t="n">
        <v>0</v>
      </c>
      <c r="QW277" s="0" t="n">
        <v>0</v>
      </c>
      <c r="QX277" s="0" t="n">
        <v>0</v>
      </c>
      <c r="QY277" s="0" t="n">
        <v>0</v>
      </c>
      <c r="RA277" s="0" t="n">
        <v>0</v>
      </c>
      <c r="RB277" s="0" t="n">
        <v>0</v>
      </c>
      <c r="RC277" s="0" t="n">
        <v>7.06</v>
      </c>
      <c r="RD277" s="0" t="n">
        <v>3.79</v>
      </c>
      <c r="RE277" s="0" t="n">
        <v>0</v>
      </c>
      <c r="RF277" s="0" t="n">
        <v>0</v>
      </c>
      <c r="RG277" s="0" t="n">
        <v>1</v>
      </c>
      <c r="RH277" s="0" t="n">
        <v>2</v>
      </c>
      <c r="RJ277" s="0" t="n">
        <v>1</v>
      </c>
      <c r="RN277" s="0" t="n">
        <v>2</v>
      </c>
      <c r="RP277" s="0" t="n">
        <v>1</v>
      </c>
      <c r="RT277" s="0" t="n">
        <v>5</v>
      </c>
      <c r="RU277" s="0" t="n">
        <v>1</v>
      </c>
      <c r="RV277" s="0" t="n">
        <v>68</v>
      </c>
      <c r="RW277" s="0" t="n">
        <v>6</v>
      </c>
      <c r="RX277" s="0" t="n">
        <f aca="false">2.66+3.05</f>
        <v>5.71</v>
      </c>
      <c r="RY277" s="0" t="n">
        <v>1</v>
      </c>
      <c r="SF277" s="18"/>
      <c r="SX277" s="0" t="n">
        <v>0</v>
      </c>
      <c r="UI277" s="16" t="n">
        <v>0</v>
      </c>
      <c r="UJ277" s="16" t="n">
        <v>0</v>
      </c>
      <c r="UK277" s="16"/>
      <c r="UL277" s="16"/>
      <c r="UM277" s="16"/>
      <c r="UN277" s="16"/>
      <c r="UO277" s="16"/>
      <c r="UP277" s="16"/>
      <c r="UQ277" s="16"/>
      <c r="UR277" s="16"/>
      <c r="US277" s="16"/>
      <c r="UT277" s="16" t="n">
        <v>0</v>
      </c>
      <c r="UU277" s="16" t="n">
        <v>0</v>
      </c>
      <c r="UV277" s="16"/>
      <c r="UW277" s="16"/>
      <c r="UX277" s="16" t="n">
        <v>0</v>
      </c>
      <c r="UY277" s="16" t="n">
        <v>0</v>
      </c>
      <c r="UZ277" s="16" t="n">
        <v>0</v>
      </c>
      <c r="VA277" s="0" t="n">
        <v>0</v>
      </c>
      <c r="VB277" s="0" t="s">
        <v>823</v>
      </c>
      <c r="VC277" s="0" t="n">
        <v>36</v>
      </c>
      <c r="VD277" s="16" t="n">
        <v>57.6</v>
      </c>
      <c r="VE277" s="16" t="n">
        <v>80.4</v>
      </c>
      <c r="VF277" s="16" t="n">
        <v>19.2</v>
      </c>
      <c r="VG277" s="0" t="n">
        <v>83.43</v>
      </c>
      <c r="VH277" s="17" t="n">
        <v>0</v>
      </c>
      <c r="VI277" s="0" t="n">
        <v>0</v>
      </c>
      <c r="VJ277" s="0" t="n">
        <v>0</v>
      </c>
      <c r="VK277" s="0" t="n">
        <v>16.57</v>
      </c>
      <c r="VL277" s="0" t="n">
        <v>0</v>
      </c>
      <c r="VM277" s="0" t="n">
        <v>0</v>
      </c>
      <c r="VN277" s="0" t="n">
        <v>0</v>
      </c>
      <c r="VO277" s="0" t="n">
        <v>0</v>
      </c>
      <c r="VP277" s="0" t="n">
        <v>0</v>
      </c>
      <c r="VQ277" s="0" t="n">
        <v>0</v>
      </c>
      <c r="VR277" s="0" t="n">
        <v>0</v>
      </c>
      <c r="VS277" s="0" t="n">
        <v>0</v>
      </c>
      <c r="VT277" s="0" t="n">
        <v>3.13</v>
      </c>
      <c r="VU277" s="0" t="n">
        <v>18.98</v>
      </c>
      <c r="VV277" s="0" t="n">
        <v>0</v>
      </c>
      <c r="VW277" s="0" t="n">
        <v>0</v>
      </c>
      <c r="VX277" s="0" t="n">
        <v>0</v>
      </c>
      <c r="WK277" s="0" t="n">
        <v>0</v>
      </c>
      <c r="WL277" s="0" t="n">
        <v>1</v>
      </c>
      <c r="WM277" s="0" t="n">
        <v>10</v>
      </c>
      <c r="WN277" s="0" t="n">
        <v>1</v>
      </c>
      <c r="WO277" s="0" t="n">
        <v>1.3</v>
      </c>
      <c r="WP277" s="0" t="n">
        <v>5</v>
      </c>
      <c r="WW277" s="18"/>
      <c r="XO277" s="0" t="n">
        <v>0</v>
      </c>
      <c r="YZ277" s="16" t="n">
        <v>0</v>
      </c>
      <c r="ZA277" s="16" t="n">
        <v>0</v>
      </c>
      <c r="ZB277" s="16"/>
      <c r="ZC277" s="16"/>
      <c r="ZD277" s="16"/>
      <c r="ZE277" s="16"/>
      <c r="ZF277" s="16"/>
      <c r="ZG277" s="16"/>
      <c r="ZH277" s="16"/>
      <c r="ZI277" s="16"/>
      <c r="ZJ277" s="16"/>
      <c r="ZK277" s="16" t="n">
        <v>6.14</v>
      </c>
      <c r="ZL277" s="16" t="n">
        <v>13.2</v>
      </c>
      <c r="ZM277" s="16"/>
      <c r="ZN277" s="16"/>
      <c r="ZO277" s="16" t="n">
        <v>10</v>
      </c>
      <c r="ZP277" s="16" t="n">
        <v>8.19</v>
      </c>
      <c r="ZQ277" s="16" t="n">
        <v>0</v>
      </c>
      <c r="ZR277" s="0" t="n">
        <v>1</v>
      </c>
      <c r="ZS277" s="0" t="s">
        <v>824</v>
      </c>
      <c r="ZT277" s="0" t="n">
        <v>2.5</v>
      </c>
      <c r="ZU277" s="16" t="n">
        <v>89.5</v>
      </c>
      <c r="ZV277" s="16" t="n">
        <v>80.4</v>
      </c>
      <c r="ZW277" s="16" t="n">
        <v>2.2</v>
      </c>
      <c r="ZX277" s="0" t="n">
        <v>98.4</v>
      </c>
      <c r="ZY277" s="17" t="n">
        <v>0</v>
      </c>
      <c r="ZZ277" s="0" t="n">
        <v>0</v>
      </c>
      <c r="AAA277" s="0" t="n">
        <v>0</v>
      </c>
      <c r="AAB277" s="0" t="n">
        <v>0</v>
      </c>
      <c r="AAC277" s="0" t="n">
        <v>0</v>
      </c>
      <c r="AAD277" s="0" t="n">
        <v>0</v>
      </c>
      <c r="AAE277" s="0" t="n">
        <v>0</v>
      </c>
      <c r="AAF277" s="0" t="n">
        <v>0</v>
      </c>
      <c r="AAG277" s="0" t="n">
        <v>0</v>
      </c>
      <c r="AAH277" s="0" t="n">
        <v>0</v>
      </c>
      <c r="AAI277" s="0" t="n">
        <v>0</v>
      </c>
      <c r="AAJ277" s="0" t="n">
        <v>0</v>
      </c>
      <c r="AAK277" s="0" t="n">
        <v>0</v>
      </c>
      <c r="AAL277" s="0" t="n">
        <v>0</v>
      </c>
      <c r="AAM277" s="0" t="n">
        <v>0</v>
      </c>
      <c r="AAN277" s="0" t="n">
        <v>0</v>
      </c>
      <c r="AAO277" s="0" t="n">
        <v>0</v>
      </c>
      <c r="ABB277" s="0" t="n">
        <v>0</v>
      </c>
      <c r="ABC277" s="0" t="n">
        <v>0</v>
      </c>
      <c r="ABN277" s="18"/>
      <c r="ACF277" s="0" t="n">
        <v>0</v>
      </c>
      <c r="ADQ277" s="16" t="n">
        <v>0</v>
      </c>
      <c r="ADR277" s="16" t="n">
        <v>0</v>
      </c>
      <c r="ADS277" s="16"/>
      <c r="ADT277" s="16"/>
      <c r="ADU277" s="16"/>
      <c r="ADV277" s="16"/>
      <c r="ADW277" s="16"/>
      <c r="ADX277" s="16"/>
      <c r="ADY277" s="16"/>
      <c r="ADZ277" s="16"/>
      <c r="AEA277" s="16"/>
      <c r="AEB277" s="16" t="n">
        <v>0</v>
      </c>
      <c r="AEC277" s="16" t="n">
        <v>0</v>
      </c>
      <c r="AED277" s="16"/>
      <c r="AEE277" s="16"/>
      <c r="AEF277" s="16" t="n">
        <v>0</v>
      </c>
      <c r="AEG277" s="16" t="n">
        <v>0</v>
      </c>
      <c r="AEH277" s="16" t="n">
        <v>0</v>
      </c>
      <c r="AEI277" s="0" t="n">
        <v>0</v>
      </c>
      <c r="AEJ277" s="0" t="s">
        <v>825</v>
      </c>
      <c r="AEK277" s="0" t="n">
        <v>20</v>
      </c>
      <c r="AEL277" s="16" t="n">
        <v>86.3</v>
      </c>
      <c r="AEM277" s="16" t="n">
        <v>80.4</v>
      </c>
      <c r="AEN277" s="16" t="n">
        <v>9.4</v>
      </c>
      <c r="AEO277" s="0" t="n">
        <v>99.87</v>
      </c>
      <c r="AEP277" s="17" t="n">
        <v>0</v>
      </c>
      <c r="AEQ277" s="0" t="n">
        <v>0</v>
      </c>
      <c r="AER277" s="0" t="n">
        <v>0</v>
      </c>
      <c r="AES277" s="0" t="n">
        <v>0.13</v>
      </c>
      <c r="AET277" s="0" t="n">
        <v>0</v>
      </c>
      <c r="AEU277" s="0" t="n">
        <v>0</v>
      </c>
      <c r="AEV277" s="0" t="n">
        <v>0</v>
      </c>
      <c r="AEW277" s="0" t="n">
        <v>0</v>
      </c>
      <c r="AEX277" s="0" t="n">
        <v>0</v>
      </c>
      <c r="AEY277" s="0" t="n">
        <v>0</v>
      </c>
      <c r="AEZ277" s="0" t="n">
        <v>0</v>
      </c>
      <c r="AFA277" s="0" t="n">
        <v>0</v>
      </c>
      <c r="AFB277" s="0" t="n">
        <v>25.58</v>
      </c>
      <c r="AFC277" s="0" t="n">
        <v>13.58</v>
      </c>
      <c r="AFD277" s="0" t="n">
        <v>0</v>
      </c>
      <c r="AFE277" s="0" t="n">
        <v>0</v>
      </c>
      <c r="AFF277" s="0" t="n">
        <v>0</v>
      </c>
      <c r="AFS277" s="0" t="n">
        <v>4.2</v>
      </c>
      <c r="AFT277" s="0" t="n">
        <v>1</v>
      </c>
      <c r="AFU277" s="0" t="n">
        <v>68</v>
      </c>
      <c r="AFV277" s="0" t="n">
        <v>5</v>
      </c>
      <c r="AFW277" s="0" t="n">
        <f aca="false">0.4+2.28</f>
        <v>2.68</v>
      </c>
      <c r="AFX277" s="0" t="n">
        <v>1</v>
      </c>
      <c r="AGE277" s="18"/>
      <c r="AGW277" s="0" t="n">
        <v>0</v>
      </c>
      <c r="AIH277" s="16" t="n">
        <v>2.28</v>
      </c>
      <c r="AII277" s="16" t="n">
        <v>1</v>
      </c>
      <c r="AIJ277" s="16" t="n">
        <v>2</v>
      </c>
      <c r="AIK277" s="16"/>
      <c r="AIL277" s="16" t="n">
        <f aca="false">2.24+0.09+12.69</f>
        <v>15.02</v>
      </c>
      <c r="AIM277" s="16"/>
      <c r="AIN277" s="16"/>
      <c r="AIO277" s="16"/>
      <c r="AIP277" s="16"/>
      <c r="AIQ277" s="16"/>
      <c r="AIR277" s="16"/>
      <c r="AIS277" s="16" t="n">
        <v>0</v>
      </c>
      <c r="AIT277" s="16" t="n">
        <v>0</v>
      </c>
      <c r="AIU277" s="16"/>
      <c r="AIV277" s="16"/>
      <c r="AIW277" s="16" t="n">
        <v>3.73</v>
      </c>
      <c r="AIX277" s="16" t="n">
        <v>0.14</v>
      </c>
      <c r="AIY277" s="16" t="n">
        <v>0</v>
      </c>
      <c r="AIZ277" s="0" t="n">
        <v>0</v>
      </c>
      <c r="AJA277" s="0" t="s">
        <v>827</v>
      </c>
      <c r="AJB277" s="0" t="n">
        <v>16</v>
      </c>
      <c r="AJC277" s="16" t="n">
        <v>71.6</v>
      </c>
      <c r="AJD277" s="16" t="n">
        <v>80.4</v>
      </c>
      <c r="AJE277" s="16" t="n">
        <v>9.8</v>
      </c>
      <c r="AJF277" s="0" t="n">
        <v>100</v>
      </c>
      <c r="AJG277" s="17" t="n">
        <v>0</v>
      </c>
      <c r="AJH277" s="0" t="n">
        <v>0</v>
      </c>
      <c r="AJI277" s="0" t="n">
        <v>0</v>
      </c>
      <c r="AJJ277" s="0" t="n">
        <v>0</v>
      </c>
      <c r="AJK277" s="0" t="n">
        <v>0</v>
      </c>
      <c r="AJL277" s="0" t="n">
        <v>0</v>
      </c>
      <c r="AJM277" s="0" t="n">
        <v>0</v>
      </c>
      <c r="AJN277" s="0" t="n">
        <v>0</v>
      </c>
      <c r="AJO277" s="0" t="n">
        <v>0</v>
      </c>
      <c r="AJP277" s="0" t="n">
        <v>0</v>
      </c>
      <c r="AJQ277" s="0" t="n">
        <v>0</v>
      </c>
      <c r="AJR277" s="0" t="n">
        <v>0</v>
      </c>
      <c r="AJS277" s="0" t="n">
        <v>16.12</v>
      </c>
      <c r="AJT277" s="0" t="n">
        <v>13.45</v>
      </c>
      <c r="AJU277" s="0" t="n">
        <v>0</v>
      </c>
      <c r="AJV277" s="0" t="n">
        <v>0</v>
      </c>
      <c r="AJW277" s="0" t="n">
        <v>0</v>
      </c>
      <c r="AKJ277" s="0" t="n">
        <v>3.9</v>
      </c>
      <c r="AKK277" s="0" t="n">
        <v>1</v>
      </c>
      <c r="AKL277" s="0" t="n">
        <v>68</v>
      </c>
      <c r="AKM277" s="0" t="n">
        <v>5</v>
      </c>
      <c r="AKN277" s="0" t="n">
        <f aca="false">0.4+2.28</f>
        <v>2.68</v>
      </c>
      <c r="AKO277" s="0" t="n">
        <v>1</v>
      </c>
      <c r="AKV277" s="18"/>
      <c r="ALN277" s="0" t="n">
        <v>0</v>
      </c>
    </row>
    <row r="278" customFormat="false" ht="13.8" hidden="false" customHeight="false" outlineLevel="0" collapsed="false">
      <c r="A278" s="1" t="s">
        <v>831</v>
      </c>
      <c r="B278" s="12" t="n">
        <v>42909</v>
      </c>
      <c r="C278" s="0" t="n">
        <v>2</v>
      </c>
      <c r="D278" s="13" t="n">
        <v>42783</v>
      </c>
      <c r="E278" s="12" t="n">
        <v>29203</v>
      </c>
      <c r="F278" s="14" t="n">
        <f aca="false">(B278-E278)/365.25</f>
        <v>37.5249828884326</v>
      </c>
      <c r="G278" s="14" t="n">
        <f aca="false">(B278-D278)/365.25</f>
        <v>0.344969199178645</v>
      </c>
      <c r="H278" s="19" t="s">
        <v>306</v>
      </c>
      <c r="I278" s="15" t="s">
        <v>832</v>
      </c>
      <c r="J278" s="15" t="s">
        <v>181</v>
      </c>
      <c r="K278" s="15" t="n">
        <v>4</v>
      </c>
      <c r="L278" s="19" t="n">
        <v>85</v>
      </c>
      <c r="M278" s="0" t="n">
        <v>1.72</v>
      </c>
      <c r="N278" s="16" t="n">
        <f aca="false">L278/(M278*M278)</f>
        <v>28.7317468902109</v>
      </c>
      <c r="O278" s="19" t="n">
        <v>0</v>
      </c>
      <c r="P278" s="19" t="n">
        <v>0</v>
      </c>
      <c r="Q278" s="19" t="n">
        <v>0</v>
      </c>
      <c r="R278" s="26" t="n">
        <v>0</v>
      </c>
      <c r="S278" s="26" t="n">
        <v>0</v>
      </c>
      <c r="T278" s="26" t="n">
        <v>0</v>
      </c>
      <c r="U278" s="19" t="n">
        <v>1</v>
      </c>
      <c r="V278" s="19" t="n">
        <v>4</v>
      </c>
      <c r="W278" s="19" t="n">
        <v>0</v>
      </c>
      <c r="X278" s="19" t="n">
        <v>0</v>
      </c>
      <c r="Y278" s="19" t="n">
        <v>0</v>
      </c>
      <c r="Z278" s="19" t="n">
        <v>0</v>
      </c>
      <c r="AA278" s="19" t="n">
        <v>0</v>
      </c>
      <c r="AB278" s="19" t="n">
        <v>0</v>
      </c>
      <c r="AC278" s="19" t="n">
        <v>0</v>
      </c>
      <c r="AD278" s="19" t="n">
        <v>0</v>
      </c>
      <c r="AE278" s="19" t="n">
        <v>1</v>
      </c>
      <c r="AF278" s="19" t="n">
        <v>0</v>
      </c>
      <c r="AG278" s="19" t="n">
        <v>0</v>
      </c>
      <c r="AH278" s="19" t="n">
        <v>0</v>
      </c>
      <c r="AI278" s="19" t="n">
        <v>0</v>
      </c>
      <c r="AJ278" s="19" t="n">
        <v>0</v>
      </c>
      <c r="AK278" s="19" t="n">
        <v>0</v>
      </c>
      <c r="AL278" s="19" t="n">
        <v>0</v>
      </c>
      <c r="AM278" s="26" t="n">
        <v>0</v>
      </c>
      <c r="AN278" s="19" t="n">
        <v>0</v>
      </c>
      <c r="AO278" s="19" t="n">
        <v>0</v>
      </c>
      <c r="AP278" s="19" t="n">
        <v>0</v>
      </c>
      <c r="AQ278" s="19" t="n">
        <v>0</v>
      </c>
      <c r="AR278" s="19" t="n">
        <v>0</v>
      </c>
      <c r="AS278" s="19" t="n">
        <v>3</v>
      </c>
      <c r="AT278" s="19" t="n">
        <v>3</v>
      </c>
      <c r="AU278" s="19" t="n">
        <v>3</v>
      </c>
      <c r="AV278" s="19" t="n">
        <v>4</v>
      </c>
      <c r="AW278" s="19" t="n">
        <v>2</v>
      </c>
      <c r="AX278" s="19" t="n">
        <v>0</v>
      </c>
      <c r="AY278" s="19" t="n">
        <v>0</v>
      </c>
      <c r="AZ278" s="19" t="n">
        <v>0</v>
      </c>
      <c r="BA278" s="19" t="n">
        <v>0</v>
      </c>
      <c r="BB278" s="19" t="n">
        <v>1</v>
      </c>
      <c r="BC278" s="19" t="n">
        <v>1</v>
      </c>
      <c r="BD278" s="19" t="n">
        <v>1</v>
      </c>
      <c r="BE278" s="19" t="n">
        <v>5</v>
      </c>
      <c r="BF278" s="19" t="n">
        <v>1</v>
      </c>
      <c r="BG278" s="19" t="n">
        <v>0</v>
      </c>
      <c r="BH278" s="19" t="n">
        <v>0</v>
      </c>
      <c r="BI278" s="19" t="n">
        <v>0</v>
      </c>
      <c r="BJ278" s="19" t="n">
        <v>1</v>
      </c>
      <c r="BK278" s="19" t="n">
        <v>0</v>
      </c>
      <c r="BL278" s="19" t="n">
        <v>1</v>
      </c>
      <c r="BM278" s="19" t="n">
        <v>1</v>
      </c>
      <c r="BN278" s="19" t="n">
        <v>1</v>
      </c>
      <c r="BO278" s="19" t="n">
        <v>0</v>
      </c>
      <c r="BP278" s="19" t="n">
        <v>1</v>
      </c>
      <c r="BQ278" s="19" t="n">
        <v>1</v>
      </c>
      <c r="BR278" s="19" t="n">
        <v>2</v>
      </c>
      <c r="BS278" s="19" t="n">
        <v>3</v>
      </c>
      <c r="BT278" s="19" t="n">
        <v>3</v>
      </c>
      <c r="BU278" s="19" t="n">
        <v>5</v>
      </c>
      <c r="BV278" s="19" t="n">
        <v>2</v>
      </c>
      <c r="BW278" s="19" t="n">
        <v>1</v>
      </c>
      <c r="BX278" s="19" t="n">
        <v>4</v>
      </c>
      <c r="BY278" s="19" t="n">
        <v>4</v>
      </c>
      <c r="BZ278" s="19" t="n">
        <v>3</v>
      </c>
      <c r="CA278" s="19" t="n">
        <v>3</v>
      </c>
      <c r="CB278" s="19" t="n">
        <v>4</v>
      </c>
      <c r="CC278" s="19" t="n">
        <v>5</v>
      </c>
      <c r="CD278" s="19" t="n">
        <v>3</v>
      </c>
      <c r="CE278" s="19" t="n">
        <v>4</v>
      </c>
      <c r="CF278" s="19" t="n">
        <v>5</v>
      </c>
      <c r="CG278" s="19" t="n">
        <v>4</v>
      </c>
      <c r="CH278" s="19" t="n">
        <v>4</v>
      </c>
      <c r="CI278" s="19" t="n">
        <v>4</v>
      </c>
      <c r="CJ278" s="19" t="n">
        <v>5</v>
      </c>
      <c r="CK278" s="19" t="n">
        <v>10</v>
      </c>
      <c r="CL278" s="0" t="s">
        <v>833</v>
      </c>
      <c r="CM278" s="0" t="n">
        <v>31</v>
      </c>
      <c r="CN278" s="16" t="n">
        <v>82.6</v>
      </c>
      <c r="CO278" s="16" t="n">
        <v>83.4</v>
      </c>
      <c r="CP278" s="16" t="n">
        <v>5.7</v>
      </c>
      <c r="CQ278" s="0" t="n">
        <v>99.97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7.3</v>
      </c>
      <c r="DC278" s="0" t="n">
        <v>53.74</v>
      </c>
      <c r="DD278" s="0" t="n">
        <v>0</v>
      </c>
      <c r="DE278" s="0" t="n">
        <v>0</v>
      </c>
      <c r="DF278" s="0" t="n">
        <v>0</v>
      </c>
      <c r="DG278" s="0" t="n">
        <v>17.6</v>
      </c>
      <c r="DH278" s="0" t="n">
        <v>1</v>
      </c>
      <c r="DI278" s="0" t="n">
        <v>4.6</v>
      </c>
      <c r="DK278" s="0" t="n">
        <v>2</v>
      </c>
      <c r="DU278" s="0" t="n">
        <v>2.4</v>
      </c>
      <c r="DV278" s="0" t="n">
        <v>0</v>
      </c>
      <c r="EG278" s="18"/>
      <c r="EY278" s="0" t="n">
        <v>1</v>
      </c>
      <c r="EZ278" s="0" t="n">
        <v>60</v>
      </c>
      <c r="FA278" s="0" t="n">
        <f aca="false">4+6+1+3+1+3</f>
        <v>18</v>
      </c>
      <c r="FB278" s="0" t="n">
        <f aca="false">0.73+2.2+0.13+0.39+0.78+0.52</f>
        <v>4.75</v>
      </c>
      <c r="FC278" s="0" t="n">
        <v>3</v>
      </c>
      <c r="FD278" s="0" t="n">
        <v>50</v>
      </c>
      <c r="FE278" s="0" t="n">
        <f aca="false">14</f>
        <v>14</v>
      </c>
      <c r="FF278" s="0" t="n">
        <f aca="false">4.4+2.94+0.52</f>
        <v>7.86</v>
      </c>
      <c r="FG278" s="0" t="n">
        <v>3</v>
      </c>
      <c r="GJ278" s="16" t="n">
        <v>0</v>
      </c>
      <c r="GK278" s="16" t="n">
        <v>0</v>
      </c>
      <c r="GL278" s="16"/>
      <c r="GM278" s="16"/>
      <c r="GN278" s="16"/>
      <c r="GO278" s="16"/>
      <c r="GP278" s="16"/>
      <c r="GQ278" s="16"/>
      <c r="GR278" s="16"/>
      <c r="GS278" s="16"/>
      <c r="GT278" s="16"/>
      <c r="GU278" s="16" t="n">
        <v>5.21</v>
      </c>
      <c r="GV278" s="16" t="n">
        <v>2.59</v>
      </c>
      <c r="GW278" s="16"/>
      <c r="GX278" s="16"/>
      <c r="GY278" s="16" t="n">
        <v>0</v>
      </c>
      <c r="GZ278" s="16" t="n">
        <v>0</v>
      </c>
      <c r="HA278" s="16" t="n">
        <v>0</v>
      </c>
      <c r="HB278" s="0" t="n">
        <v>0</v>
      </c>
      <c r="HC278" s="0" t="s">
        <v>834</v>
      </c>
      <c r="HD278" s="0" t="n">
        <v>30.5</v>
      </c>
      <c r="HE278" s="16" t="n">
        <v>73.4</v>
      </c>
      <c r="HF278" s="16" t="n">
        <v>83.4</v>
      </c>
      <c r="HG278" s="16" t="n">
        <v>5.7</v>
      </c>
      <c r="HH278" s="0" t="n">
        <v>100</v>
      </c>
      <c r="HI278" s="0" t="n">
        <v>0</v>
      </c>
      <c r="HJ278" s="0" t="n">
        <v>0</v>
      </c>
      <c r="HK278" s="0" t="n">
        <v>0</v>
      </c>
      <c r="HL278" s="0" t="n">
        <v>0</v>
      </c>
      <c r="HM278" s="0" t="n">
        <v>0</v>
      </c>
      <c r="HN278" s="0" t="n">
        <v>0</v>
      </c>
      <c r="HO278" s="0" t="n">
        <v>0</v>
      </c>
      <c r="HP278" s="0" t="n">
        <v>0</v>
      </c>
      <c r="HQ278" s="0" t="n">
        <v>0</v>
      </c>
      <c r="HR278" s="0" t="n">
        <v>0</v>
      </c>
      <c r="HS278" s="0" t="n">
        <v>7.69</v>
      </c>
      <c r="HT278" s="0" t="n">
        <v>47.61</v>
      </c>
      <c r="HU278" s="0" t="n">
        <v>0</v>
      </c>
      <c r="HV278" s="0" t="n">
        <v>0</v>
      </c>
      <c r="HW278" s="0" t="n">
        <v>0</v>
      </c>
      <c r="HX278" s="0" t="n">
        <v>16.4</v>
      </c>
      <c r="HY278" s="0" t="n">
        <v>1</v>
      </c>
      <c r="HZ278" s="0" t="n">
        <v>4.6</v>
      </c>
      <c r="IB278" s="0" t="n">
        <v>2</v>
      </c>
      <c r="IL278" s="0" t="n">
        <v>1.4</v>
      </c>
      <c r="IM278" s="0" t="n">
        <v>0</v>
      </c>
      <c r="IX278" s="18"/>
      <c r="JP278" s="0" t="n">
        <v>1</v>
      </c>
      <c r="JQ278" s="0" t="n">
        <v>60</v>
      </c>
      <c r="JR278" s="0" t="n">
        <v>7</v>
      </c>
      <c r="JS278" s="0" t="n">
        <f aca="false">0.73+2.2+0.39</f>
        <v>3.32</v>
      </c>
      <c r="JT278" s="0" t="n">
        <v>3</v>
      </c>
      <c r="JU278" s="0" t="n">
        <v>50</v>
      </c>
      <c r="JV278" s="0" t="n">
        <v>10</v>
      </c>
      <c r="JW278" s="0" t="n">
        <f aca="false">4.4+2.94</f>
        <v>7.34</v>
      </c>
      <c r="LA278" s="16" t="n">
        <v>0</v>
      </c>
      <c r="LB278" s="16" t="n">
        <v>0</v>
      </c>
      <c r="LC278" s="16"/>
      <c r="LD278" s="16"/>
      <c r="LE278" s="16"/>
      <c r="LF278" s="16"/>
      <c r="LG278" s="16"/>
      <c r="LH278" s="16"/>
      <c r="LI278" s="16"/>
      <c r="LJ278" s="16"/>
      <c r="LK278" s="16"/>
      <c r="LL278" s="16" t="n">
        <v>6.95</v>
      </c>
      <c r="LM278" s="16" t="n">
        <v>10.27</v>
      </c>
      <c r="LN278" s="16"/>
      <c r="LO278" s="16"/>
      <c r="LP278" s="16" t="n">
        <v>0</v>
      </c>
      <c r="LQ278" s="16" t="n">
        <v>0</v>
      </c>
      <c r="LR278" s="16" t="n">
        <v>0</v>
      </c>
      <c r="LS278" s="0" t="n">
        <v>0</v>
      </c>
      <c r="LT278" s="0" t="n">
        <v>94</v>
      </c>
      <c r="LU278" s="0" t="n">
        <v>24.5</v>
      </c>
      <c r="LV278" s="16" t="n">
        <v>88.7</v>
      </c>
      <c r="LW278" s="16" t="n">
        <v>83.4</v>
      </c>
      <c r="LX278" s="16" t="n">
        <v>23.1</v>
      </c>
      <c r="LY278" s="0" t="n">
        <v>69.95</v>
      </c>
      <c r="LZ278" s="0" t="n">
        <v>0</v>
      </c>
      <c r="MA278" s="0" t="n">
        <v>7.16</v>
      </c>
      <c r="MB278" s="0" t="n">
        <v>0</v>
      </c>
      <c r="MC278" s="0" t="n">
        <v>0</v>
      </c>
      <c r="MD278" s="0" t="n">
        <v>0</v>
      </c>
      <c r="ME278" s="0" t="n">
        <v>0</v>
      </c>
      <c r="MF278" s="0" t="n">
        <v>0</v>
      </c>
      <c r="MG278" s="0" t="n">
        <v>0</v>
      </c>
      <c r="MH278" s="0" t="n">
        <v>0</v>
      </c>
      <c r="MI278" s="0" t="n">
        <v>0</v>
      </c>
      <c r="MJ278" s="0" t="n">
        <v>0</v>
      </c>
      <c r="MK278" s="0" t="n">
        <v>34.04</v>
      </c>
      <c r="ML278" s="0" t="n">
        <v>20.5</v>
      </c>
      <c r="MM278" s="0" t="n">
        <v>0</v>
      </c>
      <c r="MN278" s="0" t="n">
        <v>22.9</v>
      </c>
      <c r="MO278" s="0" t="n">
        <v>0</v>
      </c>
      <c r="MP278" s="0" t="n">
        <v>0</v>
      </c>
      <c r="NC278" s="0" t="n">
        <v>0</v>
      </c>
      <c r="ND278" s="0" t="n">
        <v>0</v>
      </c>
      <c r="NO278" s="18"/>
      <c r="OG278" s="0" t="n">
        <v>0</v>
      </c>
      <c r="PR278" s="16" t="n">
        <v>0</v>
      </c>
      <c r="PS278" s="16" t="n">
        <v>0</v>
      </c>
      <c r="PT278" s="16"/>
      <c r="PU278" s="16"/>
      <c r="PV278" s="16"/>
      <c r="PW278" s="16"/>
      <c r="PX278" s="16"/>
      <c r="PY278" s="16"/>
      <c r="PZ278" s="16"/>
      <c r="QA278" s="16"/>
      <c r="QB278" s="16"/>
      <c r="QC278" s="16" t="n">
        <v>0</v>
      </c>
      <c r="QD278" s="16" t="n">
        <v>0</v>
      </c>
      <c r="QE278" s="16"/>
      <c r="QF278" s="16"/>
      <c r="QG278" s="16" t="n">
        <v>0</v>
      </c>
      <c r="QH278" s="16" t="n">
        <v>0</v>
      </c>
      <c r="QI278" s="16" t="n">
        <v>1.44</v>
      </c>
      <c r="QJ278" s="0" t="n">
        <v>0</v>
      </c>
      <c r="QK278" s="0" t="s">
        <v>835</v>
      </c>
      <c r="QL278" s="0" t="n">
        <v>19</v>
      </c>
      <c r="QM278" s="16" t="n">
        <v>73.2</v>
      </c>
      <c r="QN278" s="16" t="n">
        <v>83.4</v>
      </c>
      <c r="QO278" s="16" t="n">
        <v>11.1</v>
      </c>
      <c r="QP278" s="0" t="n">
        <v>92.58</v>
      </c>
      <c r="QQ278" s="0" t="n">
        <v>0</v>
      </c>
      <c r="QR278" s="0" t="n">
        <v>1.25</v>
      </c>
      <c r="QS278" s="0" t="n">
        <v>0</v>
      </c>
      <c r="QT278" s="0" t="n">
        <v>5.34</v>
      </c>
      <c r="QU278" s="0" t="n">
        <v>0</v>
      </c>
      <c r="QV278" s="0" t="n">
        <v>0</v>
      </c>
      <c r="QW278" s="0" t="n">
        <v>0</v>
      </c>
      <c r="QX278" s="0" t="n">
        <v>0</v>
      </c>
      <c r="QY278" s="0" t="n">
        <v>0</v>
      </c>
      <c r="QZ278" s="0" t="n">
        <v>0</v>
      </c>
      <c r="RA278" s="0" t="n">
        <v>4.77</v>
      </c>
      <c r="RB278" s="0" t="n">
        <v>22.03</v>
      </c>
      <c r="RC278" s="0" t="n">
        <v>27.08</v>
      </c>
      <c r="RD278" s="0" t="n">
        <v>1.58</v>
      </c>
      <c r="RE278" s="0" t="n">
        <v>0.83</v>
      </c>
      <c r="RF278" s="0" t="n">
        <v>0</v>
      </c>
      <c r="RG278" s="0" t="n">
        <v>0</v>
      </c>
      <c r="RT278" s="0" t="n">
        <v>0.5</v>
      </c>
      <c r="RU278" s="0" t="n">
        <v>1</v>
      </c>
      <c r="RV278" s="0" t="n">
        <v>35</v>
      </c>
      <c r="RW278" s="0" t="n">
        <v>4</v>
      </c>
      <c r="RX278" s="0" t="n">
        <v>0.1</v>
      </c>
      <c r="RY278" s="0" t="n">
        <v>3</v>
      </c>
      <c r="SF278" s="18"/>
      <c r="SX278" s="0" t="n">
        <v>1</v>
      </c>
      <c r="SY278" s="0" t="n">
        <v>40</v>
      </c>
      <c r="SZ278" s="0" t="n">
        <v>1</v>
      </c>
      <c r="TA278" s="0" t="n">
        <v>1.25</v>
      </c>
      <c r="TB278" s="0" t="n">
        <v>3</v>
      </c>
      <c r="TC278" s="0" t="n">
        <v>50</v>
      </c>
      <c r="TD278" s="0" t="n">
        <v>1</v>
      </c>
      <c r="TE278" s="0" t="n">
        <v>0.05</v>
      </c>
      <c r="TF278" s="0" t="n">
        <v>3</v>
      </c>
      <c r="TG278" s="0" t="n">
        <v>60</v>
      </c>
      <c r="TH278" s="0" t="n">
        <f aca="false">18+9</f>
        <v>27</v>
      </c>
      <c r="TI278" s="0" t="n">
        <f aca="false">2.27+1.14</f>
        <v>3.41</v>
      </c>
      <c r="TJ278" s="0" t="n">
        <v>3</v>
      </c>
      <c r="UI278" s="16" t="n">
        <v>3.7</v>
      </c>
      <c r="UJ278" s="16" t="n">
        <v>1</v>
      </c>
      <c r="UK278" s="16" t="n">
        <v>1</v>
      </c>
      <c r="UL278" s="16"/>
      <c r="UM278" s="16" t="n">
        <f aca="false">4+0.13+0.01+0.73+1.65+0.02</f>
        <v>6.54</v>
      </c>
      <c r="UN278" s="16" t="n">
        <v>2</v>
      </c>
      <c r="UO278" s="16"/>
      <c r="UP278" s="16" t="n">
        <f aca="false">0.18*2</f>
        <v>0.36</v>
      </c>
      <c r="UQ278" s="16"/>
      <c r="UR278" s="16"/>
      <c r="US278" s="16"/>
      <c r="UT278" s="16" t="n">
        <v>3.32</v>
      </c>
      <c r="UU278" s="16" t="n">
        <v>3.31</v>
      </c>
      <c r="UV278" s="16"/>
      <c r="UW278" s="16"/>
      <c r="UX278" s="16" t="n">
        <v>0</v>
      </c>
      <c r="UY278" s="16" t="n">
        <v>0</v>
      </c>
      <c r="UZ278" s="16" t="n">
        <v>0.22</v>
      </c>
      <c r="VA278" s="0" t="n">
        <v>0</v>
      </c>
      <c r="VB278" s="0" t="s">
        <v>836</v>
      </c>
      <c r="VC278" s="0" t="n">
        <v>26.5</v>
      </c>
      <c r="VD278" s="16" t="n">
        <v>70.7</v>
      </c>
      <c r="VE278" s="16" t="n">
        <v>83.4</v>
      </c>
      <c r="VF278" s="16" t="n">
        <v>8.8</v>
      </c>
      <c r="VG278" s="0" t="n">
        <v>94.65</v>
      </c>
      <c r="VH278" s="0" t="n">
        <v>0</v>
      </c>
      <c r="VI278" s="0" t="n">
        <v>0.21</v>
      </c>
      <c r="VJ278" s="0" t="n">
        <v>0</v>
      </c>
      <c r="VK278" s="0" t="n">
        <v>4.31</v>
      </c>
      <c r="VL278" s="0" t="n">
        <v>0</v>
      </c>
      <c r="VM278" s="0" t="n">
        <v>0</v>
      </c>
      <c r="VN278" s="0" t="n">
        <v>0</v>
      </c>
      <c r="VO278" s="0" t="n">
        <v>0</v>
      </c>
      <c r="VP278" s="0" t="n">
        <v>0</v>
      </c>
      <c r="VQ278" s="0" t="n">
        <v>0</v>
      </c>
      <c r="VR278" s="0" t="n">
        <v>1.21</v>
      </c>
      <c r="VS278" s="0" t="n">
        <v>19.41</v>
      </c>
      <c r="VT278" s="0" t="n">
        <v>20.37</v>
      </c>
      <c r="VU278" s="0" t="n">
        <v>0.21</v>
      </c>
      <c r="VV278" s="0" t="n">
        <v>0.83</v>
      </c>
      <c r="VW278" s="0" t="n">
        <v>12.2</v>
      </c>
      <c r="VX278" s="0" t="n">
        <v>1</v>
      </c>
      <c r="VY278" s="0" t="n">
        <v>5</v>
      </c>
      <c r="WA278" s="0" t="n">
        <v>2</v>
      </c>
      <c r="WK278" s="0" t="n">
        <v>0</v>
      </c>
      <c r="WL278" s="0" t="n">
        <v>0</v>
      </c>
      <c r="WW278" s="18"/>
      <c r="XO278" s="0" t="n">
        <v>1</v>
      </c>
      <c r="XP278" s="0" t="n">
        <v>40</v>
      </c>
      <c r="XQ278" s="0" t="n">
        <v>1</v>
      </c>
      <c r="XR278" s="0" t="n">
        <v>0.21</v>
      </c>
      <c r="XS278" s="0" t="n">
        <v>3</v>
      </c>
      <c r="XT278" s="0" t="n">
        <v>80</v>
      </c>
      <c r="XU278" s="0" t="n">
        <v>4</v>
      </c>
      <c r="XV278" s="0" t="n">
        <v>0.5</v>
      </c>
      <c r="XW278" s="0" t="n">
        <v>2</v>
      </c>
      <c r="XX278" s="0" t="n">
        <v>60</v>
      </c>
      <c r="XY278" s="0" t="n">
        <f aca="false">18+9</f>
        <v>27</v>
      </c>
      <c r="XZ278" s="0" t="n">
        <f aca="false">2.27+1.14</f>
        <v>3.41</v>
      </c>
      <c r="YA278" s="0" t="n">
        <v>2</v>
      </c>
      <c r="YZ278" s="16" t="n">
        <v>3.54</v>
      </c>
      <c r="ZA278" s="16" t="n">
        <v>1</v>
      </c>
      <c r="ZB278" s="16" t="n">
        <v>1</v>
      </c>
      <c r="ZC278" s="16"/>
      <c r="ZD278" s="16" t="n">
        <f aca="false">4+0.73*2+1.65</f>
        <v>7.11</v>
      </c>
      <c r="ZE278" s="16"/>
      <c r="ZF278" s="16"/>
      <c r="ZG278" s="16"/>
      <c r="ZH278" s="16"/>
      <c r="ZI278" s="16"/>
      <c r="ZJ278" s="16"/>
      <c r="ZK278" s="16" t="n">
        <v>1.47</v>
      </c>
      <c r="ZL278" s="16" t="n">
        <v>1.47</v>
      </c>
      <c r="ZM278" s="16"/>
      <c r="ZN278" s="16"/>
      <c r="ZO278" s="16" t="n">
        <v>0</v>
      </c>
      <c r="ZP278" s="16" t="n">
        <v>0</v>
      </c>
      <c r="ZQ278" s="16" t="n">
        <v>0.22</v>
      </c>
      <c r="ZR278" s="0" t="n">
        <v>0</v>
      </c>
      <c r="ZS278" s="0" t="s">
        <v>837</v>
      </c>
      <c r="ZT278" s="0" t="n">
        <v>30.5</v>
      </c>
      <c r="ZU278" s="16" t="n">
        <v>92</v>
      </c>
      <c r="ZV278" s="16" t="n">
        <v>83.4</v>
      </c>
      <c r="ZW278" s="16" t="n">
        <v>5.9</v>
      </c>
      <c r="ZX278" s="0" t="n">
        <v>98.99</v>
      </c>
      <c r="ZY278" s="0" t="n">
        <v>1.01</v>
      </c>
      <c r="ZZ278" s="0" t="n">
        <v>0</v>
      </c>
      <c r="AAA278" s="0" t="n">
        <v>0</v>
      </c>
      <c r="AAB278" s="0" t="n">
        <v>0</v>
      </c>
      <c r="AAC278" s="0" t="n">
        <v>0</v>
      </c>
      <c r="AAD278" s="0" t="n">
        <v>0</v>
      </c>
      <c r="AAE278" s="0" t="n">
        <v>0</v>
      </c>
      <c r="AAF278" s="0" t="n">
        <v>0</v>
      </c>
      <c r="AAG278" s="0" t="n">
        <v>0</v>
      </c>
      <c r="AAH278" s="0" t="n">
        <v>0</v>
      </c>
      <c r="AAI278" s="0" t="n">
        <v>2.66</v>
      </c>
      <c r="AAJ278" s="0" t="n">
        <v>46.99</v>
      </c>
      <c r="AAK278" s="0" t="n">
        <v>16.89</v>
      </c>
      <c r="AAL278" s="0" t="n">
        <v>0</v>
      </c>
      <c r="AAM278" s="0" t="n">
        <v>0</v>
      </c>
      <c r="AAN278" s="0" t="n">
        <v>0</v>
      </c>
      <c r="AAO278" s="0" t="n">
        <v>0</v>
      </c>
      <c r="ABB278" s="0" t="n">
        <v>0</v>
      </c>
      <c r="ABC278" s="0" t="n">
        <v>0</v>
      </c>
      <c r="ABN278" s="18"/>
      <c r="ACF278" s="0" t="n">
        <v>0</v>
      </c>
      <c r="ADQ278" s="16" t="n">
        <v>8</v>
      </c>
      <c r="ADR278" s="16" t="n">
        <v>1</v>
      </c>
      <c r="ADS278" s="16" t="n">
        <v>1</v>
      </c>
      <c r="ADT278" s="16"/>
      <c r="ADU278" s="16" t="n">
        <f aca="false">1.65+0.18*2+9.17</f>
        <v>11.18</v>
      </c>
      <c r="ADV278" s="16"/>
      <c r="ADW278" s="16"/>
      <c r="ADX278" s="16"/>
      <c r="ADY278" s="16"/>
      <c r="ADZ278" s="16"/>
      <c r="AEA278" s="16"/>
      <c r="AEB278" s="16" t="n">
        <v>6.16</v>
      </c>
      <c r="AEC278" s="16" t="n">
        <v>16.16</v>
      </c>
      <c r="AED278" s="16"/>
      <c r="AEE278" s="16"/>
      <c r="AEF278" s="16" t="n">
        <v>10</v>
      </c>
      <c r="AEG278" s="16" t="n">
        <v>1.1</v>
      </c>
      <c r="AEH278" s="16" t="n">
        <v>0</v>
      </c>
      <c r="AEI278" s="0" t="n">
        <v>1</v>
      </c>
      <c r="AEJ278" s="0" t="s">
        <v>838</v>
      </c>
      <c r="AEK278" s="0" t="n">
        <v>47.5</v>
      </c>
      <c r="AEL278" s="16" t="n">
        <v>86.8</v>
      </c>
      <c r="AEM278" s="16" t="n">
        <v>83.4</v>
      </c>
      <c r="AEN278" s="16" t="n">
        <v>26.7</v>
      </c>
      <c r="AEO278" s="0" t="n">
        <v>65.11</v>
      </c>
      <c r="AEP278" s="0" t="n">
        <v>0</v>
      </c>
      <c r="AEQ278" s="0" t="n">
        <v>2.75</v>
      </c>
      <c r="AER278" s="0" t="n">
        <v>0</v>
      </c>
      <c r="AES278" s="0" t="n">
        <v>32.14</v>
      </c>
      <c r="AET278" s="0" t="n">
        <v>0</v>
      </c>
      <c r="AEU278" s="0" t="n">
        <v>0</v>
      </c>
      <c r="AEV278" s="0" t="n">
        <v>0</v>
      </c>
      <c r="AEW278" s="0" t="n">
        <v>0</v>
      </c>
      <c r="AEX278" s="0" t="n">
        <v>0</v>
      </c>
      <c r="AEY278" s="0" t="n">
        <v>0</v>
      </c>
      <c r="AEZ278" s="0" t="n">
        <v>0</v>
      </c>
      <c r="AFA278" s="0" t="n">
        <v>24.37</v>
      </c>
      <c r="AFB278" s="0" t="n">
        <v>6.53</v>
      </c>
      <c r="AFC278" s="0" t="n">
        <v>31.2</v>
      </c>
      <c r="AFD278" s="0" t="n">
        <v>0</v>
      </c>
      <c r="AFE278" s="0" t="n">
        <v>13</v>
      </c>
      <c r="AFF278" s="0" t="n">
        <v>1</v>
      </c>
      <c r="AFG278" s="0" t="n">
        <v>7</v>
      </c>
      <c r="AFI278" s="0" t="n">
        <v>2</v>
      </c>
      <c r="AFS278" s="0" t="n">
        <v>0</v>
      </c>
      <c r="AFT278" s="0" t="n">
        <v>0</v>
      </c>
      <c r="AGE278" s="18"/>
      <c r="AGW278" s="0" t="n">
        <v>0</v>
      </c>
      <c r="AIH278" s="16" t="n">
        <v>2.27</v>
      </c>
      <c r="AII278" s="16" t="n">
        <v>1</v>
      </c>
      <c r="AIJ278" s="16" t="n">
        <v>1</v>
      </c>
      <c r="AIK278" s="16"/>
      <c r="AIL278" s="16" t="n">
        <f aca="false">3.3*3+0.36*4</f>
        <v>11.34</v>
      </c>
      <c r="AIM278" s="16"/>
      <c r="AIN278" s="16"/>
      <c r="AIO278" s="16"/>
      <c r="AIP278" s="16"/>
      <c r="AIQ278" s="16"/>
      <c r="AIR278" s="16"/>
      <c r="AIS278" s="16" t="n">
        <v>5.24</v>
      </c>
      <c r="AIT278" s="16" t="n">
        <v>7.31</v>
      </c>
      <c r="AIU278" s="16"/>
      <c r="AIV278" s="16"/>
      <c r="AIW278" s="16" t="n">
        <v>0</v>
      </c>
      <c r="AIX278" s="16" t="n">
        <v>0</v>
      </c>
      <c r="AIY278" s="16" t="n">
        <v>0</v>
      </c>
      <c r="AIZ278" s="0" t="n">
        <v>0</v>
      </c>
      <c r="AJA278" s="0" t="s">
        <v>839</v>
      </c>
      <c r="AJB278" s="0" t="n">
        <v>48</v>
      </c>
      <c r="AJC278" s="16" t="n">
        <v>84.6</v>
      </c>
      <c r="AJD278" s="16" t="n">
        <v>83.4</v>
      </c>
      <c r="AJE278" s="16" t="n">
        <v>5.9</v>
      </c>
      <c r="AJF278" s="0" t="n">
        <v>36.31</v>
      </c>
      <c r="AJG278" s="0" t="n">
        <v>0</v>
      </c>
      <c r="AJH278" s="0" t="n">
        <v>0</v>
      </c>
      <c r="AJI278" s="0" t="n">
        <v>0</v>
      </c>
      <c r="AJJ278" s="0" t="n">
        <v>63.69</v>
      </c>
      <c r="AJK278" s="0" t="n">
        <v>0</v>
      </c>
      <c r="AJL278" s="0" t="n">
        <v>0</v>
      </c>
      <c r="AJM278" s="0" t="n">
        <v>0</v>
      </c>
      <c r="AJN278" s="0" t="n">
        <v>0</v>
      </c>
      <c r="AJO278" s="0" t="n">
        <v>0</v>
      </c>
      <c r="AJP278" s="0" t="n">
        <v>0</v>
      </c>
      <c r="AJQ278" s="0" t="n">
        <v>2.53</v>
      </c>
      <c r="AJR278" s="0" t="n">
        <v>8.33</v>
      </c>
      <c r="AJS278" s="0" t="n">
        <v>27.3</v>
      </c>
      <c r="AJT278" s="0" t="n">
        <v>39.37</v>
      </c>
      <c r="AJU278" s="0" t="n">
        <v>0</v>
      </c>
      <c r="AJV278" s="0" t="n">
        <v>0</v>
      </c>
      <c r="AJW278" s="0" t="n">
        <v>0</v>
      </c>
      <c r="AKJ278" s="0" t="n">
        <v>0</v>
      </c>
      <c r="AKK278" s="0" t="n">
        <v>0</v>
      </c>
      <c r="AKV278" s="18"/>
      <c r="ALN278" s="0" t="n">
        <v>0</v>
      </c>
    </row>
    <row r="279" customFormat="false" ht="13.8" hidden="false" customHeight="false" outlineLevel="0" collapsed="false">
      <c r="A279" s="1" t="s">
        <v>840</v>
      </c>
      <c r="B279" s="12" t="n">
        <v>42908</v>
      </c>
      <c r="C279" s="0" t="n">
        <v>2</v>
      </c>
      <c r="D279" s="13" t="n">
        <v>42804</v>
      </c>
      <c r="E279" s="12" t="n">
        <v>33472</v>
      </c>
      <c r="F279" s="14" t="n">
        <f aca="false">(B279-E279)/365.25</f>
        <v>25.8343600273785</v>
      </c>
      <c r="G279" s="14" t="n">
        <f aca="false">(B279-D279)/365.25</f>
        <v>0.284736481861739</v>
      </c>
      <c r="H279" s="19" t="s">
        <v>306</v>
      </c>
      <c r="I279" s="15" t="s">
        <v>832</v>
      </c>
      <c r="J279" s="15" t="s">
        <v>181</v>
      </c>
      <c r="K279" s="15" t="n">
        <v>4</v>
      </c>
      <c r="L279" s="19" t="n">
        <v>68</v>
      </c>
      <c r="M279" s="0" t="n">
        <v>1.77</v>
      </c>
      <c r="N279" s="16" t="n">
        <f aca="false">L279/(M279*M279)</f>
        <v>21.7051294327939</v>
      </c>
      <c r="O279" s="19" t="n">
        <v>0</v>
      </c>
      <c r="P279" s="19" t="n">
        <v>0</v>
      </c>
      <c r="Q279" s="19" t="n">
        <v>0</v>
      </c>
      <c r="R279" s="26" t="n">
        <v>0</v>
      </c>
      <c r="S279" s="26" t="n">
        <v>0</v>
      </c>
      <c r="T279" s="26" t="n">
        <v>0</v>
      </c>
      <c r="U279" s="19" t="n">
        <v>0</v>
      </c>
      <c r="V279" s="19" t="n">
        <v>0</v>
      </c>
      <c r="W279" s="19" t="n">
        <v>0</v>
      </c>
      <c r="X279" s="19" t="n">
        <v>0</v>
      </c>
      <c r="Y279" s="19" t="n">
        <v>1</v>
      </c>
      <c r="Z279" s="19" t="n">
        <v>1</v>
      </c>
      <c r="AA279" s="19" t="n">
        <v>120</v>
      </c>
      <c r="AB279" s="19" t="s">
        <v>349</v>
      </c>
      <c r="AC279" s="19" t="n">
        <v>1</v>
      </c>
      <c r="AD279" s="19" t="n">
        <v>10</v>
      </c>
      <c r="AE279" s="19" t="n">
        <v>0</v>
      </c>
      <c r="AF279" s="19" t="n">
        <v>0</v>
      </c>
      <c r="AG279" s="19" t="n">
        <v>0</v>
      </c>
      <c r="AH279" s="19" t="n">
        <v>0</v>
      </c>
      <c r="AI279" s="19" t="n">
        <v>0</v>
      </c>
      <c r="AJ279" s="19" t="n">
        <v>0</v>
      </c>
      <c r="AK279" s="19" t="n">
        <v>0</v>
      </c>
      <c r="AL279" s="19" t="n">
        <v>0</v>
      </c>
      <c r="AM279" s="26" t="n">
        <v>0</v>
      </c>
      <c r="AN279" s="19" t="n">
        <v>0</v>
      </c>
      <c r="AO279" s="19" t="n">
        <v>0</v>
      </c>
      <c r="AP279" s="19" t="n">
        <v>0</v>
      </c>
      <c r="AQ279" s="19" t="n">
        <v>0</v>
      </c>
      <c r="AR279" s="19" t="n">
        <v>0</v>
      </c>
      <c r="AS279" s="19" t="n">
        <v>0</v>
      </c>
      <c r="AT279" s="19" t="n">
        <v>0</v>
      </c>
      <c r="AU279" s="19" t="n">
        <v>0</v>
      </c>
      <c r="AV279" s="19" t="n">
        <v>0</v>
      </c>
      <c r="AW279" s="19" t="n">
        <v>0</v>
      </c>
      <c r="AX279" s="19" t="n">
        <v>0</v>
      </c>
      <c r="AY279" s="19" t="n">
        <v>0</v>
      </c>
      <c r="AZ279" s="19" t="n">
        <v>0</v>
      </c>
      <c r="BA279" s="19" t="n">
        <v>0</v>
      </c>
      <c r="BB279" s="19" t="n">
        <v>0</v>
      </c>
      <c r="BC279" s="19" t="n">
        <v>0</v>
      </c>
      <c r="BD279" s="19" t="n">
        <v>0</v>
      </c>
      <c r="BE279" s="19" t="n">
        <v>0</v>
      </c>
      <c r="BF279" s="19" t="n">
        <v>0</v>
      </c>
      <c r="BG279" s="19" t="n">
        <v>0</v>
      </c>
      <c r="BH279" s="19" t="n">
        <v>0</v>
      </c>
      <c r="BI279" s="19" t="n">
        <v>0</v>
      </c>
      <c r="BJ279" s="19" t="n">
        <v>0</v>
      </c>
      <c r="BK279" s="19" t="n">
        <v>0</v>
      </c>
      <c r="BL279" s="19" t="n">
        <v>0</v>
      </c>
      <c r="BM279" s="19" t="n">
        <v>0</v>
      </c>
      <c r="BN279" s="19" t="n">
        <v>0</v>
      </c>
      <c r="BO279" s="19" t="n">
        <v>0</v>
      </c>
      <c r="BP279" s="19" t="n">
        <v>0</v>
      </c>
      <c r="BQ279" s="19" t="n">
        <v>0</v>
      </c>
      <c r="BR279" s="19" t="n">
        <v>2</v>
      </c>
      <c r="BS279" s="19"/>
      <c r="BT279" s="19" t="n">
        <v>3</v>
      </c>
      <c r="BU279" s="19" t="n">
        <v>5</v>
      </c>
      <c r="BV279" s="19" t="n">
        <v>2</v>
      </c>
      <c r="BW279" s="19" t="n">
        <v>1</v>
      </c>
      <c r="BX279" s="19" t="n">
        <v>4</v>
      </c>
      <c r="BY279" s="19" t="n">
        <v>3</v>
      </c>
      <c r="BZ279" s="19" t="n">
        <v>2</v>
      </c>
      <c r="CA279" s="19" t="n">
        <v>2</v>
      </c>
      <c r="CB279" s="19" t="n">
        <v>4</v>
      </c>
      <c r="CC279" s="19" t="n">
        <v>4</v>
      </c>
      <c r="CD279" s="19" t="n">
        <v>4</v>
      </c>
      <c r="CE279" s="19" t="n">
        <v>4</v>
      </c>
      <c r="CF279" s="19" t="n">
        <v>4</v>
      </c>
      <c r="CG279" s="19" t="n">
        <v>5</v>
      </c>
      <c r="CH279" s="19" t="n">
        <v>4</v>
      </c>
      <c r="CI279" s="19" t="n">
        <v>5</v>
      </c>
      <c r="CJ279" s="19" t="n">
        <v>4</v>
      </c>
      <c r="CK279" s="19" t="n">
        <v>8</v>
      </c>
      <c r="CL279" s="0" t="s">
        <v>833</v>
      </c>
      <c r="CM279" s="0" t="n">
        <v>31</v>
      </c>
      <c r="CN279" s="16" t="n">
        <v>82.6</v>
      </c>
      <c r="CO279" s="16" t="n">
        <v>83.4</v>
      </c>
      <c r="CP279" s="16" t="n">
        <v>5.7</v>
      </c>
      <c r="CQ279" s="0" t="n">
        <v>99.97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7.3</v>
      </c>
      <c r="DC279" s="0" t="n">
        <v>53.74</v>
      </c>
      <c r="DD279" s="0" t="n">
        <v>0</v>
      </c>
      <c r="DE279" s="0" t="n">
        <v>0</v>
      </c>
      <c r="DF279" s="0" t="n">
        <v>0</v>
      </c>
      <c r="DG279" s="0" t="n">
        <v>17.6</v>
      </c>
      <c r="DH279" s="0" t="n">
        <v>1</v>
      </c>
      <c r="DI279" s="0" t="n">
        <v>4.6</v>
      </c>
      <c r="DK279" s="0" t="n">
        <v>2</v>
      </c>
      <c r="DU279" s="0" t="n">
        <v>2.4</v>
      </c>
      <c r="DV279" s="0" t="n">
        <v>0</v>
      </c>
      <c r="EG279" s="18"/>
      <c r="EY279" s="0" t="n">
        <v>1</v>
      </c>
      <c r="EZ279" s="0" t="n">
        <v>60</v>
      </c>
      <c r="FA279" s="0" t="n">
        <f aca="false">4+6+1+3+1+3</f>
        <v>18</v>
      </c>
      <c r="FB279" s="0" t="n">
        <f aca="false">0.73+2.2+0.13+0.39+0.78+0.52</f>
        <v>4.75</v>
      </c>
      <c r="FC279" s="0" t="n">
        <v>3</v>
      </c>
      <c r="FD279" s="0" t="n">
        <v>50</v>
      </c>
      <c r="FE279" s="0" t="n">
        <f aca="false">14</f>
        <v>14</v>
      </c>
      <c r="FF279" s="0" t="n">
        <f aca="false">4.4+2.94+0.52</f>
        <v>7.86</v>
      </c>
      <c r="FG279" s="0" t="n">
        <v>3</v>
      </c>
      <c r="GJ279" s="16" t="n">
        <v>0</v>
      </c>
      <c r="GK279" s="16" t="n">
        <v>0</v>
      </c>
      <c r="GL279" s="16"/>
      <c r="GM279" s="16"/>
      <c r="GN279" s="16"/>
      <c r="GO279" s="16"/>
      <c r="GP279" s="16"/>
      <c r="GQ279" s="16"/>
      <c r="GR279" s="16"/>
      <c r="GS279" s="16"/>
      <c r="GT279" s="16"/>
      <c r="GU279" s="16" t="n">
        <v>5.21</v>
      </c>
      <c r="GV279" s="16" t="n">
        <v>2.59</v>
      </c>
      <c r="GW279" s="16"/>
      <c r="GX279" s="16"/>
      <c r="GY279" s="16" t="n">
        <v>0</v>
      </c>
      <c r="GZ279" s="16" t="n">
        <v>0</v>
      </c>
      <c r="HA279" s="16" t="n">
        <v>0</v>
      </c>
      <c r="HB279" s="0" t="n">
        <v>0</v>
      </c>
      <c r="HC279" s="0" t="s">
        <v>834</v>
      </c>
      <c r="HD279" s="0" t="n">
        <v>30.5</v>
      </c>
      <c r="HE279" s="16" t="n">
        <v>73.4</v>
      </c>
      <c r="HF279" s="16" t="n">
        <v>83.4</v>
      </c>
      <c r="HG279" s="16" t="n">
        <v>5.7</v>
      </c>
      <c r="HH279" s="0" t="n">
        <v>100</v>
      </c>
      <c r="HI279" s="0" t="n">
        <v>0</v>
      </c>
      <c r="HJ279" s="0" t="n">
        <v>0</v>
      </c>
      <c r="HK279" s="0" t="n">
        <v>0</v>
      </c>
      <c r="HL279" s="0" t="n">
        <v>0</v>
      </c>
      <c r="HM279" s="0" t="n">
        <v>0</v>
      </c>
      <c r="HN279" s="0" t="n">
        <v>0</v>
      </c>
      <c r="HO279" s="0" t="n">
        <v>0</v>
      </c>
      <c r="HP279" s="0" t="n">
        <v>0</v>
      </c>
      <c r="HQ279" s="0" t="n">
        <v>0</v>
      </c>
      <c r="HR279" s="0" t="n">
        <v>0</v>
      </c>
      <c r="HS279" s="0" t="n">
        <v>7.69</v>
      </c>
      <c r="HT279" s="0" t="n">
        <v>47.61</v>
      </c>
      <c r="HU279" s="0" t="n">
        <v>0</v>
      </c>
      <c r="HV279" s="0" t="n">
        <v>0</v>
      </c>
      <c r="HW279" s="0" t="n">
        <v>0</v>
      </c>
      <c r="HX279" s="0" t="n">
        <v>16.4</v>
      </c>
      <c r="HY279" s="0" t="n">
        <v>1</v>
      </c>
      <c r="HZ279" s="0" t="n">
        <v>4.6</v>
      </c>
      <c r="IB279" s="0" t="n">
        <v>2</v>
      </c>
      <c r="IL279" s="0" t="n">
        <v>1.4</v>
      </c>
      <c r="IM279" s="0" t="n">
        <v>0</v>
      </c>
      <c r="IX279" s="18"/>
      <c r="JP279" s="0" t="n">
        <v>1</v>
      </c>
      <c r="JQ279" s="0" t="n">
        <v>60</v>
      </c>
      <c r="JR279" s="0" t="n">
        <v>7</v>
      </c>
      <c r="JS279" s="0" t="n">
        <f aca="false">0.73+2.2+0.39</f>
        <v>3.32</v>
      </c>
      <c r="JT279" s="0" t="n">
        <v>3</v>
      </c>
      <c r="JU279" s="0" t="n">
        <v>50</v>
      </c>
      <c r="JV279" s="0" t="n">
        <v>10</v>
      </c>
      <c r="JW279" s="0" t="n">
        <f aca="false">4.4+2.94</f>
        <v>7.34</v>
      </c>
      <c r="LA279" s="16" t="n">
        <v>0</v>
      </c>
      <c r="LB279" s="16" t="n">
        <v>0</v>
      </c>
      <c r="LC279" s="16"/>
      <c r="LD279" s="16"/>
      <c r="LE279" s="16"/>
      <c r="LF279" s="16"/>
      <c r="LG279" s="16"/>
      <c r="LH279" s="16"/>
      <c r="LI279" s="16"/>
      <c r="LJ279" s="16"/>
      <c r="LK279" s="16"/>
      <c r="LL279" s="16" t="n">
        <v>6.95</v>
      </c>
      <c r="LM279" s="16" t="n">
        <v>10.27</v>
      </c>
      <c r="LN279" s="16"/>
      <c r="LO279" s="16"/>
      <c r="LP279" s="16" t="n">
        <v>0</v>
      </c>
      <c r="LQ279" s="16" t="n">
        <v>0</v>
      </c>
      <c r="LR279" s="16" t="n">
        <v>0</v>
      </c>
      <c r="LS279" s="0" t="n">
        <v>0</v>
      </c>
      <c r="LT279" s="0" t="n">
        <v>94</v>
      </c>
      <c r="LU279" s="0" t="n">
        <v>24.5</v>
      </c>
      <c r="LV279" s="16" t="n">
        <v>88.7</v>
      </c>
      <c r="LW279" s="16" t="n">
        <v>83.4</v>
      </c>
      <c r="LX279" s="16" t="n">
        <v>23.1</v>
      </c>
      <c r="LY279" s="0" t="n">
        <v>69.95</v>
      </c>
      <c r="LZ279" s="0" t="n">
        <v>0</v>
      </c>
      <c r="MA279" s="0" t="n">
        <v>7.16</v>
      </c>
      <c r="MB279" s="0" t="n">
        <v>0</v>
      </c>
      <c r="MC279" s="0" t="n">
        <v>0</v>
      </c>
      <c r="MD279" s="0" t="n">
        <v>0</v>
      </c>
      <c r="ME279" s="0" t="n">
        <v>0</v>
      </c>
      <c r="MF279" s="0" t="n">
        <v>0</v>
      </c>
      <c r="MG279" s="0" t="n">
        <v>0</v>
      </c>
      <c r="MH279" s="0" t="n">
        <v>0</v>
      </c>
      <c r="MI279" s="0" t="n">
        <v>0</v>
      </c>
      <c r="MJ279" s="0" t="n">
        <v>0</v>
      </c>
      <c r="MK279" s="0" t="n">
        <v>34.04</v>
      </c>
      <c r="ML279" s="0" t="n">
        <v>20.5</v>
      </c>
      <c r="MM279" s="0" t="n">
        <v>0</v>
      </c>
      <c r="MN279" s="0" t="n">
        <v>22.9</v>
      </c>
      <c r="MO279" s="0" t="n">
        <v>0</v>
      </c>
      <c r="MP279" s="0" t="n">
        <v>0</v>
      </c>
      <c r="NC279" s="0" t="n">
        <v>0</v>
      </c>
      <c r="ND279" s="0" t="n">
        <v>0</v>
      </c>
      <c r="NO279" s="18"/>
      <c r="OG279" s="0" t="n">
        <v>0</v>
      </c>
      <c r="PR279" s="16" t="n">
        <v>0</v>
      </c>
      <c r="PS279" s="16" t="n">
        <v>0</v>
      </c>
      <c r="PT279" s="16"/>
      <c r="PU279" s="16"/>
      <c r="PV279" s="16"/>
      <c r="PW279" s="16"/>
      <c r="PX279" s="16"/>
      <c r="PY279" s="16"/>
      <c r="PZ279" s="16"/>
      <c r="QA279" s="16"/>
      <c r="QB279" s="16"/>
      <c r="QC279" s="16" t="n">
        <v>0</v>
      </c>
      <c r="QD279" s="16" t="n">
        <v>0</v>
      </c>
      <c r="QE279" s="16"/>
      <c r="QF279" s="16"/>
      <c r="QG279" s="16" t="n">
        <v>0</v>
      </c>
      <c r="QH279" s="16" t="n">
        <v>0</v>
      </c>
      <c r="QI279" s="16" t="n">
        <v>1.44</v>
      </c>
      <c r="QJ279" s="0" t="n">
        <v>0</v>
      </c>
      <c r="QK279" s="0" t="s">
        <v>835</v>
      </c>
      <c r="QL279" s="0" t="n">
        <v>19</v>
      </c>
      <c r="QM279" s="16" t="n">
        <v>73.2</v>
      </c>
      <c r="QN279" s="16" t="n">
        <v>83.4</v>
      </c>
      <c r="QO279" s="16" t="n">
        <v>11.1</v>
      </c>
      <c r="QP279" s="0" t="n">
        <v>92.58</v>
      </c>
      <c r="QQ279" s="0" t="n">
        <v>0</v>
      </c>
      <c r="QR279" s="0" t="n">
        <v>1.25</v>
      </c>
      <c r="QS279" s="0" t="n">
        <v>0</v>
      </c>
      <c r="QT279" s="0" t="n">
        <v>5.34</v>
      </c>
      <c r="QU279" s="0" t="n">
        <v>0</v>
      </c>
      <c r="QV279" s="0" t="n">
        <v>0</v>
      </c>
      <c r="QW279" s="0" t="n">
        <v>0</v>
      </c>
      <c r="QX279" s="0" t="n">
        <v>0</v>
      </c>
      <c r="QY279" s="0" t="n">
        <v>0</v>
      </c>
      <c r="QZ279" s="0" t="n">
        <v>0</v>
      </c>
      <c r="RA279" s="0" t="n">
        <v>4.77</v>
      </c>
      <c r="RB279" s="0" t="n">
        <v>22.03</v>
      </c>
      <c r="RC279" s="0" t="n">
        <v>27.08</v>
      </c>
      <c r="RD279" s="0" t="n">
        <v>1.58</v>
      </c>
      <c r="RE279" s="0" t="n">
        <v>0.83</v>
      </c>
      <c r="RF279" s="0" t="n">
        <v>0</v>
      </c>
      <c r="RG279" s="0" t="n">
        <v>0</v>
      </c>
      <c r="RT279" s="0" t="n">
        <v>0.5</v>
      </c>
      <c r="RU279" s="0" t="n">
        <v>1</v>
      </c>
      <c r="RV279" s="0" t="n">
        <v>35</v>
      </c>
      <c r="RW279" s="0" t="n">
        <v>4</v>
      </c>
      <c r="RX279" s="0" t="n">
        <v>0.1</v>
      </c>
      <c r="RY279" s="0" t="n">
        <v>3</v>
      </c>
      <c r="SF279" s="18"/>
      <c r="SX279" s="0" t="n">
        <v>1</v>
      </c>
      <c r="SY279" s="0" t="n">
        <v>40</v>
      </c>
      <c r="SZ279" s="0" t="n">
        <v>1</v>
      </c>
      <c r="TA279" s="0" t="n">
        <v>1.25</v>
      </c>
      <c r="TB279" s="0" t="n">
        <v>3</v>
      </c>
      <c r="TC279" s="0" t="n">
        <v>50</v>
      </c>
      <c r="TD279" s="0" t="n">
        <v>1</v>
      </c>
      <c r="TE279" s="0" t="n">
        <v>0.05</v>
      </c>
      <c r="TF279" s="0" t="n">
        <v>3</v>
      </c>
      <c r="TG279" s="0" t="n">
        <v>60</v>
      </c>
      <c r="TH279" s="0" t="n">
        <f aca="false">18+9</f>
        <v>27</v>
      </c>
      <c r="TI279" s="0" t="n">
        <f aca="false">2.27+1.14</f>
        <v>3.41</v>
      </c>
      <c r="TJ279" s="0" t="n">
        <v>3</v>
      </c>
      <c r="UI279" s="16" t="n">
        <v>3.7</v>
      </c>
      <c r="UJ279" s="16" t="n">
        <v>1</v>
      </c>
      <c r="UK279" s="16" t="n">
        <v>1</v>
      </c>
      <c r="UL279" s="16"/>
      <c r="UM279" s="16" t="n">
        <f aca="false">4+0.13+0.01+0.73+1.65+0.02</f>
        <v>6.54</v>
      </c>
      <c r="UN279" s="16" t="n">
        <v>2</v>
      </c>
      <c r="UO279" s="16"/>
      <c r="UP279" s="16" t="n">
        <f aca="false">0.18*2</f>
        <v>0.36</v>
      </c>
      <c r="UQ279" s="16"/>
      <c r="UR279" s="16"/>
      <c r="US279" s="16"/>
      <c r="UT279" s="16" t="n">
        <v>3.32</v>
      </c>
      <c r="UU279" s="16" t="n">
        <v>3.31</v>
      </c>
      <c r="UV279" s="16"/>
      <c r="UW279" s="16"/>
      <c r="UX279" s="16" t="n">
        <v>0</v>
      </c>
      <c r="UY279" s="16" t="n">
        <v>0</v>
      </c>
      <c r="UZ279" s="16" t="n">
        <v>0.22</v>
      </c>
      <c r="VA279" s="0" t="n">
        <v>0</v>
      </c>
      <c r="VB279" s="0" t="s">
        <v>836</v>
      </c>
      <c r="VC279" s="0" t="n">
        <v>26.5</v>
      </c>
      <c r="VD279" s="16" t="n">
        <v>70.7</v>
      </c>
      <c r="VE279" s="16" t="n">
        <v>83.4</v>
      </c>
      <c r="VF279" s="16" t="n">
        <v>8.8</v>
      </c>
      <c r="VG279" s="0" t="n">
        <v>94.65</v>
      </c>
      <c r="VH279" s="0" t="n">
        <v>0</v>
      </c>
      <c r="VI279" s="0" t="n">
        <v>0.21</v>
      </c>
      <c r="VJ279" s="0" t="n">
        <v>0</v>
      </c>
      <c r="VK279" s="0" t="n">
        <v>4.31</v>
      </c>
      <c r="VL279" s="0" t="n">
        <v>0</v>
      </c>
      <c r="VM279" s="0" t="n">
        <v>0</v>
      </c>
      <c r="VN279" s="0" t="n">
        <v>0</v>
      </c>
      <c r="VO279" s="0" t="n">
        <v>0</v>
      </c>
      <c r="VP279" s="0" t="n">
        <v>0</v>
      </c>
      <c r="VQ279" s="0" t="n">
        <v>0</v>
      </c>
      <c r="VR279" s="0" t="n">
        <v>1.21</v>
      </c>
      <c r="VS279" s="0" t="n">
        <v>19.41</v>
      </c>
      <c r="VT279" s="0" t="n">
        <v>20.37</v>
      </c>
      <c r="VU279" s="0" t="n">
        <v>0.21</v>
      </c>
      <c r="VV279" s="0" t="n">
        <v>0.83</v>
      </c>
      <c r="VW279" s="0" t="n">
        <v>12.2</v>
      </c>
      <c r="VX279" s="0" t="n">
        <v>1</v>
      </c>
      <c r="VY279" s="0" t="n">
        <v>5</v>
      </c>
      <c r="WA279" s="0" t="n">
        <v>2</v>
      </c>
      <c r="WK279" s="0" t="n">
        <v>0</v>
      </c>
      <c r="WL279" s="0" t="n">
        <v>0</v>
      </c>
      <c r="WW279" s="18"/>
      <c r="XO279" s="0" t="n">
        <v>1</v>
      </c>
      <c r="XP279" s="0" t="n">
        <v>40</v>
      </c>
      <c r="XQ279" s="0" t="n">
        <v>1</v>
      </c>
      <c r="XR279" s="0" t="n">
        <v>0.21</v>
      </c>
      <c r="XS279" s="0" t="n">
        <v>3</v>
      </c>
      <c r="XT279" s="0" t="n">
        <v>80</v>
      </c>
      <c r="XU279" s="0" t="n">
        <v>4</v>
      </c>
      <c r="XV279" s="0" t="n">
        <v>0.5</v>
      </c>
      <c r="XW279" s="0" t="n">
        <v>2</v>
      </c>
      <c r="XX279" s="0" t="n">
        <v>60</v>
      </c>
      <c r="XY279" s="0" t="n">
        <f aca="false">18+9</f>
        <v>27</v>
      </c>
      <c r="XZ279" s="0" t="n">
        <f aca="false">2.27+1.14</f>
        <v>3.41</v>
      </c>
      <c r="YA279" s="0" t="n">
        <v>2</v>
      </c>
      <c r="YZ279" s="16" t="n">
        <v>3.54</v>
      </c>
      <c r="ZA279" s="16" t="n">
        <v>1</v>
      </c>
      <c r="ZB279" s="16" t="n">
        <v>1</v>
      </c>
      <c r="ZC279" s="16"/>
      <c r="ZD279" s="16" t="n">
        <f aca="false">4+0.73*2+1.65</f>
        <v>7.11</v>
      </c>
      <c r="ZE279" s="16"/>
      <c r="ZF279" s="16"/>
      <c r="ZG279" s="16"/>
      <c r="ZH279" s="16"/>
      <c r="ZI279" s="16"/>
      <c r="ZJ279" s="16"/>
      <c r="ZK279" s="16" t="n">
        <v>1.47</v>
      </c>
      <c r="ZL279" s="16" t="n">
        <v>1.47</v>
      </c>
      <c r="ZM279" s="16"/>
      <c r="ZN279" s="16"/>
      <c r="ZO279" s="16" t="n">
        <v>0</v>
      </c>
      <c r="ZP279" s="16" t="n">
        <v>0</v>
      </c>
      <c r="ZQ279" s="16" t="n">
        <v>0.22</v>
      </c>
      <c r="ZR279" s="0" t="n">
        <v>0</v>
      </c>
      <c r="ZS279" s="0" t="s">
        <v>841</v>
      </c>
      <c r="ZT279" s="0" t="n">
        <v>18.5</v>
      </c>
      <c r="ZU279" s="16" t="n">
        <v>91.6</v>
      </c>
      <c r="ZV279" s="16" t="n">
        <v>83.4</v>
      </c>
      <c r="ZW279" s="16" t="n">
        <v>7.5</v>
      </c>
      <c r="ZX279" s="0" t="n">
        <v>96.33</v>
      </c>
      <c r="ZY279" s="0" t="n">
        <v>0</v>
      </c>
      <c r="ZZ279" s="0" t="n">
        <v>0</v>
      </c>
      <c r="AAA279" s="0" t="n">
        <v>0</v>
      </c>
      <c r="AAB279" s="0" t="n">
        <v>3.67</v>
      </c>
      <c r="AAC279" s="0" t="n">
        <v>0</v>
      </c>
      <c r="AAD279" s="0" t="n">
        <v>0</v>
      </c>
      <c r="AAE279" s="0" t="n">
        <v>0</v>
      </c>
      <c r="AAF279" s="0" t="n">
        <v>0</v>
      </c>
      <c r="AAG279" s="0" t="n">
        <v>0</v>
      </c>
      <c r="AAH279" s="0" t="n">
        <v>0</v>
      </c>
      <c r="AAI279" s="0" t="n">
        <v>3.67</v>
      </c>
      <c r="AAJ279" s="0" t="n">
        <v>45.98</v>
      </c>
      <c r="AAK279" s="0" t="n">
        <v>17.9</v>
      </c>
      <c r="AAL279" s="0" t="n">
        <v>0</v>
      </c>
      <c r="AAM279" s="0" t="n">
        <v>0</v>
      </c>
      <c r="AAN279" s="0" t="n">
        <v>0</v>
      </c>
      <c r="AAO279" s="0" t="n">
        <v>0</v>
      </c>
      <c r="ABB279" s="0" t="n">
        <v>0</v>
      </c>
      <c r="ABC279" s="0" t="n">
        <v>0</v>
      </c>
      <c r="ABN279" s="18"/>
      <c r="ACF279" s="0" t="n">
        <v>0</v>
      </c>
      <c r="ACJ279" s="0" t="n">
        <v>1</v>
      </c>
      <c r="ACK279" s="0" t="n">
        <v>50</v>
      </c>
      <c r="ACL279" s="0" t="n">
        <v>1</v>
      </c>
      <c r="ACM279" s="0" t="n">
        <v>0.04</v>
      </c>
      <c r="ACN279" s="0" t="n">
        <v>3</v>
      </c>
      <c r="ADQ279" s="16" t="n">
        <v>1.44</v>
      </c>
      <c r="ADR279" s="16" t="n">
        <v>1</v>
      </c>
      <c r="ADS279" s="16" t="n">
        <v>1</v>
      </c>
      <c r="ADT279" s="16"/>
      <c r="ADU279" s="16" t="n">
        <f aca="false">1.65+0.18*2+9.17</f>
        <v>11.18</v>
      </c>
      <c r="ADV279" s="16"/>
      <c r="ADW279" s="16"/>
      <c r="ADX279" s="16"/>
      <c r="ADY279" s="16"/>
      <c r="ADZ279" s="16"/>
      <c r="AEA279" s="16"/>
      <c r="AEB279" s="16" t="n">
        <v>5.88</v>
      </c>
      <c r="AEC279" s="16" t="n">
        <v>13.5</v>
      </c>
      <c r="AED279" s="16"/>
      <c r="AEE279" s="16"/>
      <c r="AEF279" s="16" t="n">
        <v>3.6</v>
      </c>
      <c r="AEG279" s="16" t="n">
        <v>1.1</v>
      </c>
      <c r="AEH279" s="16" t="n">
        <v>0</v>
      </c>
      <c r="AEI279" s="0" t="n">
        <v>0</v>
      </c>
      <c r="AEJ279" s="0" t="s">
        <v>837</v>
      </c>
      <c r="AEK279" s="0" t="n">
        <v>30.5</v>
      </c>
      <c r="AEL279" s="16" t="n">
        <v>92</v>
      </c>
      <c r="AEM279" s="16" t="n">
        <v>83.4</v>
      </c>
      <c r="AEN279" s="16" t="n">
        <v>5.9</v>
      </c>
      <c r="AEO279" s="0" t="n">
        <v>98.99</v>
      </c>
      <c r="AEP279" s="0" t="n">
        <v>1.01</v>
      </c>
      <c r="AEQ279" s="0" t="n">
        <v>0</v>
      </c>
      <c r="AER279" s="0" t="n">
        <v>0</v>
      </c>
      <c r="AES279" s="0" t="n">
        <v>0</v>
      </c>
      <c r="AET279" s="0" t="n">
        <v>0</v>
      </c>
      <c r="AEU279" s="0" t="n">
        <v>0</v>
      </c>
      <c r="AEV279" s="0" t="n">
        <v>0</v>
      </c>
      <c r="AEW279" s="0" t="n">
        <v>0</v>
      </c>
      <c r="AEX279" s="0" t="n">
        <v>0</v>
      </c>
      <c r="AEY279" s="0" t="n">
        <v>0</v>
      </c>
      <c r="AEZ279" s="0" t="n">
        <v>2.66</v>
      </c>
      <c r="AFA279" s="0" t="n">
        <v>46.99</v>
      </c>
      <c r="AFB279" s="0" t="n">
        <v>16.89</v>
      </c>
      <c r="AFC279" s="0" t="n">
        <v>0</v>
      </c>
      <c r="AFD279" s="0" t="n">
        <v>0</v>
      </c>
      <c r="AFE279" s="0" t="n">
        <v>0</v>
      </c>
      <c r="AFF279" s="0" t="n">
        <v>0</v>
      </c>
      <c r="AFS279" s="0" t="n">
        <v>0</v>
      </c>
      <c r="AFT279" s="0" t="n">
        <v>0</v>
      </c>
      <c r="AGE279" s="18"/>
      <c r="AGW279" s="0" t="n">
        <v>0</v>
      </c>
      <c r="AIH279" s="16" t="n">
        <v>8</v>
      </c>
      <c r="AII279" s="16" t="n">
        <v>1</v>
      </c>
      <c r="AIJ279" s="16" t="n">
        <v>1</v>
      </c>
      <c r="AIK279" s="16"/>
      <c r="AIL279" s="16" t="n">
        <f aca="false">1.65+0.18*2+9.17</f>
        <v>11.18</v>
      </c>
      <c r="AIM279" s="16"/>
      <c r="AIN279" s="16"/>
      <c r="AIO279" s="16"/>
      <c r="AIP279" s="16"/>
      <c r="AIQ279" s="16"/>
      <c r="AIR279" s="16"/>
      <c r="AIS279" s="16" t="n">
        <v>6.16</v>
      </c>
      <c r="AIT279" s="16" t="n">
        <v>16.16</v>
      </c>
      <c r="AIU279" s="16"/>
      <c r="AIV279" s="16"/>
      <c r="AIW279" s="16" t="n">
        <v>10</v>
      </c>
      <c r="AIX279" s="16" t="n">
        <v>1.1</v>
      </c>
      <c r="AIY279" s="16" t="n">
        <v>0</v>
      </c>
      <c r="AIZ279" s="0" t="n">
        <v>1</v>
      </c>
      <c r="AJA279" s="0" t="s">
        <v>838</v>
      </c>
      <c r="AJB279" s="0" t="n">
        <v>47.5</v>
      </c>
      <c r="AJC279" s="16" t="n">
        <v>86.8</v>
      </c>
      <c r="AJD279" s="16" t="n">
        <v>83.4</v>
      </c>
      <c r="AJE279" s="16" t="n">
        <v>26.7</v>
      </c>
      <c r="AJF279" s="0" t="n">
        <v>65.11</v>
      </c>
      <c r="AJG279" s="0" t="n">
        <v>0</v>
      </c>
      <c r="AJH279" s="0" t="n">
        <v>2.75</v>
      </c>
      <c r="AJI279" s="0" t="n">
        <v>0</v>
      </c>
      <c r="AJJ279" s="0" t="n">
        <v>32.14</v>
      </c>
      <c r="AJK279" s="0" t="n">
        <v>0</v>
      </c>
      <c r="AJL279" s="0" t="n">
        <v>0</v>
      </c>
      <c r="AJM279" s="0" t="n">
        <v>0</v>
      </c>
      <c r="AJN279" s="0" t="n">
        <v>0</v>
      </c>
      <c r="AJO279" s="0" t="n">
        <v>0</v>
      </c>
      <c r="AJP279" s="0" t="n">
        <v>0</v>
      </c>
      <c r="AJQ279" s="0" t="n">
        <v>0</v>
      </c>
      <c r="AJR279" s="0" t="n">
        <v>24.37</v>
      </c>
      <c r="AJS279" s="0" t="n">
        <v>6.53</v>
      </c>
      <c r="AJT279" s="0" t="n">
        <v>31.2</v>
      </c>
      <c r="AJU279" s="0" t="n">
        <v>0</v>
      </c>
      <c r="AJV279" s="0" t="n">
        <v>13</v>
      </c>
      <c r="AJW279" s="0" t="n">
        <v>1</v>
      </c>
      <c r="AJX279" s="0" t="n">
        <v>7</v>
      </c>
      <c r="AJZ279" s="0" t="n">
        <v>2</v>
      </c>
      <c r="AKJ279" s="0" t="n">
        <v>0</v>
      </c>
      <c r="AKK279" s="0" t="n">
        <v>0</v>
      </c>
      <c r="AKV279" s="18"/>
      <c r="ALN279" s="0" t="n">
        <v>0</v>
      </c>
    </row>
    <row r="280" customFormat="false" ht="13.8" hidden="false" customHeight="false" outlineLevel="0" collapsed="false">
      <c r="A280" s="1" t="s">
        <v>842</v>
      </c>
      <c r="B280" s="12" t="n">
        <v>42888</v>
      </c>
      <c r="C280" s="0" t="n">
        <v>1</v>
      </c>
      <c r="D280" s="13" t="n">
        <v>42790</v>
      </c>
      <c r="E280" s="12" t="n">
        <v>33747</v>
      </c>
      <c r="F280" s="14" t="n">
        <f aca="false">(B280-E280)/365.25</f>
        <v>25.0266940451745</v>
      </c>
      <c r="G280" s="14" t="n">
        <f aca="false">(B280-D280)/365.25</f>
        <v>0.268309377138946</v>
      </c>
      <c r="H280" s="19" t="s">
        <v>306</v>
      </c>
      <c r="I280" s="15" t="s">
        <v>832</v>
      </c>
      <c r="J280" s="15" t="s">
        <v>181</v>
      </c>
      <c r="K280" s="15" t="n">
        <v>8</v>
      </c>
      <c r="L280" s="19" t="n">
        <v>69</v>
      </c>
      <c r="M280" s="0" t="n">
        <v>1.63</v>
      </c>
      <c r="N280" s="16" t="n">
        <f aca="false">L280/(M280*M280)</f>
        <v>25.9701155481953</v>
      </c>
      <c r="O280" s="19" t="n">
        <v>0</v>
      </c>
      <c r="P280" s="19" t="n">
        <v>0</v>
      </c>
      <c r="Q280" s="19" t="n">
        <v>0</v>
      </c>
      <c r="R280" s="26" t="n">
        <v>0</v>
      </c>
      <c r="S280" s="26" t="n">
        <v>0</v>
      </c>
      <c r="T280" s="26" t="n">
        <v>0</v>
      </c>
      <c r="U280" s="19" t="n">
        <v>0</v>
      </c>
      <c r="V280" s="19" t="n">
        <v>0</v>
      </c>
      <c r="W280" s="19" t="n">
        <v>0</v>
      </c>
      <c r="X280" s="19"/>
      <c r="Y280" s="19" t="n">
        <v>0</v>
      </c>
      <c r="Z280" s="19" t="n">
        <v>0</v>
      </c>
      <c r="AA280" s="19" t="n">
        <v>0</v>
      </c>
      <c r="AB280" s="19" t="n">
        <v>0</v>
      </c>
      <c r="AC280" s="19" t="n">
        <v>1</v>
      </c>
      <c r="AD280" s="19" t="n">
        <v>7</v>
      </c>
      <c r="AE280" s="19" t="n">
        <v>0</v>
      </c>
      <c r="AF280" s="19" t="n">
        <v>0</v>
      </c>
      <c r="AG280" s="19" t="n">
        <v>0</v>
      </c>
      <c r="AH280" s="19" t="n">
        <v>0</v>
      </c>
      <c r="AI280" s="19" t="n">
        <v>0</v>
      </c>
      <c r="AJ280" s="19" t="n">
        <v>0</v>
      </c>
      <c r="AK280" s="19" t="n">
        <v>0</v>
      </c>
      <c r="AL280" s="19" t="n">
        <v>0</v>
      </c>
      <c r="AM280" s="26" t="n">
        <v>0</v>
      </c>
      <c r="AN280" s="19" t="n">
        <v>0</v>
      </c>
      <c r="AO280" s="19" t="n">
        <v>0</v>
      </c>
      <c r="AP280" s="19" t="n">
        <v>0</v>
      </c>
      <c r="AQ280" s="19" t="n">
        <v>0</v>
      </c>
      <c r="AR280" s="19" t="n">
        <v>0</v>
      </c>
      <c r="AS280" s="19" t="n">
        <v>0</v>
      </c>
      <c r="AT280" s="19" t="n">
        <v>0</v>
      </c>
      <c r="AU280" s="19" t="n">
        <v>0</v>
      </c>
      <c r="AV280" s="19" t="n">
        <v>0</v>
      </c>
      <c r="AW280" s="19" t="n">
        <v>0</v>
      </c>
      <c r="AX280" s="19" t="n">
        <v>0</v>
      </c>
      <c r="AY280" s="19" t="n">
        <v>0</v>
      </c>
      <c r="AZ280" s="19" t="n">
        <v>0</v>
      </c>
      <c r="BA280" s="19" t="n">
        <v>0</v>
      </c>
      <c r="BB280" s="19" t="n">
        <v>1</v>
      </c>
      <c r="BC280" s="19" t="n">
        <v>0</v>
      </c>
      <c r="BD280" s="19" t="n">
        <v>0</v>
      </c>
      <c r="BE280" s="19" t="n">
        <v>0</v>
      </c>
      <c r="BF280" s="19" t="n">
        <v>0</v>
      </c>
      <c r="BG280" s="19" t="n">
        <v>0</v>
      </c>
      <c r="BH280" s="19" t="n">
        <v>0</v>
      </c>
      <c r="BI280" s="19" t="n">
        <v>0</v>
      </c>
      <c r="BJ280" s="19" t="n">
        <v>1</v>
      </c>
      <c r="BK280" s="19" t="n">
        <v>0</v>
      </c>
      <c r="BL280" s="19" t="n">
        <v>0</v>
      </c>
      <c r="BM280" s="19" t="n">
        <v>0</v>
      </c>
      <c r="BN280" s="19" t="n">
        <v>0</v>
      </c>
      <c r="BO280" s="19" t="n">
        <v>0</v>
      </c>
      <c r="BP280" s="19" t="n">
        <v>0</v>
      </c>
      <c r="BQ280" s="19" t="n">
        <v>0</v>
      </c>
      <c r="BR280" s="19" t="n">
        <v>1</v>
      </c>
      <c r="BS280" s="19" t="n">
        <v>2</v>
      </c>
      <c r="BT280" s="19" t="n">
        <v>3</v>
      </c>
      <c r="BU280" s="19" t="n">
        <v>5</v>
      </c>
      <c r="BV280" s="19" t="n">
        <v>3</v>
      </c>
      <c r="BW280" s="19" t="n">
        <v>3</v>
      </c>
      <c r="BX280" s="19" t="n">
        <v>3</v>
      </c>
      <c r="BY280" s="19" t="n">
        <v>4</v>
      </c>
      <c r="BZ280" s="19" t="n">
        <v>5</v>
      </c>
      <c r="CA280" s="19" t="n">
        <v>5</v>
      </c>
      <c r="CB280" s="19" t="n">
        <v>5</v>
      </c>
      <c r="CC280" s="19" t="n">
        <v>5</v>
      </c>
      <c r="CD280" s="19" t="n">
        <v>5</v>
      </c>
      <c r="CE280" s="19" t="n">
        <v>5</v>
      </c>
      <c r="CF280" s="19" t="n">
        <v>5</v>
      </c>
      <c r="CG280" s="19" t="n">
        <v>5</v>
      </c>
      <c r="CH280" s="19" t="n">
        <v>5</v>
      </c>
      <c r="CI280" s="19" t="n">
        <v>5</v>
      </c>
      <c r="CJ280" s="19" t="n">
        <v>4</v>
      </c>
      <c r="CK280" s="19" t="n">
        <v>8</v>
      </c>
      <c r="CL280" s="0" t="s">
        <v>833</v>
      </c>
      <c r="CM280" s="0" t="n">
        <v>31</v>
      </c>
      <c r="CN280" s="16" t="n">
        <v>82.6</v>
      </c>
      <c r="CO280" s="16" t="n">
        <v>83.4</v>
      </c>
      <c r="CP280" s="16" t="n">
        <v>5.7</v>
      </c>
      <c r="CQ280" s="0" t="n">
        <v>99.97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7.3</v>
      </c>
      <c r="DC280" s="0" t="n">
        <v>53.74</v>
      </c>
      <c r="DD280" s="0" t="n">
        <v>0</v>
      </c>
      <c r="DE280" s="0" t="n">
        <v>0</v>
      </c>
      <c r="DF280" s="0" t="n">
        <v>0</v>
      </c>
      <c r="DG280" s="0" t="n">
        <v>17.6</v>
      </c>
      <c r="DH280" s="0" t="n">
        <v>1</v>
      </c>
      <c r="DI280" s="0" t="n">
        <v>4.6</v>
      </c>
      <c r="DK280" s="0" t="n">
        <v>2</v>
      </c>
      <c r="DU280" s="0" t="n">
        <v>2.4</v>
      </c>
      <c r="DV280" s="0" t="n">
        <v>0</v>
      </c>
      <c r="EG280" s="18"/>
      <c r="EY280" s="0" t="n">
        <v>1</v>
      </c>
      <c r="EZ280" s="0" t="n">
        <v>60</v>
      </c>
      <c r="FA280" s="0" t="n">
        <f aca="false">4+6+1+3+1+3</f>
        <v>18</v>
      </c>
      <c r="FB280" s="0" t="n">
        <f aca="false">0.73+2.2+0.13+0.39+0.78+0.52</f>
        <v>4.75</v>
      </c>
      <c r="FC280" s="0" t="n">
        <v>3</v>
      </c>
      <c r="FD280" s="0" t="n">
        <v>50</v>
      </c>
      <c r="FE280" s="0" t="n">
        <f aca="false">14</f>
        <v>14</v>
      </c>
      <c r="FF280" s="0" t="n">
        <f aca="false">4.4+2.94+0.52</f>
        <v>7.86</v>
      </c>
      <c r="FG280" s="0" t="n">
        <v>3</v>
      </c>
      <c r="GJ280" s="16" t="n">
        <v>0</v>
      </c>
      <c r="GK280" s="16" t="n">
        <v>0</v>
      </c>
      <c r="GL280" s="16"/>
      <c r="GM280" s="16"/>
      <c r="GN280" s="16"/>
      <c r="GO280" s="16"/>
      <c r="GP280" s="16"/>
      <c r="GQ280" s="16"/>
      <c r="GR280" s="16"/>
      <c r="GS280" s="16"/>
      <c r="GT280" s="16"/>
      <c r="GU280" s="16" t="n">
        <v>5.21</v>
      </c>
      <c r="GV280" s="16" t="n">
        <v>2.59</v>
      </c>
      <c r="GW280" s="16"/>
      <c r="GX280" s="16"/>
      <c r="GY280" s="16" t="n">
        <v>0</v>
      </c>
      <c r="GZ280" s="16" t="n">
        <v>0</v>
      </c>
      <c r="HA280" s="16" t="n">
        <v>0</v>
      </c>
      <c r="HB280" s="0" t="n">
        <v>0</v>
      </c>
      <c r="HC280" s="0" t="s">
        <v>834</v>
      </c>
      <c r="HD280" s="0" t="n">
        <v>30.5</v>
      </c>
      <c r="HE280" s="16" t="n">
        <v>73.4</v>
      </c>
      <c r="HF280" s="16" t="n">
        <v>83.4</v>
      </c>
      <c r="HG280" s="16" t="n">
        <v>5.7</v>
      </c>
      <c r="HH280" s="0" t="n">
        <v>100</v>
      </c>
      <c r="HI280" s="0" t="n">
        <v>0</v>
      </c>
      <c r="HJ280" s="0" t="n">
        <v>0</v>
      </c>
      <c r="HK280" s="0" t="n">
        <v>0</v>
      </c>
      <c r="HL280" s="0" t="n">
        <v>0</v>
      </c>
      <c r="HM280" s="0" t="n">
        <v>0</v>
      </c>
      <c r="HN280" s="0" t="n">
        <v>0</v>
      </c>
      <c r="HO280" s="0" t="n">
        <v>0</v>
      </c>
      <c r="HP280" s="0" t="n">
        <v>0</v>
      </c>
      <c r="HQ280" s="0" t="n">
        <v>0</v>
      </c>
      <c r="HR280" s="0" t="n">
        <v>0</v>
      </c>
      <c r="HS280" s="0" t="n">
        <v>7.69</v>
      </c>
      <c r="HT280" s="0" t="n">
        <v>47.61</v>
      </c>
      <c r="HU280" s="0" t="n">
        <v>0</v>
      </c>
      <c r="HV280" s="0" t="n">
        <v>0</v>
      </c>
      <c r="HW280" s="0" t="n">
        <v>0</v>
      </c>
      <c r="HX280" s="0" t="n">
        <v>16.4</v>
      </c>
      <c r="HY280" s="0" t="n">
        <v>1</v>
      </c>
      <c r="HZ280" s="0" t="n">
        <v>4.6</v>
      </c>
      <c r="IB280" s="0" t="n">
        <v>2</v>
      </c>
      <c r="IL280" s="0" t="n">
        <v>1.4</v>
      </c>
      <c r="IM280" s="0" t="n">
        <v>0</v>
      </c>
      <c r="IX280" s="18"/>
      <c r="JP280" s="0" t="n">
        <v>1</v>
      </c>
      <c r="JQ280" s="0" t="n">
        <v>60</v>
      </c>
      <c r="JR280" s="0" t="n">
        <v>7</v>
      </c>
      <c r="JS280" s="0" t="n">
        <f aca="false">0.73+2.2+0.39</f>
        <v>3.32</v>
      </c>
      <c r="JT280" s="0" t="n">
        <v>3</v>
      </c>
      <c r="JU280" s="0" t="n">
        <v>50</v>
      </c>
      <c r="JV280" s="0" t="n">
        <v>10</v>
      </c>
      <c r="JW280" s="0" t="n">
        <f aca="false">4.4+2.94</f>
        <v>7.34</v>
      </c>
      <c r="LA280" s="16" t="n">
        <v>0</v>
      </c>
      <c r="LB280" s="16" t="n">
        <v>0</v>
      </c>
      <c r="LC280" s="16"/>
      <c r="LD280" s="16"/>
      <c r="LE280" s="16"/>
      <c r="LF280" s="16"/>
      <c r="LG280" s="16"/>
      <c r="LH280" s="16"/>
      <c r="LI280" s="16"/>
      <c r="LJ280" s="16"/>
      <c r="LK280" s="16"/>
      <c r="LL280" s="16" t="n">
        <v>6.95</v>
      </c>
      <c r="LM280" s="16" t="n">
        <v>10.27</v>
      </c>
      <c r="LN280" s="16"/>
      <c r="LO280" s="16"/>
      <c r="LP280" s="16" t="n">
        <v>0</v>
      </c>
      <c r="LQ280" s="16" t="n">
        <v>0</v>
      </c>
      <c r="LR280" s="16" t="n">
        <v>0</v>
      </c>
      <c r="LS280" s="0" t="n">
        <v>0</v>
      </c>
      <c r="LT280" s="0" t="n">
        <v>94</v>
      </c>
      <c r="LU280" s="0" t="n">
        <v>24.5</v>
      </c>
      <c r="LV280" s="16" t="n">
        <v>88.7</v>
      </c>
      <c r="LW280" s="16" t="n">
        <v>83.4</v>
      </c>
      <c r="LX280" s="16" t="n">
        <v>23.1</v>
      </c>
      <c r="LY280" s="0" t="n">
        <v>69.95</v>
      </c>
      <c r="LZ280" s="0" t="n">
        <v>0</v>
      </c>
      <c r="MA280" s="0" t="n">
        <v>7.16</v>
      </c>
      <c r="MB280" s="0" t="n">
        <v>0</v>
      </c>
      <c r="MC280" s="0" t="n">
        <v>0</v>
      </c>
      <c r="MD280" s="0" t="n">
        <v>0</v>
      </c>
      <c r="ME280" s="0" t="n">
        <v>0</v>
      </c>
      <c r="MF280" s="0" t="n">
        <v>0</v>
      </c>
      <c r="MG280" s="0" t="n">
        <v>0</v>
      </c>
      <c r="MH280" s="0" t="n">
        <v>0</v>
      </c>
      <c r="MI280" s="0" t="n">
        <v>0</v>
      </c>
      <c r="MJ280" s="0" t="n">
        <v>0</v>
      </c>
      <c r="MK280" s="0" t="n">
        <v>34.04</v>
      </c>
      <c r="ML280" s="0" t="n">
        <v>20.5</v>
      </c>
      <c r="MM280" s="0" t="n">
        <v>0</v>
      </c>
      <c r="MN280" s="0" t="n">
        <v>22.9</v>
      </c>
      <c r="MO280" s="0" t="n">
        <v>0</v>
      </c>
      <c r="MP280" s="0" t="n">
        <v>0</v>
      </c>
      <c r="NC280" s="0" t="n">
        <v>0</v>
      </c>
      <c r="ND280" s="0" t="n">
        <v>0</v>
      </c>
      <c r="NO280" s="18"/>
      <c r="OG280" s="0" t="n">
        <v>0</v>
      </c>
      <c r="PR280" s="16" t="n">
        <v>0</v>
      </c>
      <c r="PS280" s="16" t="n">
        <v>0</v>
      </c>
      <c r="PT280" s="16"/>
      <c r="PU280" s="16"/>
      <c r="PV280" s="16"/>
      <c r="PW280" s="16"/>
      <c r="PX280" s="16"/>
      <c r="PY280" s="16"/>
      <c r="PZ280" s="16"/>
      <c r="QA280" s="16"/>
      <c r="QB280" s="16"/>
      <c r="QC280" s="16" t="n">
        <v>0</v>
      </c>
      <c r="QD280" s="16" t="n">
        <v>0</v>
      </c>
      <c r="QE280" s="16"/>
      <c r="QF280" s="16"/>
      <c r="QG280" s="16" t="n">
        <v>0</v>
      </c>
      <c r="QH280" s="16" t="n">
        <v>0</v>
      </c>
      <c r="QI280" s="16" t="n">
        <v>1.44</v>
      </c>
      <c r="QJ280" s="0" t="n">
        <v>0</v>
      </c>
      <c r="QK280" s="0" t="s">
        <v>836</v>
      </c>
      <c r="QL280" s="0" t="n">
        <v>26.5</v>
      </c>
      <c r="QM280" s="16" t="n">
        <v>70.7</v>
      </c>
      <c r="QN280" s="16" t="n">
        <v>83.4</v>
      </c>
      <c r="QO280" s="16" t="n">
        <v>8.8</v>
      </c>
      <c r="QP280" s="0" t="n">
        <v>94.65</v>
      </c>
      <c r="QQ280" s="0" t="n">
        <v>0</v>
      </c>
      <c r="QR280" s="0" t="n">
        <v>0.21</v>
      </c>
      <c r="QS280" s="0" t="n">
        <v>0</v>
      </c>
      <c r="QT280" s="0" t="n">
        <v>4.31</v>
      </c>
      <c r="QU280" s="0" t="n">
        <v>0</v>
      </c>
      <c r="QV280" s="0" t="n">
        <v>0</v>
      </c>
      <c r="QW280" s="0" t="n">
        <v>0</v>
      </c>
      <c r="QX280" s="0" t="n">
        <v>0</v>
      </c>
      <c r="QY280" s="0" t="n">
        <v>0</v>
      </c>
      <c r="QZ280" s="0" t="n">
        <v>0</v>
      </c>
      <c r="RA280" s="0" t="n">
        <v>1.21</v>
      </c>
      <c r="RB280" s="0" t="n">
        <v>19.41</v>
      </c>
      <c r="RC280" s="0" t="n">
        <v>20.37</v>
      </c>
      <c r="RD280" s="0" t="n">
        <v>0.21</v>
      </c>
      <c r="RE280" s="0" t="n">
        <v>0.83</v>
      </c>
      <c r="RF280" s="0" t="n">
        <v>12.2</v>
      </c>
      <c r="RG280" s="0" t="n">
        <v>1</v>
      </c>
      <c r="RH280" s="0" t="n">
        <v>5</v>
      </c>
      <c r="RJ280" s="0" t="n">
        <v>2</v>
      </c>
      <c r="RT280" s="0" t="n">
        <v>0</v>
      </c>
      <c r="RU280" s="0" t="n">
        <v>0</v>
      </c>
      <c r="SF280" s="18"/>
      <c r="SX280" s="0" t="n">
        <v>1</v>
      </c>
      <c r="SY280" s="0" t="n">
        <v>40</v>
      </c>
      <c r="SZ280" s="0" t="n">
        <v>1</v>
      </c>
      <c r="TA280" s="0" t="n">
        <v>0.21</v>
      </c>
      <c r="TB280" s="0" t="n">
        <v>3</v>
      </c>
      <c r="TC280" s="0" t="n">
        <v>80</v>
      </c>
      <c r="TD280" s="0" t="n">
        <v>4</v>
      </c>
      <c r="TE280" s="0" t="n">
        <v>0.5</v>
      </c>
      <c r="TF280" s="0" t="n">
        <v>2</v>
      </c>
      <c r="TG280" s="0" t="n">
        <v>60</v>
      </c>
      <c r="TH280" s="0" t="n">
        <f aca="false">18+9</f>
        <v>27</v>
      </c>
      <c r="TI280" s="0" t="n">
        <f aca="false">2.27+1.14</f>
        <v>3.41</v>
      </c>
      <c r="TJ280" s="0" t="n">
        <v>2</v>
      </c>
      <c r="UI280" s="16" t="n">
        <v>3.54</v>
      </c>
      <c r="UJ280" s="16" t="n">
        <v>1</v>
      </c>
      <c r="UK280" s="16" t="n">
        <v>1</v>
      </c>
      <c r="UL280" s="16"/>
      <c r="UM280" s="16" t="n">
        <f aca="false">4+0.73*2+1.65</f>
        <v>7.11</v>
      </c>
      <c r="UN280" s="16"/>
      <c r="UO280" s="16"/>
      <c r="UP280" s="16"/>
      <c r="UQ280" s="16"/>
      <c r="UR280" s="16"/>
      <c r="US280" s="16"/>
      <c r="UT280" s="16" t="n">
        <v>1.47</v>
      </c>
      <c r="UU280" s="16" t="n">
        <v>1.47</v>
      </c>
      <c r="UV280" s="16"/>
      <c r="UW280" s="16"/>
      <c r="UX280" s="16" t="n">
        <v>0</v>
      </c>
      <c r="UY280" s="16" t="n">
        <v>0</v>
      </c>
      <c r="UZ280" s="16" t="n">
        <v>0.22</v>
      </c>
      <c r="VA280" s="0" t="n">
        <v>0</v>
      </c>
      <c r="VB280" s="0" t="s">
        <v>841</v>
      </c>
      <c r="VC280" s="0" t="n">
        <v>18.5</v>
      </c>
      <c r="VD280" s="16" t="n">
        <v>91.6</v>
      </c>
      <c r="VE280" s="16" t="n">
        <v>83.4</v>
      </c>
      <c r="VF280" s="16" t="n">
        <v>7.5</v>
      </c>
      <c r="VG280" s="0" t="n">
        <v>96.33</v>
      </c>
      <c r="VH280" s="0" t="n">
        <v>0</v>
      </c>
      <c r="VI280" s="0" t="n">
        <v>0</v>
      </c>
      <c r="VJ280" s="0" t="n">
        <v>0</v>
      </c>
      <c r="VK280" s="0" t="n">
        <v>3.67</v>
      </c>
      <c r="VL280" s="0" t="n">
        <v>0</v>
      </c>
      <c r="VM280" s="0" t="n">
        <v>0</v>
      </c>
      <c r="VN280" s="0" t="n">
        <v>0</v>
      </c>
      <c r="VO280" s="0" t="n">
        <v>0</v>
      </c>
      <c r="VP280" s="0" t="n">
        <v>0</v>
      </c>
      <c r="VQ280" s="0" t="n">
        <v>0</v>
      </c>
      <c r="VR280" s="0" t="n">
        <v>3.67</v>
      </c>
      <c r="VS280" s="0" t="n">
        <v>45.98</v>
      </c>
      <c r="VT280" s="0" t="n">
        <v>17.9</v>
      </c>
      <c r="VU280" s="0" t="n">
        <v>0</v>
      </c>
      <c r="VV280" s="0" t="n">
        <v>0</v>
      </c>
      <c r="VW280" s="0" t="n">
        <v>0</v>
      </c>
      <c r="VX280" s="0" t="n">
        <v>0</v>
      </c>
      <c r="WK280" s="0" t="n">
        <v>0</v>
      </c>
      <c r="WL280" s="0" t="n">
        <v>0</v>
      </c>
      <c r="WW280" s="18"/>
      <c r="XO280" s="0" t="n">
        <v>0</v>
      </c>
      <c r="XS280" s="0" t="n">
        <v>1</v>
      </c>
      <c r="XT280" s="0" t="n">
        <v>50</v>
      </c>
      <c r="XU280" s="0" t="n">
        <v>1</v>
      </c>
      <c r="XV280" s="0" t="n">
        <v>0.04</v>
      </c>
      <c r="XW280" s="0" t="n">
        <v>3</v>
      </c>
      <c r="YZ280" s="16" t="n">
        <v>1.44</v>
      </c>
      <c r="ZA280" s="16" t="n">
        <v>1</v>
      </c>
      <c r="ZB280" s="16" t="n">
        <v>1</v>
      </c>
      <c r="ZC280" s="16"/>
      <c r="ZD280" s="16" t="n">
        <f aca="false">1.65+0.18*2+9.17</f>
        <v>11.18</v>
      </c>
      <c r="ZE280" s="16"/>
      <c r="ZF280" s="16"/>
      <c r="ZG280" s="16"/>
      <c r="ZH280" s="16"/>
      <c r="ZI280" s="16"/>
      <c r="ZJ280" s="16"/>
      <c r="ZK280" s="16" t="n">
        <v>5.88</v>
      </c>
      <c r="ZL280" s="16" t="n">
        <v>13.5</v>
      </c>
      <c r="ZM280" s="16"/>
      <c r="ZN280" s="16"/>
      <c r="ZO280" s="16" t="n">
        <v>3.6</v>
      </c>
      <c r="ZP280" s="16" t="n">
        <v>1.1</v>
      </c>
      <c r="ZQ280" s="16" t="n">
        <v>0</v>
      </c>
      <c r="ZR280" s="0" t="n">
        <v>0</v>
      </c>
      <c r="ZS280" s="0" t="s">
        <v>837</v>
      </c>
      <c r="ZT280" s="0" t="n">
        <v>30.5</v>
      </c>
      <c r="ZU280" s="16" t="n">
        <v>92</v>
      </c>
      <c r="ZV280" s="16" t="n">
        <v>83.4</v>
      </c>
      <c r="ZW280" s="16" t="n">
        <v>5.9</v>
      </c>
      <c r="ZX280" s="0" t="n">
        <v>98.99</v>
      </c>
      <c r="ZY280" s="0" t="n">
        <v>1.01</v>
      </c>
      <c r="ZZ280" s="0" t="n">
        <v>0</v>
      </c>
      <c r="AAA280" s="0" t="n">
        <v>0</v>
      </c>
      <c r="AAB280" s="0" t="n">
        <v>0</v>
      </c>
      <c r="AAC280" s="0" t="n">
        <v>0</v>
      </c>
      <c r="AAD280" s="0" t="n">
        <v>0</v>
      </c>
      <c r="AAE280" s="0" t="n">
        <v>0</v>
      </c>
      <c r="AAF280" s="0" t="n">
        <v>0</v>
      </c>
      <c r="AAG280" s="0" t="n">
        <v>0</v>
      </c>
      <c r="AAH280" s="0" t="n">
        <v>0</v>
      </c>
      <c r="AAI280" s="0" t="n">
        <v>2.66</v>
      </c>
      <c r="AAJ280" s="0" t="n">
        <v>46.99</v>
      </c>
      <c r="AAK280" s="0" t="n">
        <v>16.89</v>
      </c>
      <c r="AAL280" s="0" t="n">
        <v>0</v>
      </c>
      <c r="AAM280" s="0" t="n">
        <v>0</v>
      </c>
      <c r="AAN280" s="0" t="n">
        <v>0</v>
      </c>
      <c r="AAO280" s="0" t="n">
        <v>0</v>
      </c>
      <c r="ABB280" s="0" t="n">
        <v>0</v>
      </c>
      <c r="ABC280" s="0" t="n">
        <v>0</v>
      </c>
      <c r="ABN280" s="18"/>
      <c r="ACF280" s="0" t="n">
        <v>0</v>
      </c>
      <c r="ADQ280" s="16" t="n">
        <v>8</v>
      </c>
      <c r="ADR280" s="16" t="n">
        <v>1</v>
      </c>
      <c r="ADS280" s="16" t="n">
        <v>1</v>
      </c>
      <c r="ADT280" s="16"/>
      <c r="ADU280" s="16" t="n">
        <f aca="false">1.65+0.18*2+9.17</f>
        <v>11.18</v>
      </c>
      <c r="ADV280" s="16"/>
      <c r="ADW280" s="16"/>
      <c r="ADX280" s="16"/>
      <c r="ADY280" s="16"/>
      <c r="ADZ280" s="16"/>
      <c r="AEA280" s="16"/>
      <c r="AEB280" s="16" t="n">
        <v>6.16</v>
      </c>
      <c r="AEC280" s="16" t="n">
        <v>16.16</v>
      </c>
      <c r="AED280" s="16"/>
      <c r="AEE280" s="16"/>
      <c r="AEF280" s="16" t="n">
        <v>10</v>
      </c>
      <c r="AEG280" s="16" t="n">
        <v>1.1</v>
      </c>
      <c r="AEH280" s="16" t="n">
        <v>0</v>
      </c>
      <c r="AEI280" s="0" t="n">
        <v>1</v>
      </c>
      <c r="AEJ280" s="0" t="s">
        <v>838</v>
      </c>
      <c r="AEK280" s="0" t="n">
        <v>47.5</v>
      </c>
      <c r="AEL280" s="16" t="n">
        <v>86.8</v>
      </c>
      <c r="AEM280" s="16" t="n">
        <v>83.4</v>
      </c>
      <c r="AEN280" s="16" t="n">
        <v>26.7</v>
      </c>
      <c r="AEO280" s="0" t="n">
        <v>65.11</v>
      </c>
      <c r="AEP280" s="0" t="n">
        <v>0</v>
      </c>
      <c r="AEQ280" s="0" t="n">
        <v>2.75</v>
      </c>
      <c r="AER280" s="0" t="n">
        <v>0</v>
      </c>
      <c r="AES280" s="0" t="n">
        <v>32.14</v>
      </c>
      <c r="AET280" s="0" t="n">
        <v>0</v>
      </c>
      <c r="AEU280" s="0" t="n">
        <v>0</v>
      </c>
      <c r="AEV280" s="0" t="n">
        <v>0</v>
      </c>
      <c r="AEW280" s="0" t="n">
        <v>0</v>
      </c>
      <c r="AEX280" s="0" t="n">
        <v>0</v>
      </c>
      <c r="AEY280" s="0" t="n">
        <v>0</v>
      </c>
      <c r="AEZ280" s="0" t="n">
        <v>0</v>
      </c>
      <c r="AFA280" s="0" t="n">
        <v>24.37</v>
      </c>
      <c r="AFB280" s="0" t="n">
        <v>6.53</v>
      </c>
      <c r="AFC280" s="0" t="n">
        <v>31.2</v>
      </c>
      <c r="AFD280" s="0" t="n">
        <v>0</v>
      </c>
      <c r="AFE280" s="0" t="n">
        <v>13</v>
      </c>
      <c r="AFF280" s="0" t="n">
        <v>1</v>
      </c>
      <c r="AFG280" s="0" t="n">
        <v>7</v>
      </c>
      <c r="AFI280" s="0" t="n">
        <v>2</v>
      </c>
      <c r="AFS280" s="0" t="n">
        <v>0</v>
      </c>
      <c r="AFT280" s="0" t="n">
        <v>0</v>
      </c>
      <c r="AGE280" s="18"/>
      <c r="AGW280" s="0" t="n">
        <v>0</v>
      </c>
      <c r="AIH280" s="16" t="n">
        <v>2.27</v>
      </c>
      <c r="AII280" s="16" t="n">
        <v>1</v>
      </c>
      <c r="AIJ280" s="16" t="n">
        <v>1</v>
      </c>
      <c r="AIK280" s="16"/>
      <c r="AIL280" s="16" t="n">
        <f aca="false">3.3*3+0.36*4</f>
        <v>11.34</v>
      </c>
      <c r="AIM280" s="16"/>
      <c r="AIN280" s="16"/>
      <c r="AIO280" s="16"/>
      <c r="AIP280" s="16"/>
      <c r="AIQ280" s="16"/>
      <c r="AIR280" s="16"/>
      <c r="AIS280" s="16" t="n">
        <v>5.24</v>
      </c>
      <c r="AIT280" s="16" t="n">
        <v>7.31</v>
      </c>
      <c r="AIU280" s="16"/>
      <c r="AIV280" s="16"/>
      <c r="AIW280" s="16" t="n">
        <v>0</v>
      </c>
      <c r="AIX280" s="16" t="n">
        <v>0</v>
      </c>
      <c r="AIY280" s="16" t="n">
        <v>0</v>
      </c>
      <c r="AIZ280" s="0" t="n">
        <v>0</v>
      </c>
      <c r="AJA280" s="0" t="s">
        <v>839</v>
      </c>
      <c r="AJB280" s="0" t="n">
        <v>48</v>
      </c>
      <c r="AJC280" s="16" t="n">
        <v>84.6</v>
      </c>
      <c r="AJD280" s="16" t="n">
        <v>83.4</v>
      </c>
      <c r="AJE280" s="16" t="n">
        <v>5.9</v>
      </c>
      <c r="AJF280" s="0" t="n">
        <v>36.31</v>
      </c>
      <c r="AJG280" s="0" t="n">
        <v>0</v>
      </c>
      <c r="AJH280" s="0" t="n">
        <v>0</v>
      </c>
      <c r="AJI280" s="0" t="n">
        <v>0</v>
      </c>
      <c r="AJJ280" s="0" t="n">
        <v>63.69</v>
      </c>
      <c r="AJK280" s="0" t="n">
        <v>0</v>
      </c>
      <c r="AJL280" s="0" t="n">
        <v>0</v>
      </c>
      <c r="AJM280" s="0" t="n">
        <v>0</v>
      </c>
      <c r="AJN280" s="0" t="n">
        <v>0</v>
      </c>
      <c r="AJO280" s="0" t="n">
        <v>0</v>
      </c>
      <c r="AJP280" s="0" t="n">
        <v>0</v>
      </c>
      <c r="AJQ280" s="0" t="n">
        <v>2.53</v>
      </c>
      <c r="AJR280" s="0" t="n">
        <v>8.33</v>
      </c>
      <c r="AJS280" s="0" t="n">
        <v>27.3</v>
      </c>
      <c r="AJT280" s="0" t="n">
        <v>39.37</v>
      </c>
      <c r="AJU280" s="0" t="n">
        <v>0</v>
      </c>
      <c r="AJV280" s="0" t="n">
        <v>0</v>
      </c>
      <c r="AJW280" s="0" t="n">
        <v>0</v>
      </c>
      <c r="AKJ280" s="0" t="n">
        <v>0</v>
      </c>
      <c r="AKK280" s="0" t="n">
        <v>0</v>
      </c>
      <c r="AKV280" s="18"/>
      <c r="ALN280" s="0" t="n">
        <v>0</v>
      </c>
    </row>
    <row r="281" customFormat="false" ht="13.8" hidden="false" customHeight="false" outlineLevel="0" collapsed="false">
      <c r="A281" s="1" t="s">
        <v>843</v>
      </c>
      <c r="B281" s="12" t="n">
        <v>42909</v>
      </c>
      <c r="C281" s="0" t="n">
        <v>2</v>
      </c>
      <c r="D281" s="13" t="n">
        <v>42828</v>
      </c>
      <c r="E281" s="12" t="n">
        <v>34743</v>
      </c>
      <c r="F281" s="14" t="n">
        <f aca="false">(B281-E281)/365.25</f>
        <v>22.3572895277207</v>
      </c>
      <c r="G281" s="14" t="n">
        <f aca="false">(B281-D281)/365.25</f>
        <v>0.2217659137577</v>
      </c>
      <c r="H281" s="19" t="s">
        <v>306</v>
      </c>
      <c r="I281" s="15" t="s">
        <v>832</v>
      </c>
      <c r="J281" s="15" t="s">
        <v>181</v>
      </c>
      <c r="K281" s="15" t="n">
        <v>4</v>
      </c>
      <c r="L281" s="19" t="n">
        <v>70</v>
      </c>
      <c r="M281" s="0" t="n">
        <v>1.67</v>
      </c>
      <c r="N281" s="16" t="n">
        <f aca="false">L281/(M281*M281)</f>
        <v>25.0995015956112</v>
      </c>
      <c r="O281" s="19" t="n">
        <v>0</v>
      </c>
      <c r="P281" s="19" t="n">
        <v>0</v>
      </c>
      <c r="Q281" s="19" t="n">
        <v>0</v>
      </c>
      <c r="R281" s="26" t="n">
        <v>0</v>
      </c>
      <c r="S281" s="26" t="n">
        <v>0</v>
      </c>
      <c r="T281" s="26" t="n">
        <v>0</v>
      </c>
      <c r="U281" s="19" t="n">
        <v>1</v>
      </c>
      <c r="V281" s="14" t="n">
        <v>3.5</v>
      </c>
      <c r="W281" s="19" t="n">
        <v>0</v>
      </c>
      <c r="X281" s="19" t="n">
        <v>0</v>
      </c>
      <c r="Y281" s="19" t="n">
        <v>1</v>
      </c>
      <c r="Z281" s="19" t="n">
        <v>2</v>
      </c>
      <c r="AA281" s="19" t="n">
        <v>180</v>
      </c>
      <c r="AB281" s="19" t="s">
        <v>844</v>
      </c>
      <c r="AC281" s="19" t="n">
        <v>1</v>
      </c>
      <c r="AD281" s="19" t="n">
        <v>10</v>
      </c>
      <c r="AE281" s="19" t="n">
        <v>0</v>
      </c>
      <c r="AF281" s="19" t="n">
        <v>0</v>
      </c>
      <c r="AG281" s="19" t="n">
        <v>0</v>
      </c>
      <c r="AH281" s="19" t="n">
        <v>0</v>
      </c>
      <c r="AI281" s="19" t="n">
        <v>0</v>
      </c>
      <c r="AJ281" s="19" t="n">
        <v>0</v>
      </c>
      <c r="AK281" s="19" t="n">
        <v>0</v>
      </c>
      <c r="AL281" s="19" t="n">
        <v>0</v>
      </c>
      <c r="AM281" s="26" t="n">
        <v>0</v>
      </c>
      <c r="AN281" s="19" t="n">
        <v>0</v>
      </c>
      <c r="AO281" s="19" t="n">
        <v>0</v>
      </c>
      <c r="AP281" s="19" t="n">
        <v>0</v>
      </c>
      <c r="AQ281" s="19" t="n">
        <v>0</v>
      </c>
      <c r="AR281" s="19" t="n">
        <v>0</v>
      </c>
      <c r="AS281" s="19" t="n">
        <v>0</v>
      </c>
      <c r="AT281" s="19" t="n">
        <v>0</v>
      </c>
      <c r="AU281" s="19" t="n">
        <v>0</v>
      </c>
      <c r="AV281" s="19" t="n">
        <v>0</v>
      </c>
      <c r="AW281" s="19" t="n">
        <v>0</v>
      </c>
      <c r="AX281" s="19" t="n">
        <v>0</v>
      </c>
      <c r="AY281" s="19" t="n">
        <v>0</v>
      </c>
      <c r="AZ281" s="19" t="n">
        <v>0</v>
      </c>
      <c r="BA281" s="19" t="n">
        <v>0</v>
      </c>
      <c r="BB281" s="19" t="n">
        <v>0</v>
      </c>
      <c r="BC281" s="19" t="n">
        <v>0</v>
      </c>
      <c r="BD281" s="19" t="n">
        <v>0</v>
      </c>
      <c r="BE281" s="19" t="n">
        <v>0</v>
      </c>
      <c r="BF281" s="19" t="n">
        <v>0</v>
      </c>
      <c r="BG281" s="19" t="n">
        <v>0</v>
      </c>
      <c r="BH281" s="19" t="n">
        <v>0</v>
      </c>
      <c r="BI281" s="19" t="n">
        <v>0</v>
      </c>
      <c r="BJ281" s="19" t="n">
        <v>0</v>
      </c>
      <c r="BK281" s="19" t="n">
        <v>0</v>
      </c>
      <c r="BL281" s="19" t="n">
        <v>0</v>
      </c>
      <c r="BM281" s="19" t="n">
        <v>0</v>
      </c>
      <c r="BN281" s="19" t="n">
        <v>0</v>
      </c>
      <c r="BO281" s="19" t="n">
        <v>0</v>
      </c>
      <c r="BP281" s="19" t="n">
        <v>0</v>
      </c>
      <c r="BQ281" s="19" t="n">
        <v>0</v>
      </c>
      <c r="BR281" s="19" t="n">
        <v>1</v>
      </c>
      <c r="BS281" s="19" t="n">
        <v>1</v>
      </c>
      <c r="BT281" s="19" t="n">
        <v>2</v>
      </c>
      <c r="BU281" s="19" t="n">
        <v>3</v>
      </c>
      <c r="BV281" s="19" t="n">
        <v>2</v>
      </c>
      <c r="BW281" s="19" t="n">
        <v>1</v>
      </c>
      <c r="BX281" s="19" t="n">
        <v>2</v>
      </c>
      <c r="BY281" s="19" t="n">
        <v>4</v>
      </c>
      <c r="BZ281" s="19" t="n">
        <v>4</v>
      </c>
      <c r="CA281" s="19" t="n">
        <v>5</v>
      </c>
      <c r="CB281" s="19" t="n">
        <v>5</v>
      </c>
      <c r="CC281" s="19" t="n">
        <v>5</v>
      </c>
      <c r="CD281" s="19" t="n">
        <v>5</v>
      </c>
      <c r="CE281" s="19" t="n">
        <v>5</v>
      </c>
      <c r="CF281" s="19" t="n">
        <v>5</v>
      </c>
      <c r="CG281" s="19" t="n">
        <v>5</v>
      </c>
      <c r="CH281" s="19" t="n">
        <v>5</v>
      </c>
      <c r="CI281" s="19" t="n">
        <v>5</v>
      </c>
      <c r="CJ281" s="19" t="n">
        <v>5</v>
      </c>
      <c r="CK281" s="19" t="n">
        <v>10</v>
      </c>
      <c r="CL281" s="0" t="s">
        <v>833</v>
      </c>
      <c r="CM281" s="0" t="n">
        <v>31</v>
      </c>
      <c r="CN281" s="16" t="n">
        <v>82.6</v>
      </c>
      <c r="CO281" s="16" t="n">
        <v>83.4</v>
      </c>
      <c r="CP281" s="16" t="n">
        <v>5.7</v>
      </c>
      <c r="CQ281" s="0" t="n">
        <v>99.97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7.3</v>
      </c>
      <c r="DC281" s="0" t="n">
        <v>53.74</v>
      </c>
      <c r="DD281" s="0" t="n">
        <v>0</v>
      </c>
      <c r="DE281" s="0" t="n">
        <v>0</v>
      </c>
      <c r="DF281" s="0" t="n">
        <v>0</v>
      </c>
      <c r="DG281" s="0" t="n">
        <v>17.6</v>
      </c>
      <c r="DH281" s="0" t="n">
        <v>1</v>
      </c>
      <c r="DI281" s="0" t="n">
        <v>4.6</v>
      </c>
      <c r="DK281" s="0" t="n">
        <v>2</v>
      </c>
      <c r="DU281" s="0" t="n">
        <v>2.4</v>
      </c>
      <c r="DV281" s="0" t="n">
        <v>0</v>
      </c>
      <c r="EG281" s="18"/>
      <c r="EY281" s="0" t="n">
        <v>1</v>
      </c>
      <c r="EZ281" s="0" t="n">
        <v>60</v>
      </c>
      <c r="FA281" s="0" t="n">
        <f aca="false">4+6+1+3+1+3</f>
        <v>18</v>
      </c>
      <c r="FB281" s="0" t="n">
        <f aca="false">0.73+2.2+0.13+0.39+0.78+0.52</f>
        <v>4.75</v>
      </c>
      <c r="FC281" s="0" t="n">
        <v>3</v>
      </c>
      <c r="FD281" s="0" t="n">
        <v>50</v>
      </c>
      <c r="FE281" s="0" t="n">
        <f aca="false">14</f>
        <v>14</v>
      </c>
      <c r="FF281" s="0" t="n">
        <f aca="false">4.4+2.94+0.52</f>
        <v>7.86</v>
      </c>
      <c r="FG281" s="0" t="n">
        <v>3</v>
      </c>
      <c r="GJ281" s="16" t="n">
        <v>0</v>
      </c>
      <c r="GK281" s="16" t="n">
        <v>0</v>
      </c>
      <c r="GL281" s="16"/>
      <c r="GM281" s="16"/>
      <c r="GN281" s="16"/>
      <c r="GO281" s="16"/>
      <c r="GP281" s="16"/>
      <c r="GQ281" s="16"/>
      <c r="GR281" s="16"/>
      <c r="GS281" s="16"/>
      <c r="GT281" s="16"/>
      <c r="GU281" s="16" t="n">
        <v>5.21</v>
      </c>
      <c r="GV281" s="16" t="n">
        <v>2.59</v>
      </c>
      <c r="GW281" s="16"/>
      <c r="GX281" s="16"/>
      <c r="GY281" s="16" t="n">
        <v>0</v>
      </c>
      <c r="GZ281" s="16" t="n">
        <v>0</v>
      </c>
      <c r="HA281" s="16" t="n">
        <v>0</v>
      </c>
      <c r="HB281" s="0" t="n">
        <v>0</v>
      </c>
      <c r="HC281" s="0" t="s">
        <v>834</v>
      </c>
      <c r="HD281" s="0" t="n">
        <v>30.5</v>
      </c>
      <c r="HE281" s="16" t="n">
        <v>73.4</v>
      </c>
      <c r="HF281" s="16" t="n">
        <v>83.4</v>
      </c>
      <c r="HG281" s="16" t="n">
        <v>5.7</v>
      </c>
      <c r="HH281" s="0" t="n">
        <v>100</v>
      </c>
      <c r="HI281" s="0" t="n">
        <v>0</v>
      </c>
      <c r="HJ281" s="0" t="n">
        <v>0</v>
      </c>
      <c r="HK281" s="0" t="n">
        <v>0</v>
      </c>
      <c r="HL281" s="0" t="n">
        <v>0</v>
      </c>
      <c r="HM281" s="0" t="n">
        <v>0</v>
      </c>
      <c r="HN281" s="0" t="n">
        <v>0</v>
      </c>
      <c r="HO281" s="0" t="n">
        <v>0</v>
      </c>
      <c r="HP281" s="0" t="n">
        <v>0</v>
      </c>
      <c r="HQ281" s="0" t="n">
        <v>0</v>
      </c>
      <c r="HR281" s="0" t="n">
        <v>0</v>
      </c>
      <c r="HS281" s="0" t="n">
        <v>7.69</v>
      </c>
      <c r="HT281" s="0" t="n">
        <v>47.61</v>
      </c>
      <c r="HU281" s="0" t="n">
        <v>0</v>
      </c>
      <c r="HV281" s="0" t="n">
        <v>0</v>
      </c>
      <c r="HW281" s="0" t="n">
        <v>0</v>
      </c>
      <c r="HX281" s="0" t="n">
        <v>16.4</v>
      </c>
      <c r="HY281" s="0" t="n">
        <v>1</v>
      </c>
      <c r="HZ281" s="0" t="n">
        <v>4.6</v>
      </c>
      <c r="IB281" s="0" t="n">
        <v>2</v>
      </c>
      <c r="IL281" s="0" t="n">
        <v>1.4</v>
      </c>
      <c r="IM281" s="0" t="n">
        <v>0</v>
      </c>
      <c r="IX281" s="18"/>
      <c r="JP281" s="0" t="n">
        <v>1</v>
      </c>
      <c r="JQ281" s="0" t="n">
        <v>60</v>
      </c>
      <c r="JR281" s="0" t="n">
        <v>7</v>
      </c>
      <c r="JS281" s="0" t="n">
        <f aca="false">0.73+2.2+0.39</f>
        <v>3.32</v>
      </c>
      <c r="JT281" s="0" t="n">
        <v>3</v>
      </c>
      <c r="JU281" s="0" t="n">
        <v>50</v>
      </c>
      <c r="JV281" s="0" t="n">
        <v>10</v>
      </c>
      <c r="JW281" s="0" t="n">
        <f aca="false">4.4+2.94</f>
        <v>7.34</v>
      </c>
      <c r="LA281" s="16" t="n">
        <v>0</v>
      </c>
      <c r="LB281" s="16" t="n">
        <v>0</v>
      </c>
      <c r="LC281" s="16"/>
      <c r="LD281" s="16"/>
      <c r="LE281" s="16"/>
      <c r="LF281" s="16"/>
      <c r="LG281" s="16"/>
      <c r="LH281" s="16"/>
      <c r="LI281" s="16"/>
      <c r="LJ281" s="16"/>
      <c r="LK281" s="16"/>
      <c r="LL281" s="16" t="n">
        <v>6.95</v>
      </c>
      <c r="LM281" s="16" t="n">
        <v>10.27</v>
      </c>
      <c r="LN281" s="16"/>
      <c r="LO281" s="16"/>
      <c r="LP281" s="16" t="n">
        <v>0</v>
      </c>
      <c r="LQ281" s="16" t="n">
        <v>0</v>
      </c>
      <c r="LR281" s="16" t="n">
        <v>0</v>
      </c>
      <c r="LS281" s="0" t="n">
        <v>0</v>
      </c>
      <c r="LT281" s="0" t="n">
        <v>94</v>
      </c>
      <c r="LU281" s="0" t="n">
        <v>24.5</v>
      </c>
      <c r="LV281" s="16" t="n">
        <v>88.7</v>
      </c>
      <c r="LW281" s="16" t="n">
        <v>83.4</v>
      </c>
      <c r="LX281" s="16" t="n">
        <v>23.1</v>
      </c>
      <c r="LY281" s="0" t="n">
        <v>69.95</v>
      </c>
      <c r="LZ281" s="0" t="n">
        <v>0</v>
      </c>
      <c r="MA281" s="0" t="n">
        <v>7.16</v>
      </c>
      <c r="MB281" s="0" t="n">
        <v>0</v>
      </c>
      <c r="MC281" s="0" t="n">
        <v>0</v>
      </c>
      <c r="MD281" s="0" t="n">
        <v>0</v>
      </c>
      <c r="ME281" s="0" t="n">
        <v>0</v>
      </c>
      <c r="MF281" s="0" t="n">
        <v>0</v>
      </c>
      <c r="MG281" s="0" t="n">
        <v>0</v>
      </c>
      <c r="MH281" s="0" t="n">
        <v>0</v>
      </c>
      <c r="MI281" s="0" t="n">
        <v>0</v>
      </c>
      <c r="MJ281" s="0" t="n">
        <v>0</v>
      </c>
      <c r="MK281" s="0" t="n">
        <v>34.04</v>
      </c>
      <c r="ML281" s="0" t="n">
        <v>20.5</v>
      </c>
      <c r="MM281" s="0" t="n">
        <v>0</v>
      </c>
      <c r="MN281" s="0" t="n">
        <v>22.9</v>
      </c>
      <c r="MO281" s="0" t="n">
        <v>0</v>
      </c>
      <c r="MP281" s="0" t="n">
        <v>0</v>
      </c>
      <c r="NC281" s="0" t="n">
        <v>0</v>
      </c>
      <c r="ND281" s="0" t="n">
        <v>0</v>
      </c>
      <c r="NO281" s="18"/>
      <c r="OG281" s="0" t="n">
        <v>0</v>
      </c>
      <c r="PR281" s="16" t="n">
        <v>0</v>
      </c>
      <c r="PS281" s="16" t="n">
        <v>0</v>
      </c>
      <c r="PT281" s="16"/>
      <c r="PU281" s="16"/>
      <c r="PV281" s="16"/>
      <c r="PW281" s="16"/>
      <c r="PX281" s="16"/>
      <c r="PY281" s="16"/>
      <c r="PZ281" s="16"/>
      <c r="QA281" s="16"/>
      <c r="QB281" s="16"/>
      <c r="QC281" s="16" t="n">
        <v>0</v>
      </c>
      <c r="QD281" s="16" t="n">
        <v>0</v>
      </c>
      <c r="QE281" s="16"/>
      <c r="QF281" s="16"/>
      <c r="QG281" s="16" t="n">
        <v>0</v>
      </c>
      <c r="QH281" s="16" t="n">
        <v>0</v>
      </c>
      <c r="QI281" s="16" t="n">
        <v>1.44</v>
      </c>
      <c r="QJ281" s="0" t="n">
        <v>0</v>
      </c>
      <c r="QK281" s="0" t="s">
        <v>835</v>
      </c>
      <c r="QL281" s="0" t="n">
        <v>19</v>
      </c>
      <c r="QM281" s="16" t="n">
        <v>73.2</v>
      </c>
      <c r="QN281" s="16" t="n">
        <v>83.4</v>
      </c>
      <c r="QO281" s="16" t="n">
        <v>11.1</v>
      </c>
      <c r="QP281" s="0" t="n">
        <v>92.58</v>
      </c>
      <c r="QQ281" s="0" t="n">
        <v>0</v>
      </c>
      <c r="QR281" s="0" t="n">
        <v>1.25</v>
      </c>
      <c r="QS281" s="0" t="n">
        <v>0</v>
      </c>
      <c r="QT281" s="0" t="n">
        <v>5.34</v>
      </c>
      <c r="QU281" s="0" t="n">
        <v>0</v>
      </c>
      <c r="QV281" s="0" t="n">
        <v>0</v>
      </c>
      <c r="QW281" s="0" t="n">
        <v>0</v>
      </c>
      <c r="QX281" s="0" t="n">
        <v>0</v>
      </c>
      <c r="QY281" s="0" t="n">
        <v>0</v>
      </c>
      <c r="QZ281" s="0" t="n">
        <v>0</v>
      </c>
      <c r="RA281" s="0" t="n">
        <v>4.77</v>
      </c>
      <c r="RB281" s="0" t="n">
        <v>22.03</v>
      </c>
      <c r="RC281" s="0" t="n">
        <v>27.08</v>
      </c>
      <c r="RD281" s="0" t="n">
        <v>1.58</v>
      </c>
      <c r="RE281" s="0" t="n">
        <v>0.83</v>
      </c>
      <c r="RF281" s="0" t="n">
        <v>0</v>
      </c>
      <c r="RG281" s="0" t="n">
        <v>0</v>
      </c>
      <c r="RT281" s="0" t="n">
        <v>0.5</v>
      </c>
      <c r="RU281" s="0" t="n">
        <v>1</v>
      </c>
      <c r="RV281" s="0" t="n">
        <v>35</v>
      </c>
      <c r="RW281" s="0" t="n">
        <v>4</v>
      </c>
      <c r="RX281" s="0" t="n">
        <v>0.1</v>
      </c>
      <c r="RY281" s="0" t="n">
        <v>3</v>
      </c>
      <c r="SF281" s="18"/>
      <c r="SX281" s="0" t="n">
        <v>1</v>
      </c>
      <c r="SY281" s="0" t="n">
        <v>40</v>
      </c>
      <c r="SZ281" s="0" t="n">
        <v>1</v>
      </c>
      <c r="TA281" s="0" t="n">
        <v>1.25</v>
      </c>
      <c r="TB281" s="0" t="n">
        <v>3</v>
      </c>
      <c r="TC281" s="0" t="n">
        <v>50</v>
      </c>
      <c r="TD281" s="0" t="n">
        <v>1</v>
      </c>
      <c r="TE281" s="0" t="n">
        <v>0.05</v>
      </c>
      <c r="TF281" s="0" t="n">
        <v>3</v>
      </c>
      <c r="TG281" s="0" t="n">
        <v>60</v>
      </c>
      <c r="TH281" s="0" t="n">
        <f aca="false">18+9</f>
        <v>27</v>
      </c>
      <c r="TI281" s="0" t="n">
        <f aca="false">2.27+1.14</f>
        <v>3.41</v>
      </c>
      <c r="TJ281" s="0" t="n">
        <v>3</v>
      </c>
      <c r="UI281" s="16" t="n">
        <v>3.7</v>
      </c>
      <c r="UJ281" s="16" t="n">
        <v>1</v>
      </c>
      <c r="UK281" s="16" t="n">
        <v>1</v>
      </c>
      <c r="UL281" s="16"/>
      <c r="UM281" s="16" t="n">
        <f aca="false">4+0.13+0.01+0.73+1.65+0.02</f>
        <v>6.54</v>
      </c>
      <c r="UN281" s="16" t="n">
        <v>2</v>
      </c>
      <c r="UO281" s="16"/>
      <c r="UP281" s="16" t="n">
        <f aca="false">0.18*2</f>
        <v>0.36</v>
      </c>
      <c r="UQ281" s="16"/>
      <c r="UR281" s="16"/>
      <c r="US281" s="16"/>
      <c r="UT281" s="16" t="n">
        <v>3.32</v>
      </c>
      <c r="UU281" s="16" t="n">
        <v>3.31</v>
      </c>
      <c r="UV281" s="16"/>
      <c r="UW281" s="16"/>
      <c r="UX281" s="16" t="n">
        <v>0</v>
      </c>
      <c r="UY281" s="16" t="n">
        <v>0</v>
      </c>
      <c r="UZ281" s="16" t="n">
        <v>0.22</v>
      </c>
      <c r="VA281" s="0" t="n">
        <v>0</v>
      </c>
      <c r="VB281" s="0" t="s">
        <v>836</v>
      </c>
      <c r="VC281" s="0" t="n">
        <v>26.5</v>
      </c>
      <c r="VD281" s="16" t="n">
        <v>70.7</v>
      </c>
      <c r="VE281" s="16" t="n">
        <v>83.4</v>
      </c>
      <c r="VF281" s="16" t="n">
        <v>8.8</v>
      </c>
      <c r="VG281" s="0" t="n">
        <v>94.65</v>
      </c>
      <c r="VH281" s="0" t="n">
        <v>0</v>
      </c>
      <c r="VI281" s="0" t="n">
        <v>0.21</v>
      </c>
      <c r="VJ281" s="0" t="n">
        <v>0</v>
      </c>
      <c r="VK281" s="0" t="n">
        <v>4.31</v>
      </c>
      <c r="VL281" s="0" t="n">
        <v>0</v>
      </c>
      <c r="VM281" s="0" t="n">
        <v>0</v>
      </c>
      <c r="VN281" s="0" t="n">
        <v>0</v>
      </c>
      <c r="VO281" s="0" t="n">
        <v>0</v>
      </c>
      <c r="VP281" s="0" t="n">
        <v>0</v>
      </c>
      <c r="VQ281" s="0" t="n">
        <v>0</v>
      </c>
      <c r="VR281" s="0" t="n">
        <v>1.21</v>
      </c>
      <c r="VS281" s="0" t="n">
        <v>19.41</v>
      </c>
      <c r="VT281" s="0" t="n">
        <v>20.37</v>
      </c>
      <c r="VU281" s="0" t="n">
        <v>0.21</v>
      </c>
      <c r="VV281" s="0" t="n">
        <v>0.83</v>
      </c>
      <c r="VW281" s="0" t="n">
        <v>12.2</v>
      </c>
      <c r="VX281" s="0" t="n">
        <v>1</v>
      </c>
      <c r="VY281" s="0" t="n">
        <v>5</v>
      </c>
      <c r="WA281" s="0" t="n">
        <v>2</v>
      </c>
      <c r="WK281" s="0" t="n">
        <v>0</v>
      </c>
      <c r="WL281" s="0" t="n">
        <v>0</v>
      </c>
      <c r="WW281" s="18"/>
      <c r="XO281" s="0" t="n">
        <v>1</v>
      </c>
      <c r="XP281" s="0" t="n">
        <v>40</v>
      </c>
      <c r="XQ281" s="0" t="n">
        <v>1</v>
      </c>
      <c r="XR281" s="0" t="n">
        <v>0.21</v>
      </c>
      <c r="XS281" s="0" t="n">
        <v>3</v>
      </c>
      <c r="XT281" s="0" t="n">
        <v>80</v>
      </c>
      <c r="XU281" s="0" t="n">
        <v>4</v>
      </c>
      <c r="XV281" s="0" t="n">
        <v>0.5</v>
      </c>
      <c r="XW281" s="0" t="n">
        <v>2</v>
      </c>
      <c r="XX281" s="0" t="n">
        <v>60</v>
      </c>
      <c r="XY281" s="0" t="n">
        <f aca="false">18+9</f>
        <v>27</v>
      </c>
      <c r="XZ281" s="0" t="n">
        <f aca="false">2.27+1.14</f>
        <v>3.41</v>
      </c>
      <c r="YA281" s="0" t="n">
        <v>2</v>
      </c>
      <c r="YZ281" s="16" t="n">
        <v>3.54</v>
      </c>
      <c r="ZA281" s="16" t="n">
        <v>1</v>
      </c>
      <c r="ZB281" s="16" t="n">
        <v>1</v>
      </c>
      <c r="ZC281" s="16"/>
      <c r="ZD281" s="16" t="n">
        <f aca="false">4+0.73*2+1.65</f>
        <v>7.11</v>
      </c>
      <c r="ZE281" s="16"/>
      <c r="ZF281" s="16"/>
      <c r="ZG281" s="16"/>
      <c r="ZH281" s="16"/>
      <c r="ZI281" s="16"/>
      <c r="ZJ281" s="16"/>
      <c r="ZK281" s="16" t="n">
        <v>1.47</v>
      </c>
      <c r="ZL281" s="16" t="n">
        <v>1.47</v>
      </c>
      <c r="ZM281" s="16"/>
      <c r="ZN281" s="16"/>
      <c r="ZO281" s="16" t="n">
        <v>0</v>
      </c>
      <c r="ZP281" s="16" t="n">
        <v>0</v>
      </c>
      <c r="ZQ281" s="16" t="n">
        <v>0.22</v>
      </c>
      <c r="ZR281" s="0" t="n">
        <v>0</v>
      </c>
      <c r="ZS281" s="0" t="s">
        <v>841</v>
      </c>
      <c r="ZT281" s="0" t="n">
        <v>18.5</v>
      </c>
      <c r="ZU281" s="16" t="n">
        <v>91.6</v>
      </c>
      <c r="ZV281" s="16" t="n">
        <v>83.4</v>
      </c>
      <c r="ZW281" s="16" t="n">
        <v>7.5</v>
      </c>
      <c r="ZX281" s="0" t="n">
        <v>96.33</v>
      </c>
      <c r="ZY281" s="0" t="n">
        <v>0</v>
      </c>
      <c r="ZZ281" s="0" t="n">
        <v>0</v>
      </c>
      <c r="AAA281" s="0" t="n">
        <v>0</v>
      </c>
      <c r="AAB281" s="0" t="n">
        <v>3.67</v>
      </c>
      <c r="AAC281" s="0" t="n">
        <v>0</v>
      </c>
      <c r="AAD281" s="0" t="n">
        <v>0</v>
      </c>
      <c r="AAE281" s="0" t="n">
        <v>0</v>
      </c>
      <c r="AAF281" s="0" t="n">
        <v>0</v>
      </c>
      <c r="AAG281" s="0" t="n">
        <v>0</v>
      </c>
      <c r="AAH281" s="0" t="n">
        <v>0</v>
      </c>
      <c r="AAI281" s="0" t="n">
        <v>3.67</v>
      </c>
      <c r="AAJ281" s="0" t="n">
        <v>45.98</v>
      </c>
      <c r="AAK281" s="0" t="n">
        <v>17.9</v>
      </c>
      <c r="AAL281" s="0" t="n">
        <v>0</v>
      </c>
      <c r="AAM281" s="0" t="n">
        <v>0</v>
      </c>
      <c r="AAN281" s="0" t="n">
        <v>0</v>
      </c>
      <c r="AAO281" s="0" t="n">
        <v>0</v>
      </c>
      <c r="ABB281" s="0" t="n">
        <v>0</v>
      </c>
      <c r="ABC281" s="0" t="n">
        <v>0</v>
      </c>
      <c r="ABN281" s="18"/>
      <c r="ACF281" s="0" t="n">
        <v>0</v>
      </c>
      <c r="ACJ281" s="0" t="n">
        <v>1</v>
      </c>
      <c r="ACK281" s="0" t="n">
        <v>50</v>
      </c>
      <c r="ACL281" s="0" t="n">
        <v>1</v>
      </c>
      <c r="ACM281" s="0" t="n">
        <v>0.04</v>
      </c>
      <c r="ACN281" s="0" t="n">
        <v>3</v>
      </c>
      <c r="ADQ281" s="16" t="n">
        <v>1.44</v>
      </c>
      <c r="ADR281" s="16" t="n">
        <v>1</v>
      </c>
      <c r="ADS281" s="16" t="n">
        <v>1</v>
      </c>
      <c r="ADT281" s="16"/>
      <c r="ADU281" s="16" t="n">
        <f aca="false">1.65+0.18*2+9.17</f>
        <v>11.18</v>
      </c>
      <c r="ADV281" s="16"/>
      <c r="ADW281" s="16"/>
      <c r="ADX281" s="16"/>
      <c r="ADY281" s="16"/>
      <c r="ADZ281" s="16"/>
      <c r="AEA281" s="16"/>
      <c r="AEB281" s="16" t="n">
        <v>5.88</v>
      </c>
      <c r="AEC281" s="16" t="n">
        <v>13.5</v>
      </c>
      <c r="AED281" s="16"/>
      <c r="AEE281" s="16"/>
      <c r="AEF281" s="16" t="n">
        <v>3.6</v>
      </c>
      <c r="AEG281" s="16" t="n">
        <v>1.1</v>
      </c>
      <c r="AEH281" s="16" t="n">
        <v>0</v>
      </c>
      <c r="AEI281" s="0" t="n">
        <v>0</v>
      </c>
      <c r="AEJ281" s="0" t="s">
        <v>837</v>
      </c>
      <c r="AEK281" s="0" t="n">
        <v>30.5</v>
      </c>
      <c r="AEL281" s="16" t="n">
        <v>92</v>
      </c>
      <c r="AEM281" s="16" t="n">
        <v>83.4</v>
      </c>
      <c r="AEN281" s="16" t="n">
        <v>5.9</v>
      </c>
      <c r="AEO281" s="0" t="n">
        <v>98.99</v>
      </c>
      <c r="AEP281" s="0" t="n">
        <v>1.01</v>
      </c>
      <c r="AEQ281" s="0" t="n">
        <v>0</v>
      </c>
      <c r="AER281" s="0" t="n">
        <v>0</v>
      </c>
      <c r="AES281" s="0" t="n">
        <v>0</v>
      </c>
      <c r="AET281" s="0" t="n">
        <v>0</v>
      </c>
      <c r="AEU281" s="0" t="n">
        <v>0</v>
      </c>
      <c r="AEV281" s="0" t="n">
        <v>0</v>
      </c>
      <c r="AEW281" s="0" t="n">
        <v>0</v>
      </c>
      <c r="AEX281" s="0" t="n">
        <v>0</v>
      </c>
      <c r="AEY281" s="0" t="n">
        <v>0</v>
      </c>
      <c r="AEZ281" s="0" t="n">
        <v>2.66</v>
      </c>
      <c r="AFA281" s="0" t="n">
        <v>46.99</v>
      </c>
      <c r="AFB281" s="0" t="n">
        <v>16.89</v>
      </c>
      <c r="AFC281" s="0" t="n">
        <v>0</v>
      </c>
      <c r="AFD281" s="0" t="n">
        <v>0</v>
      </c>
      <c r="AFE281" s="0" t="n">
        <v>0</v>
      </c>
      <c r="AFF281" s="0" t="n">
        <v>0</v>
      </c>
      <c r="AFS281" s="0" t="n">
        <v>0</v>
      </c>
      <c r="AFT281" s="0" t="n">
        <v>0</v>
      </c>
      <c r="AGE281" s="18"/>
      <c r="AGW281" s="0" t="n">
        <v>0</v>
      </c>
      <c r="AIH281" s="16" t="n">
        <v>8</v>
      </c>
      <c r="AII281" s="16" t="n">
        <v>1</v>
      </c>
      <c r="AIJ281" s="16" t="n">
        <v>1</v>
      </c>
      <c r="AIK281" s="16"/>
      <c r="AIL281" s="16" t="n">
        <f aca="false">1.65+0.18*2+9.17</f>
        <v>11.18</v>
      </c>
      <c r="AIM281" s="16"/>
      <c r="AIN281" s="16"/>
      <c r="AIO281" s="16"/>
      <c r="AIP281" s="16"/>
      <c r="AIQ281" s="16"/>
      <c r="AIR281" s="16"/>
      <c r="AIS281" s="16" t="n">
        <v>6.16</v>
      </c>
      <c r="AIT281" s="16" t="n">
        <v>16.16</v>
      </c>
      <c r="AIU281" s="16"/>
      <c r="AIV281" s="16"/>
      <c r="AIW281" s="16" t="n">
        <v>10</v>
      </c>
      <c r="AIX281" s="16" t="n">
        <v>1.1</v>
      </c>
      <c r="AIY281" s="16" t="n">
        <v>0</v>
      </c>
      <c r="AIZ281" s="0" t="n">
        <v>1</v>
      </c>
      <c r="AJA281" s="0" t="s">
        <v>838</v>
      </c>
      <c r="AJB281" s="0" t="n">
        <v>47.5</v>
      </c>
      <c r="AJC281" s="16" t="n">
        <v>86.8</v>
      </c>
      <c r="AJD281" s="16" t="n">
        <v>83.4</v>
      </c>
      <c r="AJE281" s="16" t="n">
        <v>26.7</v>
      </c>
      <c r="AJF281" s="0" t="n">
        <v>65.11</v>
      </c>
      <c r="AJG281" s="0" t="n">
        <v>0</v>
      </c>
      <c r="AJH281" s="0" t="n">
        <v>2.75</v>
      </c>
      <c r="AJI281" s="0" t="n">
        <v>0</v>
      </c>
      <c r="AJJ281" s="0" t="n">
        <v>32.14</v>
      </c>
      <c r="AJK281" s="0" t="n">
        <v>0</v>
      </c>
      <c r="AJL281" s="0" t="n">
        <v>0</v>
      </c>
      <c r="AJM281" s="0" t="n">
        <v>0</v>
      </c>
      <c r="AJN281" s="0" t="n">
        <v>0</v>
      </c>
      <c r="AJO281" s="0" t="n">
        <v>0</v>
      </c>
      <c r="AJP281" s="0" t="n">
        <v>0</v>
      </c>
      <c r="AJQ281" s="0" t="n">
        <v>0</v>
      </c>
      <c r="AJR281" s="0" t="n">
        <v>24.37</v>
      </c>
      <c r="AJS281" s="0" t="n">
        <v>6.53</v>
      </c>
      <c r="AJT281" s="0" t="n">
        <v>31.2</v>
      </c>
      <c r="AJU281" s="0" t="n">
        <v>0</v>
      </c>
      <c r="AJV281" s="0" t="n">
        <v>13</v>
      </c>
      <c r="AJW281" s="0" t="n">
        <v>1</v>
      </c>
      <c r="AJX281" s="0" t="n">
        <v>7</v>
      </c>
      <c r="AJZ281" s="0" t="n">
        <v>2</v>
      </c>
      <c r="AKJ281" s="0" t="n">
        <v>0</v>
      </c>
      <c r="AKK281" s="0" t="n">
        <v>0</v>
      </c>
      <c r="AKV281" s="18"/>
      <c r="ALN281" s="0" t="n">
        <v>0</v>
      </c>
    </row>
    <row r="282" customFormat="false" ht="13.8" hidden="false" customHeight="false" outlineLevel="0" collapsed="false">
      <c r="A282" s="1" t="s">
        <v>845</v>
      </c>
      <c r="B282" s="12" t="n">
        <v>42908</v>
      </c>
      <c r="C282" s="0" t="n">
        <v>2</v>
      </c>
      <c r="D282" s="13" t="n">
        <v>42786</v>
      </c>
      <c r="E282" s="12" t="n">
        <v>32503</v>
      </c>
      <c r="F282" s="14" t="n">
        <f aca="false">(B282-E282)/365.25</f>
        <v>28.4873374401095</v>
      </c>
      <c r="G282" s="14" t="n">
        <f aca="false">(B282-D282)/365.25</f>
        <v>0.334017796030116</v>
      </c>
      <c r="H282" s="19" t="s">
        <v>306</v>
      </c>
      <c r="I282" s="15" t="s">
        <v>832</v>
      </c>
      <c r="J282" s="15" t="s">
        <v>181</v>
      </c>
      <c r="K282" s="15" t="n">
        <v>4</v>
      </c>
      <c r="L282" s="19" t="n">
        <v>75</v>
      </c>
      <c r="N282" s="16" t="e">
        <f aca="false">L282/(M282*M282)</f>
        <v>#DIV/0!</v>
      </c>
      <c r="O282" s="19" t="n">
        <v>0</v>
      </c>
      <c r="P282" s="19" t="n">
        <v>0</v>
      </c>
      <c r="Q282" s="19" t="n">
        <v>0</v>
      </c>
      <c r="R282" s="26" t="n">
        <v>0</v>
      </c>
      <c r="S282" s="26" t="n">
        <v>0</v>
      </c>
      <c r="T282" s="26" t="n">
        <v>0</v>
      </c>
      <c r="U282" s="19" t="n">
        <v>1</v>
      </c>
      <c r="V282" s="19" t="n">
        <v>3</v>
      </c>
      <c r="W282" s="19" t="n">
        <v>1</v>
      </c>
      <c r="X282" s="19" t="n">
        <v>0</v>
      </c>
      <c r="Y282" s="19" t="n">
        <v>1</v>
      </c>
      <c r="Z282" s="19" t="n">
        <v>1</v>
      </c>
      <c r="AA282" s="19"/>
      <c r="AB282" s="19" t="s">
        <v>349</v>
      </c>
      <c r="AC282" s="19" t="n">
        <v>0</v>
      </c>
      <c r="AD282" s="19" t="n">
        <v>0</v>
      </c>
      <c r="AE282" s="19" t="n">
        <v>0</v>
      </c>
      <c r="AF282" s="19" t="n">
        <v>0</v>
      </c>
      <c r="AG282" s="19" t="n">
        <v>0</v>
      </c>
      <c r="AH282" s="19" t="n">
        <v>0</v>
      </c>
      <c r="AI282" s="19" t="n">
        <v>0</v>
      </c>
      <c r="AJ282" s="19" t="n">
        <v>0</v>
      </c>
      <c r="AK282" s="19" t="n">
        <v>0</v>
      </c>
      <c r="AL282" s="19" t="n">
        <v>0</v>
      </c>
      <c r="AM282" s="26" t="n">
        <v>0</v>
      </c>
      <c r="AN282" s="19" t="n">
        <v>0</v>
      </c>
      <c r="AO282" s="19" t="n">
        <v>0</v>
      </c>
      <c r="AP282" s="19" t="n">
        <v>0</v>
      </c>
      <c r="AQ282" s="19" t="n">
        <v>0</v>
      </c>
      <c r="AR282" s="19" t="n">
        <v>0</v>
      </c>
      <c r="AS282" s="19" t="n">
        <v>1</v>
      </c>
      <c r="AT282" s="19"/>
      <c r="AU282" s="19" t="n">
        <v>1</v>
      </c>
      <c r="AV282" s="19" t="n">
        <v>3</v>
      </c>
      <c r="AW282" s="19" t="n">
        <v>0</v>
      </c>
      <c r="AX282" s="19" t="n">
        <v>0</v>
      </c>
      <c r="AY282" s="19" t="n">
        <v>0</v>
      </c>
      <c r="AZ282" s="19" t="n">
        <v>0</v>
      </c>
      <c r="BA282" s="19" t="n">
        <v>0</v>
      </c>
      <c r="BB282" s="19" t="n">
        <v>0</v>
      </c>
      <c r="BC282" s="19" t="n">
        <v>0</v>
      </c>
      <c r="BD282" s="19" t="n">
        <v>0</v>
      </c>
      <c r="BE282" s="19" t="n">
        <v>0</v>
      </c>
      <c r="BF282" s="19" t="n">
        <v>0</v>
      </c>
      <c r="BG282" s="19" t="n">
        <v>0</v>
      </c>
      <c r="BH282" s="19" t="n">
        <v>0</v>
      </c>
      <c r="BI282" s="19" t="n">
        <v>0</v>
      </c>
      <c r="BJ282" s="19" t="n">
        <v>0</v>
      </c>
      <c r="BK282" s="19" t="n">
        <v>0</v>
      </c>
      <c r="BL282" s="19" t="n">
        <v>0</v>
      </c>
      <c r="BM282" s="19" t="n">
        <v>0</v>
      </c>
      <c r="BN282" s="19" t="n">
        <v>0</v>
      </c>
      <c r="BO282" s="19" t="n">
        <v>0</v>
      </c>
      <c r="BP282" s="19" t="n">
        <v>0</v>
      </c>
      <c r="BQ282" s="19" t="n">
        <v>0</v>
      </c>
      <c r="BR282" s="19" t="n">
        <v>1</v>
      </c>
      <c r="BS282" s="19" t="n">
        <v>2</v>
      </c>
      <c r="BT282" s="19" t="n">
        <v>4</v>
      </c>
      <c r="BU282" s="19" t="n">
        <v>5</v>
      </c>
      <c r="BV282" s="19" t="n">
        <v>2</v>
      </c>
      <c r="BW282" s="19" t="n">
        <v>2</v>
      </c>
      <c r="BX282" s="19" t="n">
        <v>5</v>
      </c>
      <c r="BY282" s="19" t="n">
        <v>4</v>
      </c>
      <c r="BZ282" s="19" t="n">
        <v>5</v>
      </c>
      <c r="CA282" s="19" t="n">
        <v>4</v>
      </c>
      <c r="CB282" s="19" t="n">
        <v>5</v>
      </c>
      <c r="CC282" s="19" t="n">
        <v>5</v>
      </c>
      <c r="CD282" s="19" t="n">
        <v>5</v>
      </c>
      <c r="CE282" s="19" t="n">
        <v>4</v>
      </c>
      <c r="CF282" s="19" t="n">
        <v>4</v>
      </c>
      <c r="CG282" s="19" t="n">
        <v>5</v>
      </c>
      <c r="CH282" s="19"/>
      <c r="CI282" s="19"/>
      <c r="CJ282" s="19"/>
      <c r="CK282" s="19"/>
      <c r="CL282" s="0" t="s">
        <v>833</v>
      </c>
      <c r="CM282" s="0" t="n">
        <v>31</v>
      </c>
      <c r="CN282" s="16" t="n">
        <v>82.6</v>
      </c>
      <c r="CO282" s="16" t="n">
        <v>83.4</v>
      </c>
      <c r="CP282" s="16" t="n">
        <v>5.7</v>
      </c>
      <c r="CQ282" s="0" t="n">
        <v>99.97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7.3</v>
      </c>
      <c r="DC282" s="0" t="n">
        <v>53.74</v>
      </c>
      <c r="DD282" s="0" t="n">
        <v>0</v>
      </c>
      <c r="DE282" s="0" t="n">
        <v>0</v>
      </c>
      <c r="DF282" s="0" t="n">
        <v>0</v>
      </c>
      <c r="DG282" s="0" t="n">
        <v>17.6</v>
      </c>
      <c r="DH282" s="0" t="n">
        <v>1</v>
      </c>
      <c r="DI282" s="0" t="n">
        <v>4.6</v>
      </c>
      <c r="DK282" s="0" t="n">
        <v>2</v>
      </c>
      <c r="DU282" s="0" t="n">
        <v>2.4</v>
      </c>
      <c r="DV282" s="0" t="n">
        <v>0</v>
      </c>
      <c r="EG282" s="18"/>
      <c r="EY282" s="0" t="n">
        <v>1</v>
      </c>
      <c r="EZ282" s="0" t="n">
        <v>60</v>
      </c>
      <c r="FA282" s="0" t="n">
        <f aca="false">4+6+1+3+1+3</f>
        <v>18</v>
      </c>
      <c r="FB282" s="0" t="n">
        <f aca="false">0.73+2.2+0.13+0.39+0.78+0.52</f>
        <v>4.75</v>
      </c>
      <c r="FC282" s="0" t="n">
        <v>3</v>
      </c>
      <c r="FD282" s="0" t="n">
        <v>50</v>
      </c>
      <c r="FE282" s="0" t="n">
        <f aca="false">14</f>
        <v>14</v>
      </c>
      <c r="FF282" s="0" t="n">
        <f aca="false">4.4+2.94+0.52</f>
        <v>7.86</v>
      </c>
      <c r="FG282" s="0" t="n">
        <v>3</v>
      </c>
      <c r="GJ282" s="16" t="n">
        <v>0</v>
      </c>
      <c r="GK282" s="16" t="n">
        <v>0</v>
      </c>
      <c r="GL282" s="16"/>
      <c r="GM282" s="16"/>
      <c r="GN282" s="16"/>
      <c r="GO282" s="16"/>
      <c r="GP282" s="16"/>
      <c r="GQ282" s="16"/>
      <c r="GR282" s="16"/>
      <c r="GS282" s="16"/>
      <c r="GT282" s="16"/>
      <c r="GU282" s="16" t="n">
        <v>5.21</v>
      </c>
      <c r="GV282" s="16" t="n">
        <v>2.59</v>
      </c>
      <c r="GW282" s="16"/>
      <c r="GX282" s="16"/>
      <c r="GY282" s="16" t="n">
        <v>0</v>
      </c>
      <c r="GZ282" s="16" t="n">
        <v>0</v>
      </c>
      <c r="HA282" s="16" t="n">
        <v>0</v>
      </c>
      <c r="HB282" s="0" t="n">
        <v>0</v>
      </c>
      <c r="HC282" s="0" t="s">
        <v>834</v>
      </c>
      <c r="HD282" s="0" t="n">
        <v>30.5</v>
      </c>
      <c r="HE282" s="16" t="n">
        <v>73.4</v>
      </c>
      <c r="HF282" s="16" t="n">
        <v>83.4</v>
      </c>
      <c r="HG282" s="16" t="n">
        <v>5.7</v>
      </c>
      <c r="HH282" s="0" t="n">
        <v>100</v>
      </c>
      <c r="HI282" s="0" t="n">
        <v>0</v>
      </c>
      <c r="HJ282" s="0" t="n">
        <v>0</v>
      </c>
      <c r="HK282" s="0" t="n">
        <v>0</v>
      </c>
      <c r="HL282" s="0" t="n">
        <v>0</v>
      </c>
      <c r="HM282" s="0" t="n">
        <v>0</v>
      </c>
      <c r="HN282" s="0" t="n">
        <v>0</v>
      </c>
      <c r="HO282" s="0" t="n">
        <v>0</v>
      </c>
      <c r="HP282" s="0" t="n">
        <v>0</v>
      </c>
      <c r="HQ282" s="0" t="n">
        <v>0</v>
      </c>
      <c r="HR282" s="0" t="n">
        <v>0</v>
      </c>
      <c r="HS282" s="0" t="n">
        <v>7.69</v>
      </c>
      <c r="HT282" s="0" t="n">
        <v>47.61</v>
      </c>
      <c r="HU282" s="0" t="n">
        <v>0</v>
      </c>
      <c r="HV282" s="0" t="n">
        <v>0</v>
      </c>
      <c r="HW282" s="0" t="n">
        <v>0</v>
      </c>
      <c r="HX282" s="0" t="n">
        <v>16.4</v>
      </c>
      <c r="HY282" s="0" t="n">
        <v>1</v>
      </c>
      <c r="HZ282" s="0" t="n">
        <v>4.6</v>
      </c>
      <c r="IB282" s="0" t="n">
        <v>2</v>
      </c>
      <c r="IL282" s="0" t="n">
        <v>1.4</v>
      </c>
      <c r="IM282" s="0" t="n">
        <v>0</v>
      </c>
      <c r="IX282" s="18"/>
      <c r="JP282" s="0" t="n">
        <v>1</v>
      </c>
      <c r="JQ282" s="0" t="n">
        <v>60</v>
      </c>
      <c r="JR282" s="0" t="n">
        <v>7</v>
      </c>
      <c r="JS282" s="0" t="n">
        <f aca="false">0.73+2.2+0.39</f>
        <v>3.32</v>
      </c>
      <c r="JT282" s="0" t="n">
        <v>3</v>
      </c>
      <c r="JU282" s="0" t="n">
        <v>50</v>
      </c>
      <c r="JV282" s="0" t="n">
        <v>10</v>
      </c>
      <c r="JW282" s="0" t="n">
        <f aca="false">4.4+2.94</f>
        <v>7.34</v>
      </c>
      <c r="LA282" s="16" t="n">
        <v>0</v>
      </c>
      <c r="LB282" s="16" t="n">
        <v>0</v>
      </c>
      <c r="LC282" s="16"/>
      <c r="LD282" s="16"/>
      <c r="LE282" s="16"/>
      <c r="LF282" s="16"/>
      <c r="LG282" s="16"/>
      <c r="LH282" s="16"/>
      <c r="LI282" s="16"/>
      <c r="LJ282" s="16"/>
      <c r="LK282" s="16"/>
      <c r="LL282" s="16" t="n">
        <v>6.95</v>
      </c>
      <c r="LM282" s="16" t="n">
        <v>10.27</v>
      </c>
      <c r="LN282" s="16"/>
      <c r="LO282" s="16"/>
      <c r="LP282" s="16" t="n">
        <v>0</v>
      </c>
      <c r="LQ282" s="16" t="n">
        <v>0</v>
      </c>
      <c r="LR282" s="16" t="n">
        <v>0</v>
      </c>
      <c r="LS282" s="0" t="n">
        <v>0</v>
      </c>
      <c r="LT282" s="0" t="n">
        <v>94</v>
      </c>
      <c r="LU282" s="0" t="n">
        <v>24.5</v>
      </c>
      <c r="LV282" s="16" t="n">
        <v>88.7</v>
      </c>
      <c r="LW282" s="16" t="n">
        <v>83.4</v>
      </c>
      <c r="LX282" s="16" t="n">
        <v>23.1</v>
      </c>
      <c r="LY282" s="0" t="n">
        <v>69.95</v>
      </c>
      <c r="LZ282" s="0" t="n">
        <v>0</v>
      </c>
      <c r="MA282" s="0" t="n">
        <v>7.16</v>
      </c>
      <c r="MB282" s="0" t="n">
        <v>0</v>
      </c>
      <c r="MC282" s="0" t="n">
        <v>0</v>
      </c>
      <c r="MD282" s="0" t="n">
        <v>0</v>
      </c>
      <c r="ME282" s="0" t="n">
        <v>0</v>
      </c>
      <c r="MF282" s="0" t="n">
        <v>0</v>
      </c>
      <c r="MG282" s="0" t="n">
        <v>0</v>
      </c>
      <c r="MH282" s="0" t="n">
        <v>0</v>
      </c>
      <c r="MI282" s="0" t="n">
        <v>0</v>
      </c>
      <c r="MJ282" s="0" t="n">
        <v>0</v>
      </c>
      <c r="MK282" s="0" t="n">
        <v>34.04</v>
      </c>
      <c r="ML282" s="0" t="n">
        <v>20.5</v>
      </c>
      <c r="MM282" s="0" t="n">
        <v>0</v>
      </c>
      <c r="MN282" s="0" t="n">
        <v>22.9</v>
      </c>
      <c r="MO282" s="0" t="n">
        <v>0</v>
      </c>
      <c r="MP282" s="0" t="n">
        <v>0</v>
      </c>
      <c r="NC282" s="0" t="n">
        <v>0</v>
      </c>
      <c r="ND282" s="0" t="n">
        <v>0</v>
      </c>
      <c r="NO282" s="18"/>
      <c r="OG282" s="0" t="n">
        <v>0</v>
      </c>
      <c r="PR282" s="16" t="n">
        <v>0</v>
      </c>
      <c r="PS282" s="16" t="n">
        <v>0</v>
      </c>
      <c r="PT282" s="16"/>
      <c r="PU282" s="16"/>
      <c r="PV282" s="16"/>
      <c r="PW282" s="16"/>
      <c r="PX282" s="16"/>
      <c r="PY282" s="16"/>
      <c r="PZ282" s="16"/>
      <c r="QA282" s="16"/>
      <c r="QB282" s="16"/>
      <c r="QC282" s="16" t="n">
        <v>0</v>
      </c>
      <c r="QD282" s="16" t="n">
        <v>0</v>
      </c>
      <c r="QE282" s="16"/>
      <c r="QF282" s="16"/>
      <c r="QG282" s="16" t="n">
        <v>0</v>
      </c>
      <c r="QH282" s="16" t="n">
        <v>0</v>
      </c>
      <c r="QI282" s="16" t="n">
        <v>1.44</v>
      </c>
      <c r="QJ282" s="0" t="n">
        <v>0</v>
      </c>
      <c r="QK282" s="0" t="s">
        <v>836</v>
      </c>
      <c r="QL282" s="0" t="n">
        <v>26.5</v>
      </c>
      <c r="QM282" s="16" t="n">
        <v>70.7</v>
      </c>
      <c r="QN282" s="16" t="n">
        <v>83.4</v>
      </c>
      <c r="QO282" s="16" t="n">
        <v>8.8</v>
      </c>
      <c r="QP282" s="0" t="n">
        <v>94.65</v>
      </c>
      <c r="QQ282" s="0" t="n">
        <v>0</v>
      </c>
      <c r="QR282" s="0" t="n">
        <v>0.21</v>
      </c>
      <c r="QS282" s="0" t="n">
        <v>0</v>
      </c>
      <c r="QT282" s="0" t="n">
        <v>4.31</v>
      </c>
      <c r="QU282" s="0" t="n">
        <v>0</v>
      </c>
      <c r="QV282" s="0" t="n">
        <v>0</v>
      </c>
      <c r="QW282" s="0" t="n">
        <v>0</v>
      </c>
      <c r="QX282" s="0" t="n">
        <v>0</v>
      </c>
      <c r="QY282" s="0" t="n">
        <v>0</v>
      </c>
      <c r="QZ282" s="0" t="n">
        <v>0</v>
      </c>
      <c r="RA282" s="0" t="n">
        <v>1.21</v>
      </c>
      <c r="RB282" s="0" t="n">
        <v>19.41</v>
      </c>
      <c r="RC282" s="0" t="n">
        <v>20.37</v>
      </c>
      <c r="RD282" s="0" t="n">
        <v>0.21</v>
      </c>
      <c r="RE282" s="0" t="n">
        <v>0.83</v>
      </c>
      <c r="RF282" s="0" t="n">
        <v>12.2</v>
      </c>
      <c r="RG282" s="0" t="n">
        <v>1</v>
      </c>
      <c r="RH282" s="0" t="n">
        <v>5</v>
      </c>
      <c r="RJ282" s="0" t="n">
        <v>2</v>
      </c>
      <c r="RT282" s="0" t="n">
        <v>0</v>
      </c>
      <c r="RU282" s="0" t="n">
        <v>0</v>
      </c>
      <c r="SF282" s="18"/>
      <c r="SX282" s="0" t="n">
        <v>1</v>
      </c>
      <c r="SY282" s="0" t="n">
        <v>40</v>
      </c>
      <c r="SZ282" s="0" t="n">
        <v>1</v>
      </c>
      <c r="TA282" s="0" t="n">
        <v>0.21</v>
      </c>
      <c r="TB282" s="0" t="n">
        <v>3</v>
      </c>
      <c r="TC282" s="0" t="n">
        <v>80</v>
      </c>
      <c r="TD282" s="0" t="n">
        <v>4</v>
      </c>
      <c r="TE282" s="0" t="n">
        <v>0.5</v>
      </c>
      <c r="TF282" s="0" t="n">
        <v>2</v>
      </c>
      <c r="TG282" s="0" t="n">
        <v>60</v>
      </c>
      <c r="TH282" s="0" t="n">
        <f aca="false">18+9</f>
        <v>27</v>
      </c>
      <c r="TI282" s="0" t="n">
        <f aca="false">2.27+1.14</f>
        <v>3.41</v>
      </c>
      <c r="TJ282" s="0" t="n">
        <v>2</v>
      </c>
      <c r="UI282" s="16" t="n">
        <v>3.54</v>
      </c>
      <c r="UJ282" s="16" t="n">
        <v>1</v>
      </c>
      <c r="UK282" s="16" t="n">
        <v>1</v>
      </c>
      <c r="UL282" s="16"/>
      <c r="UM282" s="16" t="n">
        <f aca="false">4+0.73*2+1.65</f>
        <v>7.11</v>
      </c>
      <c r="UN282" s="16"/>
      <c r="UO282" s="16"/>
      <c r="UP282" s="16"/>
      <c r="UQ282" s="16"/>
      <c r="UR282" s="16"/>
      <c r="US282" s="16"/>
      <c r="UT282" s="16" t="n">
        <v>1.47</v>
      </c>
      <c r="UU282" s="16" t="n">
        <v>1.47</v>
      </c>
      <c r="UV282" s="16"/>
      <c r="UW282" s="16"/>
      <c r="UX282" s="16" t="n">
        <v>0</v>
      </c>
      <c r="UY282" s="16" t="n">
        <v>0</v>
      </c>
      <c r="UZ282" s="16" t="n">
        <v>0.22</v>
      </c>
      <c r="VA282" s="0" t="n">
        <v>0</v>
      </c>
      <c r="VB282" s="0" t="s">
        <v>841</v>
      </c>
      <c r="VC282" s="0" t="n">
        <v>18.5</v>
      </c>
      <c r="VD282" s="16" t="n">
        <v>91.6</v>
      </c>
      <c r="VE282" s="16" t="n">
        <v>83.4</v>
      </c>
      <c r="VF282" s="16" t="n">
        <v>7.5</v>
      </c>
      <c r="VG282" s="0" t="n">
        <v>96.33</v>
      </c>
      <c r="VH282" s="0" t="n">
        <v>0</v>
      </c>
      <c r="VI282" s="0" t="n">
        <v>0</v>
      </c>
      <c r="VJ282" s="0" t="n">
        <v>0</v>
      </c>
      <c r="VK282" s="0" t="n">
        <v>3.67</v>
      </c>
      <c r="VL282" s="0" t="n">
        <v>0</v>
      </c>
      <c r="VM282" s="0" t="n">
        <v>0</v>
      </c>
      <c r="VN282" s="0" t="n">
        <v>0</v>
      </c>
      <c r="VO282" s="0" t="n">
        <v>0</v>
      </c>
      <c r="VP282" s="0" t="n">
        <v>0</v>
      </c>
      <c r="VQ282" s="0" t="n">
        <v>0</v>
      </c>
      <c r="VR282" s="0" t="n">
        <v>3.67</v>
      </c>
      <c r="VS282" s="0" t="n">
        <v>45.98</v>
      </c>
      <c r="VT282" s="0" t="n">
        <v>17.9</v>
      </c>
      <c r="VU282" s="0" t="n">
        <v>0</v>
      </c>
      <c r="VV282" s="0" t="n">
        <v>0</v>
      </c>
      <c r="VW282" s="0" t="n">
        <v>0</v>
      </c>
      <c r="VX282" s="0" t="n">
        <v>0</v>
      </c>
      <c r="WK282" s="0" t="n">
        <v>0</v>
      </c>
      <c r="WL282" s="0" t="n">
        <v>0</v>
      </c>
      <c r="WW282" s="18"/>
      <c r="XO282" s="0" t="n">
        <v>0</v>
      </c>
      <c r="XS282" s="0" t="n">
        <v>1</v>
      </c>
      <c r="XT282" s="0" t="n">
        <v>50</v>
      </c>
      <c r="XU282" s="0" t="n">
        <v>1</v>
      </c>
      <c r="XV282" s="0" t="n">
        <v>0.04</v>
      </c>
      <c r="XW282" s="0" t="n">
        <v>3</v>
      </c>
      <c r="YZ282" s="16" t="n">
        <v>1.44</v>
      </c>
      <c r="ZA282" s="16" t="n">
        <v>1</v>
      </c>
      <c r="ZB282" s="16" t="n">
        <v>1</v>
      </c>
      <c r="ZC282" s="16"/>
      <c r="ZD282" s="16" t="n">
        <f aca="false">1.65+0.18*2+9.17</f>
        <v>11.18</v>
      </c>
      <c r="ZE282" s="16"/>
      <c r="ZF282" s="16"/>
      <c r="ZG282" s="16"/>
      <c r="ZH282" s="16"/>
      <c r="ZI282" s="16"/>
      <c r="ZJ282" s="16"/>
      <c r="ZK282" s="16" t="n">
        <v>5.88</v>
      </c>
      <c r="ZL282" s="16" t="n">
        <v>13.5</v>
      </c>
      <c r="ZM282" s="16"/>
      <c r="ZN282" s="16"/>
      <c r="ZO282" s="16" t="n">
        <v>3.6</v>
      </c>
      <c r="ZP282" s="16" t="n">
        <v>1.1</v>
      </c>
      <c r="ZQ282" s="16" t="n">
        <v>0</v>
      </c>
      <c r="ZR282" s="0" t="n">
        <v>0</v>
      </c>
      <c r="ZS282" s="0" t="s">
        <v>837</v>
      </c>
      <c r="ZT282" s="0" t="n">
        <v>30.5</v>
      </c>
      <c r="ZU282" s="16" t="n">
        <v>92</v>
      </c>
      <c r="ZV282" s="16" t="n">
        <v>83.4</v>
      </c>
      <c r="ZW282" s="16" t="n">
        <v>5.9</v>
      </c>
      <c r="ZX282" s="0" t="n">
        <v>98.99</v>
      </c>
      <c r="ZY282" s="0" t="n">
        <v>1.01</v>
      </c>
      <c r="ZZ282" s="0" t="n">
        <v>0</v>
      </c>
      <c r="AAA282" s="0" t="n">
        <v>0</v>
      </c>
      <c r="AAB282" s="0" t="n">
        <v>0</v>
      </c>
      <c r="AAC282" s="0" t="n">
        <v>0</v>
      </c>
      <c r="AAD282" s="0" t="n">
        <v>0</v>
      </c>
      <c r="AAE282" s="0" t="n">
        <v>0</v>
      </c>
      <c r="AAF282" s="0" t="n">
        <v>0</v>
      </c>
      <c r="AAG282" s="0" t="n">
        <v>0</v>
      </c>
      <c r="AAH282" s="0" t="n">
        <v>0</v>
      </c>
      <c r="AAI282" s="0" t="n">
        <v>2.66</v>
      </c>
      <c r="AAJ282" s="0" t="n">
        <v>46.99</v>
      </c>
      <c r="AAK282" s="0" t="n">
        <v>16.89</v>
      </c>
      <c r="AAL282" s="0" t="n">
        <v>0</v>
      </c>
      <c r="AAM282" s="0" t="n">
        <v>0</v>
      </c>
      <c r="AAN282" s="0" t="n">
        <v>0</v>
      </c>
      <c r="AAO282" s="0" t="n">
        <v>0</v>
      </c>
      <c r="ABB282" s="0" t="n">
        <v>0</v>
      </c>
      <c r="ABC282" s="0" t="n">
        <v>0</v>
      </c>
      <c r="ABN282" s="18"/>
      <c r="ACF282" s="0" t="n">
        <v>0</v>
      </c>
      <c r="ADQ282" s="16" t="n">
        <v>8</v>
      </c>
      <c r="ADR282" s="16" t="n">
        <v>1</v>
      </c>
      <c r="ADS282" s="16" t="n">
        <v>1</v>
      </c>
      <c r="ADT282" s="16"/>
      <c r="ADU282" s="16" t="n">
        <f aca="false">1.65+0.18*2+9.17</f>
        <v>11.18</v>
      </c>
      <c r="ADV282" s="16"/>
      <c r="ADW282" s="16"/>
      <c r="ADX282" s="16"/>
      <c r="ADY282" s="16"/>
      <c r="ADZ282" s="16"/>
      <c r="AEA282" s="16"/>
      <c r="AEB282" s="16" t="n">
        <v>6.16</v>
      </c>
      <c r="AEC282" s="16" t="n">
        <v>16.16</v>
      </c>
      <c r="AED282" s="16"/>
      <c r="AEE282" s="16"/>
      <c r="AEF282" s="16" t="n">
        <v>10</v>
      </c>
      <c r="AEG282" s="16" t="n">
        <v>1.1</v>
      </c>
      <c r="AEH282" s="16" t="n">
        <v>0</v>
      </c>
      <c r="AEI282" s="0" t="n">
        <v>1</v>
      </c>
      <c r="AEJ282" s="0" t="s">
        <v>838</v>
      </c>
      <c r="AEK282" s="0" t="n">
        <v>47.5</v>
      </c>
      <c r="AEL282" s="16" t="n">
        <v>86.8</v>
      </c>
      <c r="AEM282" s="16" t="n">
        <v>83.4</v>
      </c>
      <c r="AEN282" s="16" t="n">
        <v>26.7</v>
      </c>
      <c r="AEO282" s="0" t="n">
        <v>65.11</v>
      </c>
      <c r="AEP282" s="0" t="n">
        <v>0</v>
      </c>
      <c r="AEQ282" s="0" t="n">
        <v>2.75</v>
      </c>
      <c r="AER282" s="0" t="n">
        <v>0</v>
      </c>
      <c r="AES282" s="0" t="n">
        <v>32.14</v>
      </c>
      <c r="AET282" s="0" t="n">
        <v>0</v>
      </c>
      <c r="AEU282" s="0" t="n">
        <v>0</v>
      </c>
      <c r="AEV282" s="0" t="n">
        <v>0</v>
      </c>
      <c r="AEW282" s="0" t="n">
        <v>0</v>
      </c>
      <c r="AEX282" s="0" t="n">
        <v>0</v>
      </c>
      <c r="AEY282" s="0" t="n">
        <v>0</v>
      </c>
      <c r="AEZ282" s="0" t="n">
        <v>0</v>
      </c>
      <c r="AFA282" s="0" t="n">
        <v>24.37</v>
      </c>
      <c r="AFB282" s="0" t="n">
        <v>6.53</v>
      </c>
      <c r="AFC282" s="0" t="n">
        <v>31.2</v>
      </c>
      <c r="AFD282" s="0" t="n">
        <v>0</v>
      </c>
      <c r="AFE282" s="0" t="n">
        <v>13</v>
      </c>
      <c r="AFF282" s="0" t="n">
        <v>1</v>
      </c>
      <c r="AFG282" s="0" t="n">
        <v>7</v>
      </c>
      <c r="AFI282" s="0" t="n">
        <v>2</v>
      </c>
      <c r="AFS282" s="0" t="n">
        <v>0</v>
      </c>
      <c r="AFT282" s="0" t="n">
        <v>0</v>
      </c>
      <c r="AGE282" s="18"/>
      <c r="AGW282" s="0" t="n">
        <v>0</v>
      </c>
      <c r="AIH282" s="16" t="n">
        <v>2.27</v>
      </c>
      <c r="AII282" s="16" t="n">
        <v>1</v>
      </c>
      <c r="AIJ282" s="16" t="n">
        <v>1</v>
      </c>
      <c r="AIK282" s="16"/>
      <c r="AIL282" s="16" t="n">
        <f aca="false">3.3*3+0.36*4</f>
        <v>11.34</v>
      </c>
      <c r="AIM282" s="16"/>
      <c r="AIN282" s="16"/>
      <c r="AIO282" s="16"/>
      <c r="AIP282" s="16"/>
      <c r="AIQ282" s="16"/>
      <c r="AIR282" s="16"/>
      <c r="AIS282" s="16" t="n">
        <v>5.24</v>
      </c>
      <c r="AIT282" s="16" t="n">
        <v>7.31</v>
      </c>
      <c r="AIU282" s="16"/>
      <c r="AIV282" s="16"/>
      <c r="AIW282" s="16" t="n">
        <v>0</v>
      </c>
      <c r="AIX282" s="16" t="n">
        <v>0</v>
      </c>
      <c r="AIY282" s="16" t="n">
        <v>0</v>
      </c>
      <c r="AIZ282" s="0" t="n">
        <v>0</v>
      </c>
      <c r="AJA282" s="0" t="s">
        <v>839</v>
      </c>
      <c r="AJB282" s="0" t="n">
        <v>48</v>
      </c>
      <c r="AJC282" s="16" t="n">
        <v>84.6</v>
      </c>
      <c r="AJD282" s="16" t="n">
        <v>83.4</v>
      </c>
      <c r="AJE282" s="16" t="n">
        <v>5.9</v>
      </c>
      <c r="AJF282" s="0" t="n">
        <v>36.31</v>
      </c>
      <c r="AJG282" s="0" t="n">
        <v>0</v>
      </c>
      <c r="AJH282" s="0" t="n">
        <v>0</v>
      </c>
      <c r="AJI282" s="0" t="n">
        <v>0</v>
      </c>
      <c r="AJJ282" s="0" t="n">
        <v>63.69</v>
      </c>
      <c r="AJK282" s="0" t="n">
        <v>0</v>
      </c>
      <c r="AJL282" s="0" t="n">
        <v>0</v>
      </c>
      <c r="AJM282" s="0" t="n">
        <v>0</v>
      </c>
      <c r="AJN282" s="0" t="n">
        <v>0</v>
      </c>
      <c r="AJO282" s="0" t="n">
        <v>0</v>
      </c>
      <c r="AJP282" s="0" t="n">
        <v>0</v>
      </c>
      <c r="AJQ282" s="0" t="n">
        <v>2.53</v>
      </c>
      <c r="AJR282" s="0" t="n">
        <v>8.33</v>
      </c>
      <c r="AJS282" s="0" t="n">
        <v>27.3</v>
      </c>
      <c r="AJT282" s="0" t="n">
        <v>39.37</v>
      </c>
      <c r="AJU282" s="0" t="n">
        <v>0</v>
      </c>
      <c r="AJV282" s="0" t="n">
        <v>0</v>
      </c>
      <c r="AJW282" s="0" t="n">
        <v>0</v>
      </c>
      <c r="AKJ282" s="0" t="n">
        <v>0</v>
      </c>
      <c r="AKK282" s="0" t="n">
        <v>0</v>
      </c>
      <c r="AKV282" s="18"/>
      <c r="ALN282" s="0" t="n">
        <v>0</v>
      </c>
    </row>
    <row r="283" customFormat="false" ht="13.8" hidden="false" customHeight="false" outlineLevel="0" collapsed="false">
      <c r="A283" s="1" t="s">
        <v>846</v>
      </c>
      <c r="B283" s="12" t="n">
        <v>42908</v>
      </c>
      <c r="C283" s="0" t="n">
        <v>1</v>
      </c>
      <c r="D283" s="13" t="n">
        <v>42801</v>
      </c>
      <c r="E283" s="12" t="n">
        <v>34371</v>
      </c>
      <c r="F283" s="14" t="n">
        <f aca="false">(B283-E283)/365.25</f>
        <v>23.3730321697467</v>
      </c>
      <c r="G283" s="14" t="n">
        <f aca="false">(B283-D283)/365.25</f>
        <v>0.292950034223135</v>
      </c>
      <c r="H283" s="19" t="s">
        <v>306</v>
      </c>
      <c r="I283" s="15" t="s">
        <v>832</v>
      </c>
      <c r="J283" s="15" t="s">
        <v>181</v>
      </c>
      <c r="K283" s="15" t="n">
        <v>4</v>
      </c>
      <c r="L283" s="19" t="n">
        <v>51</v>
      </c>
      <c r="M283" s="0" t="n">
        <v>1.65</v>
      </c>
      <c r="N283" s="16" t="n">
        <f aca="false">L283/(M283*M283)</f>
        <v>18.732782369146</v>
      </c>
      <c r="O283" s="19" t="n">
        <v>0</v>
      </c>
      <c r="P283" s="19" t="n">
        <v>0</v>
      </c>
      <c r="Q283" s="19" t="n">
        <v>0</v>
      </c>
      <c r="R283" s="26" t="n">
        <v>0</v>
      </c>
      <c r="S283" s="26" t="n">
        <v>0</v>
      </c>
      <c r="T283" s="26" t="n">
        <v>0</v>
      </c>
      <c r="U283" s="19" t="n">
        <v>0</v>
      </c>
      <c r="V283" s="19" t="n">
        <v>0</v>
      </c>
      <c r="W283" s="19" t="n">
        <v>0</v>
      </c>
      <c r="X283" s="19" t="n">
        <v>0</v>
      </c>
      <c r="Y283" s="19" t="n">
        <v>0</v>
      </c>
      <c r="Z283" s="19" t="n">
        <v>0</v>
      </c>
      <c r="AA283" s="19" t="n">
        <v>0</v>
      </c>
      <c r="AB283" s="19" t="n">
        <v>0</v>
      </c>
      <c r="AC283" s="19" t="n">
        <v>1</v>
      </c>
      <c r="AD283" s="19" t="n">
        <v>10</v>
      </c>
      <c r="AE283" s="19" t="n">
        <v>0</v>
      </c>
      <c r="AF283" s="19" t="n">
        <v>0</v>
      </c>
      <c r="AG283" s="19" t="n">
        <v>0</v>
      </c>
      <c r="AH283" s="19" t="n">
        <v>0</v>
      </c>
      <c r="AI283" s="19" t="n">
        <v>0</v>
      </c>
      <c r="AJ283" s="19" t="n">
        <v>0</v>
      </c>
      <c r="AK283" s="19" t="n">
        <v>0</v>
      </c>
      <c r="AL283" s="19" t="n">
        <v>0</v>
      </c>
      <c r="AM283" s="26" t="n">
        <v>0</v>
      </c>
      <c r="AN283" s="19" t="n">
        <v>0</v>
      </c>
      <c r="AO283" s="19" t="n">
        <v>0</v>
      </c>
      <c r="AP283" s="19" t="n">
        <v>0</v>
      </c>
      <c r="AQ283" s="19" t="n">
        <v>0</v>
      </c>
      <c r="AR283" s="19" t="n">
        <v>0</v>
      </c>
      <c r="AS283" s="19" t="n">
        <v>0</v>
      </c>
      <c r="AT283" s="19" t="n">
        <v>0</v>
      </c>
      <c r="AU283" s="19" t="n">
        <v>0</v>
      </c>
      <c r="AV283" s="19" t="n">
        <v>0</v>
      </c>
      <c r="AW283" s="19" t="n">
        <v>0</v>
      </c>
      <c r="AX283" s="19" t="n">
        <v>0</v>
      </c>
      <c r="AY283" s="19" t="n">
        <v>0</v>
      </c>
      <c r="AZ283" s="19" t="n">
        <v>0</v>
      </c>
      <c r="BA283" s="19" t="n">
        <v>0</v>
      </c>
      <c r="BB283" s="19" t="n">
        <v>0</v>
      </c>
      <c r="BC283" s="19" t="n">
        <v>0</v>
      </c>
      <c r="BD283" s="19" t="n">
        <v>0</v>
      </c>
      <c r="BE283" s="19" t="n">
        <v>0</v>
      </c>
      <c r="BF283" s="19" t="n">
        <v>0</v>
      </c>
      <c r="BG283" s="19" t="n">
        <v>0</v>
      </c>
      <c r="BH283" s="19" t="n">
        <v>0</v>
      </c>
      <c r="BI283" s="19" t="n">
        <v>0</v>
      </c>
      <c r="BJ283" s="19" t="n">
        <v>0</v>
      </c>
      <c r="BK283" s="19" t="n">
        <v>0</v>
      </c>
      <c r="BL283" s="19" t="n">
        <v>0</v>
      </c>
      <c r="BM283" s="19" t="n">
        <v>0</v>
      </c>
      <c r="BN283" s="19" t="n">
        <v>0</v>
      </c>
      <c r="BO283" s="19" t="n">
        <v>0</v>
      </c>
      <c r="BP283" s="19" t="n">
        <v>0</v>
      </c>
      <c r="BQ283" s="19" t="n">
        <v>0</v>
      </c>
      <c r="BR283" s="19" t="n">
        <v>1</v>
      </c>
      <c r="BS283" s="19" t="n">
        <v>1</v>
      </c>
      <c r="BT283" s="19" t="n">
        <v>2</v>
      </c>
      <c r="BU283" s="19" t="n">
        <v>5</v>
      </c>
      <c r="BV283" s="19" t="n">
        <v>1</v>
      </c>
      <c r="BW283" s="19" t="n">
        <v>2</v>
      </c>
      <c r="BX283" s="19" t="n">
        <v>1</v>
      </c>
      <c r="BY283" s="19" t="n">
        <v>3</v>
      </c>
      <c r="BZ283" s="19" t="n">
        <v>5</v>
      </c>
      <c r="CA283" s="19" t="n">
        <v>5</v>
      </c>
      <c r="CB283" s="19" t="n">
        <v>5</v>
      </c>
      <c r="CC283" s="19" t="n">
        <v>5</v>
      </c>
      <c r="CD283" s="19" t="n">
        <v>5</v>
      </c>
      <c r="CE283" s="19" t="n">
        <v>5</v>
      </c>
      <c r="CF283" s="19" t="n">
        <v>5</v>
      </c>
      <c r="CG283" s="19" t="n">
        <v>5</v>
      </c>
      <c r="CH283" s="19" t="n">
        <v>5</v>
      </c>
      <c r="CI283" s="19" t="n">
        <v>5</v>
      </c>
      <c r="CJ283" s="19" t="n">
        <v>5</v>
      </c>
      <c r="CK283" s="19" t="n">
        <v>8</v>
      </c>
      <c r="CL283" s="0" t="n">
        <v>92</v>
      </c>
      <c r="CM283" s="0" t="n">
        <v>38.5</v>
      </c>
      <c r="CN283" s="16" t="n">
        <v>77.5</v>
      </c>
      <c r="CO283" s="16" t="n">
        <v>83.4</v>
      </c>
      <c r="CP283" s="16" t="n">
        <v>19.1</v>
      </c>
      <c r="CQ283" s="0" t="n">
        <v>78.18</v>
      </c>
      <c r="CR283" s="0" t="n">
        <v>0</v>
      </c>
      <c r="CS283" s="0" t="n">
        <v>2.48</v>
      </c>
      <c r="CT283" s="0" t="n">
        <v>0</v>
      </c>
      <c r="CU283" s="0" t="n">
        <v>19.34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4.11</v>
      </c>
      <c r="DD283" s="0" t="n">
        <v>21.82</v>
      </c>
      <c r="DE283" s="0" t="n">
        <v>10.65</v>
      </c>
      <c r="DF283" s="0" t="n">
        <v>0</v>
      </c>
      <c r="DG283" s="0" t="n">
        <v>16.9</v>
      </c>
      <c r="DH283" s="0" t="n">
        <v>1</v>
      </c>
      <c r="DI283" s="0" t="n">
        <v>6</v>
      </c>
      <c r="DK283" s="0" t="n">
        <v>1</v>
      </c>
      <c r="DU283" s="0" t="n">
        <v>0</v>
      </c>
      <c r="DV283" s="0" t="n">
        <v>0</v>
      </c>
      <c r="EG283" s="18"/>
      <c r="EY283" s="0" t="n">
        <v>0</v>
      </c>
      <c r="GJ283" s="16" t="n">
        <v>0</v>
      </c>
      <c r="GK283" s="16" t="n">
        <v>0</v>
      </c>
      <c r="GL283" s="16"/>
      <c r="GM283" s="16"/>
      <c r="GN283" s="16"/>
      <c r="GO283" s="16"/>
      <c r="GP283" s="16"/>
      <c r="GQ283" s="16"/>
      <c r="GR283" s="16"/>
      <c r="GS283" s="16"/>
      <c r="GT283" s="16"/>
      <c r="GU283" s="16" t="n">
        <v>2.48</v>
      </c>
      <c r="GV283" s="16" t="n">
        <v>2.48</v>
      </c>
      <c r="GW283" s="16"/>
      <c r="GX283" s="16"/>
      <c r="GY283" s="16" t="n">
        <v>0</v>
      </c>
      <c r="GZ283" s="16" t="n">
        <v>0</v>
      </c>
      <c r="HA283" s="16" t="n">
        <v>0</v>
      </c>
      <c r="HB283" s="0" t="n">
        <v>0</v>
      </c>
      <c r="HC283" s="0" t="s">
        <v>833</v>
      </c>
      <c r="HD283" s="0" t="n">
        <v>31</v>
      </c>
      <c r="HE283" s="16" t="n">
        <v>82.6</v>
      </c>
      <c r="HF283" s="16" t="n">
        <v>83.4</v>
      </c>
      <c r="HG283" s="16" t="n">
        <v>5.7</v>
      </c>
      <c r="HH283" s="0" t="n">
        <v>99.97</v>
      </c>
      <c r="HI283" s="0" t="n">
        <v>0</v>
      </c>
      <c r="HJ283" s="0" t="n">
        <v>0</v>
      </c>
      <c r="HK283" s="0" t="n">
        <v>0</v>
      </c>
      <c r="HL283" s="0" t="n">
        <v>0</v>
      </c>
      <c r="HM283" s="0" t="n">
        <v>0</v>
      </c>
      <c r="HN283" s="0" t="n">
        <v>0</v>
      </c>
      <c r="HO283" s="0" t="n">
        <v>0</v>
      </c>
      <c r="HP283" s="0" t="n">
        <v>0</v>
      </c>
      <c r="HQ283" s="0" t="n">
        <v>0</v>
      </c>
      <c r="HR283" s="0" t="n">
        <v>0</v>
      </c>
      <c r="HS283" s="0" t="n">
        <v>7.3</v>
      </c>
      <c r="HT283" s="0" t="n">
        <v>53.74</v>
      </c>
      <c r="HU283" s="0" t="n">
        <v>0</v>
      </c>
      <c r="HV283" s="0" t="n">
        <v>0</v>
      </c>
      <c r="HW283" s="0" t="n">
        <v>0</v>
      </c>
      <c r="HX283" s="0" t="n">
        <v>17.6</v>
      </c>
      <c r="HY283" s="0" t="n">
        <v>1</v>
      </c>
      <c r="HZ283" s="0" t="n">
        <v>4.6</v>
      </c>
      <c r="IB283" s="0" t="n">
        <v>2</v>
      </c>
      <c r="IL283" s="0" t="n">
        <v>2.4</v>
      </c>
      <c r="IM283" s="0" t="n">
        <v>0</v>
      </c>
      <c r="IX283" s="18"/>
      <c r="JP283" s="0" t="n">
        <v>1</v>
      </c>
      <c r="JQ283" s="0" t="n">
        <v>60</v>
      </c>
      <c r="JR283" s="0" t="n">
        <f aca="false">4+6+1+3+1+3</f>
        <v>18</v>
      </c>
      <c r="JS283" s="0" t="n">
        <f aca="false">0.73+2.2+0.13+0.39+0.78+0.52</f>
        <v>4.75</v>
      </c>
      <c r="JT283" s="0" t="n">
        <v>3</v>
      </c>
      <c r="JU283" s="0" t="n">
        <v>50</v>
      </c>
      <c r="JV283" s="0" t="n">
        <f aca="false">14</f>
        <v>14</v>
      </c>
      <c r="JW283" s="0" t="n">
        <f aca="false">4.4+2.94+0.52</f>
        <v>7.86</v>
      </c>
      <c r="JX283" s="0" t="n">
        <v>3</v>
      </c>
      <c r="LA283" s="16" t="n">
        <v>0</v>
      </c>
      <c r="LB283" s="16" t="n">
        <v>0</v>
      </c>
      <c r="LC283" s="16"/>
      <c r="LD283" s="16"/>
      <c r="LE283" s="16"/>
      <c r="LF283" s="16"/>
      <c r="LG283" s="16"/>
      <c r="LH283" s="16"/>
      <c r="LI283" s="16"/>
      <c r="LJ283" s="16"/>
      <c r="LK283" s="16"/>
      <c r="LL283" s="16" t="n">
        <v>5.21</v>
      </c>
      <c r="LM283" s="16" t="n">
        <v>2.59</v>
      </c>
      <c r="LN283" s="16"/>
      <c r="LO283" s="16"/>
      <c r="LP283" s="16" t="n">
        <v>0</v>
      </c>
      <c r="LQ283" s="16" t="n">
        <v>0</v>
      </c>
      <c r="LR283" s="16" t="n">
        <v>0</v>
      </c>
      <c r="LS283" s="0" t="n">
        <v>0</v>
      </c>
      <c r="LT283" s="0" t="s">
        <v>834</v>
      </c>
      <c r="LU283" s="0" t="n">
        <v>30.5</v>
      </c>
      <c r="LV283" s="16" t="n">
        <v>73.4</v>
      </c>
      <c r="LW283" s="16" t="n">
        <v>83.4</v>
      </c>
      <c r="LX283" s="16" t="n">
        <v>5.7</v>
      </c>
      <c r="LY283" s="0" t="n">
        <v>100</v>
      </c>
      <c r="LZ283" s="0" t="n">
        <v>0</v>
      </c>
      <c r="MA283" s="0" t="n">
        <v>0</v>
      </c>
      <c r="MB283" s="0" t="n">
        <v>0</v>
      </c>
      <c r="MC283" s="0" t="n">
        <v>0</v>
      </c>
      <c r="MD283" s="0" t="n">
        <v>0</v>
      </c>
      <c r="ME283" s="0" t="n">
        <v>0</v>
      </c>
      <c r="MF283" s="0" t="n">
        <v>0</v>
      </c>
      <c r="MG283" s="0" t="n">
        <v>0</v>
      </c>
      <c r="MH283" s="0" t="n">
        <v>0</v>
      </c>
      <c r="MI283" s="0" t="n">
        <v>0</v>
      </c>
      <c r="MJ283" s="0" t="n">
        <v>7.69</v>
      </c>
      <c r="MK283" s="0" t="n">
        <v>47.61</v>
      </c>
      <c r="ML283" s="0" t="n">
        <v>0</v>
      </c>
      <c r="MM283" s="0" t="n">
        <v>0</v>
      </c>
      <c r="MN283" s="0" t="n">
        <v>0</v>
      </c>
      <c r="MO283" s="0" t="n">
        <v>16.4</v>
      </c>
      <c r="MP283" s="0" t="n">
        <v>1</v>
      </c>
      <c r="MQ283" s="0" t="n">
        <v>4.6</v>
      </c>
      <c r="MS283" s="0" t="n">
        <v>2</v>
      </c>
      <c r="NC283" s="0" t="n">
        <v>1.4</v>
      </c>
      <c r="ND283" s="0" t="n">
        <v>0</v>
      </c>
      <c r="NO283" s="18"/>
      <c r="OG283" s="0" t="n">
        <v>1</v>
      </c>
      <c r="OH283" s="0" t="n">
        <v>60</v>
      </c>
      <c r="OI283" s="0" t="n">
        <v>7</v>
      </c>
      <c r="OJ283" s="0" t="n">
        <f aca="false">0.73+2.2+0.39</f>
        <v>3.32</v>
      </c>
      <c r="OK283" s="0" t="n">
        <v>3</v>
      </c>
      <c r="OL283" s="0" t="n">
        <v>50</v>
      </c>
      <c r="OM283" s="0" t="n">
        <v>10</v>
      </c>
      <c r="ON283" s="0" t="n">
        <f aca="false">4.4+2.94</f>
        <v>7.34</v>
      </c>
      <c r="PR283" s="16" t="n">
        <v>0</v>
      </c>
      <c r="PS283" s="16" t="n">
        <v>0</v>
      </c>
      <c r="PT283" s="16"/>
      <c r="PU283" s="16"/>
      <c r="PV283" s="16"/>
      <c r="PW283" s="16"/>
      <c r="PX283" s="16"/>
      <c r="PY283" s="16"/>
      <c r="PZ283" s="16"/>
      <c r="QA283" s="16"/>
      <c r="QB283" s="16"/>
      <c r="QC283" s="16" t="n">
        <v>6.95</v>
      </c>
      <c r="QD283" s="16" t="n">
        <v>10.27</v>
      </c>
      <c r="QE283" s="16"/>
      <c r="QF283" s="16"/>
      <c r="QG283" s="16" t="n">
        <v>0</v>
      </c>
      <c r="QH283" s="16" t="n">
        <v>0</v>
      </c>
      <c r="QI283" s="16" t="n">
        <v>0</v>
      </c>
      <c r="QJ283" s="0" t="n">
        <v>0</v>
      </c>
      <c r="QK283" s="0" t="n">
        <v>94</v>
      </c>
      <c r="QL283" s="0" t="n">
        <v>24.5</v>
      </c>
      <c r="QM283" s="16" t="n">
        <v>88.7</v>
      </c>
      <c r="QN283" s="16" t="n">
        <v>83.4</v>
      </c>
      <c r="QO283" s="16" t="n">
        <v>23.1</v>
      </c>
      <c r="QP283" s="0" t="n">
        <v>69.95</v>
      </c>
      <c r="QQ283" s="0" t="n">
        <v>0</v>
      </c>
      <c r="QR283" s="0" t="n">
        <v>7.16</v>
      </c>
      <c r="QS283" s="0" t="n">
        <v>0</v>
      </c>
      <c r="QT283" s="0" t="n">
        <v>0</v>
      </c>
      <c r="QU283" s="0" t="n">
        <v>0</v>
      </c>
      <c r="QV283" s="0" t="n">
        <v>0</v>
      </c>
      <c r="QW283" s="0" t="n">
        <v>0</v>
      </c>
      <c r="QX283" s="0" t="n">
        <v>0</v>
      </c>
      <c r="QY283" s="0" t="n">
        <v>0</v>
      </c>
      <c r="QZ283" s="0" t="n">
        <v>0</v>
      </c>
      <c r="RA283" s="0" t="n">
        <v>0</v>
      </c>
      <c r="RB283" s="0" t="n">
        <v>34.04</v>
      </c>
      <c r="RC283" s="0" t="n">
        <v>20.5</v>
      </c>
      <c r="RD283" s="0" t="n">
        <v>0</v>
      </c>
      <c r="RE283" s="0" t="n">
        <v>22.9</v>
      </c>
      <c r="RF283" s="0" t="n">
        <v>0</v>
      </c>
      <c r="RG283" s="0" t="n">
        <v>0</v>
      </c>
      <c r="RT283" s="0" t="n">
        <v>0</v>
      </c>
      <c r="RU283" s="0" t="n">
        <v>0</v>
      </c>
      <c r="SF283" s="18"/>
      <c r="SX283" s="0" t="n">
        <v>0</v>
      </c>
      <c r="UI283" s="16" t="n">
        <v>0</v>
      </c>
      <c r="UJ283" s="16" t="n">
        <v>0</v>
      </c>
      <c r="UK283" s="16"/>
      <c r="UL283" s="16"/>
      <c r="UM283" s="16"/>
      <c r="UN283" s="16"/>
      <c r="UO283" s="16"/>
      <c r="UP283" s="16"/>
      <c r="UQ283" s="16"/>
      <c r="UR283" s="16"/>
      <c r="US283" s="16"/>
      <c r="UT283" s="16" t="n">
        <v>0</v>
      </c>
      <c r="UU283" s="16" t="n">
        <v>0</v>
      </c>
      <c r="UV283" s="16"/>
      <c r="UW283" s="16"/>
      <c r="UX283" s="16" t="n">
        <v>0</v>
      </c>
      <c r="UY283" s="16" t="n">
        <v>0</v>
      </c>
      <c r="UZ283" s="16" t="n">
        <v>1.44</v>
      </c>
      <c r="VA283" s="0" t="n">
        <v>0</v>
      </c>
      <c r="VB283" s="0" t="s">
        <v>835</v>
      </c>
      <c r="VC283" s="0" t="n">
        <v>19</v>
      </c>
      <c r="VD283" s="16" t="n">
        <v>73.2</v>
      </c>
      <c r="VE283" s="16" t="n">
        <v>83.4</v>
      </c>
      <c r="VF283" s="16" t="n">
        <v>11.1</v>
      </c>
      <c r="VG283" s="0" t="n">
        <v>92.58</v>
      </c>
      <c r="VH283" s="0" t="n">
        <v>0</v>
      </c>
      <c r="VI283" s="0" t="n">
        <v>1.25</v>
      </c>
      <c r="VJ283" s="0" t="n">
        <v>0</v>
      </c>
      <c r="VK283" s="0" t="n">
        <v>5.34</v>
      </c>
      <c r="VL283" s="0" t="n">
        <v>0</v>
      </c>
      <c r="VM283" s="0" t="n">
        <v>0</v>
      </c>
      <c r="VN283" s="0" t="n">
        <v>0</v>
      </c>
      <c r="VO283" s="0" t="n">
        <v>0</v>
      </c>
      <c r="VP283" s="0" t="n">
        <v>0</v>
      </c>
      <c r="VQ283" s="0" t="n">
        <v>0</v>
      </c>
      <c r="VR283" s="0" t="n">
        <v>4.77</v>
      </c>
      <c r="VS283" s="0" t="n">
        <v>22.03</v>
      </c>
      <c r="VT283" s="0" t="n">
        <v>27.08</v>
      </c>
      <c r="VU283" s="0" t="n">
        <v>1.58</v>
      </c>
      <c r="VV283" s="0" t="n">
        <v>0.83</v>
      </c>
      <c r="VW283" s="0" t="n">
        <v>0</v>
      </c>
      <c r="VX283" s="0" t="n">
        <v>0</v>
      </c>
      <c r="WK283" s="0" t="n">
        <v>0.5</v>
      </c>
      <c r="WL283" s="0" t="n">
        <v>1</v>
      </c>
      <c r="WM283" s="0" t="n">
        <v>35</v>
      </c>
      <c r="WN283" s="0" t="n">
        <v>4</v>
      </c>
      <c r="WO283" s="0" t="n">
        <v>0.1</v>
      </c>
      <c r="WP283" s="0" t="n">
        <v>3</v>
      </c>
      <c r="WW283" s="18"/>
      <c r="XO283" s="0" t="n">
        <v>1</v>
      </c>
      <c r="XP283" s="0" t="n">
        <v>40</v>
      </c>
      <c r="XQ283" s="0" t="n">
        <v>1</v>
      </c>
      <c r="XR283" s="0" t="n">
        <v>1.25</v>
      </c>
      <c r="XS283" s="0" t="n">
        <v>3</v>
      </c>
      <c r="XT283" s="0" t="n">
        <v>50</v>
      </c>
      <c r="XU283" s="0" t="n">
        <v>1</v>
      </c>
      <c r="XV283" s="0" t="n">
        <v>0.05</v>
      </c>
      <c r="XW283" s="0" t="n">
        <v>3</v>
      </c>
      <c r="XX283" s="0" t="n">
        <v>60</v>
      </c>
      <c r="XY283" s="0" t="n">
        <f aca="false">18+9</f>
        <v>27</v>
      </c>
      <c r="XZ283" s="0" t="n">
        <f aca="false">2.27+1.14</f>
        <v>3.41</v>
      </c>
      <c r="YA283" s="0" t="n">
        <v>3</v>
      </c>
      <c r="YZ283" s="16" t="n">
        <v>3.7</v>
      </c>
      <c r="ZA283" s="16" t="n">
        <v>1</v>
      </c>
      <c r="ZB283" s="16" t="n">
        <v>1</v>
      </c>
      <c r="ZC283" s="16"/>
      <c r="ZD283" s="16" t="n">
        <f aca="false">4+0.13+0.01+0.73+1.65+0.02</f>
        <v>6.54</v>
      </c>
      <c r="ZE283" s="16" t="n">
        <v>2</v>
      </c>
      <c r="ZF283" s="16"/>
      <c r="ZG283" s="16" t="n">
        <f aca="false">0.18*2</f>
        <v>0.36</v>
      </c>
      <c r="ZH283" s="16"/>
      <c r="ZI283" s="16"/>
      <c r="ZJ283" s="16"/>
      <c r="ZK283" s="16" t="n">
        <v>3.32</v>
      </c>
      <c r="ZL283" s="16" t="n">
        <v>3.31</v>
      </c>
      <c r="ZM283" s="16"/>
      <c r="ZN283" s="16"/>
      <c r="ZO283" s="16" t="n">
        <v>0</v>
      </c>
      <c r="ZP283" s="16" t="n">
        <v>0</v>
      </c>
      <c r="ZQ283" s="16" t="n">
        <v>0.22</v>
      </c>
      <c r="ZR283" s="0" t="n">
        <v>0</v>
      </c>
      <c r="ZS283" s="0" t="s">
        <v>836</v>
      </c>
      <c r="ZT283" s="0" t="n">
        <v>26.5</v>
      </c>
      <c r="ZU283" s="16" t="n">
        <v>70.7</v>
      </c>
      <c r="ZV283" s="16" t="n">
        <v>83.4</v>
      </c>
      <c r="ZW283" s="16" t="n">
        <v>8.8</v>
      </c>
      <c r="ZX283" s="0" t="n">
        <v>94.65</v>
      </c>
      <c r="ZY283" s="0" t="n">
        <v>0</v>
      </c>
      <c r="ZZ283" s="0" t="n">
        <v>0.21</v>
      </c>
      <c r="AAA283" s="0" t="n">
        <v>0</v>
      </c>
      <c r="AAB283" s="0" t="n">
        <v>4.31</v>
      </c>
      <c r="AAC283" s="0" t="n">
        <v>0</v>
      </c>
      <c r="AAD283" s="0" t="n">
        <v>0</v>
      </c>
      <c r="AAE283" s="0" t="n">
        <v>0</v>
      </c>
      <c r="AAF283" s="0" t="n">
        <v>0</v>
      </c>
      <c r="AAG283" s="0" t="n">
        <v>0</v>
      </c>
      <c r="AAH283" s="0" t="n">
        <v>0</v>
      </c>
      <c r="AAI283" s="0" t="n">
        <v>1.21</v>
      </c>
      <c r="AAJ283" s="0" t="n">
        <v>19.41</v>
      </c>
      <c r="AAK283" s="0" t="n">
        <v>20.37</v>
      </c>
      <c r="AAL283" s="0" t="n">
        <v>0.21</v>
      </c>
      <c r="AAM283" s="0" t="n">
        <v>0.83</v>
      </c>
      <c r="AAN283" s="0" t="n">
        <v>12.2</v>
      </c>
      <c r="AAO283" s="0" t="n">
        <v>1</v>
      </c>
      <c r="AAP283" s="0" t="n">
        <v>5</v>
      </c>
      <c r="AAR283" s="0" t="n">
        <v>2</v>
      </c>
      <c r="ABB283" s="0" t="n">
        <v>0</v>
      </c>
      <c r="ABC283" s="0" t="n">
        <v>0</v>
      </c>
      <c r="ABN283" s="18"/>
      <c r="ACF283" s="0" t="n">
        <v>1</v>
      </c>
      <c r="ACG283" s="0" t="n">
        <v>40</v>
      </c>
      <c r="ACH283" s="0" t="n">
        <v>1</v>
      </c>
      <c r="ACI283" s="0" t="n">
        <v>0.21</v>
      </c>
      <c r="ACJ283" s="0" t="n">
        <v>3</v>
      </c>
      <c r="ACK283" s="0" t="n">
        <v>80</v>
      </c>
      <c r="ACL283" s="0" t="n">
        <v>4</v>
      </c>
      <c r="ACM283" s="0" t="n">
        <v>0.5</v>
      </c>
      <c r="ACN283" s="0" t="n">
        <v>2</v>
      </c>
      <c r="ACO283" s="0" t="n">
        <v>60</v>
      </c>
      <c r="ACP283" s="0" t="n">
        <f aca="false">18+9</f>
        <v>27</v>
      </c>
      <c r="ACQ283" s="0" t="n">
        <f aca="false">2.27+1.14</f>
        <v>3.41</v>
      </c>
      <c r="ACR283" s="0" t="n">
        <v>2</v>
      </c>
      <c r="ADQ283" s="16" t="n">
        <v>3.54</v>
      </c>
      <c r="ADR283" s="16" t="n">
        <v>1</v>
      </c>
      <c r="ADS283" s="16" t="n">
        <v>1</v>
      </c>
      <c r="ADT283" s="16"/>
      <c r="ADU283" s="16" t="n">
        <f aca="false">4+0.73*2+1.65</f>
        <v>7.11</v>
      </c>
      <c r="ADV283" s="16"/>
      <c r="ADW283" s="16"/>
      <c r="ADX283" s="16"/>
      <c r="ADY283" s="16"/>
      <c r="ADZ283" s="16"/>
      <c r="AEA283" s="16"/>
      <c r="AEB283" s="16" t="n">
        <v>1.47</v>
      </c>
      <c r="AEC283" s="16" t="n">
        <v>1.47</v>
      </c>
      <c r="AED283" s="16"/>
      <c r="AEE283" s="16"/>
      <c r="AEF283" s="16" t="n">
        <v>0</v>
      </c>
      <c r="AEG283" s="16" t="n">
        <v>0</v>
      </c>
      <c r="AEH283" s="16" t="n">
        <v>0.22</v>
      </c>
      <c r="AEI283" s="0" t="n">
        <v>0</v>
      </c>
      <c r="AEJ283" s="0" t="s">
        <v>841</v>
      </c>
      <c r="AEK283" s="0" t="n">
        <v>18.5</v>
      </c>
      <c r="AEL283" s="16" t="n">
        <v>91.6</v>
      </c>
      <c r="AEM283" s="16" t="n">
        <v>83.4</v>
      </c>
      <c r="AEN283" s="16" t="n">
        <v>7.5</v>
      </c>
      <c r="AEO283" s="0" t="n">
        <v>96.33</v>
      </c>
      <c r="AEP283" s="0" t="n">
        <v>0</v>
      </c>
      <c r="AEQ283" s="0" t="n">
        <v>0</v>
      </c>
      <c r="AER283" s="0" t="n">
        <v>0</v>
      </c>
      <c r="AES283" s="0" t="n">
        <v>3.67</v>
      </c>
      <c r="AET283" s="0" t="n">
        <v>0</v>
      </c>
      <c r="AEU283" s="0" t="n">
        <v>0</v>
      </c>
      <c r="AEV283" s="0" t="n">
        <v>0</v>
      </c>
      <c r="AEW283" s="0" t="n">
        <v>0</v>
      </c>
      <c r="AEX283" s="0" t="n">
        <v>0</v>
      </c>
      <c r="AEY283" s="0" t="n">
        <v>0</v>
      </c>
      <c r="AEZ283" s="0" t="n">
        <v>3.67</v>
      </c>
      <c r="AFA283" s="0" t="n">
        <v>45.98</v>
      </c>
      <c r="AFB283" s="0" t="n">
        <v>17.9</v>
      </c>
      <c r="AFC283" s="0" t="n">
        <v>0</v>
      </c>
      <c r="AFD283" s="0" t="n">
        <v>0</v>
      </c>
      <c r="AFE283" s="0" t="n">
        <v>0</v>
      </c>
      <c r="AFF283" s="0" t="n">
        <v>0</v>
      </c>
      <c r="AFS283" s="0" t="n">
        <v>0</v>
      </c>
      <c r="AFT283" s="0" t="n">
        <v>0</v>
      </c>
      <c r="AGE283" s="18"/>
      <c r="AGW283" s="0" t="n">
        <v>0</v>
      </c>
      <c r="AHA283" s="0" t="n">
        <v>1</v>
      </c>
      <c r="AHB283" s="0" t="n">
        <v>50</v>
      </c>
      <c r="AHC283" s="0" t="n">
        <v>1</v>
      </c>
      <c r="AHD283" s="0" t="n">
        <v>0.04</v>
      </c>
      <c r="AHE283" s="0" t="n">
        <v>3</v>
      </c>
      <c r="AIH283" s="16" t="n">
        <v>1.44</v>
      </c>
      <c r="AII283" s="16" t="n">
        <v>1</v>
      </c>
      <c r="AIJ283" s="16" t="n">
        <v>1</v>
      </c>
      <c r="AIK283" s="16"/>
      <c r="AIL283" s="16" t="n">
        <f aca="false">1.65+0.18*2+9.17</f>
        <v>11.18</v>
      </c>
      <c r="AIM283" s="16"/>
      <c r="AIN283" s="16"/>
      <c r="AIO283" s="16"/>
      <c r="AIP283" s="16"/>
      <c r="AIQ283" s="16"/>
      <c r="AIR283" s="16"/>
      <c r="AIS283" s="16" t="n">
        <v>5.88</v>
      </c>
      <c r="AIT283" s="16" t="n">
        <v>13.5</v>
      </c>
      <c r="AIU283" s="16"/>
      <c r="AIV283" s="16"/>
      <c r="AIW283" s="16" t="n">
        <v>3.6</v>
      </c>
      <c r="AIX283" s="16" t="n">
        <v>1.1</v>
      </c>
      <c r="AIY283" s="16" t="n">
        <v>0</v>
      </c>
      <c r="AIZ283" s="0" t="n">
        <v>0</v>
      </c>
      <c r="AJA283" s="0" t="s">
        <v>837</v>
      </c>
      <c r="AJB283" s="0" t="n">
        <v>30.5</v>
      </c>
      <c r="AJC283" s="16" t="n">
        <v>92</v>
      </c>
      <c r="AJD283" s="16" t="n">
        <v>83.4</v>
      </c>
      <c r="AJE283" s="16" t="n">
        <v>5.9</v>
      </c>
      <c r="AJF283" s="0" t="n">
        <v>98.99</v>
      </c>
      <c r="AJG283" s="0" t="n">
        <v>1.01</v>
      </c>
      <c r="AJH283" s="0" t="n">
        <v>0</v>
      </c>
      <c r="AJI283" s="0" t="n">
        <v>0</v>
      </c>
      <c r="AJJ283" s="0" t="n">
        <v>0</v>
      </c>
      <c r="AJK283" s="0" t="n">
        <v>0</v>
      </c>
      <c r="AJL283" s="0" t="n">
        <v>0</v>
      </c>
      <c r="AJM283" s="0" t="n">
        <v>0</v>
      </c>
      <c r="AJN283" s="0" t="n">
        <v>0</v>
      </c>
      <c r="AJO283" s="0" t="n">
        <v>0</v>
      </c>
      <c r="AJP283" s="0" t="n">
        <v>0</v>
      </c>
      <c r="AJQ283" s="0" t="n">
        <v>2.66</v>
      </c>
      <c r="AJR283" s="0" t="n">
        <v>46.99</v>
      </c>
      <c r="AJS283" s="0" t="n">
        <v>16.89</v>
      </c>
      <c r="AJT283" s="0" t="n">
        <v>0</v>
      </c>
      <c r="AJU283" s="0" t="n">
        <v>0</v>
      </c>
      <c r="AJV283" s="0" t="n">
        <v>0</v>
      </c>
      <c r="AJW283" s="0" t="n">
        <v>0</v>
      </c>
      <c r="AKJ283" s="0" t="n">
        <v>0</v>
      </c>
      <c r="AKK283" s="0" t="n">
        <v>0</v>
      </c>
      <c r="AKV283" s="18"/>
      <c r="ALN283" s="0" t="n">
        <v>0</v>
      </c>
    </row>
    <row r="284" customFormat="false" ht="13.8" hidden="false" customHeight="false" outlineLevel="0" collapsed="false">
      <c r="A284" s="1" t="s">
        <v>847</v>
      </c>
      <c r="B284" s="12" t="n">
        <v>42908</v>
      </c>
      <c r="C284" s="0" t="n">
        <v>1</v>
      </c>
      <c r="D284" s="13" t="n">
        <v>42804</v>
      </c>
      <c r="E284" s="12" t="n">
        <v>31293</v>
      </c>
      <c r="F284" s="14" t="n">
        <f aca="false">(B284-E284)/365.25</f>
        <v>31.8001368925394</v>
      </c>
      <c r="G284" s="14" t="n">
        <f aca="false">(B284-D284)/365.25</f>
        <v>0.284736481861739</v>
      </c>
      <c r="H284" s="19" t="s">
        <v>306</v>
      </c>
      <c r="I284" s="15" t="s">
        <v>832</v>
      </c>
      <c r="J284" s="15" t="s">
        <v>181</v>
      </c>
      <c r="K284" s="15" t="n">
        <v>4</v>
      </c>
      <c r="L284" s="19" t="n">
        <v>62</v>
      </c>
      <c r="M284" s="0" t="n">
        <v>1.65</v>
      </c>
      <c r="N284" s="16" t="n">
        <f aca="false">L284/(M284*M284)</f>
        <v>22.77318640955</v>
      </c>
      <c r="O284" s="19" t="n">
        <v>0</v>
      </c>
      <c r="P284" s="19" t="n">
        <v>0</v>
      </c>
      <c r="Q284" s="19" t="n">
        <v>0</v>
      </c>
      <c r="R284" s="26" t="n">
        <v>0</v>
      </c>
      <c r="S284" s="26" t="n">
        <v>0</v>
      </c>
      <c r="T284" s="26" t="n">
        <v>0</v>
      </c>
      <c r="U284" s="19" t="n">
        <v>1</v>
      </c>
      <c r="V284" s="19" t="n">
        <v>5</v>
      </c>
      <c r="W284" s="19" t="n">
        <v>1</v>
      </c>
      <c r="X284" s="19" t="n">
        <v>0</v>
      </c>
      <c r="Y284" s="19" t="n">
        <v>1</v>
      </c>
      <c r="Z284" s="19" t="n">
        <v>1</v>
      </c>
      <c r="AA284" s="19" t="n">
        <v>120</v>
      </c>
      <c r="AB284" s="19" t="s">
        <v>848</v>
      </c>
      <c r="AC284" s="19" t="n">
        <v>0</v>
      </c>
      <c r="AD284" s="19" t="n">
        <v>0</v>
      </c>
      <c r="AE284" s="19" t="n">
        <v>1</v>
      </c>
      <c r="AF284" s="19" t="n">
        <v>0</v>
      </c>
      <c r="AG284" s="19" t="n">
        <v>0</v>
      </c>
      <c r="AH284" s="19" t="n">
        <v>0</v>
      </c>
      <c r="AI284" s="19" t="n">
        <v>1</v>
      </c>
      <c r="AJ284" s="19" t="n">
        <v>0</v>
      </c>
      <c r="AK284" s="19" t="n">
        <v>0</v>
      </c>
      <c r="AL284" s="19" t="n">
        <v>0</v>
      </c>
      <c r="AM284" s="26" t="n">
        <v>0</v>
      </c>
      <c r="AN284" s="19" t="n">
        <v>0</v>
      </c>
      <c r="AO284" s="19" t="n">
        <v>0</v>
      </c>
      <c r="AP284" s="19" t="n">
        <v>0</v>
      </c>
      <c r="AQ284" s="19" t="n">
        <v>0</v>
      </c>
      <c r="AR284" s="19" t="n">
        <v>0</v>
      </c>
      <c r="AS284" s="19" t="n">
        <v>1</v>
      </c>
      <c r="AT284" s="19" t="n">
        <v>0</v>
      </c>
      <c r="AU284" s="19" t="n">
        <v>1</v>
      </c>
      <c r="AV284" s="19" t="n">
        <v>6</v>
      </c>
      <c r="AW284" s="19" t="n">
        <v>0</v>
      </c>
      <c r="AX284" s="19" t="n">
        <v>0</v>
      </c>
      <c r="AY284" s="19" t="n">
        <v>0</v>
      </c>
      <c r="AZ284" s="19" t="n">
        <v>0</v>
      </c>
      <c r="BA284" s="19" t="n">
        <v>0</v>
      </c>
      <c r="BB284" s="19" t="n">
        <v>1</v>
      </c>
      <c r="BC284" s="19" t="n">
        <v>0</v>
      </c>
      <c r="BD284" s="19" t="n">
        <v>0</v>
      </c>
      <c r="BE284" s="19" t="n">
        <v>0</v>
      </c>
      <c r="BF284" s="19" t="n">
        <v>0</v>
      </c>
      <c r="BG284" s="19" t="n">
        <v>0</v>
      </c>
      <c r="BH284" s="19" t="n">
        <v>0</v>
      </c>
      <c r="BI284" s="19" t="n">
        <v>0</v>
      </c>
      <c r="BJ284" s="19" t="n">
        <v>0</v>
      </c>
      <c r="BK284" s="19" t="n">
        <v>0</v>
      </c>
      <c r="BL284" s="19" t="n">
        <v>0</v>
      </c>
      <c r="BM284" s="19" t="n">
        <v>0</v>
      </c>
      <c r="BN284" s="19" t="n">
        <v>1</v>
      </c>
      <c r="BO284" s="19" t="n">
        <v>0</v>
      </c>
      <c r="BP284" s="19" t="n">
        <v>0</v>
      </c>
      <c r="BQ284" s="19" t="n">
        <v>0</v>
      </c>
      <c r="BR284" s="19" t="n">
        <v>2</v>
      </c>
      <c r="BS284" s="19" t="n">
        <v>2</v>
      </c>
      <c r="BT284" s="19" t="n">
        <v>2</v>
      </c>
      <c r="BU284" s="19" t="n">
        <v>4</v>
      </c>
      <c r="BV284" s="19"/>
      <c r="BW284" s="19" t="n">
        <v>2</v>
      </c>
      <c r="BX284" s="19" t="n">
        <v>3</v>
      </c>
      <c r="BY284" s="19" t="n">
        <v>3</v>
      </c>
      <c r="BZ284" s="19" t="n">
        <v>5</v>
      </c>
      <c r="CA284" s="19" t="n">
        <v>5</v>
      </c>
      <c r="CB284" s="19" t="n">
        <v>5</v>
      </c>
      <c r="CC284" s="19" t="n">
        <v>5</v>
      </c>
      <c r="CD284" s="19" t="n">
        <v>5</v>
      </c>
      <c r="CE284" s="19" t="n">
        <v>5</v>
      </c>
      <c r="CF284" s="19" t="n">
        <v>5</v>
      </c>
      <c r="CG284" s="19" t="n">
        <v>5</v>
      </c>
      <c r="CH284" s="19" t="n">
        <v>5</v>
      </c>
      <c r="CI284" s="19" t="n">
        <v>5</v>
      </c>
      <c r="CJ284" s="19" t="n">
        <v>5</v>
      </c>
      <c r="CK284" s="19" t="n">
        <v>9</v>
      </c>
      <c r="CL284" s="0" t="s">
        <v>833</v>
      </c>
      <c r="CM284" s="0" t="n">
        <v>31</v>
      </c>
      <c r="CN284" s="16" t="n">
        <v>82.6</v>
      </c>
      <c r="CO284" s="16" t="n">
        <v>83.4</v>
      </c>
      <c r="CP284" s="16" t="n">
        <v>5.7</v>
      </c>
      <c r="CQ284" s="0" t="n">
        <v>99.97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7.3</v>
      </c>
      <c r="DC284" s="0" t="n">
        <v>53.74</v>
      </c>
      <c r="DD284" s="0" t="n">
        <v>0</v>
      </c>
      <c r="DE284" s="0" t="n">
        <v>0</v>
      </c>
      <c r="DF284" s="0" t="n">
        <v>0</v>
      </c>
      <c r="DG284" s="0" t="n">
        <v>17.6</v>
      </c>
      <c r="DH284" s="0" t="n">
        <v>1</v>
      </c>
      <c r="DI284" s="0" t="n">
        <v>4.6</v>
      </c>
      <c r="DK284" s="0" t="n">
        <v>2</v>
      </c>
      <c r="DU284" s="0" t="n">
        <v>2.4</v>
      </c>
      <c r="DV284" s="0" t="n">
        <v>0</v>
      </c>
      <c r="EG284" s="18"/>
      <c r="EY284" s="0" t="n">
        <v>1</v>
      </c>
      <c r="EZ284" s="0" t="n">
        <v>60</v>
      </c>
      <c r="FA284" s="0" t="n">
        <f aca="false">4+6+1+3+1+3</f>
        <v>18</v>
      </c>
      <c r="FB284" s="0" t="n">
        <f aca="false">0.73+2.2+0.13+0.39+0.78+0.52</f>
        <v>4.75</v>
      </c>
      <c r="FC284" s="0" t="n">
        <v>3</v>
      </c>
      <c r="FD284" s="0" t="n">
        <v>50</v>
      </c>
      <c r="FE284" s="0" t="n">
        <f aca="false">14</f>
        <v>14</v>
      </c>
      <c r="FF284" s="0" t="n">
        <f aca="false">4.4+2.94+0.52</f>
        <v>7.86</v>
      </c>
      <c r="FG284" s="0" t="n">
        <v>3</v>
      </c>
      <c r="GJ284" s="16" t="n">
        <v>0</v>
      </c>
      <c r="GK284" s="16" t="n">
        <v>0</v>
      </c>
      <c r="GL284" s="16"/>
      <c r="GM284" s="16"/>
      <c r="GN284" s="16"/>
      <c r="GO284" s="16"/>
      <c r="GP284" s="16"/>
      <c r="GQ284" s="16"/>
      <c r="GR284" s="16"/>
      <c r="GS284" s="16"/>
      <c r="GT284" s="16"/>
      <c r="GU284" s="16" t="n">
        <v>5.21</v>
      </c>
      <c r="GV284" s="16" t="n">
        <v>2.59</v>
      </c>
      <c r="GW284" s="16"/>
      <c r="GX284" s="16"/>
      <c r="GY284" s="16" t="n">
        <v>0</v>
      </c>
      <c r="GZ284" s="16" t="n">
        <v>0</v>
      </c>
      <c r="HA284" s="16" t="n">
        <v>0</v>
      </c>
      <c r="HB284" s="0" t="n">
        <v>0</v>
      </c>
      <c r="HC284" s="0" t="s">
        <v>834</v>
      </c>
      <c r="HD284" s="0" t="n">
        <v>30.5</v>
      </c>
      <c r="HE284" s="16" t="n">
        <v>73.4</v>
      </c>
      <c r="HF284" s="16" t="n">
        <v>83.4</v>
      </c>
      <c r="HG284" s="16" t="n">
        <v>5.7</v>
      </c>
      <c r="HH284" s="0" t="n">
        <v>100</v>
      </c>
      <c r="HI284" s="0" t="n">
        <v>0</v>
      </c>
      <c r="HJ284" s="0" t="n">
        <v>0</v>
      </c>
      <c r="HK284" s="0" t="n">
        <v>0</v>
      </c>
      <c r="HL284" s="0" t="n">
        <v>0</v>
      </c>
      <c r="HM284" s="0" t="n">
        <v>0</v>
      </c>
      <c r="HN284" s="0" t="n">
        <v>0</v>
      </c>
      <c r="HO284" s="0" t="n">
        <v>0</v>
      </c>
      <c r="HP284" s="0" t="n">
        <v>0</v>
      </c>
      <c r="HQ284" s="0" t="n">
        <v>0</v>
      </c>
      <c r="HR284" s="0" t="n">
        <v>0</v>
      </c>
      <c r="HS284" s="0" t="n">
        <v>7.69</v>
      </c>
      <c r="HT284" s="0" t="n">
        <v>47.61</v>
      </c>
      <c r="HU284" s="0" t="n">
        <v>0</v>
      </c>
      <c r="HV284" s="0" t="n">
        <v>0</v>
      </c>
      <c r="HW284" s="0" t="n">
        <v>0</v>
      </c>
      <c r="HX284" s="0" t="n">
        <v>16.4</v>
      </c>
      <c r="HY284" s="0" t="n">
        <v>1</v>
      </c>
      <c r="HZ284" s="0" t="n">
        <v>4.6</v>
      </c>
      <c r="IB284" s="0" t="n">
        <v>2</v>
      </c>
      <c r="IL284" s="0" t="n">
        <v>1.4</v>
      </c>
      <c r="IM284" s="0" t="n">
        <v>0</v>
      </c>
      <c r="IX284" s="18"/>
      <c r="JP284" s="0" t="n">
        <v>1</v>
      </c>
      <c r="JQ284" s="0" t="n">
        <v>60</v>
      </c>
      <c r="JR284" s="0" t="n">
        <v>7</v>
      </c>
      <c r="JS284" s="0" t="n">
        <f aca="false">0.73+2.2+0.39</f>
        <v>3.32</v>
      </c>
      <c r="JT284" s="0" t="n">
        <v>3</v>
      </c>
      <c r="JU284" s="0" t="n">
        <v>50</v>
      </c>
      <c r="JV284" s="0" t="n">
        <v>10</v>
      </c>
      <c r="JW284" s="0" t="n">
        <f aca="false">4.4+2.94</f>
        <v>7.34</v>
      </c>
      <c r="LA284" s="16" t="n">
        <v>0</v>
      </c>
      <c r="LB284" s="16" t="n">
        <v>0</v>
      </c>
      <c r="LC284" s="16"/>
      <c r="LD284" s="16"/>
      <c r="LE284" s="16"/>
      <c r="LF284" s="16"/>
      <c r="LG284" s="16"/>
      <c r="LH284" s="16"/>
      <c r="LI284" s="16"/>
      <c r="LJ284" s="16"/>
      <c r="LK284" s="16"/>
      <c r="LL284" s="16" t="n">
        <v>6.95</v>
      </c>
      <c r="LM284" s="16" t="n">
        <v>10.27</v>
      </c>
      <c r="LN284" s="16"/>
      <c r="LO284" s="16"/>
      <c r="LP284" s="16" t="n">
        <v>0</v>
      </c>
      <c r="LQ284" s="16" t="n">
        <v>0</v>
      </c>
      <c r="LR284" s="16" t="n">
        <v>0</v>
      </c>
      <c r="LS284" s="0" t="n">
        <v>0</v>
      </c>
      <c r="LT284" s="0" t="n">
        <v>94</v>
      </c>
      <c r="LU284" s="0" t="n">
        <v>24.5</v>
      </c>
      <c r="LV284" s="16" t="n">
        <v>88.7</v>
      </c>
      <c r="LW284" s="16" t="n">
        <v>83.4</v>
      </c>
      <c r="LX284" s="16" t="n">
        <v>23.1</v>
      </c>
      <c r="LY284" s="0" t="n">
        <v>69.95</v>
      </c>
      <c r="LZ284" s="0" t="n">
        <v>0</v>
      </c>
      <c r="MA284" s="0" t="n">
        <v>7.16</v>
      </c>
      <c r="MB284" s="0" t="n">
        <v>0</v>
      </c>
      <c r="MC284" s="0" t="n">
        <v>0</v>
      </c>
      <c r="MD284" s="0" t="n">
        <v>0</v>
      </c>
      <c r="ME284" s="0" t="n">
        <v>0</v>
      </c>
      <c r="MF284" s="0" t="n">
        <v>0</v>
      </c>
      <c r="MG284" s="0" t="n">
        <v>0</v>
      </c>
      <c r="MH284" s="0" t="n">
        <v>0</v>
      </c>
      <c r="MI284" s="0" t="n">
        <v>0</v>
      </c>
      <c r="MJ284" s="0" t="n">
        <v>0</v>
      </c>
      <c r="MK284" s="0" t="n">
        <v>34.04</v>
      </c>
      <c r="ML284" s="0" t="n">
        <v>20.5</v>
      </c>
      <c r="MM284" s="0" t="n">
        <v>0</v>
      </c>
      <c r="MN284" s="0" t="n">
        <v>22.9</v>
      </c>
      <c r="MO284" s="0" t="n">
        <v>0</v>
      </c>
      <c r="MP284" s="0" t="n">
        <v>0</v>
      </c>
      <c r="NC284" s="0" t="n">
        <v>0</v>
      </c>
      <c r="ND284" s="0" t="n">
        <v>0</v>
      </c>
      <c r="NO284" s="18"/>
      <c r="OG284" s="0" t="n">
        <v>0</v>
      </c>
      <c r="PR284" s="16" t="n">
        <v>0</v>
      </c>
      <c r="PS284" s="16" t="n">
        <v>0</v>
      </c>
      <c r="PT284" s="16"/>
      <c r="PU284" s="16"/>
      <c r="PV284" s="16"/>
      <c r="PW284" s="16"/>
      <c r="PX284" s="16"/>
      <c r="PY284" s="16"/>
      <c r="PZ284" s="16"/>
      <c r="QA284" s="16"/>
      <c r="QB284" s="16"/>
      <c r="QC284" s="16" t="n">
        <v>0</v>
      </c>
      <c r="QD284" s="16" t="n">
        <v>0</v>
      </c>
      <c r="QE284" s="16"/>
      <c r="QF284" s="16"/>
      <c r="QG284" s="16" t="n">
        <v>0</v>
      </c>
      <c r="QH284" s="16" t="n">
        <v>0</v>
      </c>
      <c r="QI284" s="16" t="n">
        <v>1.44</v>
      </c>
      <c r="QJ284" s="0" t="n">
        <v>0</v>
      </c>
      <c r="QK284" s="0" t="s">
        <v>835</v>
      </c>
      <c r="QL284" s="0" t="n">
        <v>19</v>
      </c>
      <c r="QM284" s="16" t="n">
        <v>73.2</v>
      </c>
      <c r="QN284" s="16" t="n">
        <v>83.4</v>
      </c>
      <c r="QO284" s="16" t="n">
        <v>11.1</v>
      </c>
      <c r="QP284" s="0" t="n">
        <v>92.58</v>
      </c>
      <c r="QQ284" s="0" t="n">
        <v>0</v>
      </c>
      <c r="QR284" s="0" t="n">
        <v>1.25</v>
      </c>
      <c r="QS284" s="0" t="n">
        <v>0</v>
      </c>
      <c r="QT284" s="0" t="n">
        <v>5.34</v>
      </c>
      <c r="QU284" s="0" t="n">
        <v>0</v>
      </c>
      <c r="QV284" s="0" t="n">
        <v>0</v>
      </c>
      <c r="QW284" s="0" t="n">
        <v>0</v>
      </c>
      <c r="QX284" s="0" t="n">
        <v>0</v>
      </c>
      <c r="QY284" s="0" t="n">
        <v>0</v>
      </c>
      <c r="QZ284" s="0" t="n">
        <v>0</v>
      </c>
      <c r="RA284" s="0" t="n">
        <v>4.77</v>
      </c>
      <c r="RB284" s="0" t="n">
        <v>22.03</v>
      </c>
      <c r="RC284" s="0" t="n">
        <v>27.08</v>
      </c>
      <c r="RD284" s="0" t="n">
        <v>1.58</v>
      </c>
      <c r="RE284" s="0" t="n">
        <v>0.83</v>
      </c>
      <c r="RF284" s="0" t="n">
        <v>0</v>
      </c>
      <c r="RG284" s="0" t="n">
        <v>0</v>
      </c>
      <c r="RT284" s="0" t="n">
        <v>0.5</v>
      </c>
      <c r="RU284" s="0" t="n">
        <v>1</v>
      </c>
      <c r="RV284" s="0" t="n">
        <v>35</v>
      </c>
      <c r="RW284" s="0" t="n">
        <v>4</v>
      </c>
      <c r="RX284" s="0" t="n">
        <v>0.1</v>
      </c>
      <c r="RY284" s="0" t="n">
        <v>3</v>
      </c>
      <c r="SF284" s="18"/>
      <c r="SX284" s="0" t="n">
        <v>1</v>
      </c>
      <c r="SY284" s="0" t="n">
        <v>40</v>
      </c>
      <c r="SZ284" s="0" t="n">
        <v>1</v>
      </c>
      <c r="TA284" s="0" t="n">
        <v>1.25</v>
      </c>
      <c r="TB284" s="0" t="n">
        <v>3</v>
      </c>
      <c r="TC284" s="0" t="n">
        <v>50</v>
      </c>
      <c r="TD284" s="0" t="n">
        <v>1</v>
      </c>
      <c r="TE284" s="0" t="n">
        <v>0.05</v>
      </c>
      <c r="TF284" s="0" t="n">
        <v>3</v>
      </c>
      <c r="TG284" s="0" t="n">
        <v>60</v>
      </c>
      <c r="TH284" s="0" t="n">
        <f aca="false">18+9</f>
        <v>27</v>
      </c>
      <c r="TI284" s="0" t="n">
        <f aca="false">2.27+1.14</f>
        <v>3.41</v>
      </c>
      <c r="TJ284" s="0" t="n">
        <v>3</v>
      </c>
      <c r="UI284" s="16" t="n">
        <v>3.7</v>
      </c>
      <c r="UJ284" s="16" t="n">
        <v>1</v>
      </c>
      <c r="UK284" s="16" t="n">
        <v>1</v>
      </c>
      <c r="UL284" s="16"/>
      <c r="UM284" s="16" t="n">
        <f aca="false">4+0.13+0.01+0.73+1.65+0.02</f>
        <v>6.54</v>
      </c>
      <c r="UN284" s="16" t="n">
        <v>2</v>
      </c>
      <c r="UO284" s="16"/>
      <c r="UP284" s="16" t="n">
        <f aca="false">0.18*2</f>
        <v>0.36</v>
      </c>
      <c r="UQ284" s="16"/>
      <c r="UR284" s="16"/>
      <c r="US284" s="16"/>
      <c r="UT284" s="16" t="n">
        <v>3.32</v>
      </c>
      <c r="UU284" s="16" t="n">
        <v>3.31</v>
      </c>
      <c r="UV284" s="16"/>
      <c r="UW284" s="16"/>
      <c r="UX284" s="16" t="n">
        <v>0</v>
      </c>
      <c r="UY284" s="16" t="n">
        <v>0</v>
      </c>
      <c r="UZ284" s="16" t="n">
        <v>0.22</v>
      </c>
      <c r="VA284" s="0" t="n">
        <v>0</v>
      </c>
      <c r="VB284" s="0" t="s">
        <v>836</v>
      </c>
      <c r="VC284" s="0" t="n">
        <v>26.5</v>
      </c>
      <c r="VD284" s="16" t="n">
        <v>70.7</v>
      </c>
      <c r="VE284" s="16" t="n">
        <v>83.4</v>
      </c>
      <c r="VF284" s="16" t="n">
        <v>8.8</v>
      </c>
      <c r="VG284" s="0" t="n">
        <v>94.65</v>
      </c>
      <c r="VH284" s="0" t="n">
        <v>0</v>
      </c>
      <c r="VI284" s="0" t="n">
        <v>0.21</v>
      </c>
      <c r="VJ284" s="0" t="n">
        <v>0</v>
      </c>
      <c r="VK284" s="0" t="n">
        <v>4.31</v>
      </c>
      <c r="VL284" s="0" t="n">
        <v>0</v>
      </c>
      <c r="VM284" s="0" t="n">
        <v>0</v>
      </c>
      <c r="VN284" s="0" t="n">
        <v>0</v>
      </c>
      <c r="VO284" s="0" t="n">
        <v>0</v>
      </c>
      <c r="VP284" s="0" t="n">
        <v>0</v>
      </c>
      <c r="VQ284" s="0" t="n">
        <v>0</v>
      </c>
      <c r="VR284" s="0" t="n">
        <v>1.21</v>
      </c>
      <c r="VS284" s="0" t="n">
        <v>19.41</v>
      </c>
      <c r="VT284" s="0" t="n">
        <v>20.37</v>
      </c>
      <c r="VU284" s="0" t="n">
        <v>0.21</v>
      </c>
      <c r="VV284" s="0" t="n">
        <v>0.83</v>
      </c>
      <c r="VW284" s="0" t="n">
        <v>12.2</v>
      </c>
      <c r="VX284" s="0" t="n">
        <v>1</v>
      </c>
      <c r="VY284" s="0" t="n">
        <v>5</v>
      </c>
      <c r="WA284" s="0" t="n">
        <v>2</v>
      </c>
      <c r="WK284" s="0" t="n">
        <v>0</v>
      </c>
      <c r="WL284" s="0" t="n">
        <v>0</v>
      </c>
      <c r="WW284" s="18"/>
      <c r="XO284" s="0" t="n">
        <v>1</v>
      </c>
      <c r="XP284" s="0" t="n">
        <v>40</v>
      </c>
      <c r="XQ284" s="0" t="n">
        <v>1</v>
      </c>
      <c r="XR284" s="0" t="n">
        <v>0.21</v>
      </c>
      <c r="XS284" s="0" t="n">
        <v>3</v>
      </c>
      <c r="XT284" s="0" t="n">
        <v>80</v>
      </c>
      <c r="XU284" s="0" t="n">
        <v>4</v>
      </c>
      <c r="XV284" s="0" t="n">
        <v>0.5</v>
      </c>
      <c r="XW284" s="0" t="n">
        <v>2</v>
      </c>
      <c r="XX284" s="0" t="n">
        <v>60</v>
      </c>
      <c r="XY284" s="0" t="n">
        <f aca="false">18+9</f>
        <v>27</v>
      </c>
      <c r="XZ284" s="0" t="n">
        <f aca="false">2.27+1.14</f>
        <v>3.41</v>
      </c>
      <c r="YA284" s="0" t="n">
        <v>2</v>
      </c>
      <c r="YZ284" s="16" t="n">
        <v>3.54</v>
      </c>
      <c r="ZA284" s="16" t="n">
        <v>1</v>
      </c>
      <c r="ZB284" s="16" t="n">
        <v>1</v>
      </c>
      <c r="ZC284" s="16"/>
      <c r="ZD284" s="16" t="n">
        <f aca="false">4+0.73*2+1.65</f>
        <v>7.11</v>
      </c>
      <c r="ZE284" s="16"/>
      <c r="ZF284" s="16"/>
      <c r="ZG284" s="16"/>
      <c r="ZH284" s="16"/>
      <c r="ZI284" s="16"/>
      <c r="ZJ284" s="16"/>
      <c r="ZK284" s="16" t="n">
        <v>1.47</v>
      </c>
      <c r="ZL284" s="16" t="n">
        <v>1.47</v>
      </c>
      <c r="ZM284" s="16"/>
      <c r="ZN284" s="16"/>
      <c r="ZO284" s="16" t="n">
        <v>0</v>
      </c>
      <c r="ZP284" s="16" t="n">
        <v>0</v>
      </c>
      <c r="ZQ284" s="16" t="n">
        <v>0.22</v>
      </c>
      <c r="ZR284" s="0" t="n">
        <v>0</v>
      </c>
      <c r="ZS284" s="0" t="s">
        <v>837</v>
      </c>
      <c r="ZT284" s="0" t="n">
        <v>30.5</v>
      </c>
      <c r="ZU284" s="16" t="n">
        <v>92</v>
      </c>
      <c r="ZV284" s="16" t="n">
        <v>83.4</v>
      </c>
      <c r="ZW284" s="16" t="n">
        <v>5.9</v>
      </c>
      <c r="ZX284" s="0" t="n">
        <v>98.99</v>
      </c>
      <c r="ZY284" s="0" t="n">
        <v>1.01</v>
      </c>
      <c r="ZZ284" s="0" t="n">
        <v>0</v>
      </c>
      <c r="AAA284" s="0" t="n">
        <v>0</v>
      </c>
      <c r="AAB284" s="0" t="n">
        <v>0</v>
      </c>
      <c r="AAC284" s="0" t="n">
        <v>0</v>
      </c>
      <c r="AAD284" s="0" t="n">
        <v>0</v>
      </c>
      <c r="AAE284" s="0" t="n">
        <v>0</v>
      </c>
      <c r="AAF284" s="0" t="n">
        <v>0</v>
      </c>
      <c r="AAG284" s="0" t="n">
        <v>0</v>
      </c>
      <c r="AAH284" s="0" t="n">
        <v>0</v>
      </c>
      <c r="AAI284" s="0" t="n">
        <v>2.66</v>
      </c>
      <c r="AAJ284" s="0" t="n">
        <v>46.99</v>
      </c>
      <c r="AAK284" s="0" t="n">
        <v>16.89</v>
      </c>
      <c r="AAL284" s="0" t="n">
        <v>0</v>
      </c>
      <c r="AAM284" s="0" t="n">
        <v>0</v>
      </c>
      <c r="AAN284" s="0" t="n">
        <v>0</v>
      </c>
      <c r="AAO284" s="0" t="n">
        <v>0</v>
      </c>
      <c r="ABB284" s="0" t="n">
        <v>0</v>
      </c>
      <c r="ABC284" s="0" t="n">
        <v>0</v>
      </c>
      <c r="ABN284" s="18"/>
      <c r="ACF284" s="0" t="n">
        <v>0</v>
      </c>
      <c r="ADQ284" s="16" t="n">
        <v>8</v>
      </c>
      <c r="ADR284" s="16" t="n">
        <v>1</v>
      </c>
      <c r="ADS284" s="16" t="n">
        <v>1</v>
      </c>
      <c r="ADT284" s="16"/>
      <c r="ADU284" s="16" t="n">
        <f aca="false">1.65+0.18*2+9.17</f>
        <v>11.18</v>
      </c>
      <c r="ADV284" s="16"/>
      <c r="ADW284" s="16"/>
      <c r="ADX284" s="16"/>
      <c r="ADY284" s="16"/>
      <c r="ADZ284" s="16"/>
      <c r="AEA284" s="16"/>
      <c r="AEB284" s="16" t="n">
        <v>6.16</v>
      </c>
      <c r="AEC284" s="16" t="n">
        <v>16.16</v>
      </c>
      <c r="AED284" s="16"/>
      <c r="AEE284" s="16"/>
      <c r="AEF284" s="16" t="n">
        <v>10</v>
      </c>
      <c r="AEG284" s="16" t="n">
        <v>1.1</v>
      </c>
      <c r="AEH284" s="16" t="n">
        <v>0</v>
      </c>
      <c r="AEI284" s="0" t="n">
        <v>1</v>
      </c>
      <c r="AEJ284" s="0" t="s">
        <v>838</v>
      </c>
      <c r="AEK284" s="0" t="n">
        <v>47.5</v>
      </c>
      <c r="AEL284" s="16" t="n">
        <v>86.8</v>
      </c>
      <c r="AEM284" s="16" t="n">
        <v>83.4</v>
      </c>
      <c r="AEN284" s="16" t="n">
        <v>26.7</v>
      </c>
      <c r="AEO284" s="0" t="n">
        <v>65.11</v>
      </c>
      <c r="AEP284" s="0" t="n">
        <v>0</v>
      </c>
      <c r="AEQ284" s="0" t="n">
        <v>2.75</v>
      </c>
      <c r="AER284" s="0" t="n">
        <v>0</v>
      </c>
      <c r="AES284" s="0" t="n">
        <v>32.14</v>
      </c>
      <c r="AET284" s="0" t="n">
        <v>0</v>
      </c>
      <c r="AEU284" s="0" t="n">
        <v>0</v>
      </c>
      <c r="AEV284" s="0" t="n">
        <v>0</v>
      </c>
      <c r="AEW284" s="0" t="n">
        <v>0</v>
      </c>
      <c r="AEX284" s="0" t="n">
        <v>0</v>
      </c>
      <c r="AEY284" s="0" t="n">
        <v>0</v>
      </c>
      <c r="AEZ284" s="0" t="n">
        <v>0</v>
      </c>
      <c r="AFA284" s="0" t="n">
        <v>24.37</v>
      </c>
      <c r="AFB284" s="0" t="n">
        <v>6.53</v>
      </c>
      <c r="AFC284" s="0" t="n">
        <v>31.2</v>
      </c>
      <c r="AFD284" s="0" t="n">
        <v>0</v>
      </c>
      <c r="AFE284" s="0" t="n">
        <v>13</v>
      </c>
      <c r="AFF284" s="0" t="n">
        <v>1</v>
      </c>
      <c r="AFG284" s="0" t="n">
        <v>7</v>
      </c>
      <c r="AFI284" s="0" t="n">
        <v>2</v>
      </c>
      <c r="AFS284" s="0" t="n">
        <v>0</v>
      </c>
      <c r="AFT284" s="0" t="n">
        <v>0</v>
      </c>
      <c r="AGE284" s="18"/>
      <c r="AGW284" s="0" t="n">
        <v>0</v>
      </c>
      <c r="AIH284" s="16" t="n">
        <v>2.27</v>
      </c>
      <c r="AII284" s="16" t="n">
        <v>1</v>
      </c>
      <c r="AIJ284" s="16" t="n">
        <v>1</v>
      </c>
      <c r="AIK284" s="16"/>
      <c r="AIL284" s="16" t="n">
        <f aca="false">3.3*3+0.36*4</f>
        <v>11.34</v>
      </c>
      <c r="AIM284" s="16"/>
      <c r="AIN284" s="16"/>
      <c r="AIO284" s="16"/>
      <c r="AIP284" s="16"/>
      <c r="AIQ284" s="16"/>
      <c r="AIR284" s="16"/>
      <c r="AIS284" s="16" t="n">
        <v>5.24</v>
      </c>
      <c r="AIT284" s="16" t="n">
        <v>7.31</v>
      </c>
      <c r="AIU284" s="16"/>
      <c r="AIV284" s="16"/>
      <c r="AIW284" s="16" t="n">
        <v>0</v>
      </c>
      <c r="AIX284" s="16" t="n">
        <v>0</v>
      </c>
      <c r="AIY284" s="16" t="n">
        <v>0</v>
      </c>
      <c r="AIZ284" s="0" t="n">
        <v>0</v>
      </c>
      <c r="AJA284" s="0" t="s">
        <v>839</v>
      </c>
      <c r="AJB284" s="0" t="n">
        <v>48</v>
      </c>
      <c r="AJC284" s="16" t="n">
        <v>84.6</v>
      </c>
      <c r="AJD284" s="16" t="n">
        <v>83.4</v>
      </c>
      <c r="AJE284" s="16" t="n">
        <v>5.9</v>
      </c>
      <c r="AJF284" s="0" t="n">
        <v>36.31</v>
      </c>
      <c r="AJG284" s="0" t="n">
        <v>0</v>
      </c>
      <c r="AJH284" s="0" t="n">
        <v>0</v>
      </c>
      <c r="AJI284" s="0" t="n">
        <v>0</v>
      </c>
      <c r="AJJ284" s="0" t="n">
        <v>63.69</v>
      </c>
      <c r="AJK284" s="0" t="n">
        <v>0</v>
      </c>
      <c r="AJL284" s="0" t="n">
        <v>0</v>
      </c>
      <c r="AJM284" s="0" t="n">
        <v>0</v>
      </c>
      <c r="AJN284" s="0" t="n">
        <v>0</v>
      </c>
      <c r="AJO284" s="0" t="n">
        <v>0</v>
      </c>
      <c r="AJP284" s="0" t="n">
        <v>0</v>
      </c>
      <c r="AJQ284" s="0" t="n">
        <v>2.53</v>
      </c>
      <c r="AJR284" s="0" t="n">
        <v>8.33</v>
      </c>
      <c r="AJS284" s="0" t="n">
        <v>27.3</v>
      </c>
      <c r="AJT284" s="0" t="n">
        <v>39.37</v>
      </c>
      <c r="AJU284" s="0" t="n">
        <v>0</v>
      </c>
      <c r="AJV284" s="0" t="n">
        <v>0</v>
      </c>
      <c r="AJW284" s="0" t="n">
        <v>0</v>
      </c>
      <c r="AKJ284" s="0" t="n">
        <v>0</v>
      </c>
      <c r="AKK284" s="0" t="n">
        <v>0</v>
      </c>
      <c r="AKV284" s="18"/>
      <c r="ALN284" s="0" t="n">
        <v>0</v>
      </c>
    </row>
    <row r="285" customFormat="false" ht="13.8" hidden="false" customHeight="false" outlineLevel="0" collapsed="false">
      <c r="A285" s="1" t="s">
        <v>849</v>
      </c>
      <c r="B285" s="12" t="n">
        <v>42908</v>
      </c>
      <c r="C285" s="0" t="n">
        <v>2</v>
      </c>
      <c r="D285" s="13" t="n">
        <v>42804</v>
      </c>
      <c r="E285" s="12" t="n">
        <v>42767</v>
      </c>
      <c r="F285" s="14" t="n">
        <f aca="false">(B285-E285)/365.25</f>
        <v>0.386036960985626</v>
      </c>
      <c r="G285" s="14" t="n">
        <f aca="false">(B285-D285)/365.25</f>
        <v>0.284736481861739</v>
      </c>
      <c r="H285" s="19" t="s">
        <v>306</v>
      </c>
      <c r="I285" s="15" t="s">
        <v>832</v>
      </c>
      <c r="J285" s="15" t="s">
        <v>181</v>
      </c>
      <c r="K285" s="15" t="n">
        <v>4</v>
      </c>
      <c r="L285" s="19" t="n">
        <v>99.8</v>
      </c>
      <c r="M285" s="0" t="n">
        <v>1.74</v>
      </c>
      <c r="N285" s="16" t="n">
        <f aca="false">L285/(M285*M285)</f>
        <v>32.9634033557934</v>
      </c>
      <c r="O285" s="19" t="n">
        <v>0</v>
      </c>
      <c r="P285" s="19" t="n">
        <v>0</v>
      </c>
      <c r="Q285" s="19" t="n">
        <v>0</v>
      </c>
      <c r="R285" s="26" t="n">
        <v>0</v>
      </c>
      <c r="S285" s="26" t="n">
        <v>0</v>
      </c>
      <c r="T285" s="26" t="n">
        <v>0</v>
      </c>
      <c r="U285" s="26" t="n">
        <v>0</v>
      </c>
      <c r="V285" s="26" t="n">
        <v>0</v>
      </c>
      <c r="W285" s="19" t="n">
        <v>0</v>
      </c>
      <c r="X285" s="19" t="n">
        <v>0</v>
      </c>
      <c r="Y285" s="19" t="n">
        <v>1</v>
      </c>
      <c r="Z285" s="19" t="n">
        <v>3</v>
      </c>
      <c r="AA285" s="19" t="n">
        <v>120</v>
      </c>
      <c r="AB285" s="19" t="s">
        <v>850</v>
      </c>
      <c r="AC285" s="19" t="n">
        <v>0</v>
      </c>
      <c r="AD285" s="19" t="n">
        <v>0</v>
      </c>
      <c r="AE285" s="19" t="n">
        <v>0</v>
      </c>
      <c r="AF285" s="19" t="n">
        <v>0</v>
      </c>
      <c r="AG285" s="19" t="n">
        <v>0</v>
      </c>
      <c r="AH285" s="19" t="n">
        <v>0</v>
      </c>
      <c r="AI285" s="19" t="n">
        <v>0</v>
      </c>
      <c r="AJ285" s="19" t="n">
        <v>0</v>
      </c>
      <c r="AK285" s="19" t="n">
        <v>0</v>
      </c>
      <c r="AL285" s="19" t="n">
        <v>0</v>
      </c>
      <c r="AM285" s="26" t="n">
        <v>0</v>
      </c>
      <c r="AN285" s="19"/>
      <c r="AO285" s="19"/>
      <c r="AP285" s="19"/>
      <c r="AQ285" s="19"/>
      <c r="AR285" s="19"/>
      <c r="AS285" s="19" t="n">
        <v>0</v>
      </c>
      <c r="AT285" s="19" t="n">
        <v>0</v>
      </c>
      <c r="AU285" s="19" t="n">
        <v>0</v>
      </c>
      <c r="AV285" s="19" t="n">
        <v>0</v>
      </c>
      <c r="AW285" s="19" t="n">
        <v>0</v>
      </c>
      <c r="AX285" s="19" t="n">
        <v>0</v>
      </c>
      <c r="AY285" s="19" t="n">
        <v>0</v>
      </c>
      <c r="AZ285" s="19" t="n">
        <v>0</v>
      </c>
      <c r="BA285" s="19" t="n">
        <v>0</v>
      </c>
      <c r="BB285" s="19" t="n">
        <v>0</v>
      </c>
      <c r="BC285" s="19" t="n">
        <v>0</v>
      </c>
      <c r="BD285" s="19" t="n">
        <v>0</v>
      </c>
      <c r="BE285" s="19" t="n">
        <v>0</v>
      </c>
      <c r="BF285" s="19" t="n">
        <v>0</v>
      </c>
      <c r="BG285" s="19" t="n">
        <v>0</v>
      </c>
      <c r="BH285" s="19" t="n">
        <v>0</v>
      </c>
      <c r="BI285" s="19" t="n">
        <v>0</v>
      </c>
      <c r="BJ285" s="19" t="n">
        <v>0</v>
      </c>
      <c r="BK285" s="19" t="n">
        <v>0</v>
      </c>
      <c r="BL285" s="19" t="n">
        <v>0</v>
      </c>
      <c r="BM285" s="19" t="n">
        <v>0</v>
      </c>
      <c r="BN285" s="19" t="n">
        <v>0</v>
      </c>
      <c r="BO285" s="19" t="n">
        <v>0</v>
      </c>
      <c r="BP285" s="19" t="n">
        <v>0</v>
      </c>
      <c r="BQ285" s="19" t="n">
        <v>0</v>
      </c>
      <c r="BR285" s="19" t="n">
        <v>1</v>
      </c>
      <c r="BS285" s="19" t="n">
        <v>2</v>
      </c>
      <c r="BT285" s="19" t="n">
        <v>2</v>
      </c>
      <c r="BU285" s="19" t="n">
        <v>4</v>
      </c>
      <c r="BV285" s="19" t="n">
        <v>2</v>
      </c>
      <c r="BW285" s="19" t="n">
        <v>1</v>
      </c>
      <c r="BX285" s="19" t="n">
        <v>2</v>
      </c>
      <c r="BY285" s="19" t="n">
        <v>3</v>
      </c>
      <c r="BZ285" s="19" t="n">
        <v>5</v>
      </c>
      <c r="CA285" s="19" t="n">
        <v>5</v>
      </c>
      <c r="CB285" s="19" t="n">
        <v>5</v>
      </c>
      <c r="CC285" s="19" t="n">
        <v>5</v>
      </c>
      <c r="CD285" s="19" t="n">
        <v>4</v>
      </c>
      <c r="CE285" s="19" t="n">
        <v>5</v>
      </c>
      <c r="CF285" s="19" t="n">
        <v>5</v>
      </c>
      <c r="CG285" s="19" t="n">
        <v>5</v>
      </c>
      <c r="CH285" s="19" t="n">
        <v>5</v>
      </c>
      <c r="CI285" s="19" t="n">
        <v>5</v>
      </c>
      <c r="CJ285" s="19" t="n">
        <v>5</v>
      </c>
      <c r="CK285" s="19" t="n">
        <v>9</v>
      </c>
      <c r="CL285" s="0" t="s">
        <v>833</v>
      </c>
      <c r="CM285" s="0" t="n">
        <v>31</v>
      </c>
      <c r="CN285" s="16" t="n">
        <v>82.6</v>
      </c>
      <c r="CO285" s="16" t="n">
        <v>83.4</v>
      </c>
      <c r="CP285" s="16" t="n">
        <v>5.7</v>
      </c>
      <c r="CQ285" s="0" t="n">
        <v>99.97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7.3</v>
      </c>
      <c r="DC285" s="0" t="n">
        <v>53.74</v>
      </c>
      <c r="DD285" s="0" t="n">
        <v>0</v>
      </c>
      <c r="DE285" s="0" t="n">
        <v>0</v>
      </c>
      <c r="DF285" s="0" t="n">
        <v>0</v>
      </c>
      <c r="DG285" s="0" t="n">
        <v>17.6</v>
      </c>
      <c r="DH285" s="0" t="n">
        <v>1</v>
      </c>
      <c r="DI285" s="0" t="n">
        <v>4.6</v>
      </c>
      <c r="DK285" s="0" t="n">
        <v>2</v>
      </c>
      <c r="DU285" s="0" t="n">
        <v>2.4</v>
      </c>
      <c r="DV285" s="0" t="n">
        <v>0</v>
      </c>
      <c r="EG285" s="18"/>
      <c r="EY285" s="0" t="n">
        <v>1</v>
      </c>
      <c r="EZ285" s="0" t="n">
        <v>60</v>
      </c>
      <c r="FA285" s="0" t="n">
        <f aca="false">4+6+1+3+1+3</f>
        <v>18</v>
      </c>
      <c r="FB285" s="0" t="n">
        <f aca="false">0.73+2.2+0.13+0.39+0.78+0.52</f>
        <v>4.75</v>
      </c>
      <c r="FC285" s="0" t="n">
        <v>3</v>
      </c>
      <c r="FD285" s="0" t="n">
        <v>50</v>
      </c>
      <c r="FE285" s="0" t="n">
        <f aca="false">14</f>
        <v>14</v>
      </c>
      <c r="FF285" s="0" t="n">
        <f aca="false">4.4+2.94+0.52</f>
        <v>7.86</v>
      </c>
      <c r="FG285" s="0" t="n">
        <v>3</v>
      </c>
      <c r="GJ285" s="16" t="n">
        <v>0</v>
      </c>
      <c r="GK285" s="16" t="n">
        <v>0</v>
      </c>
      <c r="GL285" s="16"/>
      <c r="GM285" s="16"/>
      <c r="GN285" s="16"/>
      <c r="GO285" s="16"/>
      <c r="GP285" s="16"/>
      <c r="GQ285" s="16"/>
      <c r="GR285" s="16"/>
      <c r="GS285" s="16"/>
      <c r="GT285" s="16"/>
      <c r="GU285" s="16" t="n">
        <v>5.21</v>
      </c>
      <c r="GV285" s="16" t="n">
        <v>2.59</v>
      </c>
      <c r="GW285" s="16"/>
      <c r="GX285" s="16"/>
      <c r="GY285" s="16" t="n">
        <v>0</v>
      </c>
      <c r="GZ285" s="16" t="n">
        <v>0</v>
      </c>
      <c r="HA285" s="16" t="n">
        <v>0</v>
      </c>
      <c r="HB285" s="0" t="n">
        <v>0</v>
      </c>
      <c r="HC285" s="0" t="s">
        <v>834</v>
      </c>
      <c r="HD285" s="0" t="n">
        <v>30.5</v>
      </c>
      <c r="HE285" s="16" t="n">
        <v>73.4</v>
      </c>
      <c r="HF285" s="16" t="n">
        <v>83.4</v>
      </c>
      <c r="HG285" s="16" t="n">
        <v>5.7</v>
      </c>
      <c r="HH285" s="0" t="n">
        <v>100</v>
      </c>
      <c r="HI285" s="0" t="n">
        <v>0</v>
      </c>
      <c r="HJ285" s="0" t="n">
        <v>0</v>
      </c>
      <c r="HK285" s="0" t="n">
        <v>0</v>
      </c>
      <c r="HL285" s="0" t="n">
        <v>0</v>
      </c>
      <c r="HM285" s="0" t="n">
        <v>0</v>
      </c>
      <c r="HN285" s="0" t="n">
        <v>0</v>
      </c>
      <c r="HO285" s="0" t="n">
        <v>0</v>
      </c>
      <c r="HP285" s="0" t="n">
        <v>0</v>
      </c>
      <c r="HQ285" s="0" t="n">
        <v>0</v>
      </c>
      <c r="HR285" s="0" t="n">
        <v>0</v>
      </c>
      <c r="HS285" s="0" t="n">
        <v>7.69</v>
      </c>
      <c r="HT285" s="0" t="n">
        <v>47.61</v>
      </c>
      <c r="HU285" s="0" t="n">
        <v>0</v>
      </c>
      <c r="HV285" s="0" t="n">
        <v>0</v>
      </c>
      <c r="HW285" s="0" t="n">
        <v>0</v>
      </c>
      <c r="HX285" s="0" t="n">
        <v>16.4</v>
      </c>
      <c r="HY285" s="0" t="n">
        <v>1</v>
      </c>
      <c r="HZ285" s="0" t="n">
        <v>4.6</v>
      </c>
      <c r="IB285" s="0" t="n">
        <v>2</v>
      </c>
      <c r="IL285" s="0" t="n">
        <v>1.4</v>
      </c>
      <c r="IM285" s="0" t="n">
        <v>0</v>
      </c>
      <c r="IX285" s="18"/>
      <c r="JP285" s="0" t="n">
        <v>1</v>
      </c>
      <c r="JQ285" s="0" t="n">
        <v>60</v>
      </c>
      <c r="JR285" s="0" t="n">
        <v>7</v>
      </c>
      <c r="JS285" s="0" t="n">
        <f aca="false">0.73+2.2+0.39</f>
        <v>3.32</v>
      </c>
      <c r="JT285" s="0" t="n">
        <v>3</v>
      </c>
      <c r="JU285" s="0" t="n">
        <v>50</v>
      </c>
      <c r="JV285" s="0" t="n">
        <v>10</v>
      </c>
      <c r="JW285" s="0" t="n">
        <f aca="false">4.4+2.94</f>
        <v>7.34</v>
      </c>
      <c r="LA285" s="16" t="n">
        <v>0</v>
      </c>
      <c r="LB285" s="16" t="n">
        <v>0</v>
      </c>
      <c r="LC285" s="16"/>
      <c r="LD285" s="16"/>
      <c r="LE285" s="16"/>
      <c r="LF285" s="16"/>
      <c r="LG285" s="16"/>
      <c r="LH285" s="16"/>
      <c r="LI285" s="16"/>
      <c r="LJ285" s="16"/>
      <c r="LK285" s="16"/>
      <c r="LL285" s="16" t="n">
        <v>6.95</v>
      </c>
      <c r="LM285" s="16" t="n">
        <v>10.27</v>
      </c>
      <c r="LN285" s="16"/>
      <c r="LO285" s="16"/>
      <c r="LP285" s="16" t="n">
        <v>0</v>
      </c>
      <c r="LQ285" s="16" t="n">
        <v>0</v>
      </c>
      <c r="LR285" s="16" t="n">
        <v>0</v>
      </c>
      <c r="LS285" s="0" t="n">
        <v>0</v>
      </c>
      <c r="LT285" s="0" t="n">
        <v>94</v>
      </c>
      <c r="LU285" s="0" t="n">
        <v>24.5</v>
      </c>
      <c r="LV285" s="16" t="n">
        <v>88.7</v>
      </c>
      <c r="LW285" s="16" t="n">
        <v>83.4</v>
      </c>
      <c r="LX285" s="16" t="n">
        <v>23.1</v>
      </c>
      <c r="LY285" s="0" t="n">
        <v>69.95</v>
      </c>
      <c r="LZ285" s="0" t="n">
        <v>0</v>
      </c>
      <c r="MA285" s="0" t="n">
        <v>7.16</v>
      </c>
      <c r="MB285" s="0" t="n">
        <v>0</v>
      </c>
      <c r="MC285" s="0" t="n">
        <v>0</v>
      </c>
      <c r="MD285" s="0" t="n">
        <v>0</v>
      </c>
      <c r="ME285" s="0" t="n">
        <v>0</v>
      </c>
      <c r="MF285" s="0" t="n">
        <v>0</v>
      </c>
      <c r="MG285" s="0" t="n">
        <v>0</v>
      </c>
      <c r="MH285" s="0" t="n">
        <v>0</v>
      </c>
      <c r="MI285" s="0" t="n">
        <v>0</v>
      </c>
      <c r="MJ285" s="0" t="n">
        <v>0</v>
      </c>
      <c r="MK285" s="0" t="n">
        <v>34.04</v>
      </c>
      <c r="ML285" s="0" t="n">
        <v>20.5</v>
      </c>
      <c r="MM285" s="0" t="n">
        <v>0</v>
      </c>
      <c r="MN285" s="0" t="n">
        <v>22.9</v>
      </c>
      <c r="MO285" s="0" t="n">
        <v>0</v>
      </c>
      <c r="MP285" s="0" t="n">
        <v>0</v>
      </c>
      <c r="NC285" s="0" t="n">
        <v>0</v>
      </c>
      <c r="ND285" s="0" t="n">
        <v>0</v>
      </c>
      <c r="NO285" s="18"/>
      <c r="OG285" s="0" t="n">
        <v>0</v>
      </c>
      <c r="PR285" s="16" t="n">
        <v>0</v>
      </c>
      <c r="PS285" s="16" t="n">
        <v>0</v>
      </c>
      <c r="PT285" s="16"/>
      <c r="PU285" s="16"/>
      <c r="PV285" s="16"/>
      <c r="PW285" s="16"/>
      <c r="PX285" s="16"/>
      <c r="PY285" s="16"/>
      <c r="PZ285" s="16"/>
      <c r="QA285" s="16"/>
      <c r="QB285" s="16"/>
      <c r="QC285" s="16" t="n">
        <v>0</v>
      </c>
      <c r="QD285" s="16" t="n">
        <v>0</v>
      </c>
      <c r="QE285" s="16"/>
      <c r="QF285" s="16"/>
      <c r="QG285" s="16" t="n">
        <v>0</v>
      </c>
      <c r="QH285" s="16" t="n">
        <v>0</v>
      </c>
      <c r="QI285" s="16" t="n">
        <v>1.44</v>
      </c>
      <c r="QJ285" s="0" t="n">
        <v>0</v>
      </c>
      <c r="QK285" s="0" t="s">
        <v>835</v>
      </c>
      <c r="QL285" s="0" t="n">
        <v>19</v>
      </c>
      <c r="QM285" s="16" t="n">
        <v>73.2</v>
      </c>
      <c r="QN285" s="16" t="n">
        <v>83.4</v>
      </c>
      <c r="QO285" s="16" t="n">
        <v>11.1</v>
      </c>
      <c r="QP285" s="0" t="n">
        <v>92.58</v>
      </c>
      <c r="QQ285" s="0" t="n">
        <v>0</v>
      </c>
      <c r="QR285" s="0" t="n">
        <v>1.25</v>
      </c>
      <c r="QS285" s="0" t="n">
        <v>0</v>
      </c>
      <c r="QT285" s="0" t="n">
        <v>5.34</v>
      </c>
      <c r="QU285" s="0" t="n">
        <v>0</v>
      </c>
      <c r="QV285" s="0" t="n">
        <v>0</v>
      </c>
      <c r="QW285" s="0" t="n">
        <v>0</v>
      </c>
      <c r="QX285" s="0" t="n">
        <v>0</v>
      </c>
      <c r="QY285" s="0" t="n">
        <v>0</v>
      </c>
      <c r="QZ285" s="0" t="n">
        <v>0</v>
      </c>
      <c r="RA285" s="0" t="n">
        <v>4.77</v>
      </c>
      <c r="RB285" s="0" t="n">
        <v>22.03</v>
      </c>
      <c r="RC285" s="0" t="n">
        <v>27.08</v>
      </c>
      <c r="RD285" s="0" t="n">
        <v>1.58</v>
      </c>
      <c r="RE285" s="0" t="n">
        <v>0.83</v>
      </c>
      <c r="RF285" s="0" t="n">
        <v>0</v>
      </c>
      <c r="RG285" s="0" t="n">
        <v>0</v>
      </c>
      <c r="RT285" s="0" t="n">
        <v>0.5</v>
      </c>
      <c r="RU285" s="0" t="n">
        <v>1</v>
      </c>
      <c r="RV285" s="0" t="n">
        <v>35</v>
      </c>
      <c r="RW285" s="0" t="n">
        <v>4</v>
      </c>
      <c r="RX285" s="0" t="n">
        <v>0.1</v>
      </c>
      <c r="RY285" s="0" t="n">
        <v>3</v>
      </c>
      <c r="SF285" s="18"/>
      <c r="SX285" s="0" t="n">
        <v>1</v>
      </c>
      <c r="SY285" s="0" t="n">
        <v>40</v>
      </c>
      <c r="SZ285" s="0" t="n">
        <v>1</v>
      </c>
      <c r="TA285" s="0" t="n">
        <v>1.25</v>
      </c>
      <c r="TB285" s="0" t="n">
        <v>3</v>
      </c>
      <c r="TC285" s="0" t="n">
        <v>50</v>
      </c>
      <c r="TD285" s="0" t="n">
        <v>1</v>
      </c>
      <c r="TE285" s="0" t="n">
        <v>0.05</v>
      </c>
      <c r="TF285" s="0" t="n">
        <v>3</v>
      </c>
      <c r="TG285" s="0" t="n">
        <v>60</v>
      </c>
      <c r="TH285" s="0" t="n">
        <f aca="false">18+9</f>
        <v>27</v>
      </c>
      <c r="TI285" s="0" t="n">
        <f aca="false">2.27+1.14</f>
        <v>3.41</v>
      </c>
      <c r="TJ285" s="0" t="n">
        <v>3</v>
      </c>
      <c r="UI285" s="16" t="n">
        <v>3.7</v>
      </c>
      <c r="UJ285" s="16" t="n">
        <v>1</v>
      </c>
      <c r="UK285" s="16" t="n">
        <v>1</v>
      </c>
      <c r="UL285" s="16"/>
      <c r="UM285" s="16" t="n">
        <f aca="false">4+0.13+0.01+0.73+1.65+0.02</f>
        <v>6.54</v>
      </c>
      <c r="UN285" s="16" t="n">
        <v>2</v>
      </c>
      <c r="UO285" s="16"/>
      <c r="UP285" s="16" t="n">
        <f aca="false">0.18*2</f>
        <v>0.36</v>
      </c>
      <c r="UQ285" s="16"/>
      <c r="UR285" s="16"/>
      <c r="US285" s="16"/>
      <c r="UT285" s="16" t="n">
        <v>3.32</v>
      </c>
      <c r="UU285" s="16" t="n">
        <v>3.31</v>
      </c>
      <c r="UV285" s="16"/>
      <c r="UW285" s="16"/>
      <c r="UX285" s="16" t="n">
        <v>0</v>
      </c>
      <c r="UY285" s="16" t="n">
        <v>0</v>
      </c>
      <c r="UZ285" s="16" t="n">
        <v>0.22</v>
      </c>
      <c r="VA285" s="0" t="n">
        <v>0</v>
      </c>
      <c r="VB285" s="0" t="s">
        <v>836</v>
      </c>
      <c r="VC285" s="0" t="n">
        <v>26.5</v>
      </c>
      <c r="VD285" s="16" t="n">
        <v>70.7</v>
      </c>
      <c r="VE285" s="16" t="n">
        <v>83.4</v>
      </c>
      <c r="VF285" s="16" t="n">
        <v>8.8</v>
      </c>
      <c r="VG285" s="0" t="n">
        <v>94.65</v>
      </c>
      <c r="VH285" s="0" t="n">
        <v>0</v>
      </c>
      <c r="VI285" s="0" t="n">
        <v>0.21</v>
      </c>
      <c r="VJ285" s="0" t="n">
        <v>0</v>
      </c>
      <c r="VK285" s="0" t="n">
        <v>4.31</v>
      </c>
      <c r="VL285" s="0" t="n">
        <v>0</v>
      </c>
      <c r="VM285" s="0" t="n">
        <v>0</v>
      </c>
      <c r="VN285" s="0" t="n">
        <v>0</v>
      </c>
      <c r="VO285" s="0" t="n">
        <v>0</v>
      </c>
      <c r="VP285" s="0" t="n">
        <v>0</v>
      </c>
      <c r="VQ285" s="0" t="n">
        <v>0</v>
      </c>
      <c r="VR285" s="0" t="n">
        <v>1.21</v>
      </c>
      <c r="VS285" s="0" t="n">
        <v>19.41</v>
      </c>
      <c r="VT285" s="0" t="n">
        <v>20.37</v>
      </c>
      <c r="VU285" s="0" t="n">
        <v>0.21</v>
      </c>
      <c r="VV285" s="0" t="n">
        <v>0.83</v>
      </c>
      <c r="VW285" s="0" t="n">
        <v>12.2</v>
      </c>
      <c r="VX285" s="0" t="n">
        <v>1</v>
      </c>
      <c r="VY285" s="0" t="n">
        <v>5</v>
      </c>
      <c r="WA285" s="0" t="n">
        <v>2</v>
      </c>
      <c r="WK285" s="0" t="n">
        <v>0</v>
      </c>
      <c r="WL285" s="0" t="n">
        <v>0</v>
      </c>
      <c r="WW285" s="18"/>
      <c r="XO285" s="0" t="n">
        <v>1</v>
      </c>
      <c r="XP285" s="0" t="n">
        <v>40</v>
      </c>
      <c r="XQ285" s="0" t="n">
        <v>1</v>
      </c>
      <c r="XR285" s="0" t="n">
        <v>0.21</v>
      </c>
      <c r="XS285" s="0" t="n">
        <v>3</v>
      </c>
      <c r="XT285" s="0" t="n">
        <v>80</v>
      </c>
      <c r="XU285" s="0" t="n">
        <v>4</v>
      </c>
      <c r="XV285" s="0" t="n">
        <v>0.5</v>
      </c>
      <c r="XW285" s="0" t="n">
        <v>2</v>
      </c>
      <c r="XX285" s="0" t="n">
        <v>60</v>
      </c>
      <c r="XY285" s="0" t="n">
        <f aca="false">18+9</f>
        <v>27</v>
      </c>
      <c r="XZ285" s="0" t="n">
        <f aca="false">2.27+1.14</f>
        <v>3.41</v>
      </c>
      <c r="YA285" s="0" t="n">
        <v>2</v>
      </c>
      <c r="YZ285" s="16" t="n">
        <v>3.54</v>
      </c>
      <c r="ZA285" s="16" t="n">
        <v>1</v>
      </c>
      <c r="ZB285" s="16" t="n">
        <v>1</v>
      </c>
      <c r="ZC285" s="16"/>
      <c r="ZD285" s="16" t="n">
        <f aca="false">4+0.73*2+1.65</f>
        <v>7.11</v>
      </c>
      <c r="ZE285" s="16"/>
      <c r="ZF285" s="16"/>
      <c r="ZG285" s="16"/>
      <c r="ZH285" s="16"/>
      <c r="ZI285" s="16"/>
      <c r="ZJ285" s="16"/>
      <c r="ZK285" s="16" t="n">
        <v>1.47</v>
      </c>
      <c r="ZL285" s="16" t="n">
        <v>1.47</v>
      </c>
      <c r="ZM285" s="16"/>
      <c r="ZN285" s="16"/>
      <c r="ZO285" s="16" t="n">
        <v>0</v>
      </c>
      <c r="ZP285" s="16" t="n">
        <v>0</v>
      </c>
      <c r="ZQ285" s="16" t="n">
        <v>0.22</v>
      </c>
      <c r="ZR285" s="0" t="n">
        <v>0</v>
      </c>
      <c r="ZS285" s="0" t="s">
        <v>841</v>
      </c>
      <c r="ZT285" s="0" t="n">
        <v>18.5</v>
      </c>
      <c r="ZU285" s="16" t="n">
        <v>91.6</v>
      </c>
      <c r="ZV285" s="16" t="n">
        <v>83.4</v>
      </c>
      <c r="ZW285" s="16" t="n">
        <v>7.5</v>
      </c>
      <c r="ZX285" s="0" t="n">
        <v>96.33</v>
      </c>
      <c r="ZY285" s="0" t="n">
        <v>0</v>
      </c>
      <c r="ZZ285" s="0" t="n">
        <v>0</v>
      </c>
      <c r="AAA285" s="0" t="n">
        <v>0</v>
      </c>
      <c r="AAB285" s="0" t="n">
        <v>3.67</v>
      </c>
      <c r="AAC285" s="0" t="n">
        <v>0</v>
      </c>
      <c r="AAD285" s="0" t="n">
        <v>0</v>
      </c>
      <c r="AAE285" s="0" t="n">
        <v>0</v>
      </c>
      <c r="AAF285" s="0" t="n">
        <v>0</v>
      </c>
      <c r="AAG285" s="0" t="n">
        <v>0</v>
      </c>
      <c r="AAH285" s="0" t="n">
        <v>0</v>
      </c>
      <c r="AAI285" s="0" t="n">
        <v>3.67</v>
      </c>
      <c r="AAJ285" s="0" t="n">
        <v>45.98</v>
      </c>
      <c r="AAK285" s="0" t="n">
        <v>17.9</v>
      </c>
      <c r="AAL285" s="0" t="n">
        <v>0</v>
      </c>
      <c r="AAM285" s="0" t="n">
        <v>0</v>
      </c>
      <c r="AAN285" s="0" t="n">
        <v>0</v>
      </c>
      <c r="AAO285" s="0" t="n">
        <v>0</v>
      </c>
      <c r="ABB285" s="0" t="n">
        <v>0</v>
      </c>
      <c r="ABC285" s="0" t="n">
        <v>0</v>
      </c>
      <c r="ABN285" s="18"/>
      <c r="ACF285" s="0" t="n">
        <v>0</v>
      </c>
      <c r="ACJ285" s="0" t="n">
        <v>1</v>
      </c>
      <c r="ACK285" s="0" t="n">
        <v>50</v>
      </c>
      <c r="ACL285" s="0" t="n">
        <v>1</v>
      </c>
      <c r="ACM285" s="0" t="n">
        <v>0.04</v>
      </c>
      <c r="ACN285" s="0" t="n">
        <v>3</v>
      </c>
      <c r="ADQ285" s="16" t="n">
        <v>1.44</v>
      </c>
      <c r="ADR285" s="16" t="n">
        <v>1</v>
      </c>
      <c r="ADS285" s="16" t="n">
        <v>1</v>
      </c>
      <c r="ADT285" s="16"/>
      <c r="ADU285" s="16" t="n">
        <f aca="false">1.65+0.18*2+9.17</f>
        <v>11.18</v>
      </c>
      <c r="ADV285" s="16"/>
      <c r="ADW285" s="16"/>
      <c r="ADX285" s="16"/>
      <c r="ADY285" s="16"/>
      <c r="ADZ285" s="16"/>
      <c r="AEA285" s="16"/>
      <c r="AEB285" s="16" t="n">
        <v>5.88</v>
      </c>
      <c r="AEC285" s="16" t="n">
        <v>13.5</v>
      </c>
      <c r="AED285" s="16"/>
      <c r="AEE285" s="16"/>
      <c r="AEF285" s="16" t="n">
        <v>3.6</v>
      </c>
      <c r="AEG285" s="16" t="n">
        <v>1.1</v>
      </c>
      <c r="AEH285" s="16" t="n">
        <v>0</v>
      </c>
      <c r="AEI285" s="0" t="n">
        <v>0</v>
      </c>
      <c r="AEJ285" s="0" t="s">
        <v>837</v>
      </c>
      <c r="AEK285" s="0" t="n">
        <v>30.5</v>
      </c>
      <c r="AEL285" s="16" t="n">
        <v>92</v>
      </c>
      <c r="AEM285" s="16" t="n">
        <v>83.4</v>
      </c>
      <c r="AEN285" s="16" t="n">
        <v>5.9</v>
      </c>
      <c r="AEO285" s="0" t="n">
        <v>98.99</v>
      </c>
      <c r="AEP285" s="0" t="n">
        <v>1.01</v>
      </c>
      <c r="AEQ285" s="0" t="n">
        <v>0</v>
      </c>
      <c r="AER285" s="0" t="n">
        <v>0</v>
      </c>
      <c r="AES285" s="0" t="n">
        <v>0</v>
      </c>
      <c r="AET285" s="0" t="n">
        <v>0</v>
      </c>
      <c r="AEU285" s="0" t="n">
        <v>0</v>
      </c>
      <c r="AEV285" s="0" t="n">
        <v>0</v>
      </c>
      <c r="AEW285" s="0" t="n">
        <v>0</v>
      </c>
      <c r="AEX285" s="0" t="n">
        <v>0</v>
      </c>
      <c r="AEY285" s="0" t="n">
        <v>0</v>
      </c>
      <c r="AEZ285" s="0" t="n">
        <v>2.66</v>
      </c>
      <c r="AFA285" s="0" t="n">
        <v>46.99</v>
      </c>
      <c r="AFB285" s="0" t="n">
        <v>16.89</v>
      </c>
      <c r="AFC285" s="0" t="n">
        <v>0</v>
      </c>
      <c r="AFD285" s="0" t="n">
        <v>0</v>
      </c>
      <c r="AFE285" s="0" t="n">
        <v>0</v>
      </c>
      <c r="AFF285" s="0" t="n">
        <v>0</v>
      </c>
      <c r="AFS285" s="0" t="n">
        <v>0</v>
      </c>
      <c r="AFT285" s="0" t="n">
        <v>0</v>
      </c>
      <c r="AGE285" s="18"/>
      <c r="AGW285" s="0" t="n">
        <v>0</v>
      </c>
      <c r="AIH285" s="16" t="n">
        <v>8</v>
      </c>
      <c r="AII285" s="16" t="n">
        <v>1</v>
      </c>
      <c r="AIJ285" s="16" t="n">
        <v>1</v>
      </c>
      <c r="AIK285" s="16"/>
      <c r="AIL285" s="16" t="n">
        <f aca="false">1.65+0.18*2+9.17</f>
        <v>11.18</v>
      </c>
      <c r="AIM285" s="16"/>
      <c r="AIN285" s="16"/>
      <c r="AIO285" s="16"/>
      <c r="AIP285" s="16"/>
      <c r="AIQ285" s="16"/>
      <c r="AIR285" s="16"/>
      <c r="AIS285" s="16" t="n">
        <v>6.16</v>
      </c>
      <c r="AIT285" s="16" t="n">
        <v>16.16</v>
      </c>
      <c r="AIU285" s="16"/>
      <c r="AIV285" s="16"/>
      <c r="AIW285" s="16" t="n">
        <v>10</v>
      </c>
      <c r="AIX285" s="16" t="n">
        <v>1.1</v>
      </c>
      <c r="AIY285" s="16" t="n">
        <v>0</v>
      </c>
      <c r="AIZ285" s="0" t="n">
        <v>1</v>
      </c>
      <c r="AJA285" s="0" t="s">
        <v>838</v>
      </c>
      <c r="AJB285" s="0" t="n">
        <v>47.5</v>
      </c>
      <c r="AJC285" s="16" t="n">
        <v>86.8</v>
      </c>
      <c r="AJD285" s="16" t="n">
        <v>83.4</v>
      </c>
      <c r="AJE285" s="16" t="n">
        <v>26.7</v>
      </c>
      <c r="AJF285" s="0" t="n">
        <v>65.11</v>
      </c>
      <c r="AJG285" s="0" t="n">
        <v>0</v>
      </c>
      <c r="AJH285" s="0" t="n">
        <v>2.75</v>
      </c>
      <c r="AJI285" s="0" t="n">
        <v>0</v>
      </c>
      <c r="AJJ285" s="0" t="n">
        <v>32.14</v>
      </c>
      <c r="AJK285" s="0" t="n">
        <v>0</v>
      </c>
      <c r="AJL285" s="0" t="n">
        <v>0</v>
      </c>
      <c r="AJM285" s="0" t="n">
        <v>0</v>
      </c>
      <c r="AJN285" s="0" t="n">
        <v>0</v>
      </c>
      <c r="AJO285" s="0" t="n">
        <v>0</v>
      </c>
      <c r="AJP285" s="0" t="n">
        <v>0</v>
      </c>
      <c r="AJQ285" s="0" t="n">
        <v>0</v>
      </c>
      <c r="AJR285" s="0" t="n">
        <v>24.37</v>
      </c>
      <c r="AJS285" s="0" t="n">
        <v>6.53</v>
      </c>
      <c r="AJT285" s="0" t="n">
        <v>31.2</v>
      </c>
      <c r="AJU285" s="0" t="n">
        <v>0</v>
      </c>
      <c r="AJV285" s="0" t="n">
        <v>13</v>
      </c>
      <c r="AJW285" s="0" t="n">
        <v>1</v>
      </c>
      <c r="AJX285" s="0" t="n">
        <v>7</v>
      </c>
      <c r="AJZ285" s="0" t="n">
        <v>2</v>
      </c>
      <c r="AKJ285" s="0" t="n">
        <v>0</v>
      </c>
      <c r="AKK285" s="0" t="n">
        <v>0</v>
      </c>
      <c r="AKV285" s="18"/>
      <c r="ALN285" s="0" t="n">
        <v>0</v>
      </c>
    </row>
    <row r="286" customFormat="false" ht="13.8" hidden="false" customHeight="false" outlineLevel="0" collapsed="false">
      <c r="A286" s="1" t="s">
        <v>851</v>
      </c>
      <c r="B286" s="12" t="n">
        <v>42909</v>
      </c>
      <c r="C286" s="0" t="n">
        <v>1</v>
      </c>
      <c r="D286" s="13" t="n">
        <v>41038</v>
      </c>
      <c r="E286" s="12" t="n">
        <v>32200</v>
      </c>
      <c r="F286" s="14" t="n">
        <f aca="false">(B286-E286)/365.25</f>
        <v>29.3196440793977</v>
      </c>
      <c r="G286" s="14" t="n">
        <f aca="false">(B286-D286)/365.25</f>
        <v>5.12251882272416</v>
      </c>
      <c r="H286" s="19" t="s">
        <v>306</v>
      </c>
      <c r="I286" s="15" t="s">
        <v>832</v>
      </c>
      <c r="J286" s="15" t="s">
        <v>181</v>
      </c>
      <c r="K286" s="15" t="n">
        <v>4</v>
      </c>
      <c r="L286" s="19" t="n">
        <v>66</v>
      </c>
      <c r="M286" s="0" t="n">
        <v>1.66</v>
      </c>
      <c r="N286" s="16" t="n">
        <f aca="false">L286/(M286*M286)</f>
        <v>23.9512265931195</v>
      </c>
      <c r="O286" s="19" t="n">
        <v>0</v>
      </c>
      <c r="P286" s="19" t="n">
        <v>0</v>
      </c>
      <c r="Q286" s="19" t="n">
        <v>0</v>
      </c>
      <c r="R286" s="26" t="n">
        <v>0</v>
      </c>
      <c r="S286" s="26" t="n">
        <v>0</v>
      </c>
      <c r="T286" s="26" t="n">
        <v>0</v>
      </c>
      <c r="U286" s="26" t="n">
        <v>0</v>
      </c>
      <c r="V286" s="26" t="n">
        <v>0</v>
      </c>
      <c r="W286" s="19" t="n">
        <v>0</v>
      </c>
      <c r="X286" s="19" t="n">
        <v>0</v>
      </c>
      <c r="Y286" s="19" t="n">
        <v>1</v>
      </c>
      <c r="Z286" s="19" t="n">
        <v>2</v>
      </c>
      <c r="AA286" s="19" t="n">
        <v>60</v>
      </c>
      <c r="AB286" s="19" t="s">
        <v>308</v>
      </c>
      <c r="AC286" s="19" t="n">
        <v>0</v>
      </c>
      <c r="AD286" s="19" t="n">
        <v>0</v>
      </c>
      <c r="AE286" s="19" t="n">
        <v>0</v>
      </c>
      <c r="AF286" s="19" t="n">
        <v>0</v>
      </c>
      <c r="AG286" s="19" t="n">
        <v>0</v>
      </c>
      <c r="AH286" s="19" t="n">
        <v>0</v>
      </c>
      <c r="AI286" s="19" t="n">
        <v>3</v>
      </c>
      <c r="AJ286" s="19" t="n">
        <v>0</v>
      </c>
      <c r="AK286" s="19" t="n">
        <v>0</v>
      </c>
      <c r="AL286" s="19" t="n">
        <v>0</v>
      </c>
      <c r="AM286" s="26" t="n">
        <v>0</v>
      </c>
      <c r="AN286" s="19" t="n">
        <v>0</v>
      </c>
      <c r="AO286" s="19" t="n">
        <v>0</v>
      </c>
      <c r="AP286" s="19" t="n">
        <v>0</v>
      </c>
      <c r="AQ286" s="19" t="n">
        <v>0</v>
      </c>
      <c r="AR286" s="19" t="n">
        <v>0</v>
      </c>
      <c r="AS286" s="19" t="n">
        <v>3</v>
      </c>
      <c r="AT286" s="19" t="n">
        <v>0</v>
      </c>
      <c r="AU286" s="19" t="n">
        <v>0</v>
      </c>
      <c r="AV286" s="19" t="n">
        <v>0</v>
      </c>
      <c r="AW286" s="19" t="n">
        <v>0</v>
      </c>
      <c r="AX286" s="19" t="n">
        <v>0</v>
      </c>
      <c r="AY286" s="19" t="n">
        <v>0</v>
      </c>
      <c r="AZ286" s="19" t="n">
        <v>0</v>
      </c>
      <c r="BA286" s="19" t="n">
        <v>0</v>
      </c>
      <c r="BB286" s="19" t="n">
        <v>0</v>
      </c>
      <c r="BC286" s="19" t="n">
        <v>0</v>
      </c>
      <c r="BD286" s="19" t="n">
        <v>0</v>
      </c>
      <c r="BE286" s="19" t="n">
        <v>0</v>
      </c>
      <c r="BF286" s="19" t="n">
        <v>0</v>
      </c>
      <c r="BG286" s="19" t="n">
        <v>0</v>
      </c>
      <c r="BH286" s="19" t="n">
        <v>0</v>
      </c>
      <c r="BI286" s="19" t="n">
        <v>0</v>
      </c>
      <c r="BJ286" s="19" t="n">
        <v>0</v>
      </c>
      <c r="BK286" s="19" t="n">
        <v>0</v>
      </c>
      <c r="BL286" s="19" t="n">
        <v>0</v>
      </c>
      <c r="BM286" s="19" t="n">
        <v>0</v>
      </c>
      <c r="BN286" s="19" t="n">
        <v>0</v>
      </c>
      <c r="BO286" s="19" t="n">
        <v>0</v>
      </c>
      <c r="BP286" s="19" t="n">
        <v>0</v>
      </c>
      <c r="BQ286" s="19" t="n">
        <v>0</v>
      </c>
      <c r="BR286" s="19" t="n">
        <v>2</v>
      </c>
      <c r="BS286" s="19" t="n">
        <v>3</v>
      </c>
      <c r="BT286" s="19" t="n">
        <v>3</v>
      </c>
      <c r="BU286" s="19" t="n">
        <v>3</v>
      </c>
      <c r="BV286" s="19" t="n">
        <v>3</v>
      </c>
      <c r="BW286" s="19" t="n">
        <v>3</v>
      </c>
      <c r="BX286" s="19" t="n">
        <v>3</v>
      </c>
      <c r="BY286" s="19" t="n">
        <v>3</v>
      </c>
      <c r="BZ286" s="19" t="n">
        <v>3</v>
      </c>
      <c r="CA286" s="19" t="n">
        <v>3</v>
      </c>
      <c r="CB286" s="19" t="n">
        <v>3</v>
      </c>
      <c r="CC286" s="19" t="n">
        <v>5</v>
      </c>
      <c r="CD286" s="19" t="n">
        <v>4</v>
      </c>
      <c r="CE286" s="19" t="n">
        <v>5</v>
      </c>
      <c r="CF286" s="19" t="n">
        <v>5</v>
      </c>
      <c r="CG286" s="19" t="n">
        <v>5</v>
      </c>
      <c r="CH286" s="19" t="n">
        <v>5</v>
      </c>
      <c r="CI286" s="19" t="n">
        <v>5</v>
      </c>
      <c r="CJ286" s="19" t="n">
        <v>5</v>
      </c>
      <c r="CK286" s="19" t="n">
        <v>10</v>
      </c>
      <c r="CL286" s="0" t="s">
        <v>833</v>
      </c>
      <c r="CM286" s="0" t="n">
        <v>31</v>
      </c>
      <c r="CN286" s="16" t="n">
        <v>82.6</v>
      </c>
      <c r="CO286" s="16" t="n">
        <v>83.4</v>
      </c>
      <c r="CP286" s="16" t="n">
        <v>5.7</v>
      </c>
      <c r="CQ286" s="0" t="n">
        <v>99.97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0</v>
      </c>
      <c r="DA286" s="0" t="n">
        <v>0</v>
      </c>
      <c r="DB286" s="0" t="n">
        <v>7.3</v>
      </c>
      <c r="DC286" s="0" t="n">
        <v>53.74</v>
      </c>
      <c r="DD286" s="0" t="n">
        <v>0</v>
      </c>
      <c r="DE286" s="0" t="n">
        <v>0</v>
      </c>
      <c r="DF286" s="0" t="n">
        <v>0</v>
      </c>
      <c r="DG286" s="0" t="n">
        <v>17.6</v>
      </c>
      <c r="DH286" s="0" t="n">
        <v>1</v>
      </c>
      <c r="DI286" s="0" t="n">
        <v>4.6</v>
      </c>
      <c r="DK286" s="0" t="n">
        <v>2</v>
      </c>
      <c r="DU286" s="0" t="n">
        <v>2.4</v>
      </c>
      <c r="DV286" s="0" t="n">
        <v>0</v>
      </c>
      <c r="EG286" s="18"/>
      <c r="EY286" s="0" t="n">
        <v>1</v>
      </c>
      <c r="EZ286" s="0" t="n">
        <v>60</v>
      </c>
      <c r="FA286" s="0" t="n">
        <f aca="false">4+6+1+3+1+3</f>
        <v>18</v>
      </c>
      <c r="FB286" s="0" t="n">
        <f aca="false">0.73+2.2+0.13+0.39+0.78+0.52</f>
        <v>4.75</v>
      </c>
      <c r="FC286" s="0" t="n">
        <v>3</v>
      </c>
      <c r="FD286" s="0" t="n">
        <v>50</v>
      </c>
      <c r="FE286" s="0" t="n">
        <f aca="false">14</f>
        <v>14</v>
      </c>
      <c r="FF286" s="0" t="n">
        <f aca="false">4.4+2.94+0.52</f>
        <v>7.86</v>
      </c>
      <c r="FG286" s="0" t="n">
        <v>3</v>
      </c>
      <c r="GJ286" s="16" t="n">
        <v>0</v>
      </c>
      <c r="GK286" s="16" t="n">
        <v>0</v>
      </c>
      <c r="GL286" s="16"/>
      <c r="GM286" s="16"/>
      <c r="GN286" s="16"/>
      <c r="GO286" s="16"/>
      <c r="GP286" s="16"/>
      <c r="GQ286" s="16"/>
      <c r="GR286" s="16"/>
      <c r="GS286" s="16"/>
      <c r="GT286" s="16"/>
      <c r="GU286" s="16" t="n">
        <v>5.21</v>
      </c>
      <c r="GV286" s="16" t="n">
        <v>2.59</v>
      </c>
      <c r="GW286" s="16"/>
      <c r="GX286" s="16"/>
      <c r="GY286" s="16" t="n">
        <v>0</v>
      </c>
      <c r="GZ286" s="16" t="n">
        <v>0</v>
      </c>
      <c r="HA286" s="16" t="n">
        <v>0</v>
      </c>
      <c r="HB286" s="0" t="n">
        <v>0</v>
      </c>
      <c r="HC286" s="0" t="s">
        <v>834</v>
      </c>
      <c r="HD286" s="0" t="n">
        <v>30.5</v>
      </c>
      <c r="HE286" s="16" t="n">
        <v>73.4</v>
      </c>
      <c r="HF286" s="16" t="n">
        <v>83.4</v>
      </c>
      <c r="HG286" s="16" t="n">
        <v>5.7</v>
      </c>
      <c r="HH286" s="0" t="n">
        <v>100</v>
      </c>
      <c r="HI286" s="0" t="n">
        <v>0</v>
      </c>
      <c r="HJ286" s="0" t="n">
        <v>0</v>
      </c>
      <c r="HK286" s="0" t="n">
        <v>0</v>
      </c>
      <c r="HL286" s="0" t="n">
        <v>0</v>
      </c>
      <c r="HM286" s="0" t="n">
        <v>0</v>
      </c>
      <c r="HN286" s="0" t="n">
        <v>0</v>
      </c>
      <c r="HO286" s="0" t="n">
        <v>0</v>
      </c>
      <c r="HP286" s="0" t="n">
        <v>0</v>
      </c>
      <c r="HQ286" s="0" t="n">
        <v>0</v>
      </c>
      <c r="HR286" s="0" t="n">
        <v>0</v>
      </c>
      <c r="HS286" s="0" t="n">
        <v>7.69</v>
      </c>
      <c r="HT286" s="0" t="n">
        <v>47.61</v>
      </c>
      <c r="HU286" s="0" t="n">
        <v>0</v>
      </c>
      <c r="HV286" s="0" t="n">
        <v>0</v>
      </c>
      <c r="HW286" s="0" t="n">
        <v>0</v>
      </c>
      <c r="HX286" s="0" t="n">
        <v>16.4</v>
      </c>
      <c r="HY286" s="0" t="n">
        <v>1</v>
      </c>
      <c r="HZ286" s="0" t="n">
        <v>4.6</v>
      </c>
      <c r="IB286" s="0" t="n">
        <v>2</v>
      </c>
      <c r="IL286" s="0" t="n">
        <v>1.4</v>
      </c>
      <c r="IM286" s="0" t="n">
        <v>0</v>
      </c>
      <c r="IX286" s="18"/>
      <c r="JP286" s="0" t="n">
        <v>1</v>
      </c>
      <c r="JQ286" s="0" t="n">
        <v>60</v>
      </c>
      <c r="JR286" s="0" t="n">
        <v>7</v>
      </c>
      <c r="JS286" s="0" t="n">
        <f aca="false">0.73+2.2+0.39</f>
        <v>3.32</v>
      </c>
      <c r="JT286" s="0" t="n">
        <v>3</v>
      </c>
      <c r="JU286" s="0" t="n">
        <v>50</v>
      </c>
      <c r="JV286" s="0" t="n">
        <v>10</v>
      </c>
      <c r="JW286" s="0" t="n">
        <f aca="false">4.4+2.94</f>
        <v>7.34</v>
      </c>
      <c r="LA286" s="16" t="n">
        <v>0</v>
      </c>
      <c r="LB286" s="16" t="n">
        <v>0</v>
      </c>
      <c r="LC286" s="16"/>
      <c r="LD286" s="16"/>
      <c r="LE286" s="16"/>
      <c r="LF286" s="16"/>
      <c r="LG286" s="16"/>
      <c r="LH286" s="16"/>
      <c r="LI286" s="16"/>
      <c r="LJ286" s="16"/>
      <c r="LK286" s="16"/>
      <c r="LL286" s="16" t="n">
        <v>6.95</v>
      </c>
      <c r="LM286" s="16" t="n">
        <v>10.27</v>
      </c>
      <c r="LN286" s="16"/>
      <c r="LO286" s="16"/>
      <c r="LP286" s="16" t="n">
        <v>0</v>
      </c>
      <c r="LQ286" s="16" t="n">
        <v>0</v>
      </c>
      <c r="LR286" s="16" t="n">
        <v>0</v>
      </c>
      <c r="LS286" s="0" t="n">
        <v>0</v>
      </c>
      <c r="LT286" s="0" t="n">
        <v>94</v>
      </c>
      <c r="LU286" s="0" t="n">
        <v>24.5</v>
      </c>
      <c r="LV286" s="16" t="n">
        <v>88.7</v>
      </c>
      <c r="LW286" s="16" t="n">
        <v>83.4</v>
      </c>
      <c r="LX286" s="16" t="n">
        <v>23.1</v>
      </c>
      <c r="LY286" s="0" t="n">
        <v>69.95</v>
      </c>
      <c r="LZ286" s="0" t="n">
        <v>0</v>
      </c>
      <c r="MA286" s="0" t="n">
        <v>7.16</v>
      </c>
      <c r="MB286" s="0" t="n">
        <v>0</v>
      </c>
      <c r="MC286" s="0" t="n">
        <v>0</v>
      </c>
      <c r="MD286" s="0" t="n">
        <v>0</v>
      </c>
      <c r="ME286" s="0" t="n">
        <v>0</v>
      </c>
      <c r="MF286" s="0" t="n">
        <v>0</v>
      </c>
      <c r="MG286" s="0" t="n">
        <v>0</v>
      </c>
      <c r="MH286" s="0" t="n">
        <v>0</v>
      </c>
      <c r="MI286" s="0" t="n">
        <v>0</v>
      </c>
      <c r="MJ286" s="0" t="n">
        <v>0</v>
      </c>
      <c r="MK286" s="0" t="n">
        <v>34.04</v>
      </c>
      <c r="ML286" s="0" t="n">
        <v>20.5</v>
      </c>
      <c r="MM286" s="0" t="n">
        <v>0</v>
      </c>
      <c r="MN286" s="0" t="n">
        <v>22.9</v>
      </c>
      <c r="MO286" s="0" t="n">
        <v>0</v>
      </c>
      <c r="MP286" s="0" t="n">
        <v>0</v>
      </c>
      <c r="NC286" s="0" t="n">
        <v>0</v>
      </c>
      <c r="ND286" s="0" t="n">
        <v>0</v>
      </c>
      <c r="NO286" s="18"/>
      <c r="OG286" s="0" t="n">
        <v>0</v>
      </c>
      <c r="PR286" s="16" t="n">
        <v>0</v>
      </c>
      <c r="PS286" s="16" t="n">
        <v>0</v>
      </c>
      <c r="PT286" s="16"/>
      <c r="PU286" s="16"/>
      <c r="PV286" s="16"/>
      <c r="PW286" s="16"/>
      <c r="PX286" s="16"/>
      <c r="PY286" s="16"/>
      <c r="PZ286" s="16"/>
      <c r="QA286" s="16"/>
      <c r="QB286" s="16"/>
      <c r="QC286" s="16" t="n">
        <v>0</v>
      </c>
      <c r="QD286" s="16" t="n">
        <v>0</v>
      </c>
      <c r="QE286" s="16"/>
      <c r="QF286" s="16"/>
      <c r="QG286" s="16" t="n">
        <v>0</v>
      </c>
      <c r="QH286" s="16" t="n">
        <v>0</v>
      </c>
      <c r="QI286" s="16" t="n">
        <v>1.44</v>
      </c>
      <c r="QJ286" s="0" t="n">
        <v>0</v>
      </c>
      <c r="QK286" s="0" t="s">
        <v>835</v>
      </c>
      <c r="QL286" s="0" t="n">
        <v>19</v>
      </c>
      <c r="QM286" s="16" t="n">
        <v>73.2</v>
      </c>
      <c r="QN286" s="16" t="n">
        <v>83.4</v>
      </c>
      <c r="QO286" s="16" t="n">
        <v>11.1</v>
      </c>
      <c r="QP286" s="0" t="n">
        <v>92.58</v>
      </c>
      <c r="QQ286" s="0" t="n">
        <v>0</v>
      </c>
      <c r="QR286" s="0" t="n">
        <v>1.25</v>
      </c>
      <c r="QS286" s="0" t="n">
        <v>0</v>
      </c>
      <c r="QT286" s="0" t="n">
        <v>5.34</v>
      </c>
      <c r="QU286" s="0" t="n">
        <v>0</v>
      </c>
      <c r="QV286" s="0" t="n">
        <v>0</v>
      </c>
      <c r="QW286" s="0" t="n">
        <v>0</v>
      </c>
      <c r="QX286" s="0" t="n">
        <v>0</v>
      </c>
      <c r="QY286" s="0" t="n">
        <v>0</v>
      </c>
      <c r="QZ286" s="0" t="n">
        <v>0</v>
      </c>
      <c r="RA286" s="0" t="n">
        <v>4.77</v>
      </c>
      <c r="RB286" s="0" t="n">
        <v>22.03</v>
      </c>
      <c r="RC286" s="0" t="n">
        <v>27.08</v>
      </c>
      <c r="RD286" s="0" t="n">
        <v>1.58</v>
      </c>
      <c r="RE286" s="0" t="n">
        <v>0.83</v>
      </c>
      <c r="RF286" s="0" t="n">
        <v>0</v>
      </c>
      <c r="RG286" s="0" t="n">
        <v>0</v>
      </c>
      <c r="RT286" s="0" t="n">
        <v>0.5</v>
      </c>
      <c r="RU286" s="0" t="n">
        <v>1</v>
      </c>
      <c r="RV286" s="0" t="n">
        <v>35</v>
      </c>
      <c r="RW286" s="0" t="n">
        <v>4</v>
      </c>
      <c r="RX286" s="0" t="n">
        <v>0.1</v>
      </c>
      <c r="RY286" s="0" t="n">
        <v>3</v>
      </c>
      <c r="SF286" s="18"/>
      <c r="SX286" s="0" t="n">
        <v>1</v>
      </c>
      <c r="SY286" s="0" t="n">
        <v>40</v>
      </c>
      <c r="SZ286" s="0" t="n">
        <v>1</v>
      </c>
      <c r="TA286" s="0" t="n">
        <v>1.25</v>
      </c>
      <c r="TB286" s="0" t="n">
        <v>3</v>
      </c>
      <c r="TC286" s="0" t="n">
        <v>50</v>
      </c>
      <c r="TD286" s="0" t="n">
        <v>1</v>
      </c>
      <c r="TE286" s="0" t="n">
        <v>0.05</v>
      </c>
      <c r="TF286" s="0" t="n">
        <v>3</v>
      </c>
      <c r="TG286" s="0" t="n">
        <v>60</v>
      </c>
      <c r="TH286" s="0" t="n">
        <f aca="false">18+9</f>
        <v>27</v>
      </c>
      <c r="TI286" s="0" t="n">
        <f aca="false">2.27+1.14</f>
        <v>3.41</v>
      </c>
      <c r="TJ286" s="0" t="n">
        <v>3</v>
      </c>
      <c r="UI286" s="16" t="n">
        <v>3.7</v>
      </c>
      <c r="UJ286" s="16" t="n">
        <v>1</v>
      </c>
      <c r="UK286" s="16" t="n">
        <v>1</v>
      </c>
      <c r="UL286" s="16"/>
      <c r="UM286" s="16" t="n">
        <f aca="false">4+0.13+0.01+0.73+1.65+0.02</f>
        <v>6.54</v>
      </c>
      <c r="UN286" s="16" t="n">
        <v>2</v>
      </c>
      <c r="UO286" s="16"/>
      <c r="UP286" s="16" t="n">
        <f aca="false">0.18*2</f>
        <v>0.36</v>
      </c>
      <c r="UQ286" s="16"/>
      <c r="UR286" s="16"/>
      <c r="US286" s="16"/>
      <c r="UT286" s="16" t="n">
        <v>3.32</v>
      </c>
      <c r="UU286" s="16" t="n">
        <v>3.31</v>
      </c>
      <c r="UV286" s="16"/>
      <c r="UW286" s="16"/>
      <c r="UX286" s="16" t="n">
        <v>0</v>
      </c>
      <c r="UY286" s="16" t="n">
        <v>0</v>
      </c>
      <c r="UZ286" s="16" t="n">
        <v>0.22</v>
      </c>
      <c r="VA286" s="0" t="n">
        <v>0</v>
      </c>
      <c r="VB286" s="0" t="s">
        <v>836</v>
      </c>
      <c r="VC286" s="0" t="n">
        <v>26.5</v>
      </c>
      <c r="VD286" s="16" t="n">
        <v>70.7</v>
      </c>
      <c r="VE286" s="16" t="n">
        <v>83.4</v>
      </c>
      <c r="VF286" s="16" t="n">
        <v>8.8</v>
      </c>
      <c r="VG286" s="0" t="n">
        <v>94.65</v>
      </c>
      <c r="VH286" s="0" t="n">
        <v>0</v>
      </c>
      <c r="VI286" s="0" t="n">
        <v>0.21</v>
      </c>
      <c r="VJ286" s="0" t="n">
        <v>0</v>
      </c>
      <c r="VK286" s="0" t="n">
        <v>4.31</v>
      </c>
      <c r="VL286" s="0" t="n">
        <v>0</v>
      </c>
      <c r="VM286" s="0" t="n">
        <v>0</v>
      </c>
      <c r="VN286" s="0" t="n">
        <v>0</v>
      </c>
      <c r="VO286" s="0" t="n">
        <v>0</v>
      </c>
      <c r="VP286" s="0" t="n">
        <v>0</v>
      </c>
      <c r="VQ286" s="0" t="n">
        <v>0</v>
      </c>
      <c r="VR286" s="0" t="n">
        <v>1.21</v>
      </c>
      <c r="VS286" s="0" t="n">
        <v>19.41</v>
      </c>
      <c r="VT286" s="0" t="n">
        <v>20.37</v>
      </c>
      <c r="VU286" s="0" t="n">
        <v>0.21</v>
      </c>
      <c r="VV286" s="0" t="n">
        <v>0.83</v>
      </c>
      <c r="VW286" s="0" t="n">
        <v>12.2</v>
      </c>
      <c r="VX286" s="0" t="n">
        <v>1</v>
      </c>
      <c r="VY286" s="0" t="n">
        <v>5</v>
      </c>
      <c r="WA286" s="0" t="n">
        <v>2</v>
      </c>
      <c r="WK286" s="0" t="n">
        <v>0</v>
      </c>
      <c r="WL286" s="0" t="n">
        <v>0</v>
      </c>
      <c r="WW286" s="18"/>
      <c r="XO286" s="0" t="n">
        <v>1</v>
      </c>
      <c r="XP286" s="0" t="n">
        <v>40</v>
      </c>
      <c r="XQ286" s="0" t="n">
        <v>1</v>
      </c>
      <c r="XR286" s="0" t="n">
        <v>0.21</v>
      </c>
      <c r="XS286" s="0" t="n">
        <v>3</v>
      </c>
      <c r="XT286" s="0" t="n">
        <v>80</v>
      </c>
      <c r="XU286" s="0" t="n">
        <v>4</v>
      </c>
      <c r="XV286" s="0" t="n">
        <v>0.5</v>
      </c>
      <c r="XW286" s="0" t="n">
        <v>2</v>
      </c>
      <c r="XX286" s="0" t="n">
        <v>60</v>
      </c>
      <c r="XY286" s="0" t="n">
        <f aca="false">18+9</f>
        <v>27</v>
      </c>
      <c r="XZ286" s="0" t="n">
        <f aca="false">2.27+1.14</f>
        <v>3.41</v>
      </c>
      <c r="YA286" s="0" t="n">
        <v>2</v>
      </c>
      <c r="YZ286" s="16" t="n">
        <v>3.54</v>
      </c>
      <c r="ZA286" s="16" t="n">
        <v>1</v>
      </c>
      <c r="ZB286" s="16" t="n">
        <v>1</v>
      </c>
      <c r="ZC286" s="16"/>
      <c r="ZD286" s="16" t="n">
        <f aca="false">4+0.73*2+1.65</f>
        <v>7.11</v>
      </c>
      <c r="ZE286" s="16"/>
      <c r="ZF286" s="16"/>
      <c r="ZG286" s="16"/>
      <c r="ZH286" s="16"/>
      <c r="ZI286" s="16"/>
      <c r="ZJ286" s="16"/>
      <c r="ZK286" s="16" t="n">
        <v>1.47</v>
      </c>
      <c r="ZL286" s="16" t="n">
        <v>1.47</v>
      </c>
      <c r="ZM286" s="16"/>
      <c r="ZN286" s="16"/>
      <c r="ZO286" s="16" t="n">
        <v>0</v>
      </c>
      <c r="ZP286" s="16" t="n">
        <v>0</v>
      </c>
      <c r="ZQ286" s="16" t="n">
        <v>0.22</v>
      </c>
      <c r="ZR286" s="0" t="n">
        <v>0</v>
      </c>
      <c r="ZS286" s="0" t="s">
        <v>841</v>
      </c>
      <c r="ZT286" s="0" t="n">
        <v>18.5</v>
      </c>
      <c r="ZU286" s="16" t="n">
        <v>91.6</v>
      </c>
      <c r="ZV286" s="16" t="n">
        <v>83.4</v>
      </c>
      <c r="ZW286" s="16" t="n">
        <v>7.5</v>
      </c>
      <c r="ZX286" s="0" t="n">
        <v>96.33</v>
      </c>
      <c r="ZY286" s="0" t="n">
        <v>0</v>
      </c>
      <c r="ZZ286" s="0" t="n">
        <v>0</v>
      </c>
      <c r="AAA286" s="0" t="n">
        <v>0</v>
      </c>
      <c r="AAB286" s="0" t="n">
        <v>3.67</v>
      </c>
      <c r="AAC286" s="0" t="n">
        <v>0</v>
      </c>
      <c r="AAD286" s="0" t="n">
        <v>0</v>
      </c>
      <c r="AAE286" s="0" t="n">
        <v>0</v>
      </c>
      <c r="AAF286" s="0" t="n">
        <v>0</v>
      </c>
      <c r="AAG286" s="0" t="n">
        <v>0</v>
      </c>
      <c r="AAH286" s="0" t="n">
        <v>0</v>
      </c>
      <c r="AAI286" s="0" t="n">
        <v>3.67</v>
      </c>
      <c r="AAJ286" s="0" t="n">
        <v>45.98</v>
      </c>
      <c r="AAK286" s="0" t="n">
        <v>17.9</v>
      </c>
      <c r="AAL286" s="0" t="n">
        <v>0</v>
      </c>
      <c r="AAM286" s="0" t="n">
        <v>0</v>
      </c>
      <c r="AAN286" s="0" t="n">
        <v>0</v>
      </c>
      <c r="AAO286" s="0" t="n">
        <v>0</v>
      </c>
      <c r="ABB286" s="0" t="n">
        <v>0</v>
      </c>
      <c r="ABC286" s="0" t="n">
        <v>0</v>
      </c>
      <c r="ABN286" s="18"/>
      <c r="ACF286" s="0" t="n">
        <v>0</v>
      </c>
      <c r="ACJ286" s="0" t="n">
        <v>1</v>
      </c>
      <c r="ACK286" s="0" t="n">
        <v>50</v>
      </c>
      <c r="ACL286" s="0" t="n">
        <v>1</v>
      </c>
      <c r="ACM286" s="0" t="n">
        <v>0.04</v>
      </c>
      <c r="ACN286" s="0" t="n">
        <v>3</v>
      </c>
      <c r="ADQ286" s="16" t="n">
        <v>1.44</v>
      </c>
      <c r="ADR286" s="16" t="n">
        <v>1</v>
      </c>
      <c r="ADS286" s="16" t="n">
        <v>1</v>
      </c>
      <c r="ADT286" s="16"/>
      <c r="ADU286" s="16" t="n">
        <f aca="false">1.65+0.18*2+9.17</f>
        <v>11.18</v>
      </c>
      <c r="ADV286" s="16"/>
      <c r="ADW286" s="16"/>
      <c r="ADX286" s="16"/>
      <c r="ADY286" s="16"/>
      <c r="ADZ286" s="16"/>
      <c r="AEA286" s="16"/>
      <c r="AEB286" s="16" t="n">
        <v>5.88</v>
      </c>
      <c r="AEC286" s="16" t="n">
        <v>13.5</v>
      </c>
      <c r="AED286" s="16"/>
      <c r="AEE286" s="16"/>
      <c r="AEF286" s="16" t="n">
        <v>3.6</v>
      </c>
      <c r="AEG286" s="16" t="n">
        <v>1.1</v>
      </c>
      <c r="AEH286" s="16" t="n">
        <v>0</v>
      </c>
      <c r="AEI286" s="0" t="n">
        <v>0</v>
      </c>
      <c r="AEJ286" s="0" t="s">
        <v>837</v>
      </c>
      <c r="AEK286" s="0" t="n">
        <v>30.5</v>
      </c>
      <c r="AEL286" s="16" t="n">
        <v>92</v>
      </c>
      <c r="AEM286" s="16" t="n">
        <v>83.4</v>
      </c>
      <c r="AEN286" s="16" t="n">
        <v>5.9</v>
      </c>
      <c r="AEO286" s="0" t="n">
        <v>98.99</v>
      </c>
      <c r="AEP286" s="0" t="n">
        <v>1.01</v>
      </c>
      <c r="AEQ286" s="0" t="n">
        <v>0</v>
      </c>
      <c r="AER286" s="0" t="n">
        <v>0</v>
      </c>
      <c r="AES286" s="0" t="n">
        <v>0</v>
      </c>
      <c r="AET286" s="0" t="n">
        <v>0</v>
      </c>
      <c r="AEU286" s="0" t="n">
        <v>0</v>
      </c>
      <c r="AEV286" s="0" t="n">
        <v>0</v>
      </c>
      <c r="AEW286" s="0" t="n">
        <v>0</v>
      </c>
      <c r="AEX286" s="0" t="n">
        <v>0</v>
      </c>
      <c r="AEY286" s="0" t="n">
        <v>0</v>
      </c>
      <c r="AEZ286" s="0" t="n">
        <v>2.66</v>
      </c>
      <c r="AFA286" s="0" t="n">
        <v>46.99</v>
      </c>
      <c r="AFB286" s="0" t="n">
        <v>16.89</v>
      </c>
      <c r="AFC286" s="0" t="n">
        <v>0</v>
      </c>
      <c r="AFD286" s="0" t="n">
        <v>0</v>
      </c>
      <c r="AFE286" s="0" t="n">
        <v>0</v>
      </c>
      <c r="AFF286" s="0" t="n">
        <v>0</v>
      </c>
      <c r="AFS286" s="0" t="n">
        <v>0</v>
      </c>
      <c r="AFT286" s="0" t="n">
        <v>0</v>
      </c>
      <c r="AGE286" s="18"/>
      <c r="AGW286" s="0" t="n">
        <v>0</v>
      </c>
      <c r="AIH286" s="16" t="n">
        <v>8</v>
      </c>
      <c r="AII286" s="16" t="n">
        <v>1</v>
      </c>
      <c r="AIJ286" s="16" t="n">
        <v>1</v>
      </c>
      <c r="AIK286" s="16"/>
      <c r="AIL286" s="16" t="n">
        <f aca="false">1.65+0.18*2+9.17</f>
        <v>11.18</v>
      </c>
      <c r="AIM286" s="16"/>
      <c r="AIN286" s="16"/>
      <c r="AIO286" s="16"/>
      <c r="AIP286" s="16"/>
      <c r="AIQ286" s="16"/>
      <c r="AIR286" s="16"/>
      <c r="AIS286" s="16" t="n">
        <v>6.16</v>
      </c>
      <c r="AIT286" s="16" t="n">
        <v>16.16</v>
      </c>
      <c r="AIU286" s="16"/>
      <c r="AIV286" s="16"/>
      <c r="AIW286" s="16" t="n">
        <v>10</v>
      </c>
      <c r="AIX286" s="16" t="n">
        <v>1.1</v>
      </c>
      <c r="AIY286" s="16" t="n">
        <v>0</v>
      </c>
      <c r="AIZ286" s="0" t="n">
        <v>1</v>
      </c>
      <c r="AJA286" s="0" t="s">
        <v>838</v>
      </c>
      <c r="AJB286" s="0" t="n">
        <v>47.5</v>
      </c>
      <c r="AJC286" s="16" t="n">
        <v>86.8</v>
      </c>
      <c r="AJD286" s="16" t="n">
        <v>83.4</v>
      </c>
      <c r="AJE286" s="16" t="n">
        <v>26.7</v>
      </c>
      <c r="AJF286" s="0" t="n">
        <v>65.11</v>
      </c>
      <c r="AJG286" s="0" t="n">
        <v>0</v>
      </c>
      <c r="AJH286" s="0" t="n">
        <v>2.75</v>
      </c>
      <c r="AJI286" s="0" t="n">
        <v>0</v>
      </c>
      <c r="AJJ286" s="0" t="n">
        <v>32.14</v>
      </c>
      <c r="AJK286" s="0" t="n">
        <v>0</v>
      </c>
      <c r="AJL286" s="0" t="n">
        <v>0</v>
      </c>
      <c r="AJM286" s="0" t="n">
        <v>0</v>
      </c>
      <c r="AJN286" s="0" t="n">
        <v>0</v>
      </c>
      <c r="AJO286" s="0" t="n">
        <v>0</v>
      </c>
      <c r="AJP286" s="0" t="n">
        <v>0</v>
      </c>
      <c r="AJQ286" s="0" t="n">
        <v>0</v>
      </c>
      <c r="AJR286" s="0" t="n">
        <v>24.37</v>
      </c>
      <c r="AJS286" s="0" t="n">
        <v>6.53</v>
      </c>
      <c r="AJT286" s="0" t="n">
        <v>31.2</v>
      </c>
      <c r="AJU286" s="0" t="n">
        <v>0</v>
      </c>
      <c r="AJV286" s="0" t="n">
        <v>13</v>
      </c>
      <c r="AJW286" s="0" t="n">
        <v>1</v>
      </c>
      <c r="AJX286" s="0" t="n">
        <v>7</v>
      </c>
      <c r="AJZ286" s="0" t="n">
        <v>2</v>
      </c>
      <c r="AKJ286" s="0" t="n">
        <v>0</v>
      </c>
      <c r="AKK286" s="0" t="n">
        <v>0</v>
      </c>
      <c r="AKV286" s="18"/>
      <c r="ALN286" s="0" t="n">
        <v>0</v>
      </c>
    </row>
    <row r="287" customFormat="false" ht="13.8" hidden="false" customHeight="false" outlineLevel="0" collapsed="false">
      <c r="A287" s="1" t="s">
        <v>852</v>
      </c>
      <c r="B287" s="12" t="n">
        <v>42909</v>
      </c>
      <c r="C287" s="0" t="n">
        <v>1</v>
      </c>
      <c r="D287" s="13" t="n">
        <v>42811</v>
      </c>
      <c r="E287" s="12" t="n">
        <v>34949</v>
      </c>
      <c r="F287" s="14" t="n">
        <f aca="false">(B287-E287)/365.25</f>
        <v>21.7932922655715</v>
      </c>
      <c r="G287" s="14" t="n">
        <f aca="false">(B287-D287)/365.25</f>
        <v>0.268309377138946</v>
      </c>
      <c r="H287" s="19" t="s">
        <v>306</v>
      </c>
      <c r="I287" s="15" t="s">
        <v>832</v>
      </c>
      <c r="J287" s="15" t="s">
        <v>181</v>
      </c>
      <c r="K287" s="15" t="n">
        <v>4</v>
      </c>
      <c r="L287" s="19" t="n">
        <v>68</v>
      </c>
      <c r="M287" s="0" t="n">
        <v>1.63</v>
      </c>
      <c r="N287" s="16" t="n">
        <f aca="false">L287/(M287*M287)</f>
        <v>25.5937370619895</v>
      </c>
      <c r="O287" s="19" t="n">
        <v>0</v>
      </c>
      <c r="P287" s="19" t="n">
        <v>0</v>
      </c>
      <c r="Q287" s="19" t="n">
        <v>0</v>
      </c>
      <c r="R287" s="26" t="n">
        <v>0</v>
      </c>
      <c r="S287" s="26" t="n">
        <v>0</v>
      </c>
      <c r="T287" s="26" t="n">
        <v>0</v>
      </c>
      <c r="U287" s="26" t="n">
        <v>0</v>
      </c>
      <c r="V287" s="26" t="n">
        <v>0</v>
      </c>
      <c r="W287" s="19" t="n">
        <v>0</v>
      </c>
      <c r="X287" s="19"/>
      <c r="Y287" s="19" t="n">
        <v>0</v>
      </c>
      <c r="Z287" s="19" t="n">
        <v>0</v>
      </c>
      <c r="AA287" s="19" t="n">
        <v>0</v>
      </c>
      <c r="AB287" s="19" t="n">
        <v>0</v>
      </c>
      <c r="AC287" s="19" t="n">
        <v>1</v>
      </c>
      <c r="AD287" s="19" t="n">
        <v>2</v>
      </c>
      <c r="AE287" s="19" t="n">
        <v>0</v>
      </c>
      <c r="AF287" s="19" t="n">
        <v>0</v>
      </c>
      <c r="AG287" s="19" t="n">
        <v>0</v>
      </c>
      <c r="AH287" s="19" t="n">
        <v>0</v>
      </c>
      <c r="AI287" s="19" t="n">
        <v>0</v>
      </c>
      <c r="AJ287" s="19" t="n">
        <v>0</v>
      </c>
      <c r="AK287" s="19" t="n">
        <v>0</v>
      </c>
      <c r="AL287" s="19" t="n">
        <v>0</v>
      </c>
      <c r="AM287" s="26" t="n">
        <v>0</v>
      </c>
      <c r="AN287" s="19" t="n">
        <v>0</v>
      </c>
      <c r="AO287" s="19" t="n">
        <v>0</v>
      </c>
      <c r="AP287" s="19" t="n">
        <v>0</v>
      </c>
      <c r="AQ287" s="19" t="n">
        <v>0</v>
      </c>
      <c r="AR287" s="19" t="n">
        <v>0</v>
      </c>
      <c r="AS287" s="19" t="n">
        <v>3</v>
      </c>
      <c r="AT287" s="19" t="n">
        <v>0</v>
      </c>
      <c r="AU287" s="19" t="n">
        <v>0</v>
      </c>
      <c r="AV287" s="19" t="n">
        <v>0</v>
      </c>
      <c r="AW287" s="19" t="n">
        <v>0</v>
      </c>
      <c r="AX287" s="19" t="n">
        <v>0</v>
      </c>
      <c r="AY287" s="19" t="n">
        <v>0</v>
      </c>
      <c r="AZ287" s="19" t="n">
        <v>0</v>
      </c>
      <c r="BA287" s="19" t="n">
        <v>0</v>
      </c>
      <c r="BB287" s="19" t="n">
        <v>0</v>
      </c>
      <c r="BC287" s="19" t="n">
        <v>0</v>
      </c>
      <c r="BD287" s="19" t="n">
        <v>0</v>
      </c>
      <c r="BE287" s="19" t="n">
        <v>0</v>
      </c>
      <c r="BF287" s="19" t="n">
        <v>0</v>
      </c>
      <c r="BG287" s="19" t="n">
        <v>0</v>
      </c>
      <c r="BH287" s="19" t="n">
        <v>0</v>
      </c>
      <c r="BI287" s="19" t="n">
        <v>0</v>
      </c>
      <c r="BJ287" s="19" t="n">
        <v>0</v>
      </c>
      <c r="BK287" s="19" t="n">
        <v>0</v>
      </c>
      <c r="BL287" s="19" t="n">
        <v>0</v>
      </c>
      <c r="BM287" s="19" t="n">
        <v>0</v>
      </c>
      <c r="BN287" s="19" t="n">
        <v>1</v>
      </c>
      <c r="BO287" s="19" t="n">
        <v>0</v>
      </c>
      <c r="BP287" s="19" t="n">
        <v>0</v>
      </c>
      <c r="BQ287" s="19" t="n">
        <v>0</v>
      </c>
      <c r="BR287" s="19" t="n">
        <v>2</v>
      </c>
      <c r="BS287" s="19" t="n">
        <v>2</v>
      </c>
      <c r="BT287" s="19" t="n">
        <v>3</v>
      </c>
      <c r="BU287" s="19" t="n">
        <v>5</v>
      </c>
      <c r="BV287" s="19" t="n">
        <v>2</v>
      </c>
      <c r="BW287" s="19" t="n">
        <v>2</v>
      </c>
      <c r="BX287" s="19" t="n">
        <v>3</v>
      </c>
      <c r="BY287" s="19" t="n">
        <v>3</v>
      </c>
      <c r="BZ287" s="19" t="n">
        <v>4</v>
      </c>
      <c r="CA287" s="19" t="n">
        <v>4</v>
      </c>
      <c r="CB287" s="19" t="n">
        <v>5</v>
      </c>
      <c r="CC287" s="19" t="n">
        <v>5</v>
      </c>
      <c r="CD287" s="19" t="n">
        <v>4</v>
      </c>
      <c r="CE287" s="19" t="n">
        <v>5</v>
      </c>
      <c r="CF287" s="19" t="n">
        <v>5</v>
      </c>
      <c r="CG287" s="19" t="n">
        <v>5</v>
      </c>
      <c r="CH287" s="19" t="n">
        <v>5</v>
      </c>
      <c r="CI287" s="19" t="n">
        <v>5</v>
      </c>
      <c r="CJ287" s="19" t="n">
        <v>4</v>
      </c>
      <c r="CK287" s="19" t="n">
        <v>7</v>
      </c>
      <c r="CL287" s="0" t="s">
        <v>833</v>
      </c>
      <c r="CM287" s="0" t="n">
        <v>31</v>
      </c>
      <c r="CN287" s="16" t="n">
        <v>82.6</v>
      </c>
      <c r="CO287" s="16" t="n">
        <v>83.4</v>
      </c>
      <c r="CP287" s="16" t="n">
        <v>5.7</v>
      </c>
      <c r="CQ287" s="0" t="n">
        <v>99.97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0</v>
      </c>
      <c r="DB287" s="0" t="n">
        <v>7.3</v>
      </c>
      <c r="DC287" s="0" t="n">
        <v>53.74</v>
      </c>
      <c r="DD287" s="0" t="n">
        <v>0</v>
      </c>
      <c r="DE287" s="0" t="n">
        <v>0</v>
      </c>
      <c r="DF287" s="0" t="n">
        <v>0</v>
      </c>
      <c r="DG287" s="0" t="n">
        <v>17.6</v>
      </c>
      <c r="DH287" s="0" t="n">
        <v>1</v>
      </c>
      <c r="DI287" s="0" t="n">
        <v>4.6</v>
      </c>
      <c r="DK287" s="0" t="n">
        <v>2</v>
      </c>
      <c r="DU287" s="0" t="n">
        <v>2.4</v>
      </c>
      <c r="DV287" s="0" t="n">
        <v>0</v>
      </c>
      <c r="EG287" s="18"/>
      <c r="EY287" s="0" t="n">
        <v>1</v>
      </c>
      <c r="EZ287" s="0" t="n">
        <v>60</v>
      </c>
      <c r="FA287" s="0" t="n">
        <f aca="false">4+6+1+3+1+3</f>
        <v>18</v>
      </c>
      <c r="FB287" s="0" t="n">
        <f aca="false">0.73+2.2+0.13+0.39+0.78+0.52</f>
        <v>4.75</v>
      </c>
      <c r="FC287" s="0" t="n">
        <v>3</v>
      </c>
      <c r="FD287" s="0" t="n">
        <v>50</v>
      </c>
      <c r="FE287" s="0" t="n">
        <f aca="false">14</f>
        <v>14</v>
      </c>
      <c r="FF287" s="0" t="n">
        <f aca="false">4.4+2.94+0.52</f>
        <v>7.86</v>
      </c>
      <c r="FG287" s="0" t="n">
        <v>3</v>
      </c>
      <c r="GJ287" s="16" t="n">
        <v>0</v>
      </c>
      <c r="GK287" s="16" t="n">
        <v>0</v>
      </c>
      <c r="GL287" s="16"/>
      <c r="GM287" s="16"/>
      <c r="GN287" s="16"/>
      <c r="GO287" s="16"/>
      <c r="GP287" s="16"/>
      <c r="GQ287" s="16"/>
      <c r="GR287" s="16"/>
      <c r="GS287" s="16"/>
      <c r="GT287" s="16"/>
      <c r="GU287" s="16" t="n">
        <v>5.21</v>
      </c>
      <c r="GV287" s="16" t="n">
        <v>2.59</v>
      </c>
      <c r="GW287" s="16"/>
      <c r="GX287" s="16"/>
      <c r="GY287" s="16" t="n">
        <v>0</v>
      </c>
      <c r="GZ287" s="16" t="n">
        <v>0</v>
      </c>
      <c r="HA287" s="16" t="n">
        <v>0</v>
      </c>
      <c r="HB287" s="0" t="n">
        <v>0</v>
      </c>
      <c r="HC287" s="0" t="s">
        <v>834</v>
      </c>
      <c r="HD287" s="0" t="n">
        <v>30.5</v>
      </c>
      <c r="HE287" s="16" t="n">
        <v>73.4</v>
      </c>
      <c r="HF287" s="16" t="n">
        <v>83.4</v>
      </c>
      <c r="HG287" s="16" t="n">
        <v>5.7</v>
      </c>
      <c r="HH287" s="0" t="n">
        <v>100</v>
      </c>
      <c r="HI287" s="0" t="n">
        <v>0</v>
      </c>
      <c r="HJ287" s="0" t="n">
        <v>0</v>
      </c>
      <c r="HK287" s="0" t="n">
        <v>0</v>
      </c>
      <c r="HL287" s="0" t="n">
        <v>0</v>
      </c>
      <c r="HM287" s="0" t="n">
        <v>0</v>
      </c>
      <c r="HN287" s="0" t="n">
        <v>0</v>
      </c>
      <c r="HO287" s="0" t="n">
        <v>0</v>
      </c>
      <c r="HP287" s="0" t="n">
        <v>0</v>
      </c>
      <c r="HQ287" s="0" t="n">
        <v>0</v>
      </c>
      <c r="HR287" s="0" t="n">
        <v>0</v>
      </c>
      <c r="HS287" s="0" t="n">
        <v>7.69</v>
      </c>
      <c r="HT287" s="0" t="n">
        <v>47.61</v>
      </c>
      <c r="HU287" s="0" t="n">
        <v>0</v>
      </c>
      <c r="HV287" s="0" t="n">
        <v>0</v>
      </c>
      <c r="HW287" s="0" t="n">
        <v>0</v>
      </c>
      <c r="HX287" s="0" t="n">
        <v>16.4</v>
      </c>
      <c r="HY287" s="0" t="n">
        <v>1</v>
      </c>
      <c r="HZ287" s="0" t="n">
        <v>4.6</v>
      </c>
      <c r="IB287" s="0" t="n">
        <v>2</v>
      </c>
      <c r="IL287" s="0" t="n">
        <v>1.4</v>
      </c>
      <c r="IM287" s="0" t="n">
        <v>0</v>
      </c>
      <c r="IX287" s="18"/>
      <c r="JP287" s="0" t="n">
        <v>1</v>
      </c>
      <c r="JQ287" s="0" t="n">
        <v>60</v>
      </c>
      <c r="JR287" s="0" t="n">
        <v>7</v>
      </c>
      <c r="JS287" s="0" t="n">
        <f aca="false">0.73+2.2+0.39</f>
        <v>3.32</v>
      </c>
      <c r="JT287" s="0" t="n">
        <v>3</v>
      </c>
      <c r="JU287" s="0" t="n">
        <v>50</v>
      </c>
      <c r="JV287" s="0" t="n">
        <v>10</v>
      </c>
      <c r="JW287" s="0" t="n">
        <f aca="false">4.4+2.94</f>
        <v>7.34</v>
      </c>
      <c r="LA287" s="16" t="n">
        <v>0</v>
      </c>
      <c r="LB287" s="16" t="n">
        <v>0</v>
      </c>
      <c r="LC287" s="16"/>
      <c r="LD287" s="16"/>
      <c r="LE287" s="16"/>
      <c r="LF287" s="16"/>
      <c r="LG287" s="16"/>
      <c r="LH287" s="16"/>
      <c r="LI287" s="16"/>
      <c r="LJ287" s="16"/>
      <c r="LK287" s="16"/>
      <c r="LL287" s="16" t="n">
        <v>6.95</v>
      </c>
      <c r="LM287" s="16" t="n">
        <v>10.27</v>
      </c>
      <c r="LN287" s="16"/>
      <c r="LO287" s="16"/>
      <c r="LP287" s="16" t="n">
        <v>0</v>
      </c>
      <c r="LQ287" s="16" t="n">
        <v>0</v>
      </c>
      <c r="LR287" s="16" t="n">
        <v>0</v>
      </c>
      <c r="LS287" s="0" t="n">
        <v>0</v>
      </c>
      <c r="LT287" s="0" t="n">
        <v>94</v>
      </c>
      <c r="LU287" s="0" t="n">
        <v>24.5</v>
      </c>
      <c r="LV287" s="16" t="n">
        <v>88.7</v>
      </c>
      <c r="LW287" s="16" t="n">
        <v>83.4</v>
      </c>
      <c r="LX287" s="16" t="n">
        <v>23.1</v>
      </c>
      <c r="LY287" s="0" t="n">
        <v>69.95</v>
      </c>
      <c r="LZ287" s="0" t="n">
        <v>0</v>
      </c>
      <c r="MA287" s="0" t="n">
        <v>7.16</v>
      </c>
      <c r="MB287" s="0" t="n">
        <v>0</v>
      </c>
      <c r="MC287" s="0" t="n">
        <v>0</v>
      </c>
      <c r="MD287" s="0" t="n">
        <v>0</v>
      </c>
      <c r="ME287" s="0" t="n">
        <v>0</v>
      </c>
      <c r="MF287" s="0" t="n">
        <v>0</v>
      </c>
      <c r="MG287" s="0" t="n">
        <v>0</v>
      </c>
      <c r="MH287" s="0" t="n">
        <v>0</v>
      </c>
      <c r="MI287" s="0" t="n">
        <v>0</v>
      </c>
      <c r="MJ287" s="0" t="n">
        <v>0</v>
      </c>
      <c r="MK287" s="0" t="n">
        <v>34.04</v>
      </c>
      <c r="ML287" s="0" t="n">
        <v>20.5</v>
      </c>
      <c r="MM287" s="0" t="n">
        <v>0</v>
      </c>
      <c r="MN287" s="0" t="n">
        <v>22.9</v>
      </c>
      <c r="MO287" s="0" t="n">
        <v>0</v>
      </c>
      <c r="MP287" s="0" t="n">
        <v>0</v>
      </c>
      <c r="NC287" s="0" t="n">
        <v>0</v>
      </c>
      <c r="ND287" s="0" t="n">
        <v>0</v>
      </c>
      <c r="NO287" s="18"/>
      <c r="OG287" s="0" t="n">
        <v>0</v>
      </c>
      <c r="PR287" s="16" t="n">
        <v>0</v>
      </c>
      <c r="PS287" s="16" t="n">
        <v>0</v>
      </c>
      <c r="PT287" s="16"/>
      <c r="PU287" s="16"/>
      <c r="PV287" s="16"/>
      <c r="PW287" s="16"/>
      <c r="PX287" s="16"/>
      <c r="PY287" s="16"/>
      <c r="PZ287" s="16"/>
      <c r="QA287" s="16"/>
      <c r="QB287" s="16"/>
      <c r="QC287" s="16" t="n">
        <v>0</v>
      </c>
      <c r="QD287" s="16" t="n">
        <v>0</v>
      </c>
      <c r="QE287" s="16"/>
      <c r="QF287" s="16"/>
      <c r="QG287" s="16" t="n">
        <v>0</v>
      </c>
      <c r="QH287" s="16" t="n">
        <v>0</v>
      </c>
      <c r="QI287" s="16" t="n">
        <v>1.44</v>
      </c>
      <c r="QJ287" s="0" t="n">
        <v>0</v>
      </c>
      <c r="QK287" s="0" t="s">
        <v>835</v>
      </c>
      <c r="QL287" s="0" t="n">
        <v>19</v>
      </c>
      <c r="QM287" s="16" t="n">
        <v>73.2</v>
      </c>
      <c r="QN287" s="16" t="n">
        <v>83.4</v>
      </c>
      <c r="QO287" s="16" t="n">
        <v>11.1</v>
      </c>
      <c r="QP287" s="0" t="n">
        <v>92.58</v>
      </c>
      <c r="QQ287" s="0" t="n">
        <v>0</v>
      </c>
      <c r="QR287" s="0" t="n">
        <v>1.25</v>
      </c>
      <c r="QS287" s="0" t="n">
        <v>0</v>
      </c>
      <c r="QT287" s="0" t="n">
        <v>5.34</v>
      </c>
      <c r="QU287" s="0" t="n">
        <v>0</v>
      </c>
      <c r="QV287" s="0" t="n">
        <v>0</v>
      </c>
      <c r="QW287" s="0" t="n">
        <v>0</v>
      </c>
      <c r="QX287" s="0" t="n">
        <v>0</v>
      </c>
      <c r="QY287" s="0" t="n">
        <v>0</v>
      </c>
      <c r="QZ287" s="0" t="n">
        <v>0</v>
      </c>
      <c r="RA287" s="0" t="n">
        <v>4.77</v>
      </c>
      <c r="RB287" s="0" t="n">
        <v>22.03</v>
      </c>
      <c r="RC287" s="0" t="n">
        <v>27.08</v>
      </c>
      <c r="RD287" s="0" t="n">
        <v>1.58</v>
      </c>
      <c r="RE287" s="0" t="n">
        <v>0.83</v>
      </c>
      <c r="RF287" s="0" t="n">
        <v>0</v>
      </c>
      <c r="RG287" s="0" t="n">
        <v>0</v>
      </c>
      <c r="RT287" s="0" t="n">
        <v>0.5</v>
      </c>
      <c r="RU287" s="0" t="n">
        <v>1</v>
      </c>
      <c r="RV287" s="0" t="n">
        <v>35</v>
      </c>
      <c r="RW287" s="0" t="n">
        <v>4</v>
      </c>
      <c r="RX287" s="0" t="n">
        <v>0.1</v>
      </c>
      <c r="RY287" s="0" t="n">
        <v>3</v>
      </c>
      <c r="SF287" s="18"/>
      <c r="SX287" s="0" t="n">
        <v>1</v>
      </c>
      <c r="SY287" s="0" t="n">
        <v>40</v>
      </c>
      <c r="SZ287" s="0" t="n">
        <v>1</v>
      </c>
      <c r="TA287" s="0" t="n">
        <v>1.25</v>
      </c>
      <c r="TB287" s="0" t="n">
        <v>3</v>
      </c>
      <c r="TC287" s="0" t="n">
        <v>50</v>
      </c>
      <c r="TD287" s="0" t="n">
        <v>1</v>
      </c>
      <c r="TE287" s="0" t="n">
        <v>0.05</v>
      </c>
      <c r="TF287" s="0" t="n">
        <v>3</v>
      </c>
      <c r="TG287" s="0" t="n">
        <v>60</v>
      </c>
      <c r="TH287" s="0" t="n">
        <f aca="false">18+9</f>
        <v>27</v>
      </c>
      <c r="TI287" s="0" t="n">
        <f aca="false">2.27+1.14</f>
        <v>3.41</v>
      </c>
      <c r="TJ287" s="0" t="n">
        <v>3</v>
      </c>
      <c r="UI287" s="16" t="n">
        <v>3.7</v>
      </c>
      <c r="UJ287" s="16" t="n">
        <v>1</v>
      </c>
      <c r="UK287" s="16" t="n">
        <v>1</v>
      </c>
      <c r="UL287" s="16"/>
      <c r="UM287" s="16" t="n">
        <f aca="false">4+0.13+0.01+0.73+1.65+0.02</f>
        <v>6.54</v>
      </c>
      <c r="UN287" s="16" t="n">
        <v>2</v>
      </c>
      <c r="UO287" s="16"/>
      <c r="UP287" s="16" t="n">
        <f aca="false">0.18*2</f>
        <v>0.36</v>
      </c>
      <c r="UQ287" s="16"/>
      <c r="UR287" s="16"/>
      <c r="US287" s="16"/>
      <c r="UT287" s="16" t="n">
        <v>3.32</v>
      </c>
      <c r="UU287" s="16" t="n">
        <v>3.31</v>
      </c>
      <c r="UV287" s="16"/>
      <c r="UW287" s="16"/>
      <c r="UX287" s="16" t="n">
        <v>0</v>
      </c>
      <c r="UY287" s="16" t="n">
        <v>0</v>
      </c>
      <c r="UZ287" s="16" t="n">
        <v>0.22</v>
      </c>
      <c r="VA287" s="0" t="n">
        <v>0</v>
      </c>
      <c r="VB287" s="0" t="s">
        <v>836</v>
      </c>
      <c r="VC287" s="0" t="n">
        <v>26.5</v>
      </c>
      <c r="VD287" s="16" t="n">
        <v>70.7</v>
      </c>
      <c r="VE287" s="16" t="n">
        <v>83.4</v>
      </c>
      <c r="VF287" s="16" t="n">
        <v>8.8</v>
      </c>
      <c r="VG287" s="0" t="n">
        <v>94.65</v>
      </c>
      <c r="VH287" s="0" t="n">
        <v>0</v>
      </c>
      <c r="VI287" s="0" t="n">
        <v>0.21</v>
      </c>
      <c r="VJ287" s="0" t="n">
        <v>0</v>
      </c>
      <c r="VK287" s="0" t="n">
        <v>4.31</v>
      </c>
      <c r="VL287" s="0" t="n">
        <v>0</v>
      </c>
      <c r="VM287" s="0" t="n">
        <v>0</v>
      </c>
      <c r="VN287" s="0" t="n">
        <v>0</v>
      </c>
      <c r="VO287" s="0" t="n">
        <v>0</v>
      </c>
      <c r="VP287" s="0" t="n">
        <v>0</v>
      </c>
      <c r="VQ287" s="0" t="n">
        <v>0</v>
      </c>
      <c r="VR287" s="0" t="n">
        <v>1.21</v>
      </c>
      <c r="VS287" s="0" t="n">
        <v>19.41</v>
      </c>
      <c r="VT287" s="0" t="n">
        <v>20.37</v>
      </c>
      <c r="VU287" s="0" t="n">
        <v>0.21</v>
      </c>
      <c r="VV287" s="0" t="n">
        <v>0.83</v>
      </c>
      <c r="VW287" s="0" t="n">
        <v>12.2</v>
      </c>
      <c r="VX287" s="0" t="n">
        <v>1</v>
      </c>
      <c r="VY287" s="0" t="n">
        <v>5</v>
      </c>
      <c r="WA287" s="0" t="n">
        <v>2</v>
      </c>
      <c r="WK287" s="0" t="n">
        <v>0</v>
      </c>
      <c r="WL287" s="0" t="n">
        <v>0</v>
      </c>
      <c r="WW287" s="18"/>
      <c r="XO287" s="0" t="n">
        <v>1</v>
      </c>
      <c r="XP287" s="0" t="n">
        <v>40</v>
      </c>
      <c r="XQ287" s="0" t="n">
        <v>1</v>
      </c>
      <c r="XR287" s="0" t="n">
        <v>0.21</v>
      </c>
      <c r="XS287" s="0" t="n">
        <v>3</v>
      </c>
      <c r="XT287" s="0" t="n">
        <v>80</v>
      </c>
      <c r="XU287" s="0" t="n">
        <v>4</v>
      </c>
      <c r="XV287" s="0" t="n">
        <v>0.5</v>
      </c>
      <c r="XW287" s="0" t="n">
        <v>2</v>
      </c>
      <c r="XX287" s="0" t="n">
        <v>60</v>
      </c>
      <c r="XY287" s="0" t="n">
        <f aca="false">18+9</f>
        <v>27</v>
      </c>
      <c r="XZ287" s="0" t="n">
        <f aca="false">2.27+1.14</f>
        <v>3.41</v>
      </c>
      <c r="YA287" s="0" t="n">
        <v>2</v>
      </c>
      <c r="YZ287" s="16" t="n">
        <v>3.54</v>
      </c>
      <c r="ZA287" s="16" t="n">
        <v>1</v>
      </c>
      <c r="ZB287" s="16" t="n">
        <v>1</v>
      </c>
      <c r="ZC287" s="16"/>
      <c r="ZD287" s="16" t="n">
        <f aca="false">4+0.73*2+1.65</f>
        <v>7.11</v>
      </c>
      <c r="ZE287" s="16"/>
      <c r="ZF287" s="16"/>
      <c r="ZG287" s="16"/>
      <c r="ZH287" s="16"/>
      <c r="ZI287" s="16"/>
      <c r="ZJ287" s="16"/>
      <c r="ZK287" s="16" t="n">
        <v>1.47</v>
      </c>
      <c r="ZL287" s="16" t="n">
        <v>1.47</v>
      </c>
      <c r="ZM287" s="16"/>
      <c r="ZN287" s="16"/>
      <c r="ZO287" s="16" t="n">
        <v>0</v>
      </c>
      <c r="ZP287" s="16" t="n">
        <v>0</v>
      </c>
      <c r="ZQ287" s="16" t="n">
        <v>0.22</v>
      </c>
      <c r="ZR287" s="0" t="n">
        <v>0</v>
      </c>
      <c r="ZS287" s="0" t="s">
        <v>841</v>
      </c>
      <c r="ZT287" s="0" t="n">
        <v>18.5</v>
      </c>
      <c r="ZU287" s="16" t="n">
        <v>91.6</v>
      </c>
      <c r="ZV287" s="16" t="n">
        <v>83.4</v>
      </c>
      <c r="ZW287" s="16" t="n">
        <v>7.5</v>
      </c>
      <c r="ZX287" s="0" t="n">
        <v>96.33</v>
      </c>
      <c r="ZY287" s="0" t="n">
        <v>0</v>
      </c>
      <c r="ZZ287" s="0" t="n">
        <v>0</v>
      </c>
      <c r="AAA287" s="0" t="n">
        <v>0</v>
      </c>
      <c r="AAB287" s="0" t="n">
        <v>3.67</v>
      </c>
      <c r="AAC287" s="0" t="n">
        <v>0</v>
      </c>
      <c r="AAD287" s="0" t="n">
        <v>0</v>
      </c>
      <c r="AAE287" s="0" t="n">
        <v>0</v>
      </c>
      <c r="AAF287" s="0" t="n">
        <v>0</v>
      </c>
      <c r="AAG287" s="0" t="n">
        <v>0</v>
      </c>
      <c r="AAH287" s="0" t="n">
        <v>0</v>
      </c>
      <c r="AAI287" s="0" t="n">
        <v>3.67</v>
      </c>
      <c r="AAJ287" s="0" t="n">
        <v>45.98</v>
      </c>
      <c r="AAK287" s="0" t="n">
        <v>17.9</v>
      </c>
      <c r="AAL287" s="0" t="n">
        <v>0</v>
      </c>
      <c r="AAM287" s="0" t="n">
        <v>0</v>
      </c>
      <c r="AAN287" s="0" t="n">
        <v>0</v>
      </c>
      <c r="AAO287" s="0" t="n">
        <v>0</v>
      </c>
      <c r="ABB287" s="0" t="n">
        <v>0</v>
      </c>
      <c r="ABC287" s="0" t="n">
        <v>0</v>
      </c>
      <c r="ABN287" s="18"/>
      <c r="ACF287" s="0" t="n">
        <v>0</v>
      </c>
      <c r="ACJ287" s="0" t="n">
        <v>1</v>
      </c>
      <c r="ACK287" s="0" t="n">
        <v>50</v>
      </c>
      <c r="ACL287" s="0" t="n">
        <v>1</v>
      </c>
      <c r="ACM287" s="0" t="n">
        <v>0.04</v>
      </c>
      <c r="ACN287" s="0" t="n">
        <v>3</v>
      </c>
      <c r="ADQ287" s="16" t="n">
        <v>1.44</v>
      </c>
      <c r="ADR287" s="16" t="n">
        <v>1</v>
      </c>
      <c r="ADS287" s="16" t="n">
        <v>1</v>
      </c>
      <c r="ADT287" s="16"/>
      <c r="ADU287" s="16" t="n">
        <f aca="false">1.65+0.18*2+9.17</f>
        <v>11.18</v>
      </c>
      <c r="ADV287" s="16"/>
      <c r="ADW287" s="16"/>
      <c r="ADX287" s="16"/>
      <c r="ADY287" s="16"/>
      <c r="ADZ287" s="16"/>
      <c r="AEA287" s="16"/>
      <c r="AEB287" s="16" t="n">
        <v>5.88</v>
      </c>
      <c r="AEC287" s="16" t="n">
        <v>13.5</v>
      </c>
      <c r="AED287" s="16"/>
      <c r="AEE287" s="16"/>
      <c r="AEF287" s="16" t="n">
        <v>3.6</v>
      </c>
      <c r="AEG287" s="16" t="n">
        <v>1.1</v>
      </c>
      <c r="AEH287" s="16" t="n">
        <v>0</v>
      </c>
      <c r="AEI287" s="0" t="n">
        <v>0</v>
      </c>
      <c r="AEJ287" s="0" t="s">
        <v>837</v>
      </c>
      <c r="AEK287" s="0" t="n">
        <v>30.5</v>
      </c>
      <c r="AEL287" s="16" t="n">
        <v>92</v>
      </c>
      <c r="AEM287" s="16" t="n">
        <v>83.4</v>
      </c>
      <c r="AEN287" s="16" t="n">
        <v>5.9</v>
      </c>
      <c r="AEO287" s="0" t="n">
        <v>98.99</v>
      </c>
      <c r="AEP287" s="0" t="n">
        <v>1.01</v>
      </c>
      <c r="AEQ287" s="0" t="n">
        <v>0</v>
      </c>
      <c r="AER287" s="0" t="n">
        <v>0</v>
      </c>
      <c r="AES287" s="0" t="n">
        <v>0</v>
      </c>
      <c r="AET287" s="0" t="n">
        <v>0</v>
      </c>
      <c r="AEU287" s="0" t="n">
        <v>0</v>
      </c>
      <c r="AEV287" s="0" t="n">
        <v>0</v>
      </c>
      <c r="AEW287" s="0" t="n">
        <v>0</v>
      </c>
      <c r="AEX287" s="0" t="n">
        <v>0</v>
      </c>
      <c r="AEY287" s="0" t="n">
        <v>0</v>
      </c>
      <c r="AEZ287" s="0" t="n">
        <v>2.66</v>
      </c>
      <c r="AFA287" s="0" t="n">
        <v>46.99</v>
      </c>
      <c r="AFB287" s="0" t="n">
        <v>16.89</v>
      </c>
      <c r="AFC287" s="0" t="n">
        <v>0</v>
      </c>
      <c r="AFD287" s="0" t="n">
        <v>0</v>
      </c>
      <c r="AFE287" s="0" t="n">
        <v>0</v>
      </c>
      <c r="AFF287" s="0" t="n">
        <v>0</v>
      </c>
      <c r="AFS287" s="0" t="n">
        <v>0</v>
      </c>
      <c r="AFT287" s="0" t="n">
        <v>0</v>
      </c>
      <c r="AGE287" s="18"/>
      <c r="AGW287" s="0" t="n">
        <v>0</v>
      </c>
      <c r="AIH287" s="16" t="n">
        <v>8</v>
      </c>
      <c r="AII287" s="16" t="n">
        <v>1</v>
      </c>
      <c r="AIJ287" s="16" t="n">
        <v>1</v>
      </c>
      <c r="AIK287" s="16"/>
      <c r="AIL287" s="16" t="n">
        <f aca="false">1.65+0.18*2+9.17</f>
        <v>11.18</v>
      </c>
      <c r="AIM287" s="16"/>
      <c r="AIN287" s="16"/>
      <c r="AIO287" s="16"/>
      <c r="AIP287" s="16"/>
      <c r="AIQ287" s="16"/>
      <c r="AIR287" s="16"/>
      <c r="AIS287" s="16" t="n">
        <v>6.16</v>
      </c>
      <c r="AIT287" s="16" t="n">
        <v>16.16</v>
      </c>
      <c r="AIU287" s="16"/>
      <c r="AIV287" s="16"/>
      <c r="AIW287" s="16" t="n">
        <v>10</v>
      </c>
      <c r="AIX287" s="16" t="n">
        <v>1.1</v>
      </c>
      <c r="AIY287" s="16" t="n">
        <v>0</v>
      </c>
      <c r="AIZ287" s="0" t="n">
        <v>1</v>
      </c>
      <c r="AJA287" s="0" t="s">
        <v>838</v>
      </c>
      <c r="AJB287" s="0" t="n">
        <v>47.5</v>
      </c>
      <c r="AJC287" s="16" t="n">
        <v>86.8</v>
      </c>
      <c r="AJD287" s="16" t="n">
        <v>83.4</v>
      </c>
      <c r="AJE287" s="16" t="n">
        <v>26.7</v>
      </c>
      <c r="AJF287" s="0" t="n">
        <v>65.11</v>
      </c>
      <c r="AJG287" s="0" t="n">
        <v>0</v>
      </c>
      <c r="AJH287" s="0" t="n">
        <v>2.75</v>
      </c>
      <c r="AJI287" s="0" t="n">
        <v>0</v>
      </c>
      <c r="AJJ287" s="0" t="n">
        <v>32.14</v>
      </c>
      <c r="AJK287" s="0" t="n">
        <v>0</v>
      </c>
      <c r="AJL287" s="0" t="n">
        <v>0</v>
      </c>
      <c r="AJM287" s="0" t="n">
        <v>0</v>
      </c>
      <c r="AJN287" s="0" t="n">
        <v>0</v>
      </c>
      <c r="AJO287" s="0" t="n">
        <v>0</v>
      </c>
      <c r="AJP287" s="0" t="n">
        <v>0</v>
      </c>
      <c r="AJQ287" s="0" t="n">
        <v>0</v>
      </c>
      <c r="AJR287" s="0" t="n">
        <v>24.37</v>
      </c>
      <c r="AJS287" s="0" t="n">
        <v>6.53</v>
      </c>
      <c r="AJT287" s="0" t="n">
        <v>31.2</v>
      </c>
      <c r="AJU287" s="0" t="n">
        <v>0</v>
      </c>
      <c r="AJV287" s="0" t="n">
        <v>13</v>
      </c>
      <c r="AJW287" s="0" t="n">
        <v>1</v>
      </c>
      <c r="AJX287" s="0" t="n">
        <v>7</v>
      </c>
      <c r="AJZ287" s="0" t="n">
        <v>2</v>
      </c>
      <c r="AKJ287" s="0" t="n">
        <v>0</v>
      </c>
      <c r="AKK287" s="0" t="n">
        <v>0</v>
      </c>
      <c r="AKV287" s="18"/>
      <c r="ALN287" s="0" t="n">
        <v>0</v>
      </c>
    </row>
    <row r="288" s="24" customFormat="true" ht="13.8" hidden="false" customHeight="false" outlineLevel="0" collapsed="false">
      <c r="A288" s="22" t="s">
        <v>853</v>
      </c>
      <c r="B288" s="23" t="n">
        <v>42908</v>
      </c>
      <c r="C288" s="24" t="n">
        <v>2</v>
      </c>
      <c r="D288" s="25" t="n">
        <v>40672</v>
      </c>
      <c r="E288" s="23" t="n">
        <v>29791</v>
      </c>
      <c r="F288" s="14" t="n">
        <f aca="false">(B288-E288)/365.25</f>
        <v>35.9123887748118</v>
      </c>
      <c r="G288" s="14" t="n">
        <f aca="false">(B288-D288)/365.25</f>
        <v>6.12183436002738</v>
      </c>
      <c r="H288" s="26" t="s">
        <v>306</v>
      </c>
      <c r="I288" s="21" t="s">
        <v>689</v>
      </c>
      <c r="J288" s="21" t="s">
        <v>183</v>
      </c>
      <c r="K288" s="21" t="n">
        <v>8</v>
      </c>
      <c r="L288" s="26" t="n">
        <v>74</v>
      </c>
      <c r="M288" s="24" t="n">
        <v>1.84</v>
      </c>
      <c r="N288" s="27" t="n">
        <f aca="false">L288/(M288*M288)</f>
        <v>21.8572778827977</v>
      </c>
      <c r="O288" s="26" t="n">
        <v>1</v>
      </c>
      <c r="P288" s="26" t="n">
        <v>1</v>
      </c>
      <c r="Q288" s="26" t="s">
        <v>854</v>
      </c>
      <c r="R288" s="26" t="n">
        <v>0</v>
      </c>
      <c r="S288" s="26" t="n">
        <v>0</v>
      </c>
      <c r="T288" s="26" t="n">
        <v>0</v>
      </c>
      <c r="U288" s="26" t="n">
        <v>0</v>
      </c>
      <c r="V288" s="26" t="n">
        <v>0</v>
      </c>
      <c r="W288" s="26" t="n">
        <v>0</v>
      </c>
      <c r="X288" s="26" t="n">
        <v>0</v>
      </c>
      <c r="Y288" s="26" t="n">
        <v>1</v>
      </c>
      <c r="Z288" s="26" t="n">
        <v>2</v>
      </c>
      <c r="AA288" s="26" t="n">
        <v>90</v>
      </c>
      <c r="AB288" s="26" t="s">
        <v>855</v>
      </c>
      <c r="AC288" s="26" t="n">
        <v>1</v>
      </c>
      <c r="AD288" s="26" t="n">
        <v>15</v>
      </c>
      <c r="AE288" s="26" t="n">
        <v>0</v>
      </c>
      <c r="AF288" s="26" t="n">
        <v>0</v>
      </c>
      <c r="AG288" s="26" t="n">
        <v>0</v>
      </c>
      <c r="AH288" s="26" t="n">
        <v>0</v>
      </c>
      <c r="AI288" s="26" t="n">
        <v>0</v>
      </c>
      <c r="AJ288" s="26" t="n">
        <v>0</v>
      </c>
      <c r="AK288" s="26" t="n">
        <v>0</v>
      </c>
      <c r="AL288" s="26" t="n">
        <v>0</v>
      </c>
      <c r="AM288" s="26" t="n">
        <v>0</v>
      </c>
      <c r="AN288" s="26" t="n">
        <v>0</v>
      </c>
      <c r="AO288" s="26" t="n">
        <v>0</v>
      </c>
      <c r="AP288" s="26" t="n">
        <v>0</v>
      </c>
      <c r="AQ288" s="26" t="n">
        <v>0</v>
      </c>
      <c r="AR288" s="26" t="n">
        <v>0</v>
      </c>
      <c r="AS288" s="26" t="n">
        <v>0</v>
      </c>
      <c r="AT288" s="26" t="n">
        <v>0</v>
      </c>
      <c r="AU288" s="26" t="n">
        <v>0</v>
      </c>
      <c r="AV288" s="26" t="n">
        <v>0</v>
      </c>
      <c r="AW288" s="26" t="n">
        <v>0</v>
      </c>
      <c r="AX288" s="26" t="n">
        <v>0</v>
      </c>
      <c r="AY288" s="26" t="n">
        <v>0</v>
      </c>
      <c r="AZ288" s="26" t="n">
        <v>0</v>
      </c>
      <c r="BA288" s="26" t="n">
        <v>0</v>
      </c>
      <c r="BB288" s="26" t="n">
        <v>1</v>
      </c>
      <c r="BC288" s="26" t="n">
        <v>0</v>
      </c>
      <c r="BD288" s="26" t="n">
        <v>0</v>
      </c>
      <c r="BE288" s="26" t="n">
        <v>0</v>
      </c>
      <c r="BF288" s="26" t="n">
        <v>0</v>
      </c>
      <c r="BG288" s="26" t="n">
        <v>0</v>
      </c>
      <c r="BH288" s="26" t="n">
        <v>0</v>
      </c>
      <c r="BI288" s="26" t="n">
        <v>0</v>
      </c>
      <c r="BJ288" s="26" t="n">
        <v>1</v>
      </c>
      <c r="BK288" s="26" t="n">
        <v>0</v>
      </c>
      <c r="BL288" s="26" t="n">
        <v>0</v>
      </c>
      <c r="BM288" s="26" t="n">
        <v>0</v>
      </c>
      <c r="BN288" s="26" t="n">
        <v>0</v>
      </c>
      <c r="BO288" s="26" t="n">
        <v>0</v>
      </c>
      <c r="BP288" s="26" t="n">
        <v>0</v>
      </c>
      <c r="BQ288" s="26" t="n">
        <v>0</v>
      </c>
      <c r="BR288" s="26" t="n">
        <v>3</v>
      </c>
      <c r="BS288" s="26" t="n">
        <v>1</v>
      </c>
      <c r="BT288" s="26" t="n">
        <v>3</v>
      </c>
      <c r="BU288" s="26" t="n">
        <v>4</v>
      </c>
      <c r="BV288" s="26" t="n">
        <v>2</v>
      </c>
      <c r="BW288" s="26" t="n">
        <v>1</v>
      </c>
      <c r="BX288" s="26" t="n">
        <v>3</v>
      </c>
      <c r="BY288" s="26" t="n">
        <v>4</v>
      </c>
      <c r="BZ288" s="26" t="n">
        <v>3</v>
      </c>
      <c r="CA288" s="26" t="n">
        <v>3</v>
      </c>
      <c r="CB288" s="26" t="n">
        <v>4</v>
      </c>
      <c r="CC288" s="26" t="n">
        <v>5</v>
      </c>
      <c r="CD288" s="26" t="n">
        <v>2</v>
      </c>
      <c r="CE288" s="26" t="n">
        <v>3</v>
      </c>
      <c r="CF288" s="26" t="n">
        <v>3</v>
      </c>
      <c r="CG288" s="26" t="n">
        <v>4</v>
      </c>
      <c r="CH288" s="26" t="n">
        <v>3</v>
      </c>
      <c r="CI288" s="26" t="n">
        <v>4</v>
      </c>
      <c r="CJ288" s="26" t="n">
        <v>4</v>
      </c>
      <c r="CK288" s="26" t="n">
        <v>10</v>
      </c>
      <c r="CL288" s="24" t="s">
        <v>690</v>
      </c>
      <c r="CM288" s="24" t="n">
        <v>38</v>
      </c>
      <c r="CN288" s="27" t="n">
        <v>85.5</v>
      </c>
      <c r="CO288" s="27" t="n">
        <v>83.4</v>
      </c>
      <c r="CP288" s="27" t="n">
        <v>28.7</v>
      </c>
      <c r="CQ288" s="24" t="n">
        <v>61.84</v>
      </c>
      <c r="CR288" s="24" t="n">
        <v>0</v>
      </c>
      <c r="CS288" s="24" t="n">
        <v>0</v>
      </c>
      <c r="CT288" s="24" t="n">
        <v>0</v>
      </c>
      <c r="CU288" s="24" t="n">
        <v>37.42</v>
      </c>
      <c r="CV288" s="24" t="n">
        <v>0</v>
      </c>
      <c r="CW288" s="24" t="n">
        <v>0.73</v>
      </c>
      <c r="CX288" s="24" t="n">
        <v>0</v>
      </c>
      <c r="CY288" s="24" t="n">
        <v>0</v>
      </c>
      <c r="CZ288" s="24" t="n">
        <v>0.74</v>
      </c>
      <c r="DA288" s="24" t="n">
        <v>0</v>
      </c>
      <c r="DB288" s="24" t="n">
        <v>7.34</v>
      </c>
      <c r="DC288" s="24" t="n">
        <v>25.37</v>
      </c>
      <c r="DD288" s="24" t="n">
        <v>15.03</v>
      </c>
      <c r="DE288" s="24" t="n">
        <v>30.09</v>
      </c>
      <c r="DF288" s="24" t="n">
        <v>0</v>
      </c>
      <c r="DG288" s="24" t="n">
        <v>0</v>
      </c>
      <c r="DH288" s="24" t="n">
        <v>0</v>
      </c>
      <c r="DU288" s="24" t="n">
        <v>1.7</v>
      </c>
      <c r="DV288" s="24" t="n">
        <v>0</v>
      </c>
      <c r="EG288" s="28"/>
      <c r="EY288" s="24" t="n">
        <v>1</v>
      </c>
      <c r="EZ288" s="24" t="n">
        <v>50</v>
      </c>
      <c r="FA288" s="24" t="n">
        <v>4</v>
      </c>
      <c r="FB288" s="24" t="n">
        <v>0.46</v>
      </c>
      <c r="FC288" s="24" t="n">
        <v>6</v>
      </c>
      <c r="FD288" s="24" t="n">
        <v>40</v>
      </c>
      <c r="FE288" s="24" t="n">
        <v>10</v>
      </c>
      <c r="FF288" s="24" t="n">
        <f aca="false">0.17*2+0.06+0.07</f>
        <v>0.47</v>
      </c>
      <c r="FG288" s="24" t="n">
        <v>1</v>
      </c>
      <c r="FH288" s="24" t="n">
        <v>40</v>
      </c>
      <c r="FI288" s="24" t="n">
        <v>10</v>
      </c>
      <c r="FJ288" s="24" t="n">
        <f aca="false">0.17*2+0.07*2+0.03</f>
        <v>0.51</v>
      </c>
      <c r="FK288" s="24" t="n">
        <v>6</v>
      </c>
      <c r="FL288" s="24" t="n">
        <v>60</v>
      </c>
      <c r="FM288" s="24" t="n">
        <v>6</v>
      </c>
      <c r="FN288" s="24" t="n">
        <f aca="false">4.4*2+0.39*2+0.26</f>
        <v>9.84</v>
      </c>
      <c r="FO288" s="24" t="n">
        <v>3</v>
      </c>
      <c r="GJ288" s="27" t="n">
        <v>1.55</v>
      </c>
      <c r="GK288" s="27" t="n">
        <v>1</v>
      </c>
      <c r="GL288" s="27" t="n">
        <v>1</v>
      </c>
      <c r="GM288" s="27"/>
      <c r="GN288" s="27" t="n">
        <f aca="false">1.65*2</f>
        <v>3.3</v>
      </c>
      <c r="GO288" s="27" t="n">
        <v>2</v>
      </c>
      <c r="GP288" s="27"/>
      <c r="GQ288" s="27" t="n">
        <v>0.54</v>
      </c>
      <c r="GR288" s="27"/>
      <c r="GS288" s="27"/>
      <c r="GT288" s="27"/>
      <c r="GU288" s="27" t="n">
        <v>5.74</v>
      </c>
      <c r="GV288" s="27" t="n">
        <v>3.64</v>
      </c>
      <c r="GW288" s="27"/>
      <c r="GX288" s="27"/>
      <c r="GY288" s="27" t="n">
        <v>0</v>
      </c>
      <c r="GZ288" s="27" t="n">
        <v>0</v>
      </c>
      <c r="HA288" s="27" t="n">
        <v>0</v>
      </c>
      <c r="HB288" s="24" t="n">
        <v>0</v>
      </c>
      <c r="HC288" s="24" t="s">
        <v>691</v>
      </c>
      <c r="HD288" s="24" t="n">
        <v>63.5</v>
      </c>
      <c r="HE288" s="27" t="n">
        <v>98.9</v>
      </c>
      <c r="HF288" s="27" t="n">
        <v>83.4</v>
      </c>
      <c r="HG288" s="27" t="n">
        <v>51</v>
      </c>
      <c r="HH288" s="24" t="n">
        <v>53.65</v>
      </c>
      <c r="HI288" s="24" t="n">
        <v>0</v>
      </c>
      <c r="HJ288" s="24" t="n">
        <v>11.99</v>
      </c>
      <c r="HK288" s="24" t="n">
        <v>24.1</v>
      </c>
      <c r="HL288" s="24" t="n">
        <v>10.26</v>
      </c>
      <c r="HM288" s="24" t="n">
        <v>0</v>
      </c>
      <c r="HN288" s="24" t="n">
        <v>0</v>
      </c>
      <c r="HO288" s="24" t="n">
        <v>0</v>
      </c>
      <c r="HP288" s="24" t="n">
        <v>0</v>
      </c>
      <c r="HQ288" s="24" t="n">
        <v>0</v>
      </c>
      <c r="HR288" s="24" t="n">
        <v>0</v>
      </c>
      <c r="HS288" s="24" t="n">
        <v>9.1</v>
      </c>
      <c r="HT288" s="24" t="n">
        <v>26.31</v>
      </c>
      <c r="HU288" s="24" t="n">
        <v>5.53</v>
      </c>
      <c r="HV288" s="24" t="n">
        <v>0.94</v>
      </c>
      <c r="HW288" s="24" t="n">
        <v>0</v>
      </c>
      <c r="HX288" s="24" t="n">
        <v>0</v>
      </c>
      <c r="HY288" s="24" t="n">
        <v>0</v>
      </c>
      <c r="IL288" s="24" t="n">
        <v>6.1</v>
      </c>
      <c r="IM288" s="24" t="n">
        <v>0</v>
      </c>
      <c r="IX288" s="28"/>
      <c r="JP288" s="24" t="n">
        <v>1</v>
      </c>
      <c r="JQ288" s="24" t="n">
        <v>50</v>
      </c>
      <c r="JR288" s="24" t="n">
        <v>1</v>
      </c>
      <c r="JS288" s="24" t="n">
        <v>0.39</v>
      </c>
      <c r="JT288" s="24" t="n">
        <v>3</v>
      </c>
      <c r="JU288" s="24" t="n">
        <v>50</v>
      </c>
      <c r="JV288" s="24" t="n">
        <v>2</v>
      </c>
      <c r="JW288" s="24" t="n">
        <f aca="false">0.19+0.23</f>
        <v>0.42</v>
      </c>
      <c r="JX288" s="24" t="n">
        <v>4</v>
      </c>
      <c r="JY288" s="24" t="n">
        <v>60</v>
      </c>
      <c r="JZ288" s="24" t="n">
        <v>12</v>
      </c>
      <c r="KA288" s="24" t="n">
        <f aca="false">0.78*2</f>
        <v>1.56</v>
      </c>
      <c r="KB288" s="24" t="n">
        <v>6</v>
      </c>
      <c r="LA288" s="27" t="n">
        <v>5.39</v>
      </c>
      <c r="LB288" s="27" t="n">
        <v>1</v>
      </c>
      <c r="LC288" s="27" t="n">
        <v>1</v>
      </c>
      <c r="LD288" s="27"/>
      <c r="LE288" s="27" t="n">
        <f aca="false">2.04*3+0.36*2</f>
        <v>6.84</v>
      </c>
      <c r="LF288" s="27" t="n">
        <v>2</v>
      </c>
      <c r="LG288" s="27"/>
      <c r="LH288" s="27" t="n">
        <f aca="false">0.72*2+0.36</f>
        <v>1.8</v>
      </c>
      <c r="LI288" s="27" t="n">
        <v>3</v>
      </c>
      <c r="LJ288" s="27"/>
      <c r="LK288" s="27" t="n">
        <v>0.5</v>
      </c>
      <c r="LL288" s="27" t="n">
        <v>0.94</v>
      </c>
      <c r="LM288" s="27" t="n">
        <v>0.94</v>
      </c>
      <c r="LN288" s="27"/>
      <c r="LO288" s="27"/>
      <c r="LP288" s="27" t="n">
        <v>0</v>
      </c>
      <c r="LQ288" s="27" t="n">
        <v>0</v>
      </c>
      <c r="LR288" s="27" t="n">
        <v>0</v>
      </c>
      <c r="LS288" s="24" t="n">
        <v>0</v>
      </c>
      <c r="LT288" s="24" t="s">
        <v>691</v>
      </c>
      <c r="LU288" s="24" t="n">
        <v>63.5</v>
      </c>
      <c r="LV288" s="27" t="n">
        <v>98.9</v>
      </c>
      <c r="LW288" s="27" t="n">
        <v>83.4</v>
      </c>
      <c r="LX288" s="27" t="n">
        <v>51</v>
      </c>
      <c r="LY288" s="24" t="n">
        <v>53.65</v>
      </c>
      <c r="LZ288" s="24" t="n">
        <v>0</v>
      </c>
      <c r="MA288" s="24" t="n">
        <v>11.99</v>
      </c>
      <c r="MB288" s="24" t="n">
        <v>24.1</v>
      </c>
      <c r="MC288" s="24" t="n">
        <v>10.26</v>
      </c>
      <c r="MD288" s="24" t="n">
        <v>0</v>
      </c>
      <c r="ME288" s="24" t="n">
        <v>0</v>
      </c>
      <c r="MF288" s="24" t="n">
        <v>0</v>
      </c>
      <c r="MG288" s="24" t="n">
        <v>0</v>
      </c>
      <c r="MH288" s="24" t="n">
        <v>0</v>
      </c>
      <c r="MI288" s="24" t="n">
        <v>0</v>
      </c>
      <c r="MJ288" s="24" t="n">
        <v>9.1</v>
      </c>
      <c r="MK288" s="24" t="n">
        <v>26.31</v>
      </c>
      <c r="ML288" s="24" t="n">
        <v>5.53</v>
      </c>
      <c r="MM288" s="24" t="n">
        <v>0.94</v>
      </c>
      <c r="MN288" s="24" t="n">
        <v>0</v>
      </c>
      <c r="MO288" s="24" t="n">
        <v>0</v>
      </c>
      <c r="MP288" s="24" t="n">
        <v>0</v>
      </c>
      <c r="NC288" s="24" t="n">
        <v>6.1</v>
      </c>
      <c r="ND288" s="24" t="n">
        <v>0</v>
      </c>
      <c r="NO288" s="28"/>
      <c r="OG288" s="24" t="n">
        <v>1</v>
      </c>
      <c r="OH288" s="24" t="n">
        <v>50</v>
      </c>
      <c r="OI288" s="24" t="n">
        <v>1</v>
      </c>
      <c r="OJ288" s="24" t="n">
        <v>0.39</v>
      </c>
      <c r="OK288" s="24" t="n">
        <v>3</v>
      </c>
      <c r="OL288" s="24" t="n">
        <v>50</v>
      </c>
      <c r="OM288" s="24" t="n">
        <v>2</v>
      </c>
      <c r="ON288" s="24" t="n">
        <f aca="false">0.19+0.23</f>
        <v>0.42</v>
      </c>
      <c r="OO288" s="24" t="n">
        <v>4</v>
      </c>
      <c r="OP288" s="24" t="n">
        <v>60</v>
      </c>
      <c r="OQ288" s="24" t="n">
        <v>12</v>
      </c>
      <c r="OR288" s="24" t="n">
        <f aca="false">0.78*2</f>
        <v>1.56</v>
      </c>
      <c r="OS288" s="24" t="n">
        <v>6</v>
      </c>
      <c r="PR288" s="27" t="n">
        <v>5.39</v>
      </c>
      <c r="PS288" s="27" t="n">
        <v>1</v>
      </c>
      <c r="PT288" s="27" t="n">
        <v>1</v>
      </c>
      <c r="PU288" s="27"/>
      <c r="PV288" s="27" t="n">
        <f aca="false">2.04*3+0.36*2</f>
        <v>6.84</v>
      </c>
      <c r="PW288" s="27" t="n">
        <v>2</v>
      </c>
      <c r="PX288" s="27"/>
      <c r="PY288" s="27" t="n">
        <f aca="false">0.72*2+0.36</f>
        <v>1.8</v>
      </c>
      <c r="PZ288" s="27" t="n">
        <v>3</v>
      </c>
      <c r="QA288" s="27"/>
      <c r="QB288" s="27" t="n">
        <v>0.5</v>
      </c>
      <c r="QC288" s="27" t="n">
        <v>0.94</v>
      </c>
      <c r="QD288" s="27" t="n">
        <v>0.94</v>
      </c>
      <c r="QE288" s="27"/>
      <c r="QF288" s="27"/>
      <c r="QG288" s="27" t="n">
        <v>0</v>
      </c>
      <c r="QH288" s="27" t="n">
        <v>0</v>
      </c>
      <c r="QI288" s="27" t="n">
        <v>0</v>
      </c>
      <c r="QJ288" s="24" t="n">
        <v>0</v>
      </c>
      <c r="QK288" s="24" t="s">
        <v>692</v>
      </c>
      <c r="QL288" s="24" t="n">
        <v>30.5</v>
      </c>
      <c r="QM288" s="27" t="n">
        <v>69.11</v>
      </c>
      <c r="QN288" s="27" t="n">
        <v>83.4</v>
      </c>
      <c r="QO288" s="27" t="n">
        <v>18.1</v>
      </c>
      <c r="QP288" s="24" t="n">
        <v>79.03</v>
      </c>
      <c r="QQ288" s="24" t="n">
        <v>0.45</v>
      </c>
      <c r="QR288" s="24" t="n">
        <v>0</v>
      </c>
      <c r="QS288" s="24" t="n">
        <v>0</v>
      </c>
      <c r="QT288" s="24" t="n">
        <v>20.52</v>
      </c>
      <c r="QU288" s="24" t="n">
        <v>0</v>
      </c>
      <c r="QV288" s="24" t="n">
        <v>0</v>
      </c>
      <c r="QW288" s="24" t="n">
        <v>0</v>
      </c>
      <c r="QX288" s="24" t="n">
        <v>0</v>
      </c>
      <c r="QY288" s="24" t="n">
        <v>0</v>
      </c>
      <c r="QZ288" s="24" t="n">
        <v>0</v>
      </c>
      <c r="RA288" s="24" t="n">
        <v>0</v>
      </c>
      <c r="RB288" s="24" t="n">
        <v>12.58</v>
      </c>
      <c r="RC288" s="24" t="n">
        <v>17.94</v>
      </c>
      <c r="RD288" s="24" t="n">
        <v>18.04</v>
      </c>
      <c r="RE288" s="24" t="n">
        <v>0</v>
      </c>
      <c r="RF288" s="24" t="n">
        <v>0</v>
      </c>
      <c r="RG288" s="24" t="n">
        <v>0</v>
      </c>
      <c r="RT288" s="24" t="n">
        <v>8.1</v>
      </c>
      <c r="RU288" s="24" t="n">
        <v>1</v>
      </c>
      <c r="RV288" s="24" t="n">
        <v>35</v>
      </c>
      <c r="RW288" s="24" t="n">
        <v>4</v>
      </c>
      <c r="RX288" s="24" t="n">
        <f aca="false">2.2+0.39</f>
        <v>2.59</v>
      </c>
      <c r="RY288" s="24" t="n">
        <v>3</v>
      </c>
      <c r="SF288" s="28"/>
      <c r="SX288" s="24" t="n">
        <v>1</v>
      </c>
      <c r="SY288" s="24" t="n">
        <v>60</v>
      </c>
      <c r="SZ288" s="24" t="n">
        <v>1</v>
      </c>
      <c r="TA288" s="24" t="n">
        <v>0.73</v>
      </c>
      <c r="TB288" s="24" t="n">
        <v>3</v>
      </c>
      <c r="UI288" s="27" t="n">
        <v>3.89</v>
      </c>
      <c r="UJ288" s="27" t="n">
        <v>1</v>
      </c>
      <c r="UK288" s="27" t="n">
        <v>1</v>
      </c>
      <c r="UL288" s="27"/>
      <c r="UM288" s="27" t="n">
        <f aca="false">0.14*2+0.21*2</f>
        <v>0.7</v>
      </c>
      <c r="UN288" s="27" t="n">
        <v>2</v>
      </c>
      <c r="UO288" s="27"/>
      <c r="UP288" s="27" t="n">
        <f aca="false">1.65*2</f>
        <v>3.3</v>
      </c>
      <c r="UQ288" s="27"/>
      <c r="UR288" s="27"/>
      <c r="US288" s="27"/>
      <c r="UT288" s="27" t="n">
        <v>0</v>
      </c>
      <c r="UU288" s="27" t="n">
        <v>0</v>
      </c>
      <c r="UV288" s="27"/>
      <c r="UW288" s="27"/>
      <c r="UX288" s="27" t="n">
        <v>0</v>
      </c>
      <c r="UY288" s="27" t="n">
        <v>0</v>
      </c>
      <c r="UZ288" s="27" t="n">
        <v>0</v>
      </c>
      <c r="VA288" s="24" t="n">
        <v>0</v>
      </c>
      <c r="VB288" s="24" t="s">
        <v>697</v>
      </c>
      <c r="VC288" s="24" t="n">
        <v>42.5</v>
      </c>
      <c r="VD288" s="27" t="n">
        <v>92.2</v>
      </c>
      <c r="VE288" s="27" t="n">
        <v>83.4</v>
      </c>
      <c r="VF288" s="27" t="n">
        <v>33.5</v>
      </c>
      <c r="VG288" s="24" t="n">
        <v>25.89</v>
      </c>
      <c r="VH288" s="24" t="n">
        <v>0</v>
      </c>
      <c r="VI288" s="24" t="n">
        <v>0</v>
      </c>
      <c r="VJ288" s="24" t="n">
        <v>0</v>
      </c>
      <c r="VK288" s="24" t="n">
        <v>0</v>
      </c>
      <c r="VL288" s="24" t="n">
        <v>0</v>
      </c>
      <c r="VM288" s="24" t="n">
        <v>74.11</v>
      </c>
      <c r="VN288" s="24" t="n">
        <v>25.43</v>
      </c>
      <c r="VO288" s="24" t="n">
        <v>9.72</v>
      </c>
      <c r="VP288" s="24" t="n">
        <v>2.94</v>
      </c>
      <c r="VQ288" s="24" t="n">
        <v>0</v>
      </c>
      <c r="VR288" s="24" t="n">
        <v>11.38</v>
      </c>
      <c r="VS288" s="24" t="n">
        <v>16.89</v>
      </c>
      <c r="VT288" s="24" t="n">
        <v>27.26</v>
      </c>
      <c r="VU288" s="24" t="n">
        <v>0</v>
      </c>
      <c r="VV288" s="24" t="n">
        <v>0</v>
      </c>
      <c r="VW288" s="24" t="n">
        <v>0</v>
      </c>
      <c r="VX288" s="24" t="n">
        <v>0</v>
      </c>
      <c r="WK288" s="24" t="n">
        <v>3.6</v>
      </c>
      <c r="WL288" s="24" t="n">
        <v>1</v>
      </c>
      <c r="WM288" s="24" t="n">
        <v>35</v>
      </c>
      <c r="WN288" s="24" t="n">
        <v>6</v>
      </c>
      <c r="WO288" s="24" t="n">
        <f aca="false">0.13*4</f>
        <v>0.52</v>
      </c>
      <c r="WP288" s="24" t="n">
        <v>3</v>
      </c>
      <c r="WQ288" s="24" t="n">
        <v>25</v>
      </c>
      <c r="WR288" s="24" t="n">
        <v>2</v>
      </c>
      <c r="WS288" s="24" t="n">
        <f aca="false">0.13*2</f>
        <v>0.26</v>
      </c>
      <c r="WT288" s="24" t="n">
        <v>4</v>
      </c>
      <c r="WW288" s="28"/>
      <c r="XO288" s="24" t="n">
        <v>0</v>
      </c>
      <c r="YZ288" s="27" t="n">
        <v>3.01</v>
      </c>
      <c r="ZA288" s="27" t="n">
        <v>1</v>
      </c>
      <c r="ZB288" s="27" t="n">
        <v>1</v>
      </c>
      <c r="ZC288" s="27"/>
      <c r="ZD288" s="27" t="n">
        <f aca="false">1.65*5+0.13*2+0.36+0.18</f>
        <v>9.05</v>
      </c>
      <c r="ZE288" s="27"/>
      <c r="ZF288" s="27"/>
      <c r="ZG288" s="27"/>
      <c r="ZH288" s="27"/>
      <c r="ZI288" s="27"/>
      <c r="ZJ288" s="27"/>
      <c r="ZK288" s="27" t="n">
        <v>2.16</v>
      </c>
      <c r="ZL288" s="27" t="n">
        <v>0.52</v>
      </c>
      <c r="ZM288" s="27"/>
      <c r="ZN288" s="27"/>
      <c r="ZO288" s="27" t="n">
        <v>0</v>
      </c>
      <c r="ZP288" s="27" t="n">
        <v>0</v>
      </c>
      <c r="ZQ288" s="27" t="n">
        <v>0</v>
      </c>
      <c r="ZR288" s="24" t="n">
        <v>0</v>
      </c>
      <c r="ZS288" s="24" t="s">
        <v>698</v>
      </c>
      <c r="ZT288" s="24" t="n">
        <v>37</v>
      </c>
      <c r="ZU288" s="27" t="n">
        <v>86.3</v>
      </c>
      <c r="ZV288" s="27" t="n">
        <v>83.4</v>
      </c>
      <c r="ZW288" s="27" t="n">
        <v>31.3</v>
      </c>
      <c r="ZX288" s="24" t="n">
        <v>24.09</v>
      </c>
      <c r="ZY288" s="24" t="n">
        <v>0</v>
      </c>
      <c r="ZZ288" s="24" t="n">
        <v>0</v>
      </c>
      <c r="AAA288" s="24" t="n">
        <v>0</v>
      </c>
      <c r="AAB288" s="24" t="n">
        <v>0</v>
      </c>
      <c r="AAC288" s="24" t="n">
        <v>0</v>
      </c>
      <c r="AAD288" s="24" t="n">
        <v>75.91</v>
      </c>
      <c r="AAE288" s="24" t="n">
        <v>21.83</v>
      </c>
      <c r="AAF288" s="24" t="n">
        <v>8.63</v>
      </c>
      <c r="AAG288" s="24" t="n">
        <v>2.94</v>
      </c>
      <c r="AAH288" s="24" t="n">
        <v>0</v>
      </c>
      <c r="AAI288" s="24" t="n">
        <v>13.66</v>
      </c>
      <c r="AAJ288" s="24" t="n">
        <v>10.54</v>
      </c>
      <c r="AAK288" s="24" t="n">
        <v>28.39</v>
      </c>
      <c r="AAL288" s="24" t="n">
        <v>0</v>
      </c>
      <c r="AAM288" s="24" t="n">
        <v>0</v>
      </c>
      <c r="AAN288" s="24" t="n">
        <v>0</v>
      </c>
      <c r="AAO288" s="24" t="n">
        <v>0</v>
      </c>
      <c r="ABB288" s="24" t="n">
        <v>2.7</v>
      </c>
      <c r="ABC288" s="24" t="n">
        <v>1</v>
      </c>
      <c r="ABD288" s="24" t="n">
        <v>52</v>
      </c>
      <c r="ABE288" s="24" t="n">
        <v>1</v>
      </c>
      <c r="ABF288" s="24" t="n">
        <v>0.39</v>
      </c>
      <c r="ABG288" s="24" t="n">
        <v>2</v>
      </c>
      <c r="ABH288" s="24" t="n">
        <v>35</v>
      </c>
      <c r="ABI288" s="24" t="n">
        <v>4</v>
      </c>
      <c r="ABJ288" s="24" t="n">
        <v>0.26</v>
      </c>
      <c r="ABK288" s="24" t="n">
        <v>3</v>
      </c>
      <c r="ABN288" s="28"/>
      <c r="ACF288" s="24" t="n">
        <v>0</v>
      </c>
      <c r="ADQ288" s="27" t="n">
        <v>2.83</v>
      </c>
      <c r="ADR288" s="27" t="n">
        <v>1</v>
      </c>
      <c r="ADS288" s="27" t="n">
        <v>1</v>
      </c>
      <c r="ADT288" s="27"/>
      <c r="ADU288" s="27" t="n">
        <f aca="false">1.65*5</f>
        <v>8.25</v>
      </c>
      <c r="ADV288" s="27"/>
      <c r="ADW288" s="27"/>
      <c r="ADX288" s="27"/>
      <c r="ADY288" s="27"/>
      <c r="ADZ288" s="27"/>
      <c r="AEA288" s="27"/>
      <c r="AEB288" s="27" t="n">
        <v>0</v>
      </c>
      <c r="AEC288" s="27" t="n">
        <v>0</v>
      </c>
      <c r="AED288" s="27"/>
      <c r="AEE288" s="27"/>
      <c r="AEF288" s="27" t="n">
        <v>0</v>
      </c>
      <c r="AEG288" s="27" t="n">
        <v>0</v>
      </c>
      <c r="AEH288" s="27" t="n">
        <v>0</v>
      </c>
      <c r="AEI288" s="24" t="n">
        <v>0</v>
      </c>
      <c r="AEJ288" s="24" t="s">
        <v>702</v>
      </c>
      <c r="AEK288" s="24" t="n">
        <v>43.5</v>
      </c>
      <c r="AEL288" s="27" t="n">
        <v>73.8</v>
      </c>
      <c r="AEM288" s="27" t="n">
        <v>83.4</v>
      </c>
      <c r="AEN288" s="27" t="n">
        <v>26.5</v>
      </c>
      <c r="AEO288" s="24" t="n">
        <v>20.2</v>
      </c>
      <c r="AEP288" s="24" t="n">
        <v>0</v>
      </c>
      <c r="AEQ288" s="24" t="n">
        <v>26.95</v>
      </c>
      <c r="AER288" s="24" t="n">
        <v>0</v>
      </c>
      <c r="AES288" s="24" t="n">
        <v>0.39</v>
      </c>
      <c r="AET288" s="24" t="n">
        <v>0</v>
      </c>
      <c r="AEU288" s="24" t="n">
        <v>79.41</v>
      </c>
      <c r="AEV288" s="24" t="n">
        <v>26.95</v>
      </c>
      <c r="AEW288" s="24" t="n">
        <v>0</v>
      </c>
      <c r="AEX288" s="24" t="n">
        <v>0</v>
      </c>
      <c r="AEY288" s="24" t="n">
        <v>0</v>
      </c>
      <c r="AEZ288" s="24" t="n">
        <v>35.2</v>
      </c>
      <c r="AFA288" s="24" t="n">
        <v>15.96</v>
      </c>
      <c r="AFB288" s="24" t="n">
        <v>39.09</v>
      </c>
      <c r="AFC288" s="24" t="n">
        <v>0.32</v>
      </c>
      <c r="AFD288" s="24" t="n">
        <v>0</v>
      </c>
      <c r="AFE288" s="24" t="n">
        <v>0</v>
      </c>
      <c r="AFF288" s="24" t="n">
        <v>0</v>
      </c>
      <c r="AFS288" s="24" t="n">
        <v>14.4</v>
      </c>
      <c r="AFT288" s="24" t="n">
        <v>1</v>
      </c>
      <c r="AFU288" s="24" t="n">
        <v>30</v>
      </c>
      <c r="AFV288" s="24" t="n">
        <v>5</v>
      </c>
      <c r="AFW288" s="24" t="n">
        <f aca="false">2.94+0.6</f>
        <v>3.54</v>
      </c>
      <c r="AFX288" s="24" t="n">
        <v>3</v>
      </c>
      <c r="AFY288" s="24" t="n">
        <v>34</v>
      </c>
      <c r="AFZ288" s="24" t="n">
        <v>1</v>
      </c>
      <c r="AGA288" s="24" t="n">
        <v>1.65</v>
      </c>
      <c r="AGB288" s="24" t="n">
        <v>1</v>
      </c>
      <c r="AGC288" s="24" t="n">
        <v>52</v>
      </c>
      <c r="AGD288" s="24" t="n">
        <v>6</v>
      </c>
      <c r="AGE288" s="28" t="n">
        <f aca="false">0.7+0.77+0.08+0.05</f>
        <v>1.6</v>
      </c>
      <c r="AGF288" s="24" t="n">
        <v>2</v>
      </c>
      <c r="AGG288" s="24" t="n">
        <v>35</v>
      </c>
      <c r="AGH288" s="24" t="n">
        <v>1</v>
      </c>
      <c r="AGI288" s="24" t="n">
        <v>0.19</v>
      </c>
      <c r="AGJ288" s="24" t="n">
        <v>3</v>
      </c>
      <c r="AGK288" s="24" t="n">
        <v>23</v>
      </c>
      <c r="AGL288" s="24" t="n">
        <v>3</v>
      </c>
      <c r="AGM288" s="24" t="n">
        <f aca="false">0.39+0.77</f>
        <v>1.16</v>
      </c>
      <c r="AGN288" s="24" t="n">
        <v>3</v>
      </c>
      <c r="AGW288" s="24" t="n">
        <v>0</v>
      </c>
      <c r="AIH288" s="27" t="n">
        <v>1.22</v>
      </c>
      <c r="AII288" s="27" t="n">
        <v>1</v>
      </c>
      <c r="AIJ288" s="27" t="n">
        <v>1</v>
      </c>
      <c r="AIK288" s="27"/>
      <c r="AIL288" s="27" t="n">
        <f aca="false">0.97*2+1.07*2</f>
        <v>4.08</v>
      </c>
      <c r="AIM288" s="27"/>
      <c r="AIN288" s="27"/>
      <c r="AIO288" s="27"/>
      <c r="AIP288" s="27"/>
      <c r="AIQ288" s="27"/>
      <c r="AIR288" s="27"/>
      <c r="AIS288" s="27" t="n">
        <v>0</v>
      </c>
      <c r="AIT288" s="27" t="n">
        <v>0</v>
      </c>
      <c r="AIU288" s="27"/>
      <c r="AIV288" s="27"/>
      <c r="AIW288" s="27" t="n">
        <v>0</v>
      </c>
      <c r="AIX288" s="27" t="n">
        <v>0</v>
      </c>
      <c r="AIY288" s="27" t="n">
        <v>1.22</v>
      </c>
      <c r="AIZ288" s="24" t="n">
        <v>0</v>
      </c>
      <c r="AJA288" s="24" t="s">
        <v>693</v>
      </c>
      <c r="AJB288" s="24" t="n">
        <v>33.5</v>
      </c>
      <c r="AJC288" s="27" t="n">
        <v>92.3</v>
      </c>
      <c r="AJD288" s="27" t="n">
        <v>83.4</v>
      </c>
      <c r="AJE288" s="27" t="n">
        <v>19.8</v>
      </c>
      <c r="AJF288" s="24" t="n">
        <v>72.02</v>
      </c>
      <c r="AJG288" s="24" t="n">
        <v>2.2</v>
      </c>
      <c r="AJH288" s="24" t="n">
        <v>7.75</v>
      </c>
      <c r="AJI288" s="24" t="n">
        <v>0</v>
      </c>
      <c r="AJJ288" s="24" t="n">
        <v>5.49</v>
      </c>
      <c r="AJK288" s="24" t="n">
        <v>0</v>
      </c>
      <c r="AJL288" s="24" t="n">
        <v>6.84</v>
      </c>
      <c r="AJM288" s="24" t="n">
        <v>0</v>
      </c>
      <c r="AJN288" s="24" t="n">
        <v>0</v>
      </c>
      <c r="AJO288" s="24" t="n">
        <v>0</v>
      </c>
      <c r="AJP288" s="24" t="n">
        <v>0</v>
      </c>
      <c r="AJQ288" s="24" t="n">
        <v>7.13</v>
      </c>
      <c r="AJR288" s="24" t="n">
        <v>54.84</v>
      </c>
      <c r="AJS288" s="24" t="n">
        <v>10.13</v>
      </c>
      <c r="AJT288" s="24" t="n">
        <v>3.36</v>
      </c>
      <c r="AJU288" s="24" t="n">
        <v>5.7</v>
      </c>
      <c r="AJV288" s="24" t="n">
        <v>0</v>
      </c>
      <c r="AJW288" s="24" t="n">
        <v>0</v>
      </c>
      <c r="AKF288" s="24" t="n">
        <v>2</v>
      </c>
      <c r="AKJ288" s="24" t="n">
        <v>3.4</v>
      </c>
      <c r="AKK288" s="24" t="n">
        <v>1</v>
      </c>
      <c r="AKL288" s="24" t="n">
        <v>34</v>
      </c>
      <c r="AKM288" s="24" t="n">
        <v>1</v>
      </c>
      <c r="AKN288" s="24" t="n">
        <v>1.28</v>
      </c>
      <c r="AKO288" s="24" t="n">
        <v>1</v>
      </c>
      <c r="AKP288" s="24" t="n">
        <v>52</v>
      </c>
      <c r="AKQ288" s="24" t="n">
        <v>1</v>
      </c>
      <c r="AKR288" s="24" t="n">
        <v>0.73</v>
      </c>
      <c r="AKS288" s="24" t="n">
        <v>2</v>
      </c>
      <c r="AKT288" s="24" t="n">
        <v>30</v>
      </c>
      <c r="AKU288" s="24" t="n">
        <v>1</v>
      </c>
      <c r="AKV288" s="28" t="n">
        <v>0.13</v>
      </c>
      <c r="AKW288" s="24" t="n">
        <v>3</v>
      </c>
      <c r="ALN288" s="24" t="n">
        <v>1</v>
      </c>
      <c r="ALO288" s="24" t="n">
        <v>40</v>
      </c>
      <c r="ALP288" s="24" t="n">
        <v>1</v>
      </c>
      <c r="ALQ288" s="24" t="n">
        <v>1.83</v>
      </c>
      <c r="ALR288" s="24" t="n">
        <v>6</v>
      </c>
      <c r="ALS288" s="24" t="n">
        <v>40</v>
      </c>
      <c r="ALT288" s="24" t="n">
        <v>1</v>
      </c>
      <c r="ALU288" s="24" t="n">
        <v>1.65</v>
      </c>
      <c r="ALV288" s="24" t="n">
        <v>3</v>
      </c>
      <c r="ALW288" s="24" t="n">
        <v>40</v>
      </c>
      <c r="ALX288" s="24" t="n">
        <v>1</v>
      </c>
      <c r="ALY288" s="24" t="n">
        <v>1.83</v>
      </c>
      <c r="ALZ288" s="24" t="n">
        <v>4</v>
      </c>
      <c r="AMA288" s="24" t="n">
        <v>40</v>
      </c>
      <c r="AMB288" s="24" t="n">
        <v>4</v>
      </c>
      <c r="AMC288" s="24" t="n">
        <v>0.26</v>
      </c>
      <c r="AMD288" s="24" t="n">
        <v>1</v>
      </c>
    </row>
    <row r="289" s="24" customFormat="true" ht="13.8" hidden="false" customHeight="false" outlineLevel="0" collapsed="false">
      <c r="A289" s="22" t="s">
        <v>856</v>
      </c>
      <c r="B289" s="23" t="n">
        <v>42908</v>
      </c>
      <c r="C289" s="24" t="n">
        <v>1</v>
      </c>
      <c r="D289" s="25" t="n">
        <v>40700</v>
      </c>
      <c r="E289" s="23" t="n">
        <v>24553</v>
      </c>
      <c r="F289" s="14" t="n">
        <f aca="false">(B289-E289)/365.25</f>
        <v>50.2532511978097</v>
      </c>
      <c r="G289" s="14" t="n">
        <f aca="false">(B289-D289)/365.25</f>
        <v>6.04517453798768</v>
      </c>
      <c r="H289" s="26" t="s">
        <v>306</v>
      </c>
      <c r="I289" s="21" t="s">
        <v>689</v>
      </c>
      <c r="J289" s="21" t="s">
        <v>183</v>
      </c>
      <c r="K289" s="21" t="n">
        <v>8</v>
      </c>
      <c r="L289" s="26" t="n">
        <v>67</v>
      </c>
      <c r="M289" s="24" t="n">
        <v>1.56</v>
      </c>
      <c r="N289" s="27" t="n">
        <f aca="false">L289/(M289*M289)</f>
        <v>27.5312294543064</v>
      </c>
      <c r="O289" s="26" t="n">
        <v>1</v>
      </c>
      <c r="P289" s="26" t="n">
        <v>1</v>
      </c>
      <c r="Q289" s="26" t="s">
        <v>857</v>
      </c>
      <c r="R289" s="26" t="n">
        <v>0</v>
      </c>
      <c r="S289" s="26" t="n">
        <v>0</v>
      </c>
      <c r="T289" s="26" t="n">
        <v>0</v>
      </c>
      <c r="U289" s="26" t="n">
        <v>0</v>
      </c>
      <c r="V289" s="26" t="n">
        <v>0</v>
      </c>
      <c r="W289" s="26" t="n">
        <v>1</v>
      </c>
      <c r="X289" s="26" t="n">
        <v>0</v>
      </c>
      <c r="Y289" s="26" t="n">
        <v>1</v>
      </c>
      <c r="Z289" s="26" t="n">
        <v>1</v>
      </c>
      <c r="AA289" s="26" t="n">
        <v>60</v>
      </c>
      <c r="AB289" s="26" t="s">
        <v>215</v>
      </c>
      <c r="AC289" s="26" t="n">
        <v>0</v>
      </c>
      <c r="AD289" s="26" t="n">
        <v>0</v>
      </c>
      <c r="AE289" s="26" t="n">
        <v>1</v>
      </c>
      <c r="AF289" s="26" t="n">
        <v>0</v>
      </c>
      <c r="AG289" s="26" t="n">
        <v>1</v>
      </c>
      <c r="AH289" s="26" t="n">
        <v>7</v>
      </c>
      <c r="AI289" s="26" t="n">
        <v>3</v>
      </c>
      <c r="AJ289" s="26" t="n">
        <v>3</v>
      </c>
      <c r="AK289" s="26" t="n">
        <v>3</v>
      </c>
      <c r="AL289" s="26" t="n">
        <v>7</v>
      </c>
      <c r="AM289" s="26" t="n">
        <v>7</v>
      </c>
      <c r="AN289" s="26" t="n">
        <v>0</v>
      </c>
      <c r="AO289" s="26" t="n">
        <v>0</v>
      </c>
      <c r="AP289" s="26" t="n">
        <v>0</v>
      </c>
      <c r="AQ289" s="26" t="n">
        <v>0</v>
      </c>
      <c r="AR289" s="26" t="n">
        <v>0</v>
      </c>
      <c r="AS289" s="26" t="n">
        <v>0</v>
      </c>
      <c r="AT289" s="26" t="n">
        <v>0</v>
      </c>
      <c r="AU289" s="26" t="n">
        <v>0</v>
      </c>
      <c r="AV289" s="26" t="n">
        <v>0</v>
      </c>
      <c r="AW289" s="26" t="n">
        <v>0</v>
      </c>
      <c r="AX289" s="26" t="n">
        <v>0</v>
      </c>
      <c r="AY289" s="26" t="n">
        <v>0</v>
      </c>
      <c r="AZ289" s="26" t="n">
        <v>0</v>
      </c>
      <c r="BA289" s="26" t="n">
        <v>0</v>
      </c>
      <c r="BB289" s="26" t="n">
        <v>0</v>
      </c>
      <c r="BC289" s="26" t="n">
        <v>0</v>
      </c>
      <c r="BD289" s="26" t="n">
        <v>0</v>
      </c>
      <c r="BE289" s="26" t="n">
        <v>0</v>
      </c>
      <c r="BF289" s="26" t="n">
        <v>0</v>
      </c>
      <c r="BG289" s="26" t="n">
        <v>0</v>
      </c>
      <c r="BH289" s="26" t="n">
        <v>0</v>
      </c>
      <c r="BI289" s="26" t="n">
        <v>0</v>
      </c>
      <c r="BJ289" s="26" t="n">
        <v>0</v>
      </c>
      <c r="BK289" s="26" t="n">
        <v>0</v>
      </c>
      <c r="BL289" s="26" t="n">
        <v>0</v>
      </c>
      <c r="BM289" s="26" t="n">
        <v>0</v>
      </c>
      <c r="BN289" s="26" t="n">
        <v>0</v>
      </c>
      <c r="BO289" s="26" t="n">
        <v>0</v>
      </c>
      <c r="BP289" s="26" t="n">
        <v>0</v>
      </c>
      <c r="BQ289" s="26" t="n">
        <v>0</v>
      </c>
      <c r="BR289" s="26" t="n">
        <v>3</v>
      </c>
      <c r="BS289" s="26" t="n">
        <v>2</v>
      </c>
      <c r="BT289" s="26" t="n">
        <v>4</v>
      </c>
      <c r="BU289" s="26" t="n">
        <v>5</v>
      </c>
      <c r="BV289" s="26" t="n">
        <v>3</v>
      </c>
      <c r="BW289" s="26" t="n">
        <v>3</v>
      </c>
      <c r="BX289" s="26" t="n">
        <v>3</v>
      </c>
      <c r="BY289" s="26" t="n">
        <v>3</v>
      </c>
      <c r="BZ289" s="26" t="n">
        <v>3</v>
      </c>
      <c r="CA289" s="26" t="n">
        <v>3</v>
      </c>
      <c r="CB289" s="26" t="n">
        <v>3</v>
      </c>
      <c r="CC289" s="26" t="n">
        <v>5</v>
      </c>
      <c r="CD289" s="26" t="n">
        <v>3</v>
      </c>
      <c r="CE289" s="26" t="n">
        <v>3</v>
      </c>
      <c r="CF289" s="26" t="n">
        <v>3</v>
      </c>
      <c r="CG289" s="26" t="n">
        <v>5</v>
      </c>
      <c r="CH289" s="26" t="n">
        <v>2</v>
      </c>
      <c r="CI289" s="26" t="n">
        <v>3</v>
      </c>
      <c r="CJ289" s="26" t="n">
        <v>3</v>
      </c>
      <c r="CK289" s="26" t="n">
        <v>5</v>
      </c>
      <c r="CL289" s="24" t="s">
        <v>690</v>
      </c>
      <c r="CM289" s="24" t="n">
        <v>38</v>
      </c>
      <c r="CN289" s="27" t="n">
        <v>85.5</v>
      </c>
      <c r="CO289" s="27" t="n">
        <v>83.4</v>
      </c>
      <c r="CP289" s="27" t="n">
        <v>28.7</v>
      </c>
      <c r="CQ289" s="24" t="n">
        <v>61.84</v>
      </c>
      <c r="CR289" s="24" t="n">
        <v>0</v>
      </c>
      <c r="CS289" s="24" t="n">
        <v>0</v>
      </c>
      <c r="CT289" s="24" t="n">
        <v>0</v>
      </c>
      <c r="CU289" s="24" t="n">
        <v>37.42</v>
      </c>
      <c r="CV289" s="24" t="n">
        <v>0</v>
      </c>
      <c r="CW289" s="24" t="n">
        <v>0.73</v>
      </c>
      <c r="CX289" s="24" t="n">
        <v>0</v>
      </c>
      <c r="CY289" s="24" t="n">
        <v>0</v>
      </c>
      <c r="CZ289" s="24" t="n">
        <v>0.74</v>
      </c>
      <c r="DA289" s="24" t="n">
        <v>0</v>
      </c>
      <c r="DB289" s="24" t="n">
        <v>7.34</v>
      </c>
      <c r="DC289" s="24" t="n">
        <v>25.37</v>
      </c>
      <c r="DD289" s="24" t="n">
        <v>15.03</v>
      </c>
      <c r="DE289" s="24" t="n">
        <v>30.09</v>
      </c>
      <c r="DF289" s="24" t="n">
        <v>0</v>
      </c>
      <c r="DG289" s="24" t="n">
        <v>0</v>
      </c>
      <c r="DH289" s="24" t="n">
        <v>0</v>
      </c>
      <c r="DU289" s="24" t="n">
        <v>1.7</v>
      </c>
      <c r="DV289" s="24" t="n">
        <v>0</v>
      </c>
      <c r="EG289" s="28"/>
      <c r="EY289" s="24" t="n">
        <v>1</v>
      </c>
      <c r="EZ289" s="24" t="n">
        <v>50</v>
      </c>
      <c r="FA289" s="24" t="n">
        <v>4</v>
      </c>
      <c r="FB289" s="24" t="n">
        <v>0.46</v>
      </c>
      <c r="FC289" s="24" t="n">
        <v>6</v>
      </c>
      <c r="FD289" s="24" t="n">
        <v>40</v>
      </c>
      <c r="FE289" s="24" t="n">
        <v>10</v>
      </c>
      <c r="FF289" s="24" t="n">
        <f aca="false">0.17*2+0.06+0.07</f>
        <v>0.47</v>
      </c>
      <c r="FG289" s="24" t="n">
        <v>1</v>
      </c>
      <c r="FH289" s="24" t="n">
        <v>40</v>
      </c>
      <c r="FI289" s="24" t="n">
        <v>10</v>
      </c>
      <c r="FJ289" s="24" t="n">
        <f aca="false">0.17*2+0.07*2+0.03</f>
        <v>0.51</v>
      </c>
      <c r="FK289" s="24" t="n">
        <v>6</v>
      </c>
      <c r="FL289" s="24" t="n">
        <v>60</v>
      </c>
      <c r="FM289" s="24" t="n">
        <v>6</v>
      </c>
      <c r="FN289" s="24" t="n">
        <f aca="false">4.4*2+0.39*2+0.26</f>
        <v>9.84</v>
      </c>
      <c r="FO289" s="24" t="n">
        <v>3</v>
      </c>
      <c r="GJ289" s="27" t="n">
        <v>1.55</v>
      </c>
      <c r="GK289" s="27" t="n">
        <v>1</v>
      </c>
      <c r="GL289" s="27" t="n">
        <v>1</v>
      </c>
      <c r="GM289" s="27"/>
      <c r="GN289" s="27" t="n">
        <f aca="false">1.65*2</f>
        <v>3.3</v>
      </c>
      <c r="GO289" s="27" t="n">
        <v>2</v>
      </c>
      <c r="GP289" s="27"/>
      <c r="GQ289" s="27" t="n">
        <v>0.54</v>
      </c>
      <c r="GR289" s="27"/>
      <c r="GS289" s="27"/>
      <c r="GT289" s="27"/>
      <c r="GU289" s="27" t="n">
        <v>5.74</v>
      </c>
      <c r="GV289" s="27" t="n">
        <v>3.64</v>
      </c>
      <c r="GW289" s="27"/>
      <c r="GX289" s="27"/>
      <c r="GY289" s="27" t="n">
        <v>0</v>
      </c>
      <c r="GZ289" s="27" t="n">
        <v>0</v>
      </c>
      <c r="HA289" s="27" t="n">
        <v>0</v>
      </c>
      <c r="HB289" s="24" t="n">
        <v>0</v>
      </c>
      <c r="HC289" s="24" t="s">
        <v>691</v>
      </c>
      <c r="HD289" s="24" t="n">
        <v>63.5</v>
      </c>
      <c r="HE289" s="27" t="n">
        <v>98.9</v>
      </c>
      <c r="HF289" s="27" t="n">
        <v>83.4</v>
      </c>
      <c r="HG289" s="27" t="n">
        <v>51</v>
      </c>
      <c r="HH289" s="24" t="n">
        <v>53.65</v>
      </c>
      <c r="HI289" s="24" t="n">
        <v>0</v>
      </c>
      <c r="HJ289" s="24" t="n">
        <v>11.99</v>
      </c>
      <c r="HK289" s="24" t="n">
        <v>24.1</v>
      </c>
      <c r="HL289" s="24" t="n">
        <v>10.26</v>
      </c>
      <c r="HM289" s="24" t="n">
        <v>0</v>
      </c>
      <c r="HN289" s="24" t="n">
        <v>0</v>
      </c>
      <c r="HO289" s="24" t="n">
        <v>0</v>
      </c>
      <c r="HP289" s="24" t="n">
        <v>0</v>
      </c>
      <c r="HQ289" s="24" t="n">
        <v>0</v>
      </c>
      <c r="HR289" s="24" t="n">
        <v>0</v>
      </c>
      <c r="HS289" s="24" t="n">
        <v>9.1</v>
      </c>
      <c r="HT289" s="24" t="n">
        <v>26.31</v>
      </c>
      <c r="HU289" s="24" t="n">
        <v>5.53</v>
      </c>
      <c r="HV289" s="24" t="n">
        <v>0.94</v>
      </c>
      <c r="HW289" s="24" t="n">
        <v>0</v>
      </c>
      <c r="HX289" s="24" t="n">
        <v>0</v>
      </c>
      <c r="HY289" s="24" t="n">
        <v>0</v>
      </c>
      <c r="IL289" s="24" t="n">
        <v>6.1</v>
      </c>
      <c r="IM289" s="24" t="n">
        <v>0</v>
      </c>
      <c r="IX289" s="28"/>
      <c r="JP289" s="24" t="n">
        <v>1</v>
      </c>
      <c r="JQ289" s="24" t="n">
        <v>50</v>
      </c>
      <c r="JR289" s="24" t="n">
        <v>1</v>
      </c>
      <c r="JS289" s="24" t="n">
        <v>0.39</v>
      </c>
      <c r="JT289" s="24" t="n">
        <v>3</v>
      </c>
      <c r="JU289" s="24" t="n">
        <v>50</v>
      </c>
      <c r="JV289" s="24" t="n">
        <v>2</v>
      </c>
      <c r="JW289" s="24" t="n">
        <f aca="false">0.19+0.23</f>
        <v>0.42</v>
      </c>
      <c r="JX289" s="24" t="n">
        <v>4</v>
      </c>
      <c r="JY289" s="24" t="n">
        <v>60</v>
      </c>
      <c r="JZ289" s="24" t="n">
        <v>12</v>
      </c>
      <c r="KA289" s="24" t="n">
        <f aca="false">0.78*2</f>
        <v>1.56</v>
      </c>
      <c r="KB289" s="24" t="n">
        <v>6</v>
      </c>
      <c r="LA289" s="27" t="n">
        <v>5.39</v>
      </c>
      <c r="LB289" s="27" t="n">
        <v>1</v>
      </c>
      <c r="LC289" s="27" t="n">
        <v>1</v>
      </c>
      <c r="LD289" s="27"/>
      <c r="LE289" s="27" t="n">
        <f aca="false">2.04*3+0.36*2</f>
        <v>6.84</v>
      </c>
      <c r="LF289" s="27" t="n">
        <v>2</v>
      </c>
      <c r="LG289" s="27"/>
      <c r="LH289" s="27" t="n">
        <f aca="false">0.72*2+0.36</f>
        <v>1.8</v>
      </c>
      <c r="LI289" s="27" t="n">
        <v>3</v>
      </c>
      <c r="LJ289" s="27"/>
      <c r="LK289" s="27" t="n">
        <v>0.5</v>
      </c>
      <c r="LL289" s="27" t="n">
        <v>0.94</v>
      </c>
      <c r="LM289" s="27" t="n">
        <v>0.94</v>
      </c>
      <c r="LN289" s="27"/>
      <c r="LO289" s="27"/>
      <c r="LP289" s="27" t="n">
        <v>0</v>
      </c>
      <c r="LQ289" s="27" t="n">
        <v>0</v>
      </c>
      <c r="LR289" s="27" t="n">
        <v>0</v>
      </c>
      <c r="LS289" s="24" t="n">
        <v>0</v>
      </c>
      <c r="LT289" s="24" t="s">
        <v>691</v>
      </c>
      <c r="LU289" s="24" t="n">
        <v>63.5</v>
      </c>
      <c r="LV289" s="27" t="n">
        <v>98.9</v>
      </c>
      <c r="LW289" s="27" t="n">
        <v>83.4</v>
      </c>
      <c r="LX289" s="27" t="n">
        <v>51</v>
      </c>
      <c r="LY289" s="24" t="n">
        <v>53.65</v>
      </c>
      <c r="LZ289" s="24" t="n">
        <v>0</v>
      </c>
      <c r="MA289" s="24" t="n">
        <v>11.99</v>
      </c>
      <c r="MB289" s="24" t="n">
        <v>24.1</v>
      </c>
      <c r="MC289" s="24" t="n">
        <v>10.26</v>
      </c>
      <c r="MD289" s="24" t="n">
        <v>0</v>
      </c>
      <c r="ME289" s="24" t="n">
        <v>0</v>
      </c>
      <c r="MF289" s="24" t="n">
        <v>0</v>
      </c>
      <c r="MG289" s="24" t="n">
        <v>0</v>
      </c>
      <c r="MH289" s="24" t="n">
        <v>0</v>
      </c>
      <c r="MI289" s="24" t="n">
        <v>0</v>
      </c>
      <c r="MJ289" s="24" t="n">
        <v>9.1</v>
      </c>
      <c r="MK289" s="24" t="n">
        <v>26.31</v>
      </c>
      <c r="ML289" s="24" t="n">
        <v>5.53</v>
      </c>
      <c r="MM289" s="24" t="n">
        <v>0.94</v>
      </c>
      <c r="MN289" s="24" t="n">
        <v>0</v>
      </c>
      <c r="MO289" s="24" t="n">
        <v>0</v>
      </c>
      <c r="MP289" s="24" t="n">
        <v>0</v>
      </c>
      <c r="NC289" s="24" t="n">
        <v>6.1</v>
      </c>
      <c r="ND289" s="24" t="n">
        <v>0</v>
      </c>
      <c r="NO289" s="28"/>
      <c r="OG289" s="24" t="n">
        <v>1</v>
      </c>
      <c r="OH289" s="24" t="n">
        <v>50</v>
      </c>
      <c r="OI289" s="24" t="n">
        <v>1</v>
      </c>
      <c r="OJ289" s="24" t="n">
        <v>0.39</v>
      </c>
      <c r="OK289" s="24" t="n">
        <v>3</v>
      </c>
      <c r="OL289" s="24" t="n">
        <v>50</v>
      </c>
      <c r="OM289" s="24" t="n">
        <v>2</v>
      </c>
      <c r="ON289" s="24" t="n">
        <f aca="false">0.19+0.23</f>
        <v>0.42</v>
      </c>
      <c r="OO289" s="24" t="n">
        <v>4</v>
      </c>
      <c r="OP289" s="24" t="n">
        <v>60</v>
      </c>
      <c r="OQ289" s="24" t="n">
        <v>12</v>
      </c>
      <c r="OR289" s="24" t="n">
        <f aca="false">0.78*2</f>
        <v>1.56</v>
      </c>
      <c r="OS289" s="24" t="n">
        <v>6</v>
      </c>
      <c r="PR289" s="27" t="n">
        <v>5.39</v>
      </c>
      <c r="PS289" s="27" t="n">
        <v>1</v>
      </c>
      <c r="PT289" s="27" t="n">
        <v>1</v>
      </c>
      <c r="PU289" s="27"/>
      <c r="PV289" s="27" t="n">
        <f aca="false">2.04*3+0.36*2</f>
        <v>6.84</v>
      </c>
      <c r="PW289" s="27" t="n">
        <v>2</v>
      </c>
      <c r="PX289" s="27"/>
      <c r="PY289" s="27" t="n">
        <f aca="false">0.72*2+0.36</f>
        <v>1.8</v>
      </c>
      <c r="PZ289" s="27" t="n">
        <v>3</v>
      </c>
      <c r="QA289" s="27"/>
      <c r="QB289" s="27" t="n">
        <v>0.5</v>
      </c>
      <c r="QC289" s="27" t="n">
        <v>0.94</v>
      </c>
      <c r="QD289" s="27" t="n">
        <v>0.94</v>
      </c>
      <c r="QE289" s="27"/>
      <c r="QF289" s="27"/>
      <c r="QG289" s="27" t="n">
        <v>0</v>
      </c>
      <c r="QH289" s="27" t="n">
        <v>0</v>
      </c>
      <c r="QI289" s="27" t="n">
        <v>0</v>
      </c>
      <c r="QJ289" s="24" t="n">
        <v>0</v>
      </c>
      <c r="QK289" s="24" t="s">
        <v>692</v>
      </c>
      <c r="QL289" s="24" t="n">
        <v>30.5</v>
      </c>
      <c r="QM289" s="27" t="n">
        <v>69.11</v>
      </c>
      <c r="QN289" s="27" t="n">
        <v>83.4</v>
      </c>
      <c r="QO289" s="27" t="n">
        <v>18.1</v>
      </c>
      <c r="QP289" s="24" t="n">
        <v>79.03</v>
      </c>
      <c r="QQ289" s="24" t="n">
        <v>0.45</v>
      </c>
      <c r="QR289" s="24" t="n">
        <v>0</v>
      </c>
      <c r="QS289" s="24" t="n">
        <v>0</v>
      </c>
      <c r="QT289" s="24" t="n">
        <v>20.52</v>
      </c>
      <c r="QU289" s="24" t="n">
        <v>0</v>
      </c>
      <c r="QV289" s="24" t="n">
        <v>0</v>
      </c>
      <c r="QW289" s="24" t="n">
        <v>0</v>
      </c>
      <c r="QX289" s="24" t="n">
        <v>0</v>
      </c>
      <c r="QY289" s="24" t="n">
        <v>0</v>
      </c>
      <c r="QZ289" s="24" t="n">
        <v>0</v>
      </c>
      <c r="RA289" s="24" t="n">
        <v>0</v>
      </c>
      <c r="RB289" s="24" t="n">
        <v>12.58</v>
      </c>
      <c r="RC289" s="24" t="n">
        <v>17.94</v>
      </c>
      <c r="RD289" s="24" t="n">
        <v>18.04</v>
      </c>
      <c r="RE289" s="24" t="n">
        <v>0</v>
      </c>
      <c r="RF289" s="24" t="n">
        <v>0</v>
      </c>
      <c r="RG289" s="24" t="n">
        <v>0</v>
      </c>
      <c r="RT289" s="24" t="n">
        <v>8.1</v>
      </c>
      <c r="RU289" s="24" t="n">
        <v>1</v>
      </c>
      <c r="RV289" s="24" t="n">
        <v>35</v>
      </c>
      <c r="RW289" s="24" t="n">
        <v>4</v>
      </c>
      <c r="RX289" s="24" t="n">
        <f aca="false">2.2+0.39</f>
        <v>2.59</v>
      </c>
      <c r="RY289" s="24" t="n">
        <v>3</v>
      </c>
      <c r="SF289" s="28"/>
      <c r="SX289" s="24" t="n">
        <v>1</v>
      </c>
      <c r="SY289" s="24" t="n">
        <v>60</v>
      </c>
      <c r="SZ289" s="24" t="n">
        <v>1</v>
      </c>
      <c r="TA289" s="24" t="n">
        <v>0.73</v>
      </c>
      <c r="TB289" s="24" t="n">
        <v>3</v>
      </c>
      <c r="UI289" s="27" t="n">
        <v>3.89</v>
      </c>
      <c r="UJ289" s="27" t="n">
        <v>1</v>
      </c>
      <c r="UK289" s="27" t="n">
        <v>1</v>
      </c>
      <c r="UL289" s="27"/>
      <c r="UM289" s="27" t="n">
        <f aca="false">0.14*2+0.21*2</f>
        <v>0.7</v>
      </c>
      <c r="UN289" s="27" t="n">
        <v>2</v>
      </c>
      <c r="UO289" s="27"/>
      <c r="UP289" s="27" t="n">
        <f aca="false">1.65*2</f>
        <v>3.3</v>
      </c>
      <c r="UQ289" s="27"/>
      <c r="UR289" s="27"/>
      <c r="US289" s="27"/>
      <c r="UT289" s="27" t="n">
        <v>0</v>
      </c>
      <c r="UU289" s="27" t="n">
        <v>0</v>
      </c>
      <c r="UV289" s="27"/>
      <c r="UW289" s="27"/>
      <c r="UX289" s="27" t="n">
        <v>0</v>
      </c>
      <c r="UY289" s="27" t="n">
        <v>0</v>
      </c>
      <c r="UZ289" s="27" t="n">
        <v>0</v>
      </c>
      <c r="VA289" s="24" t="n">
        <v>0</v>
      </c>
      <c r="VB289" s="24" t="s">
        <v>697</v>
      </c>
      <c r="VC289" s="24" t="n">
        <v>42.5</v>
      </c>
      <c r="VD289" s="27" t="n">
        <v>92.2</v>
      </c>
      <c r="VE289" s="27" t="n">
        <v>83.4</v>
      </c>
      <c r="VF289" s="27" t="n">
        <v>33.5</v>
      </c>
      <c r="VG289" s="24" t="n">
        <v>25.89</v>
      </c>
      <c r="VH289" s="24" t="n">
        <v>0</v>
      </c>
      <c r="VI289" s="24" t="n">
        <v>0</v>
      </c>
      <c r="VJ289" s="24" t="n">
        <v>0</v>
      </c>
      <c r="VK289" s="24" t="n">
        <v>0</v>
      </c>
      <c r="VL289" s="24" t="n">
        <v>0</v>
      </c>
      <c r="VM289" s="24" t="n">
        <v>74.11</v>
      </c>
      <c r="VN289" s="24" t="n">
        <v>25.43</v>
      </c>
      <c r="VO289" s="24" t="n">
        <v>9.72</v>
      </c>
      <c r="VP289" s="24" t="n">
        <v>2.94</v>
      </c>
      <c r="VQ289" s="24" t="n">
        <v>0</v>
      </c>
      <c r="VR289" s="24" t="n">
        <v>11.38</v>
      </c>
      <c r="VS289" s="24" t="n">
        <v>16.89</v>
      </c>
      <c r="VT289" s="24" t="n">
        <v>27.26</v>
      </c>
      <c r="VU289" s="24" t="n">
        <v>0</v>
      </c>
      <c r="VV289" s="24" t="n">
        <v>0</v>
      </c>
      <c r="VW289" s="24" t="n">
        <v>0</v>
      </c>
      <c r="VX289" s="24" t="n">
        <v>0</v>
      </c>
      <c r="WK289" s="24" t="n">
        <v>3.6</v>
      </c>
      <c r="WL289" s="24" t="n">
        <v>1</v>
      </c>
      <c r="WM289" s="24" t="n">
        <v>35</v>
      </c>
      <c r="WN289" s="24" t="n">
        <v>6</v>
      </c>
      <c r="WO289" s="24" t="n">
        <f aca="false">0.13*4</f>
        <v>0.52</v>
      </c>
      <c r="WP289" s="24" t="n">
        <v>3</v>
      </c>
      <c r="WQ289" s="24" t="n">
        <v>25</v>
      </c>
      <c r="WR289" s="24" t="n">
        <v>2</v>
      </c>
      <c r="WS289" s="24" t="n">
        <f aca="false">0.13*2</f>
        <v>0.26</v>
      </c>
      <c r="WT289" s="24" t="n">
        <v>4</v>
      </c>
      <c r="WW289" s="28"/>
      <c r="XO289" s="24" t="n">
        <v>0</v>
      </c>
      <c r="YZ289" s="27" t="n">
        <v>3.01</v>
      </c>
      <c r="ZA289" s="27" t="n">
        <v>1</v>
      </c>
      <c r="ZB289" s="27" t="n">
        <v>1</v>
      </c>
      <c r="ZC289" s="27"/>
      <c r="ZD289" s="27" t="n">
        <f aca="false">1.65*5+0.13*2+0.36+0.18</f>
        <v>9.05</v>
      </c>
      <c r="ZE289" s="27"/>
      <c r="ZF289" s="27"/>
      <c r="ZG289" s="27"/>
      <c r="ZH289" s="27"/>
      <c r="ZI289" s="27"/>
      <c r="ZJ289" s="27"/>
      <c r="ZK289" s="27" t="n">
        <v>2.16</v>
      </c>
      <c r="ZL289" s="27" t="n">
        <v>0.52</v>
      </c>
      <c r="ZM289" s="27"/>
      <c r="ZN289" s="27"/>
      <c r="ZO289" s="27" t="n">
        <v>0</v>
      </c>
      <c r="ZP289" s="27" t="n">
        <v>0</v>
      </c>
      <c r="ZQ289" s="27" t="n">
        <v>0</v>
      </c>
      <c r="ZR289" s="24" t="n">
        <v>0</v>
      </c>
      <c r="ZS289" s="24" t="s">
        <v>698</v>
      </c>
      <c r="ZT289" s="24" t="n">
        <v>37</v>
      </c>
      <c r="ZU289" s="27" t="n">
        <v>86.3</v>
      </c>
      <c r="ZV289" s="27" t="n">
        <v>83.4</v>
      </c>
      <c r="ZW289" s="27" t="n">
        <v>31.3</v>
      </c>
      <c r="ZX289" s="24" t="n">
        <v>24.09</v>
      </c>
      <c r="ZY289" s="24" t="n">
        <v>0</v>
      </c>
      <c r="ZZ289" s="24" t="n">
        <v>0</v>
      </c>
      <c r="AAA289" s="24" t="n">
        <v>0</v>
      </c>
      <c r="AAB289" s="24" t="n">
        <v>0</v>
      </c>
      <c r="AAC289" s="24" t="n">
        <v>0</v>
      </c>
      <c r="AAD289" s="24" t="n">
        <v>75.91</v>
      </c>
      <c r="AAE289" s="24" t="n">
        <v>21.83</v>
      </c>
      <c r="AAF289" s="24" t="n">
        <v>8.63</v>
      </c>
      <c r="AAG289" s="24" t="n">
        <v>2.94</v>
      </c>
      <c r="AAH289" s="24" t="n">
        <v>0</v>
      </c>
      <c r="AAI289" s="24" t="n">
        <v>13.66</v>
      </c>
      <c r="AAJ289" s="24" t="n">
        <v>10.54</v>
      </c>
      <c r="AAK289" s="24" t="n">
        <v>28.39</v>
      </c>
      <c r="AAL289" s="24" t="n">
        <v>0</v>
      </c>
      <c r="AAM289" s="24" t="n">
        <v>0</v>
      </c>
      <c r="AAN289" s="24" t="n">
        <v>0</v>
      </c>
      <c r="AAO289" s="24" t="n">
        <v>0</v>
      </c>
      <c r="ABB289" s="24" t="n">
        <v>2.7</v>
      </c>
      <c r="ABC289" s="24" t="n">
        <v>1</v>
      </c>
      <c r="ABD289" s="24" t="n">
        <v>52</v>
      </c>
      <c r="ABE289" s="24" t="n">
        <v>1</v>
      </c>
      <c r="ABF289" s="24" t="n">
        <v>0.39</v>
      </c>
      <c r="ABG289" s="24" t="n">
        <v>2</v>
      </c>
      <c r="ABH289" s="24" t="n">
        <v>35</v>
      </c>
      <c r="ABI289" s="24" t="n">
        <v>4</v>
      </c>
      <c r="ABJ289" s="24" t="n">
        <v>0.26</v>
      </c>
      <c r="ABK289" s="24" t="n">
        <v>3</v>
      </c>
      <c r="ABN289" s="28"/>
      <c r="ACF289" s="24" t="n">
        <v>0</v>
      </c>
      <c r="ADQ289" s="27" t="n">
        <v>2.83</v>
      </c>
      <c r="ADR289" s="27" t="n">
        <v>1</v>
      </c>
      <c r="ADS289" s="27" t="n">
        <v>1</v>
      </c>
      <c r="ADT289" s="27"/>
      <c r="ADU289" s="27" t="n">
        <f aca="false">1.65*5</f>
        <v>8.25</v>
      </c>
      <c r="ADV289" s="27"/>
      <c r="ADW289" s="27"/>
      <c r="ADX289" s="27"/>
      <c r="ADY289" s="27"/>
      <c r="ADZ289" s="27"/>
      <c r="AEA289" s="27"/>
      <c r="AEB289" s="27" t="n">
        <v>0</v>
      </c>
      <c r="AEC289" s="27" t="n">
        <v>0</v>
      </c>
      <c r="AED289" s="27"/>
      <c r="AEE289" s="27"/>
      <c r="AEF289" s="27" t="n">
        <v>0</v>
      </c>
      <c r="AEG289" s="27" t="n">
        <v>0</v>
      </c>
      <c r="AEH289" s="27" t="n">
        <v>0</v>
      </c>
      <c r="AEI289" s="24" t="n">
        <v>0</v>
      </c>
      <c r="AEJ289" s="24" t="s">
        <v>702</v>
      </c>
      <c r="AEK289" s="24" t="n">
        <v>43.5</v>
      </c>
      <c r="AEL289" s="27" t="n">
        <v>73.8</v>
      </c>
      <c r="AEM289" s="27" t="n">
        <v>83.4</v>
      </c>
      <c r="AEN289" s="27" t="n">
        <v>26.5</v>
      </c>
      <c r="AEO289" s="24" t="n">
        <v>20.2</v>
      </c>
      <c r="AEP289" s="24" t="n">
        <v>0</v>
      </c>
      <c r="AEQ289" s="24" t="n">
        <v>26.95</v>
      </c>
      <c r="AER289" s="24" t="n">
        <v>0</v>
      </c>
      <c r="AES289" s="24" t="n">
        <v>0.39</v>
      </c>
      <c r="AET289" s="24" t="n">
        <v>0</v>
      </c>
      <c r="AEU289" s="24" t="n">
        <v>79.41</v>
      </c>
      <c r="AEV289" s="24" t="n">
        <v>26.95</v>
      </c>
      <c r="AEW289" s="24" t="n">
        <v>0</v>
      </c>
      <c r="AEX289" s="24" t="n">
        <v>0</v>
      </c>
      <c r="AEY289" s="24" t="n">
        <v>0</v>
      </c>
      <c r="AEZ289" s="24" t="n">
        <v>35.2</v>
      </c>
      <c r="AFA289" s="24" t="n">
        <v>15.96</v>
      </c>
      <c r="AFB289" s="24" t="n">
        <v>39.09</v>
      </c>
      <c r="AFC289" s="24" t="n">
        <v>0.32</v>
      </c>
      <c r="AFD289" s="24" t="n">
        <v>0</v>
      </c>
      <c r="AFE289" s="24" t="n">
        <v>0</v>
      </c>
      <c r="AFF289" s="24" t="n">
        <v>0</v>
      </c>
      <c r="AFS289" s="24" t="n">
        <v>14.4</v>
      </c>
      <c r="AFT289" s="24" t="n">
        <v>1</v>
      </c>
      <c r="AFU289" s="24" t="n">
        <v>30</v>
      </c>
      <c r="AFV289" s="24" t="n">
        <v>5</v>
      </c>
      <c r="AFW289" s="24" t="n">
        <f aca="false">2.94+0.6</f>
        <v>3.54</v>
      </c>
      <c r="AFX289" s="24" t="n">
        <v>3</v>
      </c>
      <c r="AFY289" s="24" t="n">
        <v>34</v>
      </c>
      <c r="AFZ289" s="24" t="n">
        <v>1</v>
      </c>
      <c r="AGA289" s="24" t="n">
        <v>1.65</v>
      </c>
      <c r="AGB289" s="24" t="n">
        <v>1</v>
      </c>
      <c r="AGC289" s="24" t="n">
        <v>52</v>
      </c>
      <c r="AGD289" s="24" t="n">
        <v>6</v>
      </c>
      <c r="AGE289" s="28" t="n">
        <f aca="false">0.7+0.77+0.08+0.05</f>
        <v>1.6</v>
      </c>
      <c r="AGF289" s="24" t="n">
        <v>2</v>
      </c>
      <c r="AGG289" s="24" t="n">
        <v>35</v>
      </c>
      <c r="AGH289" s="24" t="n">
        <v>1</v>
      </c>
      <c r="AGI289" s="24" t="n">
        <v>0.19</v>
      </c>
      <c r="AGJ289" s="24" t="n">
        <v>3</v>
      </c>
      <c r="AGK289" s="24" t="n">
        <v>23</v>
      </c>
      <c r="AGL289" s="24" t="n">
        <v>3</v>
      </c>
      <c r="AGM289" s="24" t="n">
        <f aca="false">0.39+0.77</f>
        <v>1.16</v>
      </c>
      <c r="AGN289" s="24" t="n">
        <v>3</v>
      </c>
      <c r="AGW289" s="24" t="n">
        <v>0</v>
      </c>
      <c r="AIH289" s="27" t="n">
        <v>1.22</v>
      </c>
      <c r="AII289" s="27" t="n">
        <v>1</v>
      </c>
      <c r="AIJ289" s="27" t="n">
        <v>1</v>
      </c>
      <c r="AIK289" s="27"/>
      <c r="AIL289" s="27" t="n">
        <f aca="false">0.97*2+1.07*2</f>
        <v>4.08</v>
      </c>
      <c r="AIM289" s="27"/>
      <c r="AIN289" s="27"/>
      <c r="AIO289" s="27"/>
      <c r="AIP289" s="27"/>
      <c r="AIQ289" s="27"/>
      <c r="AIR289" s="27"/>
      <c r="AIS289" s="27" t="n">
        <v>0</v>
      </c>
      <c r="AIT289" s="27" t="n">
        <v>0</v>
      </c>
      <c r="AIU289" s="27"/>
      <c r="AIV289" s="27"/>
      <c r="AIW289" s="27" t="n">
        <v>0</v>
      </c>
      <c r="AIX289" s="27" t="n">
        <v>0</v>
      </c>
      <c r="AIY289" s="27" t="n">
        <v>1.22</v>
      </c>
      <c r="AIZ289" s="24" t="n">
        <v>0</v>
      </c>
      <c r="AJA289" s="24" t="s">
        <v>693</v>
      </c>
      <c r="AJB289" s="24" t="n">
        <v>33.5</v>
      </c>
      <c r="AJC289" s="27" t="n">
        <v>92.3</v>
      </c>
      <c r="AJD289" s="27" t="n">
        <v>83.4</v>
      </c>
      <c r="AJE289" s="27" t="n">
        <v>19.8</v>
      </c>
      <c r="AJF289" s="24" t="n">
        <v>72.02</v>
      </c>
      <c r="AJG289" s="24" t="n">
        <v>2.2</v>
      </c>
      <c r="AJH289" s="24" t="n">
        <v>7.75</v>
      </c>
      <c r="AJI289" s="24" t="n">
        <v>0</v>
      </c>
      <c r="AJJ289" s="24" t="n">
        <v>5.49</v>
      </c>
      <c r="AJK289" s="24" t="n">
        <v>0</v>
      </c>
      <c r="AJL289" s="24" t="n">
        <v>6.84</v>
      </c>
      <c r="AJM289" s="24" t="n">
        <v>0</v>
      </c>
      <c r="AJN289" s="24" t="n">
        <v>0</v>
      </c>
      <c r="AJO289" s="24" t="n">
        <v>0</v>
      </c>
      <c r="AJP289" s="24" t="n">
        <v>0</v>
      </c>
      <c r="AJQ289" s="24" t="n">
        <v>7.13</v>
      </c>
      <c r="AJR289" s="24" t="n">
        <v>54.84</v>
      </c>
      <c r="AJS289" s="24" t="n">
        <v>10.13</v>
      </c>
      <c r="AJT289" s="24" t="n">
        <v>3.36</v>
      </c>
      <c r="AJU289" s="24" t="n">
        <v>5.7</v>
      </c>
      <c r="AJV289" s="24" t="n">
        <v>0</v>
      </c>
      <c r="AJW289" s="24" t="n">
        <v>0</v>
      </c>
      <c r="AKF289" s="24" t="n">
        <v>2</v>
      </c>
      <c r="AKJ289" s="24" t="n">
        <v>3.4</v>
      </c>
      <c r="AKK289" s="24" t="n">
        <v>1</v>
      </c>
      <c r="AKL289" s="24" t="n">
        <v>34</v>
      </c>
      <c r="AKM289" s="24" t="n">
        <v>1</v>
      </c>
      <c r="AKN289" s="24" t="n">
        <v>1.28</v>
      </c>
      <c r="AKO289" s="24" t="n">
        <v>1</v>
      </c>
      <c r="AKP289" s="24" t="n">
        <v>52</v>
      </c>
      <c r="AKQ289" s="24" t="n">
        <v>1</v>
      </c>
      <c r="AKR289" s="24" t="n">
        <v>0.73</v>
      </c>
      <c r="AKS289" s="24" t="n">
        <v>2</v>
      </c>
      <c r="AKT289" s="24" t="n">
        <v>30</v>
      </c>
      <c r="AKU289" s="24" t="n">
        <v>1</v>
      </c>
      <c r="AKV289" s="28" t="n">
        <v>0.13</v>
      </c>
      <c r="AKW289" s="24" t="n">
        <v>3</v>
      </c>
      <c r="ALN289" s="24" t="n">
        <v>1</v>
      </c>
      <c r="ALO289" s="24" t="n">
        <v>40</v>
      </c>
      <c r="ALP289" s="24" t="n">
        <v>1</v>
      </c>
      <c r="ALQ289" s="24" t="n">
        <v>1.83</v>
      </c>
      <c r="ALR289" s="24" t="n">
        <v>6</v>
      </c>
      <c r="ALS289" s="24" t="n">
        <v>40</v>
      </c>
      <c r="ALT289" s="24" t="n">
        <v>1</v>
      </c>
      <c r="ALU289" s="24" t="n">
        <v>1.65</v>
      </c>
      <c r="ALV289" s="24" t="n">
        <v>3</v>
      </c>
      <c r="ALW289" s="24" t="n">
        <v>40</v>
      </c>
      <c r="ALX289" s="24" t="n">
        <v>1</v>
      </c>
      <c r="ALY289" s="24" t="n">
        <v>1.83</v>
      </c>
      <c r="ALZ289" s="24" t="n">
        <v>4</v>
      </c>
      <c r="AMA289" s="24" t="n">
        <v>40</v>
      </c>
      <c r="AMB289" s="24" t="n">
        <v>4</v>
      </c>
      <c r="AMC289" s="24" t="n">
        <v>0.26</v>
      </c>
      <c r="AMD289" s="24" t="n">
        <v>1</v>
      </c>
    </row>
    <row r="290" customFormat="false" ht="13.8" hidden="false" customHeight="false" outlineLevel="0" collapsed="false">
      <c r="A290" s="22" t="s">
        <v>858</v>
      </c>
      <c r="B290" s="23" t="n">
        <v>42909</v>
      </c>
      <c r="C290" s="24" t="n">
        <v>1</v>
      </c>
      <c r="D290" s="25" t="n">
        <v>42793</v>
      </c>
      <c r="E290" s="23" t="n">
        <v>28665</v>
      </c>
      <c r="F290" s="14" t="n">
        <f aca="false">(B290-E290)/365.25</f>
        <v>38.9979466119097</v>
      </c>
      <c r="G290" s="14" t="n">
        <f aca="false">(B290-D290)/365.25</f>
        <v>0.317590691307324</v>
      </c>
      <c r="H290" s="26" t="s">
        <v>306</v>
      </c>
      <c r="I290" s="21" t="s">
        <v>689</v>
      </c>
      <c r="J290" s="21" t="s">
        <v>183</v>
      </c>
      <c r="K290" s="21" t="n">
        <v>8</v>
      </c>
      <c r="L290" s="26" t="n">
        <v>90</v>
      </c>
      <c r="M290" s="24" t="n">
        <v>1.65</v>
      </c>
      <c r="N290" s="27" t="n">
        <f aca="false">L290/(M290*M290)</f>
        <v>33.0578512396694</v>
      </c>
      <c r="O290" s="26" t="n">
        <v>0</v>
      </c>
      <c r="P290" s="26" t="n">
        <v>0</v>
      </c>
      <c r="Q290" s="26" t="n">
        <v>0</v>
      </c>
      <c r="R290" s="26" t="n">
        <v>0</v>
      </c>
      <c r="S290" s="26" t="n">
        <v>0</v>
      </c>
      <c r="T290" s="26" t="n">
        <v>0</v>
      </c>
      <c r="U290" s="26" t="n">
        <v>0</v>
      </c>
      <c r="V290" s="26" t="n">
        <v>0</v>
      </c>
      <c r="W290" s="26" t="n">
        <v>0</v>
      </c>
      <c r="X290" s="26" t="n">
        <v>0</v>
      </c>
      <c r="Y290" s="26" t="n">
        <v>0</v>
      </c>
      <c r="Z290" s="26" t="n">
        <v>0</v>
      </c>
      <c r="AA290" s="26" t="n">
        <v>0</v>
      </c>
      <c r="AB290" s="26" t="n">
        <v>0</v>
      </c>
      <c r="AC290" s="26" t="n">
        <v>0</v>
      </c>
      <c r="AD290" s="26" t="n">
        <v>0</v>
      </c>
      <c r="AE290" s="26" t="n">
        <v>0</v>
      </c>
      <c r="AF290" s="26" t="n">
        <v>0</v>
      </c>
      <c r="AG290" s="26" t="n">
        <v>0</v>
      </c>
      <c r="AH290" s="26" t="n">
        <v>0</v>
      </c>
      <c r="AI290" s="26" t="n">
        <v>0</v>
      </c>
      <c r="AJ290" s="26" t="n">
        <v>0</v>
      </c>
      <c r="AK290" s="26" t="n">
        <v>0</v>
      </c>
      <c r="AL290" s="26" t="n">
        <v>0</v>
      </c>
      <c r="AM290" s="26" t="n">
        <v>0</v>
      </c>
      <c r="AN290" s="26" t="n">
        <v>0</v>
      </c>
      <c r="AO290" s="26" t="n">
        <v>0</v>
      </c>
      <c r="AP290" s="26" t="n">
        <v>0</v>
      </c>
      <c r="AQ290" s="26" t="n">
        <v>0</v>
      </c>
      <c r="AR290" s="26" t="n">
        <v>0</v>
      </c>
      <c r="AS290" s="26" t="n">
        <v>0</v>
      </c>
      <c r="AT290" s="26" t="n">
        <v>0</v>
      </c>
      <c r="AU290" s="26" t="n">
        <v>0</v>
      </c>
      <c r="AV290" s="26" t="n">
        <v>0</v>
      </c>
      <c r="AW290" s="26" t="n">
        <v>0</v>
      </c>
      <c r="AX290" s="26" t="n">
        <v>0</v>
      </c>
      <c r="AY290" s="26" t="n">
        <v>0</v>
      </c>
      <c r="AZ290" s="26" t="n">
        <v>0</v>
      </c>
      <c r="BA290" s="26" t="n">
        <v>0</v>
      </c>
      <c r="BB290" s="26" t="n">
        <v>0</v>
      </c>
      <c r="BC290" s="26" t="n">
        <v>0</v>
      </c>
      <c r="BD290" s="26" t="n">
        <v>0</v>
      </c>
      <c r="BE290" s="26" t="n">
        <v>0</v>
      </c>
      <c r="BF290" s="26" t="n">
        <v>0</v>
      </c>
      <c r="BG290" s="26" t="n">
        <v>0</v>
      </c>
      <c r="BH290" s="26" t="n">
        <v>0</v>
      </c>
      <c r="BI290" s="26" t="n">
        <v>0</v>
      </c>
      <c r="BJ290" s="26" t="n">
        <v>0</v>
      </c>
      <c r="BK290" s="26" t="n">
        <v>0</v>
      </c>
      <c r="BL290" s="26" t="n">
        <v>0</v>
      </c>
      <c r="BM290" s="26" t="n">
        <v>0</v>
      </c>
      <c r="BN290" s="26" t="n">
        <v>0</v>
      </c>
      <c r="BO290" s="26" t="n">
        <v>0</v>
      </c>
      <c r="BP290" s="26" t="n">
        <v>0</v>
      </c>
      <c r="BQ290" s="26" t="n">
        <v>0</v>
      </c>
      <c r="BR290" s="26" t="n">
        <v>2</v>
      </c>
      <c r="BS290" s="26" t="n">
        <v>2</v>
      </c>
      <c r="BT290" s="26" t="n">
        <v>4</v>
      </c>
      <c r="BU290" s="26" t="n">
        <v>4</v>
      </c>
      <c r="BV290" s="26" t="n">
        <v>4</v>
      </c>
      <c r="BW290" s="26" t="n">
        <v>4</v>
      </c>
      <c r="BX290" s="26" t="n">
        <v>2</v>
      </c>
      <c r="BY290" s="26" t="n">
        <v>2</v>
      </c>
      <c r="BZ290" s="26" t="n">
        <v>4</v>
      </c>
      <c r="CA290" s="26" t="n">
        <v>4</v>
      </c>
      <c r="CB290" s="26" t="n">
        <v>3</v>
      </c>
      <c r="CC290" s="26" t="n">
        <v>3</v>
      </c>
      <c r="CD290" s="26" t="n">
        <v>3</v>
      </c>
      <c r="CE290" s="26" t="n">
        <v>3</v>
      </c>
      <c r="CF290" s="26" t="n">
        <v>4</v>
      </c>
      <c r="CG290" s="26" t="n">
        <v>4</v>
      </c>
      <c r="CH290" s="26" t="n">
        <v>3</v>
      </c>
      <c r="CI290" s="26" t="n">
        <v>4</v>
      </c>
      <c r="CJ290" s="26" t="n">
        <v>4</v>
      </c>
      <c r="CK290" s="26" t="n">
        <v>10</v>
      </c>
      <c r="CL290" s="24" t="s">
        <v>690</v>
      </c>
      <c r="CM290" s="24" t="n">
        <v>38</v>
      </c>
      <c r="CN290" s="27" t="n">
        <v>85.5</v>
      </c>
      <c r="CO290" s="27" t="n">
        <v>83.4</v>
      </c>
      <c r="CP290" s="27" t="n">
        <v>28.7</v>
      </c>
      <c r="CQ290" s="24" t="n">
        <v>61.84</v>
      </c>
      <c r="CR290" s="24" t="n">
        <v>0</v>
      </c>
      <c r="CS290" s="24" t="n">
        <v>0</v>
      </c>
      <c r="CT290" s="24" t="n">
        <v>0</v>
      </c>
      <c r="CU290" s="24" t="n">
        <v>37.42</v>
      </c>
      <c r="CV290" s="24" t="n">
        <v>0</v>
      </c>
      <c r="CW290" s="24" t="n">
        <v>0.73</v>
      </c>
      <c r="CX290" s="24" t="n">
        <v>0</v>
      </c>
      <c r="CY290" s="24" t="n">
        <v>0</v>
      </c>
      <c r="CZ290" s="24" t="n">
        <v>0.74</v>
      </c>
      <c r="DA290" s="24" t="n">
        <v>0</v>
      </c>
      <c r="DB290" s="24" t="n">
        <v>7.34</v>
      </c>
      <c r="DC290" s="24" t="n">
        <v>25.37</v>
      </c>
      <c r="DD290" s="24" t="n">
        <v>15.03</v>
      </c>
      <c r="DE290" s="24" t="n">
        <v>30.09</v>
      </c>
      <c r="DF290" s="24" t="n">
        <v>0</v>
      </c>
      <c r="DG290" s="24" t="n">
        <v>0</v>
      </c>
      <c r="DH290" s="24" t="n">
        <v>0</v>
      </c>
      <c r="DI290" s="24"/>
      <c r="DJ290" s="24"/>
      <c r="DK290" s="24"/>
      <c r="DL290" s="24"/>
      <c r="DM290" s="24"/>
      <c r="DN290" s="24"/>
      <c r="DO290" s="24"/>
      <c r="DP290" s="24"/>
      <c r="DQ290" s="24"/>
      <c r="DR290" s="24"/>
      <c r="DS290" s="24"/>
      <c r="DT290" s="24"/>
      <c r="DU290" s="24" t="n">
        <v>1.7</v>
      </c>
      <c r="DV290" s="24" t="n">
        <v>0</v>
      </c>
      <c r="DW290" s="24"/>
      <c r="DX290" s="24"/>
      <c r="DY290" s="24"/>
      <c r="DZ290" s="24"/>
      <c r="EA290" s="24"/>
      <c r="EB290" s="24"/>
      <c r="EC290" s="24"/>
      <c r="ED290" s="24"/>
      <c r="EE290" s="24"/>
      <c r="EF290" s="24"/>
      <c r="EG290" s="28"/>
      <c r="EH290" s="24"/>
      <c r="EI290" s="24"/>
      <c r="EJ290" s="24"/>
      <c r="EK290" s="24"/>
      <c r="EL290" s="24"/>
      <c r="EM290" s="24"/>
      <c r="EN290" s="24"/>
      <c r="EO290" s="24"/>
      <c r="EP290" s="24"/>
      <c r="EQ290" s="24"/>
      <c r="ER290" s="24"/>
      <c r="ES290" s="24"/>
      <c r="ET290" s="24"/>
      <c r="EU290" s="24"/>
      <c r="EV290" s="24"/>
      <c r="EW290" s="24"/>
      <c r="EX290" s="24"/>
      <c r="EY290" s="24" t="n">
        <v>1</v>
      </c>
      <c r="EZ290" s="24" t="n">
        <v>50</v>
      </c>
      <c r="FA290" s="24" t="n">
        <v>4</v>
      </c>
      <c r="FB290" s="24" t="n">
        <v>0.46</v>
      </c>
      <c r="FC290" s="24" t="n">
        <v>6</v>
      </c>
      <c r="FD290" s="24" t="n">
        <v>40</v>
      </c>
      <c r="FE290" s="24" t="n">
        <v>10</v>
      </c>
      <c r="FF290" s="24" t="n">
        <f aca="false">0.17*2+0.06+0.07</f>
        <v>0.47</v>
      </c>
      <c r="FG290" s="24" t="n">
        <v>1</v>
      </c>
      <c r="FH290" s="24" t="n">
        <v>40</v>
      </c>
      <c r="FI290" s="24" t="n">
        <v>10</v>
      </c>
      <c r="FJ290" s="24" t="n">
        <f aca="false">0.17*2+0.07*2+0.03</f>
        <v>0.51</v>
      </c>
      <c r="FK290" s="24" t="n">
        <v>6</v>
      </c>
      <c r="FL290" s="24" t="n">
        <v>60</v>
      </c>
      <c r="FM290" s="24" t="n">
        <v>6</v>
      </c>
      <c r="FN290" s="24" t="n">
        <f aca="false">4.4*2+0.39*2+0.26</f>
        <v>9.84</v>
      </c>
      <c r="FO290" s="24" t="n">
        <v>3</v>
      </c>
      <c r="FP290" s="24"/>
      <c r="FQ290" s="24"/>
      <c r="FR290" s="24"/>
      <c r="FS290" s="24"/>
      <c r="FT290" s="24"/>
      <c r="FU290" s="24"/>
      <c r="FV290" s="24"/>
      <c r="FW290" s="24"/>
      <c r="FX290" s="24"/>
      <c r="FY290" s="24"/>
      <c r="FZ290" s="24"/>
      <c r="GA290" s="24"/>
      <c r="GB290" s="24"/>
      <c r="GC290" s="24"/>
      <c r="GD290" s="24"/>
      <c r="GE290" s="24"/>
      <c r="GF290" s="24"/>
      <c r="GG290" s="24"/>
      <c r="GH290" s="24"/>
      <c r="GI290" s="24"/>
      <c r="GJ290" s="27" t="n">
        <v>1.55</v>
      </c>
      <c r="GK290" s="27" t="n">
        <v>1</v>
      </c>
      <c r="GL290" s="27" t="n">
        <v>1</v>
      </c>
      <c r="GM290" s="27"/>
      <c r="GN290" s="27" t="n">
        <f aca="false">1.65*2</f>
        <v>3.3</v>
      </c>
      <c r="GO290" s="27" t="n">
        <v>2</v>
      </c>
      <c r="GP290" s="27"/>
      <c r="GQ290" s="27" t="n">
        <v>0.54</v>
      </c>
      <c r="GR290" s="27"/>
      <c r="GS290" s="27"/>
      <c r="GT290" s="27"/>
      <c r="GU290" s="27" t="n">
        <v>5.74</v>
      </c>
      <c r="GV290" s="27" t="n">
        <v>3.64</v>
      </c>
      <c r="GW290" s="27"/>
      <c r="GX290" s="27"/>
      <c r="GY290" s="27" t="n">
        <v>0</v>
      </c>
      <c r="GZ290" s="27" t="n">
        <v>0</v>
      </c>
      <c r="HA290" s="27" t="n">
        <v>0</v>
      </c>
      <c r="HB290" s="24" t="n">
        <v>0</v>
      </c>
      <c r="HC290" s="24" t="s">
        <v>692</v>
      </c>
      <c r="HD290" s="24" t="n">
        <v>30.5</v>
      </c>
      <c r="HE290" s="27" t="n">
        <v>69.11</v>
      </c>
      <c r="HF290" s="27" t="n">
        <v>83.4</v>
      </c>
      <c r="HG290" s="27" t="n">
        <v>18.1</v>
      </c>
      <c r="HH290" s="24" t="n">
        <v>79.03</v>
      </c>
      <c r="HI290" s="24" t="n">
        <v>0.45</v>
      </c>
      <c r="HJ290" s="24" t="n">
        <v>0</v>
      </c>
      <c r="HK290" s="24" t="n">
        <v>0</v>
      </c>
      <c r="HL290" s="24" t="n">
        <v>20.52</v>
      </c>
      <c r="HM290" s="24" t="n">
        <v>0</v>
      </c>
      <c r="HN290" s="24" t="n">
        <v>0</v>
      </c>
      <c r="HO290" s="24" t="n">
        <v>0</v>
      </c>
      <c r="HP290" s="24" t="n">
        <v>0</v>
      </c>
      <c r="HQ290" s="24" t="n">
        <v>0</v>
      </c>
      <c r="HR290" s="24" t="n">
        <v>0</v>
      </c>
      <c r="HS290" s="24" t="n">
        <v>0</v>
      </c>
      <c r="HT290" s="24" t="n">
        <v>12.58</v>
      </c>
      <c r="HU290" s="24" t="n">
        <v>17.94</v>
      </c>
      <c r="HV290" s="24" t="n">
        <v>18.04</v>
      </c>
      <c r="HW290" s="24" t="n">
        <v>0</v>
      </c>
      <c r="HX290" s="24" t="n">
        <v>0</v>
      </c>
      <c r="HY290" s="24" t="n">
        <v>0</v>
      </c>
      <c r="HZ290" s="24"/>
      <c r="IA290" s="24"/>
      <c r="IB290" s="24"/>
      <c r="IC290" s="24"/>
      <c r="ID290" s="24"/>
      <c r="IE290" s="24"/>
      <c r="IF290" s="24"/>
      <c r="IG290" s="24"/>
      <c r="IH290" s="24"/>
      <c r="II290" s="24"/>
      <c r="IJ290" s="24"/>
      <c r="IK290" s="24"/>
      <c r="IL290" s="24" t="n">
        <v>8.1</v>
      </c>
      <c r="IM290" s="24" t="n">
        <v>1</v>
      </c>
      <c r="IN290" s="24" t="n">
        <v>35</v>
      </c>
      <c r="IO290" s="24" t="n">
        <v>4</v>
      </c>
      <c r="IP290" s="24" t="n">
        <f aca="false">2.2+0.39</f>
        <v>2.59</v>
      </c>
      <c r="IQ290" s="24" t="n">
        <v>3</v>
      </c>
      <c r="IX290" s="28"/>
      <c r="JP290" s="24" t="n">
        <v>1</v>
      </c>
      <c r="JQ290" s="24" t="n">
        <v>60</v>
      </c>
      <c r="JR290" s="24" t="n">
        <v>1</v>
      </c>
      <c r="JS290" s="24" t="n">
        <v>0.73</v>
      </c>
      <c r="JT290" s="24" t="n">
        <v>3</v>
      </c>
      <c r="LA290" s="27" t="n">
        <v>3.89</v>
      </c>
      <c r="LB290" s="27" t="n">
        <v>1</v>
      </c>
      <c r="LC290" s="27" t="n">
        <v>1</v>
      </c>
      <c r="LD290" s="27"/>
      <c r="LE290" s="27" t="n">
        <f aca="false">0.14*2+0.21*2</f>
        <v>0.7</v>
      </c>
      <c r="LF290" s="27" t="n">
        <v>2</v>
      </c>
      <c r="LG290" s="27"/>
      <c r="LH290" s="27" t="n">
        <f aca="false">1.65*2</f>
        <v>3.3</v>
      </c>
      <c r="LI290" s="27"/>
      <c r="LJ290" s="27"/>
      <c r="LK290" s="27"/>
      <c r="LL290" s="27" t="n">
        <v>0</v>
      </c>
      <c r="LM290" s="27" t="n">
        <v>0</v>
      </c>
      <c r="LN290" s="27"/>
      <c r="LO290" s="27"/>
      <c r="LP290" s="27" t="n">
        <v>0</v>
      </c>
      <c r="LQ290" s="27" t="n">
        <v>0</v>
      </c>
      <c r="LR290" s="27" t="n">
        <v>0</v>
      </c>
      <c r="LS290" s="24" t="n">
        <v>0</v>
      </c>
      <c r="LT290" s="24" t="s">
        <v>697</v>
      </c>
      <c r="LU290" s="24" t="n">
        <v>42.5</v>
      </c>
      <c r="LV290" s="27" t="n">
        <v>92.2</v>
      </c>
      <c r="LW290" s="27" t="n">
        <v>83.4</v>
      </c>
      <c r="LX290" s="27" t="n">
        <v>33.5</v>
      </c>
      <c r="LY290" s="24" t="n">
        <v>25.89</v>
      </c>
      <c r="LZ290" s="24" t="n">
        <v>0</v>
      </c>
      <c r="MA290" s="24" t="n">
        <v>0</v>
      </c>
      <c r="MB290" s="24" t="n">
        <v>0</v>
      </c>
      <c r="MC290" s="24" t="n">
        <v>0</v>
      </c>
      <c r="MD290" s="24" t="n">
        <v>0</v>
      </c>
      <c r="ME290" s="24" t="n">
        <v>74.11</v>
      </c>
      <c r="MF290" s="24" t="n">
        <v>25.43</v>
      </c>
      <c r="MG290" s="24" t="n">
        <v>9.72</v>
      </c>
      <c r="MH290" s="24" t="n">
        <v>2.94</v>
      </c>
      <c r="MI290" s="24" t="n">
        <v>0</v>
      </c>
      <c r="MJ290" s="24" t="n">
        <v>11.38</v>
      </c>
      <c r="MK290" s="24" t="n">
        <v>16.89</v>
      </c>
      <c r="ML290" s="24" t="n">
        <v>27.26</v>
      </c>
      <c r="MM290" s="24" t="n">
        <v>0</v>
      </c>
      <c r="MN290" s="24" t="n">
        <v>0</v>
      </c>
      <c r="MO290" s="24" t="n">
        <v>0</v>
      </c>
      <c r="MP290" s="24" t="n">
        <v>0</v>
      </c>
      <c r="NC290" s="24" t="n">
        <v>3.6</v>
      </c>
      <c r="ND290" s="24" t="n">
        <v>1</v>
      </c>
      <c r="NE290" s="24" t="n">
        <v>35</v>
      </c>
      <c r="NF290" s="24" t="n">
        <v>6</v>
      </c>
      <c r="NG290" s="24" t="n">
        <f aca="false">0.13*4</f>
        <v>0.52</v>
      </c>
      <c r="NH290" s="24" t="n">
        <v>3</v>
      </c>
      <c r="NI290" s="24" t="n">
        <v>25</v>
      </c>
      <c r="NJ290" s="24" t="n">
        <v>2</v>
      </c>
      <c r="NK290" s="24" t="n">
        <f aca="false">0.13*2</f>
        <v>0.26</v>
      </c>
      <c r="NL290" s="24" t="n">
        <v>4</v>
      </c>
      <c r="NO290" s="28"/>
      <c r="OG290" s="24" t="n">
        <v>0</v>
      </c>
      <c r="PR290" s="27" t="n">
        <v>3.01</v>
      </c>
      <c r="PS290" s="27" t="n">
        <v>1</v>
      </c>
      <c r="PT290" s="27" t="n">
        <v>1</v>
      </c>
      <c r="PU290" s="27"/>
      <c r="PV290" s="27" t="n">
        <f aca="false">1.65*5+0.13*2+0.36+0.18</f>
        <v>9.05</v>
      </c>
      <c r="PW290" s="27"/>
      <c r="PX290" s="27"/>
      <c r="PY290" s="27"/>
      <c r="PZ290" s="27"/>
      <c r="QA290" s="27"/>
      <c r="QB290" s="27"/>
      <c r="QC290" s="27" t="n">
        <v>2.16</v>
      </c>
      <c r="QD290" s="27" t="n">
        <v>0.52</v>
      </c>
      <c r="QE290" s="27"/>
      <c r="QF290" s="27"/>
      <c r="QG290" s="27" t="n">
        <v>0</v>
      </c>
      <c r="QH290" s="27" t="n">
        <v>0</v>
      </c>
      <c r="QI290" s="27" t="n">
        <v>0</v>
      </c>
      <c r="QJ290" s="24" t="n">
        <v>0</v>
      </c>
      <c r="QK290" s="24" t="s">
        <v>698</v>
      </c>
      <c r="QL290" s="24" t="n">
        <v>37</v>
      </c>
      <c r="QM290" s="27" t="n">
        <v>86.3</v>
      </c>
      <c r="QN290" s="27" t="n">
        <v>83.4</v>
      </c>
      <c r="QO290" s="27" t="n">
        <v>31.3</v>
      </c>
      <c r="QP290" s="24" t="n">
        <v>24.09</v>
      </c>
      <c r="QQ290" s="24" t="n">
        <v>0</v>
      </c>
      <c r="QR290" s="24" t="n">
        <v>0</v>
      </c>
      <c r="QS290" s="24" t="n">
        <v>0</v>
      </c>
      <c r="QT290" s="24" t="n">
        <v>0</v>
      </c>
      <c r="QU290" s="24" t="n">
        <v>0</v>
      </c>
      <c r="QV290" s="24" t="n">
        <v>75.91</v>
      </c>
      <c r="QW290" s="24" t="n">
        <v>21.83</v>
      </c>
      <c r="QX290" s="24" t="n">
        <v>8.63</v>
      </c>
      <c r="QY290" s="24" t="n">
        <v>2.94</v>
      </c>
      <c r="QZ290" s="24" t="n">
        <v>0</v>
      </c>
      <c r="RA290" s="24" t="n">
        <v>13.66</v>
      </c>
      <c r="RB290" s="24" t="n">
        <v>10.54</v>
      </c>
      <c r="RC290" s="24" t="n">
        <v>28.39</v>
      </c>
      <c r="RD290" s="24" t="n">
        <v>0</v>
      </c>
      <c r="RE290" s="24" t="n">
        <v>0</v>
      </c>
      <c r="RF290" s="24" t="n">
        <v>0</v>
      </c>
      <c r="RG290" s="24" t="n">
        <v>0</v>
      </c>
      <c r="RT290" s="24" t="n">
        <v>2.7</v>
      </c>
      <c r="RU290" s="24" t="n">
        <v>1</v>
      </c>
      <c r="RV290" s="24" t="n">
        <v>52</v>
      </c>
      <c r="RW290" s="24" t="n">
        <v>1</v>
      </c>
      <c r="RX290" s="24" t="n">
        <v>0.39</v>
      </c>
      <c r="RY290" s="24" t="n">
        <v>2</v>
      </c>
      <c r="RZ290" s="24" t="n">
        <v>35</v>
      </c>
      <c r="SA290" s="24" t="n">
        <v>4</v>
      </c>
      <c r="SB290" s="24" t="n">
        <v>0.26</v>
      </c>
      <c r="SC290" s="24" t="n">
        <v>3</v>
      </c>
      <c r="SF290" s="28"/>
      <c r="SX290" s="24" t="n">
        <v>0</v>
      </c>
      <c r="UI290" s="27" t="n">
        <v>2.83</v>
      </c>
      <c r="UJ290" s="27" t="n">
        <v>1</v>
      </c>
      <c r="UK290" s="27" t="n">
        <v>1</v>
      </c>
      <c r="UL290" s="27"/>
      <c r="UM290" s="27" t="n">
        <f aca="false">1.65*5</f>
        <v>8.25</v>
      </c>
      <c r="UN290" s="27"/>
      <c r="UO290" s="27"/>
      <c r="UP290" s="27"/>
      <c r="UQ290" s="27"/>
      <c r="UR290" s="27"/>
      <c r="US290" s="27"/>
      <c r="UT290" s="27" t="n">
        <v>0</v>
      </c>
      <c r="UU290" s="27" t="n">
        <v>0</v>
      </c>
      <c r="UV290" s="27"/>
      <c r="UW290" s="27"/>
      <c r="UX290" s="27" t="n">
        <v>0</v>
      </c>
      <c r="UY290" s="27" t="n">
        <v>0</v>
      </c>
      <c r="UZ290" s="27" t="n">
        <v>0</v>
      </c>
      <c r="VA290" s="24" t="n">
        <v>0</v>
      </c>
      <c r="VB290" s="24" t="s">
        <v>702</v>
      </c>
      <c r="VC290" s="24" t="n">
        <v>43.5</v>
      </c>
      <c r="VD290" s="27" t="n">
        <v>73.8</v>
      </c>
      <c r="VE290" s="27" t="n">
        <v>83.4</v>
      </c>
      <c r="VF290" s="27" t="n">
        <v>26.5</v>
      </c>
      <c r="VG290" s="24" t="n">
        <v>20.2</v>
      </c>
      <c r="VH290" s="24" t="n">
        <v>0</v>
      </c>
      <c r="VI290" s="24" t="n">
        <v>26.95</v>
      </c>
      <c r="VJ290" s="24" t="n">
        <v>0</v>
      </c>
      <c r="VK290" s="24" t="n">
        <v>0.39</v>
      </c>
      <c r="VL290" s="24" t="n">
        <v>0</v>
      </c>
      <c r="VM290" s="24" t="n">
        <v>79.41</v>
      </c>
      <c r="VN290" s="24" t="n">
        <v>26.95</v>
      </c>
      <c r="VO290" s="24" t="n">
        <v>0</v>
      </c>
      <c r="VP290" s="24" t="n">
        <v>0</v>
      </c>
      <c r="VQ290" s="24" t="n">
        <v>0</v>
      </c>
      <c r="VR290" s="24" t="n">
        <v>35.2</v>
      </c>
      <c r="VS290" s="24" t="n">
        <v>15.96</v>
      </c>
      <c r="VT290" s="24" t="n">
        <v>39.09</v>
      </c>
      <c r="VU290" s="24" t="n">
        <v>0.32</v>
      </c>
      <c r="VV290" s="24" t="n">
        <v>0</v>
      </c>
      <c r="VW290" s="24" t="n">
        <v>0</v>
      </c>
      <c r="VX290" s="24" t="n">
        <v>0</v>
      </c>
      <c r="WK290" s="24" t="n">
        <v>14.4</v>
      </c>
      <c r="WL290" s="24" t="n">
        <v>1</v>
      </c>
      <c r="WM290" s="24" t="n">
        <v>30</v>
      </c>
      <c r="WN290" s="24" t="n">
        <v>5</v>
      </c>
      <c r="WO290" s="24" t="n">
        <f aca="false">2.94+0.6</f>
        <v>3.54</v>
      </c>
      <c r="WP290" s="24" t="n">
        <v>3</v>
      </c>
      <c r="WQ290" s="24" t="n">
        <v>34</v>
      </c>
      <c r="WR290" s="24" t="n">
        <v>1</v>
      </c>
      <c r="WS290" s="24" t="n">
        <v>1.65</v>
      </c>
      <c r="WT290" s="24" t="n">
        <v>1</v>
      </c>
      <c r="WU290" s="24" t="n">
        <v>52</v>
      </c>
      <c r="WV290" s="24" t="n">
        <v>6</v>
      </c>
      <c r="WW290" s="28" t="n">
        <f aca="false">0.7+0.77+0.08+0.05</f>
        <v>1.6</v>
      </c>
      <c r="WX290" s="24" t="n">
        <v>2</v>
      </c>
      <c r="WY290" s="24" t="n">
        <v>35</v>
      </c>
      <c r="WZ290" s="24" t="n">
        <v>1</v>
      </c>
      <c r="XA290" s="24" t="n">
        <v>0.19</v>
      </c>
      <c r="XB290" s="24" t="n">
        <v>3</v>
      </c>
      <c r="XC290" s="24" t="n">
        <v>23</v>
      </c>
      <c r="XD290" s="24" t="n">
        <v>3</v>
      </c>
      <c r="XE290" s="24" t="n">
        <f aca="false">0.39+0.77</f>
        <v>1.16</v>
      </c>
      <c r="XF290" s="24" t="n">
        <v>3</v>
      </c>
      <c r="XO290" s="24" t="n">
        <v>0</v>
      </c>
      <c r="YZ290" s="27" t="n">
        <v>1.22</v>
      </c>
      <c r="ZA290" s="27" t="n">
        <v>1</v>
      </c>
      <c r="ZB290" s="27" t="n">
        <v>1</v>
      </c>
      <c r="ZC290" s="27"/>
      <c r="ZD290" s="27" t="n">
        <f aca="false">0.97*2+1.07*2</f>
        <v>4.08</v>
      </c>
      <c r="ZE290" s="27"/>
      <c r="ZF290" s="27"/>
      <c r="ZG290" s="27"/>
      <c r="ZH290" s="27"/>
      <c r="ZI290" s="27"/>
      <c r="ZJ290" s="27"/>
      <c r="ZK290" s="27" t="n">
        <v>0</v>
      </c>
      <c r="ZL290" s="27" t="n">
        <v>0</v>
      </c>
      <c r="ZM290" s="27"/>
      <c r="ZN290" s="27"/>
      <c r="ZO290" s="27" t="n">
        <v>0</v>
      </c>
      <c r="ZP290" s="27" t="n">
        <v>0</v>
      </c>
      <c r="ZQ290" s="27" t="n">
        <v>1.22</v>
      </c>
      <c r="ZR290" s="24" t="n">
        <v>0</v>
      </c>
      <c r="ZS290" s="24" t="s">
        <v>693</v>
      </c>
      <c r="ZT290" s="24" t="n">
        <v>33.5</v>
      </c>
      <c r="ZU290" s="27" t="n">
        <v>92.3</v>
      </c>
      <c r="ZV290" s="27" t="n">
        <v>83.4</v>
      </c>
      <c r="ZW290" s="27" t="n">
        <v>19.8</v>
      </c>
      <c r="ZX290" s="24" t="n">
        <v>72.02</v>
      </c>
      <c r="ZY290" s="24" t="n">
        <v>2.2</v>
      </c>
      <c r="ZZ290" s="24" t="n">
        <v>7.75</v>
      </c>
      <c r="AAA290" s="24" t="n">
        <v>0</v>
      </c>
      <c r="AAB290" s="24" t="n">
        <v>5.49</v>
      </c>
      <c r="AAC290" s="24" t="n">
        <v>0</v>
      </c>
      <c r="AAD290" s="24" t="n">
        <v>6.84</v>
      </c>
      <c r="AAE290" s="24" t="n">
        <v>0</v>
      </c>
      <c r="AAF290" s="24" t="n">
        <v>0</v>
      </c>
      <c r="AAG290" s="24" t="n">
        <v>0</v>
      </c>
      <c r="AAH290" s="24" t="n">
        <v>0</v>
      </c>
      <c r="AAI290" s="24" t="n">
        <v>7.13</v>
      </c>
      <c r="AAJ290" s="24" t="n">
        <v>54.84</v>
      </c>
      <c r="AAK290" s="24" t="n">
        <v>10.13</v>
      </c>
      <c r="AAL290" s="24" t="n">
        <v>3.36</v>
      </c>
      <c r="AAM290" s="24" t="n">
        <v>5.7</v>
      </c>
      <c r="AAN290" s="24" t="n">
        <v>0</v>
      </c>
      <c r="AAO290" s="24" t="n">
        <v>0</v>
      </c>
      <c r="AAX290" s="24" t="n">
        <v>2</v>
      </c>
      <c r="ABB290" s="24" t="n">
        <v>3.4</v>
      </c>
      <c r="ABC290" s="24" t="n">
        <v>1</v>
      </c>
      <c r="ABD290" s="24" t="n">
        <v>34</v>
      </c>
      <c r="ABE290" s="24" t="n">
        <v>1</v>
      </c>
      <c r="ABF290" s="24" t="n">
        <v>1.28</v>
      </c>
      <c r="ABG290" s="24" t="n">
        <v>1</v>
      </c>
      <c r="ABH290" s="24" t="n">
        <v>52</v>
      </c>
      <c r="ABI290" s="24" t="n">
        <v>1</v>
      </c>
      <c r="ABJ290" s="24" t="n">
        <v>0.73</v>
      </c>
      <c r="ABK290" s="24" t="n">
        <v>2</v>
      </c>
      <c r="ABL290" s="24" t="n">
        <v>30</v>
      </c>
      <c r="ABM290" s="24" t="n">
        <v>1</v>
      </c>
      <c r="ABN290" s="28" t="n">
        <v>0.13</v>
      </c>
      <c r="ABO290" s="24" t="n">
        <v>3</v>
      </c>
      <c r="ACF290" s="24" t="n">
        <v>1</v>
      </c>
      <c r="ACG290" s="24" t="n">
        <v>40</v>
      </c>
      <c r="ACH290" s="24" t="n">
        <v>1</v>
      </c>
      <c r="ACI290" s="24" t="n">
        <v>1.83</v>
      </c>
      <c r="ACJ290" s="24" t="n">
        <v>6</v>
      </c>
      <c r="ACK290" s="24" t="n">
        <v>40</v>
      </c>
      <c r="ACL290" s="24" t="n">
        <v>1</v>
      </c>
      <c r="ACM290" s="24" t="n">
        <v>1.65</v>
      </c>
      <c r="ACN290" s="24" t="n">
        <v>3</v>
      </c>
      <c r="ACO290" s="24" t="n">
        <v>40</v>
      </c>
      <c r="ACP290" s="24" t="n">
        <v>1</v>
      </c>
      <c r="ACQ290" s="24" t="n">
        <v>1.83</v>
      </c>
      <c r="ACR290" s="24" t="n">
        <v>4</v>
      </c>
      <c r="ACS290" s="24" t="n">
        <v>40</v>
      </c>
      <c r="ACT290" s="24" t="n">
        <v>4</v>
      </c>
      <c r="ACU290" s="24" t="n">
        <v>0.26</v>
      </c>
      <c r="ACV290" s="24" t="n">
        <v>1</v>
      </c>
      <c r="ADQ290" s="27" t="n">
        <v>3.89</v>
      </c>
      <c r="ADR290" s="27" t="n">
        <v>1</v>
      </c>
      <c r="ADS290" s="27" t="n">
        <v>1</v>
      </c>
      <c r="ADT290" s="27"/>
      <c r="ADU290" s="27" t="n">
        <f aca="false">0.36*2</f>
        <v>0.72</v>
      </c>
      <c r="ADV290" s="27" t="n">
        <v>2</v>
      </c>
      <c r="ADW290" s="27"/>
      <c r="ADX290" s="27" t="n">
        <f aca="false">2.04*2</f>
        <v>4.08</v>
      </c>
      <c r="ADY290" s="27"/>
      <c r="ADZ290" s="27"/>
      <c r="AEA290" s="27"/>
      <c r="AEB290" s="27" t="n">
        <v>3.27</v>
      </c>
      <c r="AEC290" s="27" t="n">
        <v>2.46</v>
      </c>
      <c r="AED290" s="27"/>
      <c r="AEE290" s="27"/>
      <c r="AEF290" s="27" t="n">
        <v>2.88</v>
      </c>
      <c r="AEG290" s="27" t="n">
        <v>4.14</v>
      </c>
      <c r="AEH290" s="27" t="n">
        <v>0</v>
      </c>
      <c r="AEI290" s="24" t="n">
        <v>0</v>
      </c>
      <c r="AEJ290" s="24" t="s">
        <v>699</v>
      </c>
      <c r="AEK290" s="24" t="n">
        <v>44.5</v>
      </c>
      <c r="AEL290" s="27" t="n">
        <v>101.7</v>
      </c>
      <c r="AEM290" s="27" t="n">
        <v>83.4</v>
      </c>
      <c r="AEN290" s="27" t="n">
        <v>22.5</v>
      </c>
      <c r="AEO290" s="24" t="n">
        <v>75.78</v>
      </c>
      <c r="AEP290" s="24" t="n">
        <v>0</v>
      </c>
      <c r="AEQ290" s="24" t="n">
        <v>2.04</v>
      </c>
      <c r="AER290" s="24" t="n">
        <v>0</v>
      </c>
      <c r="AES290" s="24" t="n">
        <v>8.57</v>
      </c>
      <c r="AET290" s="24" t="n">
        <v>0</v>
      </c>
      <c r="AEU290" s="24" t="n">
        <v>2.21</v>
      </c>
      <c r="AEV290" s="24" t="n">
        <v>0</v>
      </c>
      <c r="AEW290" s="24" t="n">
        <v>1.1</v>
      </c>
      <c r="AEX290" s="24" t="n">
        <v>0</v>
      </c>
      <c r="AEY290" s="24" t="n">
        <v>0</v>
      </c>
      <c r="AEZ290" s="24" t="n">
        <v>1.61</v>
      </c>
      <c r="AFA290" s="24" t="n">
        <v>54.76</v>
      </c>
      <c r="AFB290" s="24" t="n">
        <v>16</v>
      </c>
      <c r="AFC290" s="24" t="n">
        <v>6.05</v>
      </c>
      <c r="AFD290" s="24" t="n">
        <v>10.83</v>
      </c>
      <c r="AFE290" s="24" t="n">
        <v>10.1</v>
      </c>
      <c r="AFF290" s="24" t="n">
        <v>1</v>
      </c>
      <c r="AFG290" s="24" t="n">
        <v>2</v>
      </c>
      <c r="AFI290" s="24" t="n">
        <v>3</v>
      </c>
      <c r="AFJ290" s="24" t="n">
        <v>5</v>
      </c>
      <c r="AFL290" s="24" t="n">
        <v>1</v>
      </c>
      <c r="AFM290" s="24" t="n">
        <v>3</v>
      </c>
      <c r="AFO290" s="24" t="n">
        <v>1</v>
      </c>
      <c r="AFS290" s="24" t="n">
        <v>3</v>
      </c>
      <c r="AFT290" s="24" t="n">
        <v>1</v>
      </c>
      <c r="AFU290" s="24" t="n">
        <v>52</v>
      </c>
      <c r="AFV290" s="24" t="n">
        <v>1</v>
      </c>
      <c r="AFW290" s="24" t="n">
        <v>0.73</v>
      </c>
      <c r="AFX290" s="24" t="n">
        <v>2</v>
      </c>
      <c r="AFY290" s="24" t="n">
        <v>34</v>
      </c>
      <c r="AFZ290" s="24" t="n">
        <v>1</v>
      </c>
      <c r="AGA290" s="24" t="n">
        <v>1.28</v>
      </c>
      <c r="AGB290" s="24" t="n">
        <v>1</v>
      </c>
      <c r="AGE290" s="28"/>
      <c r="AGW290" s="24" t="n">
        <v>1</v>
      </c>
      <c r="AGX290" s="24" t="n">
        <v>40</v>
      </c>
      <c r="AGY290" s="24" t="n">
        <v>1</v>
      </c>
      <c r="AGZ290" s="24" t="n">
        <v>1.83</v>
      </c>
      <c r="AHA290" s="24" t="n">
        <v>6</v>
      </c>
      <c r="AHB290" s="24" t="n">
        <v>40</v>
      </c>
      <c r="AHC290" s="24" t="n">
        <v>1</v>
      </c>
      <c r="AHD290" s="24" t="n">
        <v>1.65</v>
      </c>
      <c r="AHE290" s="24" t="n">
        <v>3</v>
      </c>
      <c r="AHF290" s="24" t="n">
        <v>40</v>
      </c>
      <c r="AHG290" s="24" t="n">
        <v>3</v>
      </c>
      <c r="AHH290" s="24" t="n">
        <f aca="false">0.26+1.83</f>
        <v>2.09</v>
      </c>
      <c r="AHI290" s="24" t="n">
        <v>4</v>
      </c>
      <c r="AIH290" s="27" t="n">
        <v>3.87</v>
      </c>
      <c r="AII290" s="27" t="n">
        <v>1</v>
      </c>
      <c r="AIJ290" s="27" t="n">
        <v>1</v>
      </c>
      <c r="AIK290" s="27"/>
      <c r="AIL290" s="27" t="n">
        <f aca="false">0.46*2+0.08</f>
        <v>1</v>
      </c>
      <c r="AIM290" s="27" t="n">
        <v>2</v>
      </c>
      <c r="AIN290" s="27"/>
      <c r="AIO290" s="27" t="n">
        <f aca="false">4.08</f>
        <v>4.08</v>
      </c>
      <c r="AIP290" s="27"/>
      <c r="AIQ290" s="27"/>
      <c r="AIR290" s="27"/>
      <c r="AIS290" s="27" t="n">
        <v>2.2</v>
      </c>
      <c r="AIT290" s="27" t="n">
        <v>2.2</v>
      </c>
      <c r="AIU290" s="27"/>
      <c r="AIV290" s="27"/>
      <c r="AIW290" s="27" t="n">
        <v>2.88</v>
      </c>
      <c r="AIX290" s="27" t="n">
        <v>3.04</v>
      </c>
      <c r="AIY290" s="27" t="n">
        <v>0</v>
      </c>
      <c r="AIZ290" s="24" t="n">
        <v>0</v>
      </c>
      <c r="AJA290" s="24" t="s">
        <v>694</v>
      </c>
      <c r="AJB290" s="24" t="n">
        <v>40</v>
      </c>
      <c r="AJC290" s="27" t="n">
        <v>78.1</v>
      </c>
      <c r="AJD290" s="27" t="n">
        <v>83.4</v>
      </c>
      <c r="AJE290" s="27" t="n">
        <v>34.6</v>
      </c>
      <c r="AJF290" s="24" t="n">
        <v>66.6</v>
      </c>
      <c r="AJG290" s="24" t="n">
        <v>0</v>
      </c>
      <c r="AJH290" s="24" t="n">
        <v>18.54</v>
      </c>
      <c r="AJI290" s="24" t="n">
        <v>7.52</v>
      </c>
      <c r="AJJ290" s="24" t="n">
        <v>0</v>
      </c>
      <c r="AJK290" s="24" t="n">
        <v>0</v>
      </c>
      <c r="AJL290" s="24" t="n">
        <v>0</v>
      </c>
      <c r="AJM290" s="24" t="n">
        <v>0</v>
      </c>
      <c r="AJN290" s="24" t="n">
        <v>0</v>
      </c>
      <c r="AJO290" s="24" t="n">
        <v>0</v>
      </c>
      <c r="AJP290" s="24" t="n">
        <v>0</v>
      </c>
      <c r="AJQ290" s="24" t="n">
        <v>0</v>
      </c>
      <c r="AJR290" s="24" t="n">
        <v>28.45</v>
      </c>
      <c r="AJS290" s="24" t="n">
        <v>20.45</v>
      </c>
      <c r="AJT290" s="24" t="n">
        <v>0.01</v>
      </c>
      <c r="AJU290" s="24" t="n">
        <v>7.34</v>
      </c>
      <c r="AJV290" s="24" t="n">
        <v>0</v>
      </c>
      <c r="AJW290" s="24" t="n">
        <v>0</v>
      </c>
      <c r="AKJ290" s="24" t="n">
        <v>0</v>
      </c>
      <c r="AKK290" s="24" t="n">
        <v>0</v>
      </c>
      <c r="AKV290" s="28"/>
      <c r="ALN290" s="24" t="n">
        <v>1</v>
      </c>
      <c r="ALO290" s="24" t="n">
        <v>40</v>
      </c>
      <c r="ALP290" s="24" t="n">
        <v>1</v>
      </c>
      <c r="ALQ290" s="24" t="n">
        <v>0.73</v>
      </c>
      <c r="ALR290" s="24" t="n">
        <v>3</v>
      </c>
    </row>
    <row r="291" customFormat="false" ht="13.8" hidden="false" customHeight="false" outlineLevel="0" collapsed="false">
      <c r="A291" s="22" t="s">
        <v>859</v>
      </c>
      <c r="B291" s="23" t="n">
        <v>42909</v>
      </c>
      <c r="C291" s="24" t="n">
        <v>2</v>
      </c>
      <c r="D291" s="25" t="n">
        <v>42793</v>
      </c>
      <c r="E291" s="23" t="n">
        <v>33451</v>
      </c>
      <c r="F291" s="14" t="n">
        <f aca="false">(B291-E291)/365.25</f>
        <v>25.8945927446954</v>
      </c>
      <c r="G291" s="14" t="n">
        <f aca="false">(B291-D291)/365.25</f>
        <v>0.317590691307324</v>
      </c>
      <c r="H291" s="26" t="s">
        <v>306</v>
      </c>
      <c r="I291" s="21" t="s">
        <v>689</v>
      </c>
      <c r="J291" s="21" t="s">
        <v>183</v>
      </c>
      <c r="K291" s="21" t="n">
        <v>8</v>
      </c>
      <c r="L291" s="26" t="n">
        <v>69</v>
      </c>
      <c r="M291" s="24" t="n">
        <v>1.75</v>
      </c>
      <c r="N291" s="27" t="n">
        <f aca="false">L291/(M291*M291)</f>
        <v>22.530612244898</v>
      </c>
      <c r="O291" s="26" t="n">
        <v>0</v>
      </c>
      <c r="P291" s="26" t="n">
        <v>0</v>
      </c>
      <c r="Q291" s="26" t="n">
        <v>0</v>
      </c>
      <c r="R291" s="26" t="n">
        <v>0</v>
      </c>
      <c r="S291" s="26" t="n">
        <v>0</v>
      </c>
      <c r="T291" s="26" t="n">
        <v>0</v>
      </c>
      <c r="U291" s="26" t="n">
        <v>0</v>
      </c>
      <c r="V291" s="26" t="n">
        <v>0</v>
      </c>
      <c r="W291" s="26" t="n">
        <v>0</v>
      </c>
      <c r="X291" s="26" t="n">
        <v>0</v>
      </c>
      <c r="Y291" s="26" t="n">
        <v>0</v>
      </c>
      <c r="Z291" s="26" t="n">
        <v>0</v>
      </c>
      <c r="AA291" s="26" t="n">
        <v>0</v>
      </c>
      <c r="AB291" s="26" t="n">
        <v>0</v>
      </c>
      <c r="AC291" s="26" t="n">
        <v>1</v>
      </c>
      <c r="AD291" s="26" t="n">
        <v>7</v>
      </c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 t="n">
        <v>1</v>
      </c>
      <c r="AT291" s="26" t="n">
        <v>0</v>
      </c>
      <c r="AU291" s="26" t="n">
        <v>0</v>
      </c>
      <c r="AV291" s="26" t="n">
        <v>0</v>
      </c>
      <c r="AW291" s="26" t="n">
        <v>0</v>
      </c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  <c r="BO291" s="26"/>
      <c r="BP291" s="26"/>
      <c r="BQ291" s="26"/>
      <c r="BR291" s="26" t="n">
        <v>2</v>
      </c>
      <c r="BS291" s="26" t="n">
        <v>1</v>
      </c>
      <c r="BT291" s="26" t="n">
        <v>3</v>
      </c>
      <c r="BU291" s="26" t="n">
        <v>5</v>
      </c>
      <c r="BV291" s="26" t="n">
        <v>3</v>
      </c>
      <c r="BW291" s="26" t="n">
        <v>1</v>
      </c>
      <c r="BX291" s="26" t="n">
        <v>5</v>
      </c>
      <c r="BY291" s="26" t="n">
        <v>5</v>
      </c>
      <c r="BZ291" s="26" t="n">
        <v>5</v>
      </c>
      <c r="CA291" s="26" t="n">
        <v>3</v>
      </c>
      <c r="CB291" s="26" t="n">
        <v>4</v>
      </c>
      <c r="CC291" s="26" t="n">
        <v>5</v>
      </c>
      <c r="CD291" s="26" t="n">
        <v>3</v>
      </c>
      <c r="CE291" s="26" t="n">
        <v>5</v>
      </c>
      <c r="CF291" s="26" t="n">
        <v>5</v>
      </c>
      <c r="CG291" s="26" t="n">
        <v>5</v>
      </c>
      <c r="CH291" s="26" t="n">
        <v>5</v>
      </c>
      <c r="CI291" s="26" t="n">
        <v>5</v>
      </c>
      <c r="CJ291" s="26" t="n">
        <v>5</v>
      </c>
      <c r="CK291" s="26" t="n">
        <v>10</v>
      </c>
      <c r="CL291" s="24" t="s">
        <v>690</v>
      </c>
      <c r="CM291" s="24" t="n">
        <v>38</v>
      </c>
      <c r="CN291" s="27" t="n">
        <v>85.5</v>
      </c>
      <c r="CO291" s="27" t="n">
        <v>83.4</v>
      </c>
      <c r="CP291" s="27" t="n">
        <v>28.7</v>
      </c>
      <c r="CQ291" s="24" t="n">
        <v>61.84</v>
      </c>
      <c r="CR291" s="24" t="n">
        <v>0</v>
      </c>
      <c r="CS291" s="24" t="n">
        <v>0</v>
      </c>
      <c r="CT291" s="24" t="n">
        <v>0</v>
      </c>
      <c r="CU291" s="24" t="n">
        <v>37.42</v>
      </c>
      <c r="CV291" s="24" t="n">
        <v>0</v>
      </c>
      <c r="CW291" s="24" t="n">
        <v>0.73</v>
      </c>
      <c r="CX291" s="24" t="n">
        <v>0</v>
      </c>
      <c r="CY291" s="24" t="n">
        <v>0</v>
      </c>
      <c r="CZ291" s="24" t="n">
        <v>0.74</v>
      </c>
      <c r="DA291" s="24" t="n">
        <v>0</v>
      </c>
      <c r="DB291" s="24" t="n">
        <v>7.34</v>
      </c>
      <c r="DC291" s="24" t="n">
        <v>25.37</v>
      </c>
      <c r="DD291" s="24" t="n">
        <v>15.03</v>
      </c>
      <c r="DE291" s="24" t="n">
        <v>30.09</v>
      </c>
      <c r="DF291" s="24" t="n">
        <v>0</v>
      </c>
      <c r="DG291" s="24" t="n">
        <v>0</v>
      </c>
      <c r="DH291" s="24" t="n">
        <v>0</v>
      </c>
      <c r="DU291" s="24" t="n">
        <v>1.7</v>
      </c>
      <c r="DV291" s="24" t="n">
        <v>0</v>
      </c>
      <c r="EG291" s="28"/>
      <c r="EY291" s="24" t="n">
        <v>1</v>
      </c>
      <c r="EZ291" s="24" t="n">
        <v>50</v>
      </c>
      <c r="FA291" s="24" t="n">
        <v>4</v>
      </c>
      <c r="FB291" s="24" t="n">
        <v>0.46</v>
      </c>
      <c r="FC291" s="24" t="n">
        <v>6</v>
      </c>
      <c r="FD291" s="24" t="n">
        <v>40</v>
      </c>
      <c r="FE291" s="24" t="n">
        <v>10</v>
      </c>
      <c r="FF291" s="24" t="n">
        <f aca="false">0.17*2+0.06+0.07</f>
        <v>0.47</v>
      </c>
      <c r="FG291" s="24" t="n">
        <v>1</v>
      </c>
      <c r="FH291" s="24" t="n">
        <v>40</v>
      </c>
      <c r="FI291" s="24" t="n">
        <v>10</v>
      </c>
      <c r="FJ291" s="24" t="n">
        <f aca="false">0.17*2+0.07*2+0.03</f>
        <v>0.51</v>
      </c>
      <c r="FK291" s="24" t="n">
        <v>6</v>
      </c>
      <c r="FL291" s="24" t="n">
        <v>60</v>
      </c>
      <c r="FM291" s="24" t="n">
        <v>6</v>
      </c>
      <c r="FN291" s="24" t="n">
        <f aca="false">4.4*2+0.39*2+0.26</f>
        <v>9.84</v>
      </c>
      <c r="FO291" s="24" t="n">
        <v>3</v>
      </c>
      <c r="GJ291" s="27" t="n">
        <v>1.55</v>
      </c>
      <c r="GK291" s="27" t="n">
        <v>1</v>
      </c>
      <c r="GL291" s="27" t="n">
        <v>1</v>
      </c>
      <c r="GM291" s="27"/>
      <c r="GN291" s="27" t="n">
        <f aca="false">1.65*2</f>
        <v>3.3</v>
      </c>
      <c r="GO291" s="27" t="n">
        <v>2</v>
      </c>
      <c r="GP291" s="27"/>
      <c r="GQ291" s="27" t="n">
        <v>0.54</v>
      </c>
      <c r="GR291" s="27"/>
      <c r="GS291" s="27"/>
      <c r="GT291" s="27"/>
      <c r="GU291" s="27" t="n">
        <v>5.74</v>
      </c>
      <c r="GV291" s="27" t="n">
        <v>3.64</v>
      </c>
      <c r="GW291" s="27"/>
      <c r="GX291" s="27"/>
      <c r="GY291" s="27" t="n">
        <v>0</v>
      </c>
      <c r="GZ291" s="27" t="n">
        <v>0</v>
      </c>
      <c r="HA291" s="27" t="n">
        <v>0</v>
      </c>
      <c r="HB291" s="24" t="n">
        <v>0</v>
      </c>
      <c r="HC291" s="24" t="s">
        <v>691</v>
      </c>
      <c r="HD291" s="24" t="n">
        <v>63.5</v>
      </c>
      <c r="HE291" s="27" t="n">
        <v>98.9</v>
      </c>
      <c r="HF291" s="27" t="n">
        <v>83.4</v>
      </c>
      <c r="HG291" s="27" t="n">
        <v>51</v>
      </c>
      <c r="HH291" s="24" t="n">
        <v>53.65</v>
      </c>
      <c r="HI291" s="24" t="n">
        <v>0</v>
      </c>
      <c r="HJ291" s="24" t="n">
        <v>11.99</v>
      </c>
      <c r="HK291" s="24" t="n">
        <v>24.1</v>
      </c>
      <c r="HL291" s="24" t="n">
        <v>10.26</v>
      </c>
      <c r="HM291" s="24" t="n">
        <v>0</v>
      </c>
      <c r="HN291" s="24" t="n">
        <v>0</v>
      </c>
      <c r="HO291" s="24" t="n">
        <v>0</v>
      </c>
      <c r="HP291" s="24" t="n">
        <v>0</v>
      </c>
      <c r="HQ291" s="24" t="n">
        <v>0</v>
      </c>
      <c r="HR291" s="24" t="n">
        <v>0</v>
      </c>
      <c r="HS291" s="24" t="n">
        <v>9.1</v>
      </c>
      <c r="HT291" s="24" t="n">
        <v>26.31</v>
      </c>
      <c r="HU291" s="24" t="n">
        <v>5.53</v>
      </c>
      <c r="HV291" s="24" t="n">
        <v>0.94</v>
      </c>
      <c r="HW291" s="24" t="n">
        <v>0</v>
      </c>
      <c r="HX291" s="24" t="n">
        <v>0</v>
      </c>
      <c r="HY291" s="24" t="n">
        <v>0</v>
      </c>
      <c r="IL291" s="24" t="n">
        <v>6.1</v>
      </c>
      <c r="IM291" s="24" t="n">
        <v>0</v>
      </c>
      <c r="IX291" s="28"/>
      <c r="JP291" s="24" t="n">
        <v>1</v>
      </c>
      <c r="JQ291" s="24" t="n">
        <v>50</v>
      </c>
      <c r="JR291" s="24" t="n">
        <v>1</v>
      </c>
      <c r="JS291" s="24" t="n">
        <v>0.39</v>
      </c>
      <c r="JT291" s="24" t="n">
        <v>3</v>
      </c>
      <c r="JU291" s="24" t="n">
        <v>50</v>
      </c>
      <c r="JV291" s="24" t="n">
        <v>2</v>
      </c>
      <c r="JW291" s="24" t="n">
        <f aca="false">0.19+0.23</f>
        <v>0.42</v>
      </c>
      <c r="JX291" s="24" t="n">
        <v>4</v>
      </c>
      <c r="JY291" s="24" t="n">
        <v>60</v>
      </c>
      <c r="JZ291" s="24" t="n">
        <v>12</v>
      </c>
      <c r="KA291" s="24" t="n">
        <f aca="false">0.78*2</f>
        <v>1.56</v>
      </c>
      <c r="KB291" s="24" t="n">
        <v>6</v>
      </c>
      <c r="LA291" s="27" t="n">
        <v>5.39</v>
      </c>
      <c r="LB291" s="27" t="n">
        <v>1</v>
      </c>
      <c r="LC291" s="27" t="n">
        <v>1</v>
      </c>
      <c r="LD291" s="27"/>
      <c r="LE291" s="27" t="n">
        <f aca="false">2.04*3+0.36*2</f>
        <v>6.84</v>
      </c>
      <c r="LF291" s="27" t="n">
        <v>2</v>
      </c>
      <c r="LG291" s="27"/>
      <c r="LH291" s="27" t="n">
        <f aca="false">0.72*2+0.36</f>
        <v>1.8</v>
      </c>
      <c r="LI291" s="27" t="n">
        <v>3</v>
      </c>
      <c r="LJ291" s="27"/>
      <c r="LK291" s="27" t="n">
        <v>0.5</v>
      </c>
      <c r="LL291" s="27" t="n">
        <v>0.94</v>
      </c>
      <c r="LM291" s="27" t="n">
        <v>0.94</v>
      </c>
      <c r="LN291" s="27"/>
      <c r="LO291" s="27"/>
      <c r="LP291" s="27" t="n">
        <v>0</v>
      </c>
      <c r="LQ291" s="27" t="n">
        <v>0</v>
      </c>
      <c r="LR291" s="27" t="n">
        <v>0</v>
      </c>
      <c r="LS291" s="24" t="n">
        <v>0</v>
      </c>
      <c r="LT291" s="24" t="s">
        <v>692</v>
      </c>
      <c r="LU291" s="24" t="n">
        <v>30.5</v>
      </c>
      <c r="LV291" s="27" t="n">
        <v>69.11</v>
      </c>
      <c r="LW291" s="27" t="n">
        <v>83.4</v>
      </c>
      <c r="LX291" s="27" t="n">
        <v>18.1</v>
      </c>
      <c r="LY291" s="24" t="n">
        <v>79.03</v>
      </c>
      <c r="LZ291" s="24" t="n">
        <v>0.45</v>
      </c>
      <c r="MA291" s="24" t="n">
        <v>0</v>
      </c>
      <c r="MB291" s="24" t="n">
        <v>0</v>
      </c>
      <c r="MC291" s="24" t="n">
        <v>20.52</v>
      </c>
      <c r="MD291" s="24" t="n">
        <v>0</v>
      </c>
      <c r="ME291" s="24" t="n">
        <v>0</v>
      </c>
      <c r="MF291" s="24" t="n">
        <v>0</v>
      </c>
      <c r="MG291" s="24" t="n">
        <v>0</v>
      </c>
      <c r="MH291" s="24" t="n">
        <v>0</v>
      </c>
      <c r="MI291" s="24" t="n">
        <v>0</v>
      </c>
      <c r="MJ291" s="24" t="n">
        <v>0</v>
      </c>
      <c r="MK291" s="24" t="n">
        <v>12.58</v>
      </c>
      <c r="ML291" s="24" t="n">
        <v>17.94</v>
      </c>
      <c r="MM291" s="24" t="n">
        <v>18.04</v>
      </c>
      <c r="MN291" s="24" t="n">
        <v>0</v>
      </c>
      <c r="MO291" s="24" t="n">
        <v>0</v>
      </c>
      <c r="MP291" s="24" t="n">
        <v>0</v>
      </c>
      <c r="NC291" s="24" t="n">
        <v>8.1</v>
      </c>
      <c r="ND291" s="24" t="n">
        <v>1</v>
      </c>
      <c r="NE291" s="24" t="n">
        <v>35</v>
      </c>
      <c r="NF291" s="24" t="n">
        <v>4</v>
      </c>
      <c r="NG291" s="24" t="n">
        <f aca="false">2.2+0.39</f>
        <v>2.59</v>
      </c>
      <c r="NH291" s="24" t="n">
        <v>3</v>
      </c>
      <c r="NO291" s="28"/>
      <c r="OG291" s="24" t="n">
        <v>1</v>
      </c>
      <c r="OH291" s="24" t="n">
        <v>60</v>
      </c>
      <c r="OI291" s="24" t="n">
        <v>1</v>
      </c>
      <c r="OJ291" s="24" t="n">
        <v>0.73</v>
      </c>
      <c r="OK291" s="24" t="n">
        <v>3</v>
      </c>
      <c r="PR291" s="27" t="n">
        <v>3.89</v>
      </c>
      <c r="PS291" s="27" t="n">
        <v>1</v>
      </c>
      <c r="PT291" s="27" t="n">
        <v>1</v>
      </c>
      <c r="PU291" s="27"/>
      <c r="PV291" s="27" t="n">
        <f aca="false">0.14*2+0.21*2</f>
        <v>0.7</v>
      </c>
      <c r="PW291" s="27" t="n">
        <v>2</v>
      </c>
      <c r="PX291" s="27"/>
      <c r="PY291" s="27" t="n">
        <f aca="false">1.65*2</f>
        <v>3.3</v>
      </c>
      <c r="PZ291" s="27"/>
      <c r="QA291" s="27"/>
      <c r="QB291" s="27"/>
      <c r="QC291" s="27" t="n">
        <v>0</v>
      </c>
      <c r="QD291" s="27" t="n">
        <v>0</v>
      </c>
      <c r="QE291" s="27"/>
      <c r="QF291" s="27"/>
      <c r="QG291" s="27" t="n">
        <v>0</v>
      </c>
      <c r="QH291" s="27" t="n">
        <v>0</v>
      </c>
      <c r="QI291" s="27" t="n">
        <v>0</v>
      </c>
      <c r="QJ291" s="24" t="n">
        <v>0</v>
      </c>
      <c r="QK291" s="24" t="s">
        <v>697</v>
      </c>
      <c r="QL291" s="24" t="n">
        <v>42.5</v>
      </c>
      <c r="QM291" s="27" t="n">
        <v>92.2</v>
      </c>
      <c r="QN291" s="27" t="n">
        <v>83.4</v>
      </c>
      <c r="QO291" s="27" t="n">
        <v>33.5</v>
      </c>
      <c r="QP291" s="24" t="n">
        <v>25.89</v>
      </c>
      <c r="QQ291" s="24" t="n">
        <v>0</v>
      </c>
      <c r="QR291" s="24" t="n">
        <v>0</v>
      </c>
      <c r="QS291" s="24" t="n">
        <v>0</v>
      </c>
      <c r="QT291" s="24" t="n">
        <v>0</v>
      </c>
      <c r="QU291" s="24" t="n">
        <v>0</v>
      </c>
      <c r="QV291" s="24" t="n">
        <v>74.11</v>
      </c>
      <c r="QW291" s="24" t="n">
        <v>25.43</v>
      </c>
      <c r="QX291" s="24" t="n">
        <v>9.72</v>
      </c>
      <c r="QY291" s="24" t="n">
        <v>2.94</v>
      </c>
      <c r="QZ291" s="24" t="n">
        <v>0</v>
      </c>
      <c r="RA291" s="24" t="n">
        <v>11.38</v>
      </c>
      <c r="RB291" s="24" t="n">
        <v>16.89</v>
      </c>
      <c r="RC291" s="24" t="n">
        <v>27.26</v>
      </c>
      <c r="RD291" s="24" t="n">
        <v>0</v>
      </c>
      <c r="RE291" s="24" t="n">
        <v>0</v>
      </c>
      <c r="RF291" s="24" t="n">
        <v>0</v>
      </c>
      <c r="RG291" s="24" t="n">
        <v>0</v>
      </c>
      <c r="RT291" s="24" t="n">
        <v>3.6</v>
      </c>
      <c r="RU291" s="24" t="n">
        <v>1</v>
      </c>
      <c r="RV291" s="24" t="n">
        <v>35</v>
      </c>
      <c r="RW291" s="24" t="n">
        <v>6</v>
      </c>
      <c r="RX291" s="24" t="n">
        <f aca="false">0.13*4</f>
        <v>0.52</v>
      </c>
      <c r="RY291" s="24" t="n">
        <v>3</v>
      </c>
      <c r="RZ291" s="24" t="n">
        <v>25</v>
      </c>
      <c r="SA291" s="24" t="n">
        <v>2</v>
      </c>
      <c r="SB291" s="24" t="n">
        <f aca="false">0.13*2</f>
        <v>0.26</v>
      </c>
      <c r="SC291" s="24" t="n">
        <v>4</v>
      </c>
      <c r="SF291" s="28"/>
      <c r="SX291" s="24" t="n">
        <v>0</v>
      </c>
      <c r="UI291" s="27" t="n">
        <v>3.01</v>
      </c>
      <c r="UJ291" s="27" t="n">
        <v>1</v>
      </c>
      <c r="UK291" s="27" t="n">
        <v>1</v>
      </c>
      <c r="UL291" s="27"/>
      <c r="UM291" s="27" t="n">
        <f aca="false">1.65*5+0.13*2+0.36+0.18</f>
        <v>9.05</v>
      </c>
      <c r="UN291" s="27"/>
      <c r="UO291" s="27"/>
      <c r="UP291" s="27"/>
      <c r="UQ291" s="27"/>
      <c r="UR291" s="27"/>
      <c r="US291" s="27"/>
      <c r="UT291" s="27" t="n">
        <v>2.16</v>
      </c>
      <c r="UU291" s="27" t="n">
        <v>0.52</v>
      </c>
      <c r="UV291" s="27"/>
      <c r="UW291" s="27"/>
      <c r="UX291" s="27" t="n">
        <v>0</v>
      </c>
      <c r="UY291" s="27" t="n">
        <v>0</v>
      </c>
      <c r="UZ291" s="27" t="n">
        <v>0</v>
      </c>
      <c r="VA291" s="24" t="n">
        <v>0</v>
      </c>
      <c r="VB291" s="24" t="s">
        <v>698</v>
      </c>
      <c r="VC291" s="24" t="n">
        <v>37</v>
      </c>
      <c r="VD291" s="27" t="n">
        <v>86.3</v>
      </c>
      <c r="VE291" s="27" t="n">
        <v>83.4</v>
      </c>
      <c r="VF291" s="27" t="n">
        <v>31.3</v>
      </c>
      <c r="VG291" s="24" t="n">
        <v>24.09</v>
      </c>
      <c r="VH291" s="24" t="n">
        <v>0</v>
      </c>
      <c r="VI291" s="24" t="n">
        <v>0</v>
      </c>
      <c r="VJ291" s="24" t="n">
        <v>0</v>
      </c>
      <c r="VK291" s="24" t="n">
        <v>0</v>
      </c>
      <c r="VL291" s="24" t="n">
        <v>0</v>
      </c>
      <c r="VM291" s="24" t="n">
        <v>75.91</v>
      </c>
      <c r="VN291" s="24" t="n">
        <v>21.83</v>
      </c>
      <c r="VO291" s="24" t="n">
        <v>8.63</v>
      </c>
      <c r="VP291" s="24" t="n">
        <v>2.94</v>
      </c>
      <c r="VQ291" s="24" t="n">
        <v>0</v>
      </c>
      <c r="VR291" s="24" t="n">
        <v>13.66</v>
      </c>
      <c r="VS291" s="24" t="n">
        <v>10.54</v>
      </c>
      <c r="VT291" s="24" t="n">
        <v>28.39</v>
      </c>
      <c r="VU291" s="24" t="n">
        <v>0</v>
      </c>
      <c r="VV291" s="24" t="n">
        <v>0</v>
      </c>
      <c r="VW291" s="24" t="n">
        <v>0</v>
      </c>
      <c r="VX291" s="24" t="n">
        <v>0</v>
      </c>
      <c r="WK291" s="24" t="n">
        <v>2.7</v>
      </c>
      <c r="WL291" s="24" t="n">
        <v>1</v>
      </c>
      <c r="WM291" s="24" t="n">
        <v>52</v>
      </c>
      <c r="WN291" s="24" t="n">
        <v>1</v>
      </c>
      <c r="WO291" s="24" t="n">
        <v>0.39</v>
      </c>
      <c r="WP291" s="24" t="n">
        <v>2</v>
      </c>
      <c r="WQ291" s="24" t="n">
        <v>35</v>
      </c>
      <c r="WR291" s="24" t="n">
        <v>4</v>
      </c>
      <c r="WS291" s="24" t="n">
        <v>0.26</v>
      </c>
      <c r="WT291" s="24" t="n">
        <v>3</v>
      </c>
      <c r="WW291" s="28"/>
      <c r="XO291" s="24" t="n">
        <v>0</v>
      </c>
      <c r="YZ291" s="27" t="n">
        <v>2.83</v>
      </c>
      <c r="ZA291" s="27" t="n">
        <v>1</v>
      </c>
      <c r="ZB291" s="27" t="n">
        <v>1</v>
      </c>
      <c r="ZC291" s="27"/>
      <c r="ZD291" s="27" t="n">
        <f aca="false">1.65*5</f>
        <v>8.25</v>
      </c>
      <c r="ZE291" s="27"/>
      <c r="ZF291" s="27"/>
      <c r="ZG291" s="27"/>
      <c r="ZH291" s="27"/>
      <c r="ZI291" s="27"/>
      <c r="ZJ291" s="27"/>
      <c r="ZK291" s="27" t="n">
        <v>0</v>
      </c>
      <c r="ZL291" s="27" t="n">
        <v>0</v>
      </c>
      <c r="ZM291" s="27"/>
      <c r="ZN291" s="27"/>
      <c r="ZO291" s="27" t="n">
        <v>0</v>
      </c>
      <c r="ZP291" s="27" t="n">
        <v>0</v>
      </c>
      <c r="ZQ291" s="27" t="n">
        <v>0</v>
      </c>
      <c r="ZR291" s="24" t="n">
        <v>0</v>
      </c>
      <c r="ZS291" s="24" t="s">
        <v>702</v>
      </c>
      <c r="ZT291" s="24" t="n">
        <v>43.5</v>
      </c>
      <c r="ZU291" s="27" t="n">
        <v>73.8</v>
      </c>
      <c r="ZV291" s="27" t="n">
        <v>83.4</v>
      </c>
      <c r="ZW291" s="27" t="n">
        <v>26.5</v>
      </c>
      <c r="ZX291" s="24" t="n">
        <v>20.2</v>
      </c>
      <c r="ZY291" s="24" t="n">
        <v>0</v>
      </c>
      <c r="ZZ291" s="24" t="n">
        <v>26.95</v>
      </c>
      <c r="AAA291" s="24" t="n">
        <v>0</v>
      </c>
      <c r="AAB291" s="24" t="n">
        <v>0.39</v>
      </c>
      <c r="AAC291" s="24" t="n">
        <v>0</v>
      </c>
      <c r="AAD291" s="24" t="n">
        <v>79.41</v>
      </c>
      <c r="AAE291" s="24" t="n">
        <v>26.95</v>
      </c>
      <c r="AAF291" s="24" t="n">
        <v>0</v>
      </c>
      <c r="AAG291" s="24" t="n">
        <v>0</v>
      </c>
      <c r="AAH291" s="24" t="n">
        <v>0</v>
      </c>
      <c r="AAI291" s="24" t="n">
        <v>35.2</v>
      </c>
      <c r="AAJ291" s="24" t="n">
        <v>15.96</v>
      </c>
      <c r="AAK291" s="24" t="n">
        <v>39.09</v>
      </c>
      <c r="AAL291" s="24" t="n">
        <v>0.32</v>
      </c>
      <c r="AAM291" s="24" t="n">
        <v>0</v>
      </c>
      <c r="AAN291" s="24" t="n">
        <v>0</v>
      </c>
      <c r="AAO291" s="24" t="n">
        <v>0</v>
      </c>
      <c r="ABB291" s="24" t="n">
        <v>14.4</v>
      </c>
      <c r="ABC291" s="24" t="n">
        <v>1</v>
      </c>
      <c r="ABD291" s="24" t="n">
        <v>30</v>
      </c>
      <c r="ABE291" s="24" t="n">
        <v>5</v>
      </c>
      <c r="ABF291" s="24" t="n">
        <f aca="false">2.94+0.6</f>
        <v>3.54</v>
      </c>
      <c r="ABG291" s="24" t="n">
        <v>3</v>
      </c>
      <c r="ABH291" s="24" t="n">
        <v>34</v>
      </c>
      <c r="ABI291" s="24" t="n">
        <v>1</v>
      </c>
      <c r="ABJ291" s="24" t="n">
        <v>1.65</v>
      </c>
      <c r="ABK291" s="24" t="n">
        <v>1</v>
      </c>
      <c r="ABL291" s="24" t="n">
        <v>52</v>
      </c>
      <c r="ABM291" s="24" t="n">
        <v>6</v>
      </c>
      <c r="ABN291" s="28" t="n">
        <f aca="false">0.7+0.77+0.08+0.05</f>
        <v>1.6</v>
      </c>
      <c r="ABO291" s="24" t="n">
        <v>2</v>
      </c>
      <c r="ABP291" s="24" t="n">
        <v>35</v>
      </c>
      <c r="ABQ291" s="24" t="n">
        <v>1</v>
      </c>
      <c r="ABR291" s="24" t="n">
        <v>0.19</v>
      </c>
      <c r="ABS291" s="24" t="n">
        <v>3</v>
      </c>
      <c r="ABT291" s="24" t="n">
        <v>23</v>
      </c>
      <c r="ABU291" s="24" t="n">
        <v>3</v>
      </c>
      <c r="ABV291" s="24" t="n">
        <f aca="false">0.39+0.77</f>
        <v>1.16</v>
      </c>
      <c r="ABW291" s="24" t="n">
        <v>3</v>
      </c>
      <c r="ACF291" s="24" t="n">
        <v>0</v>
      </c>
      <c r="ADQ291" s="27" t="n">
        <v>1.22</v>
      </c>
      <c r="ADR291" s="27" t="n">
        <v>1</v>
      </c>
      <c r="ADS291" s="27" t="n">
        <v>1</v>
      </c>
      <c r="ADT291" s="27"/>
      <c r="ADU291" s="27" t="n">
        <f aca="false">0.97*2+1.07*2</f>
        <v>4.08</v>
      </c>
      <c r="ADV291" s="27"/>
      <c r="ADW291" s="27"/>
      <c r="ADX291" s="27"/>
      <c r="ADY291" s="27"/>
      <c r="ADZ291" s="27"/>
      <c r="AEA291" s="27"/>
      <c r="AEB291" s="27" t="n">
        <v>0</v>
      </c>
      <c r="AEC291" s="27" t="n">
        <v>0</v>
      </c>
      <c r="AED291" s="27"/>
      <c r="AEE291" s="27"/>
      <c r="AEF291" s="27" t="n">
        <v>0</v>
      </c>
      <c r="AEG291" s="27" t="n">
        <v>0</v>
      </c>
      <c r="AEH291" s="27" t="n">
        <v>1.22</v>
      </c>
      <c r="AEI291" s="24" t="n">
        <v>0</v>
      </c>
      <c r="AEJ291" s="24" t="s">
        <v>693</v>
      </c>
      <c r="AEK291" s="24" t="n">
        <v>33.5</v>
      </c>
      <c r="AEL291" s="27" t="n">
        <v>92.3</v>
      </c>
      <c r="AEM291" s="27" t="n">
        <v>83.4</v>
      </c>
      <c r="AEN291" s="27" t="n">
        <v>19.8</v>
      </c>
      <c r="AEO291" s="24" t="n">
        <v>72.02</v>
      </c>
      <c r="AEP291" s="24" t="n">
        <v>2.2</v>
      </c>
      <c r="AEQ291" s="24" t="n">
        <v>7.75</v>
      </c>
      <c r="AER291" s="24" t="n">
        <v>0</v>
      </c>
      <c r="AES291" s="24" t="n">
        <v>5.49</v>
      </c>
      <c r="AET291" s="24" t="n">
        <v>0</v>
      </c>
      <c r="AEU291" s="24" t="n">
        <v>6.84</v>
      </c>
      <c r="AEV291" s="24" t="n">
        <v>0</v>
      </c>
      <c r="AEW291" s="24" t="n">
        <v>0</v>
      </c>
      <c r="AEX291" s="24" t="n">
        <v>0</v>
      </c>
      <c r="AEY291" s="24" t="n">
        <v>0</v>
      </c>
      <c r="AEZ291" s="24" t="n">
        <v>7.13</v>
      </c>
      <c r="AFA291" s="24" t="n">
        <v>54.84</v>
      </c>
      <c r="AFB291" s="24" t="n">
        <v>10.13</v>
      </c>
      <c r="AFC291" s="24" t="n">
        <v>3.36</v>
      </c>
      <c r="AFD291" s="24" t="n">
        <v>5.7</v>
      </c>
      <c r="AFE291" s="24" t="n">
        <v>0</v>
      </c>
      <c r="AFF291" s="24" t="n">
        <v>0</v>
      </c>
      <c r="AFO291" s="24" t="n">
        <v>2</v>
      </c>
      <c r="AFS291" s="24" t="n">
        <v>3.4</v>
      </c>
      <c r="AFT291" s="24" t="n">
        <v>1</v>
      </c>
      <c r="AFU291" s="24" t="n">
        <v>34</v>
      </c>
      <c r="AFV291" s="24" t="n">
        <v>1</v>
      </c>
      <c r="AFW291" s="24" t="n">
        <v>1.28</v>
      </c>
      <c r="AFX291" s="24" t="n">
        <v>1</v>
      </c>
      <c r="AFY291" s="24" t="n">
        <v>52</v>
      </c>
      <c r="AFZ291" s="24" t="n">
        <v>1</v>
      </c>
      <c r="AGA291" s="24" t="n">
        <v>0.73</v>
      </c>
      <c r="AGB291" s="24" t="n">
        <v>2</v>
      </c>
      <c r="AGC291" s="24" t="n">
        <v>30</v>
      </c>
      <c r="AGD291" s="24" t="n">
        <v>1</v>
      </c>
      <c r="AGE291" s="28" t="n">
        <v>0.13</v>
      </c>
      <c r="AGF291" s="24" t="n">
        <v>3</v>
      </c>
      <c r="AGW291" s="24" t="n">
        <v>1</v>
      </c>
      <c r="AGX291" s="24" t="n">
        <v>40</v>
      </c>
      <c r="AGY291" s="24" t="n">
        <v>1</v>
      </c>
      <c r="AGZ291" s="24" t="n">
        <v>1.83</v>
      </c>
      <c r="AHA291" s="24" t="n">
        <v>6</v>
      </c>
      <c r="AHB291" s="24" t="n">
        <v>40</v>
      </c>
      <c r="AHC291" s="24" t="n">
        <v>1</v>
      </c>
      <c r="AHD291" s="24" t="n">
        <v>1.65</v>
      </c>
      <c r="AHE291" s="24" t="n">
        <v>3</v>
      </c>
      <c r="AHF291" s="24" t="n">
        <v>40</v>
      </c>
      <c r="AHG291" s="24" t="n">
        <v>1</v>
      </c>
      <c r="AHH291" s="24" t="n">
        <v>1.83</v>
      </c>
      <c r="AHI291" s="24" t="n">
        <v>4</v>
      </c>
      <c r="AHJ291" s="24" t="n">
        <v>40</v>
      </c>
      <c r="AHK291" s="24" t="n">
        <v>4</v>
      </c>
      <c r="AHL291" s="24" t="n">
        <v>0.26</v>
      </c>
      <c r="AHM291" s="24" t="n">
        <v>1</v>
      </c>
      <c r="AIH291" s="27" t="n">
        <v>3.89</v>
      </c>
      <c r="AII291" s="27" t="n">
        <v>1</v>
      </c>
      <c r="AIJ291" s="27" t="n">
        <v>1</v>
      </c>
      <c r="AIK291" s="27"/>
      <c r="AIL291" s="27" t="n">
        <f aca="false">0.36*2</f>
        <v>0.72</v>
      </c>
      <c r="AIM291" s="27" t="n">
        <v>2</v>
      </c>
      <c r="AIN291" s="27"/>
      <c r="AIO291" s="27" t="n">
        <f aca="false">2.04*2</f>
        <v>4.08</v>
      </c>
      <c r="AIP291" s="27"/>
      <c r="AIQ291" s="27"/>
      <c r="AIR291" s="27"/>
      <c r="AIS291" s="27" t="n">
        <v>3.27</v>
      </c>
      <c r="AIT291" s="27" t="n">
        <v>2.46</v>
      </c>
      <c r="AIU291" s="27"/>
      <c r="AIV291" s="27"/>
      <c r="AIW291" s="27" t="n">
        <v>2.88</v>
      </c>
      <c r="AIX291" s="27" t="n">
        <v>4.14</v>
      </c>
      <c r="AIY291" s="27" t="n">
        <v>0</v>
      </c>
      <c r="AIZ291" s="24" t="n">
        <v>0</v>
      </c>
      <c r="AJA291" s="24" t="s">
        <v>699</v>
      </c>
      <c r="AJB291" s="24" t="n">
        <v>44.5</v>
      </c>
      <c r="AJC291" s="27" t="n">
        <v>101.7</v>
      </c>
      <c r="AJD291" s="27" t="n">
        <v>83.4</v>
      </c>
      <c r="AJE291" s="27" t="n">
        <v>22.5</v>
      </c>
      <c r="AJF291" s="24" t="n">
        <v>75.78</v>
      </c>
      <c r="AJG291" s="24" t="n">
        <v>0</v>
      </c>
      <c r="AJH291" s="24" t="n">
        <v>2.04</v>
      </c>
      <c r="AJI291" s="24" t="n">
        <v>0</v>
      </c>
      <c r="AJJ291" s="24" t="n">
        <v>8.57</v>
      </c>
      <c r="AJK291" s="24" t="n">
        <v>0</v>
      </c>
      <c r="AJL291" s="24" t="n">
        <v>2.21</v>
      </c>
      <c r="AJM291" s="24" t="n">
        <v>0</v>
      </c>
      <c r="AJN291" s="24" t="n">
        <v>1.1</v>
      </c>
      <c r="AJO291" s="24" t="n">
        <v>0</v>
      </c>
      <c r="AJP291" s="24" t="n">
        <v>0</v>
      </c>
      <c r="AJQ291" s="24" t="n">
        <v>1.61</v>
      </c>
      <c r="AJR291" s="24" t="n">
        <v>54.76</v>
      </c>
      <c r="AJS291" s="24" t="n">
        <v>16</v>
      </c>
      <c r="AJT291" s="24" t="n">
        <v>6.05</v>
      </c>
      <c r="AJU291" s="24" t="n">
        <v>10.83</v>
      </c>
      <c r="AJV291" s="24" t="n">
        <v>10.1</v>
      </c>
      <c r="AJW291" s="24" t="n">
        <v>1</v>
      </c>
      <c r="AJX291" s="24" t="n">
        <v>2</v>
      </c>
      <c r="AJZ291" s="24" t="n">
        <v>3</v>
      </c>
      <c r="AKA291" s="24" t="n">
        <v>5</v>
      </c>
      <c r="AKC291" s="24" t="n">
        <v>1</v>
      </c>
      <c r="AKD291" s="24" t="n">
        <v>3</v>
      </c>
      <c r="AKF291" s="24" t="n">
        <v>1</v>
      </c>
      <c r="AKJ291" s="24" t="n">
        <v>3</v>
      </c>
      <c r="AKK291" s="24" t="n">
        <v>1</v>
      </c>
      <c r="AKL291" s="24" t="n">
        <v>52</v>
      </c>
      <c r="AKM291" s="24" t="n">
        <v>1</v>
      </c>
      <c r="AKN291" s="24" t="n">
        <v>0.73</v>
      </c>
      <c r="AKO291" s="24" t="n">
        <v>2</v>
      </c>
      <c r="AKP291" s="24" t="n">
        <v>34</v>
      </c>
      <c r="AKQ291" s="24" t="n">
        <v>1</v>
      </c>
      <c r="AKR291" s="24" t="n">
        <v>1.28</v>
      </c>
      <c r="AKS291" s="24" t="n">
        <v>1</v>
      </c>
      <c r="AKV291" s="28"/>
      <c r="ALN291" s="24" t="n">
        <v>1</v>
      </c>
      <c r="ALO291" s="24" t="n">
        <v>40</v>
      </c>
      <c r="ALP291" s="24" t="n">
        <v>1</v>
      </c>
      <c r="ALQ291" s="24" t="n">
        <v>1.83</v>
      </c>
      <c r="ALR291" s="24" t="n">
        <v>6</v>
      </c>
      <c r="ALS291" s="24" t="n">
        <v>40</v>
      </c>
      <c r="ALT291" s="24" t="n">
        <v>1</v>
      </c>
      <c r="ALU291" s="24" t="n">
        <v>1.65</v>
      </c>
      <c r="ALV291" s="24" t="n">
        <v>3</v>
      </c>
      <c r="ALW291" s="24" t="n">
        <v>40</v>
      </c>
      <c r="ALX291" s="24" t="n">
        <v>3</v>
      </c>
      <c r="ALY291" s="24" t="n">
        <f aca="false">0.26+1.83</f>
        <v>2.09</v>
      </c>
      <c r="ALZ291" s="24" t="n">
        <v>4</v>
      </c>
    </row>
    <row r="292" customFormat="false" ht="13.8" hidden="false" customHeight="false" outlineLevel="0" collapsed="false">
      <c r="A292" s="22" t="s">
        <v>860</v>
      </c>
      <c r="B292" s="23" t="n">
        <v>42909</v>
      </c>
      <c r="C292" s="24" t="n">
        <v>2</v>
      </c>
      <c r="D292" s="25" t="n">
        <v>39118</v>
      </c>
      <c r="E292" s="23" t="n">
        <v>30925</v>
      </c>
      <c r="F292" s="14" t="n">
        <f aca="false">(B292-E292)/365.25</f>
        <v>32.8104038329911</v>
      </c>
      <c r="G292" s="14" t="n">
        <f aca="false">(B292-D292)/365.25</f>
        <v>10.3791923340178</v>
      </c>
      <c r="H292" s="26" t="s">
        <v>306</v>
      </c>
      <c r="I292" s="21" t="s">
        <v>689</v>
      </c>
      <c r="J292" s="21" t="s">
        <v>183</v>
      </c>
      <c r="K292" s="21" t="n">
        <v>8</v>
      </c>
      <c r="L292" s="26" t="n">
        <v>95</v>
      </c>
      <c r="M292" s="24" t="n">
        <v>1.88</v>
      </c>
      <c r="N292" s="27" t="n">
        <f aca="false">L292/(M292*M292)</f>
        <v>26.8786781349027</v>
      </c>
      <c r="O292" s="26" t="n">
        <v>0</v>
      </c>
      <c r="P292" s="26" t="n">
        <v>0</v>
      </c>
      <c r="Q292" s="26" t="n">
        <v>0</v>
      </c>
      <c r="R292" s="26" t="n">
        <v>0</v>
      </c>
      <c r="S292" s="26" t="n">
        <v>0</v>
      </c>
      <c r="T292" s="26" t="n">
        <v>0</v>
      </c>
      <c r="U292" s="26" t="n">
        <v>1</v>
      </c>
      <c r="V292" s="26" t="n">
        <v>10</v>
      </c>
      <c r="W292" s="26" t="n">
        <v>1</v>
      </c>
      <c r="X292" s="26" t="n">
        <v>1</v>
      </c>
      <c r="Y292" s="26" t="n">
        <v>0</v>
      </c>
      <c r="Z292" s="26" t="n">
        <v>0</v>
      </c>
      <c r="AA292" s="26" t="n">
        <v>0</v>
      </c>
      <c r="AB292" s="26" t="n">
        <v>0</v>
      </c>
      <c r="AC292" s="26" t="n">
        <v>1</v>
      </c>
      <c r="AD292" s="26" t="n">
        <v>20</v>
      </c>
      <c r="AE292" s="26" t="n">
        <v>0</v>
      </c>
      <c r="AF292" s="26" t="n">
        <v>0</v>
      </c>
      <c r="AG292" s="26" t="n">
        <v>0</v>
      </c>
      <c r="AH292" s="26" t="n">
        <v>0</v>
      </c>
      <c r="AI292" s="26" t="n">
        <v>3</v>
      </c>
      <c r="AJ292" s="26" t="n">
        <v>3</v>
      </c>
      <c r="AK292" s="26" t="n">
        <v>3</v>
      </c>
      <c r="AL292" s="26"/>
      <c r="AM292" s="26"/>
      <c r="AN292" s="26" t="n">
        <v>0</v>
      </c>
      <c r="AO292" s="26" t="n">
        <v>0</v>
      </c>
      <c r="AP292" s="26" t="n">
        <v>0</v>
      </c>
      <c r="AQ292" s="26" t="n">
        <v>0</v>
      </c>
      <c r="AR292" s="26" t="n">
        <v>0</v>
      </c>
      <c r="AS292" s="26" t="n">
        <v>1</v>
      </c>
      <c r="AT292" s="26" t="n">
        <v>1</v>
      </c>
      <c r="AU292" s="26" t="n">
        <v>1</v>
      </c>
      <c r="AV292" s="26" t="n">
        <v>5</v>
      </c>
      <c r="AW292" s="26" t="n">
        <v>0</v>
      </c>
      <c r="AX292" s="26" t="n">
        <v>1</v>
      </c>
      <c r="AY292" s="26" t="n">
        <v>0</v>
      </c>
      <c r="AZ292" s="26" t="n">
        <v>1</v>
      </c>
      <c r="BA292" s="26" t="n">
        <v>5</v>
      </c>
      <c r="BB292" s="26" t="n">
        <v>1</v>
      </c>
      <c r="BC292" s="26" t="n">
        <v>1</v>
      </c>
      <c r="BD292" s="26" t="n">
        <v>1</v>
      </c>
      <c r="BE292" s="26" t="n">
        <v>9</v>
      </c>
      <c r="BF292" s="26" t="n">
        <v>1</v>
      </c>
      <c r="BG292" s="26" t="n">
        <v>1</v>
      </c>
      <c r="BH292" s="26" t="n">
        <v>1</v>
      </c>
      <c r="BI292" s="26" t="n">
        <v>9</v>
      </c>
      <c r="BJ292" s="26" t="n">
        <v>0</v>
      </c>
      <c r="BK292" s="26" t="n">
        <v>0</v>
      </c>
      <c r="BL292" s="26" t="n">
        <v>0</v>
      </c>
      <c r="BM292" s="26" t="n">
        <v>0</v>
      </c>
      <c r="BN292" s="26" t="n">
        <v>0</v>
      </c>
      <c r="BO292" s="26" t="n">
        <v>0</v>
      </c>
      <c r="BP292" s="26" t="n">
        <v>0</v>
      </c>
      <c r="BQ292" s="26" t="n">
        <v>0</v>
      </c>
      <c r="BR292" s="26" t="n">
        <v>5</v>
      </c>
      <c r="BS292" s="26" t="n">
        <v>4</v>
      </c>
      <c r="BT292" s="26" t="n">
        <v>5</v>
      </c>
      <c r="BU292" s="26" t="n">
        <v>5</v>
      </c>
      <c r="BV292" s="26" t="n">
        <v>4</v>
      </c>
      <c r="BW292" s="26" t="n">
        <v>5</v>
      </c>
      <c r="BX292" s="26" t="n">
        <v>5</v>
      </c>
      <c r="BY292" s="26" t="n">
        <v>5</v>
      </c>
      <c r="BZ292" s="26" t="n">
        <v>1</v>
      </c>
      <c r="CA292" s="26" t="n">
        <v>2</v>
      </c>
      <c r="CB292" s="26" t="n">
        <v>1</v>
      </c>
      <c r="CC292" s="26" t="n">
        <v>5</v>
      </c>
      <c r="CD292" s="26" t="n">
        <v>1</v>
      </c>
      <c r="CE292" s="26" t="n">
        <v>1</v>
      </c>
      <c r="CF292" s="26" t="n">
        <v>3</v>
      </c>
      <c r="CG292" s="26" t="n">
        <v>4</v>
      </c>
      <c r="CH292" s="26" t="n">
        <v>4</v>
      </c>
      <c r="CI292" s="26" t="n">
        <v>5</v>
      </c>
      <c r="CJ292" s="26" t="n">
        <v>2</v>
      </c>
      <c r="CK292" s="26" t="n">
        <v>10</v>
      </c>
      <c r="CL292" s="24" t="s">
        <v>690</v>
      </c>
      <c r="CM292" s="24" t="n">
        <v>38</v>
      </c>
      <c r="CN292" s="27" t="n">
        <v>85.5</v>
      </c>
      <c r="CO292" s="27" t="n">
        <v>83.4</v>
      </c>
      <c r="CP292" s="27" t="n">
        <v>28.7</v>
      </c>
      <c r="CQ292" s="24" t="n">
        <v>61.84</v>
      </c>
      <c r="CR292" s="24" t="n">
        <v>0</v>
      </c>
      <c r="CS292" s="24" t="n">
        <v>0</v>
      </c>
      <c r="CT292" s="24" t="n">
        <v>0</v>
      </c>
      <c r="CU292" s="24" t="n">
        <v>37.42</v>
      </c>
      <c r="CV292" s="24" t="n">
        <v>0</v>
      </c>
      <c r="CW292" s="24" t="n">
        <v>0.73</v>
      </c>
      <c r="CX292" s="24" t="n">
        <v>0</v>
      </c>
      <c r="CY292" s="24" t="n">
        <v>0</v>
      </c>
      <c r="CZ292" s="24" t="n">
        <v>0.74</v>
      </c>
      <c r="DA292" s="24" t="n">
        <v>0</v>
      </c>
      <c r="DB292" s="24" t="n">
        <v>7.34</v>
      </c>
      <c r="DC292" s="24" t="n">
        <v>25.37</v>
      </c>
      <c r="DD292" s="24" t="n">
        <v>15.03</v>
      </c>
      <c r="DE292" s="24" t="n">
        <v>30.09</v>
      </c>
      <c r="DF292" s="24" t="n">
        <v>0</v>
      </c>
      <c r="DG292" s="24" t="n">
        <v>0</v>
      </c>
      <c r="DH292" s="24" t="n">
        <v>0</v>
      </c>
      <c r="DU292" s="24" t="n">
        <v>1.7</v>
      </c>
      <c r="DV292" s="24" t="n">
        <v>0</v>
      </c>
      <c r="EG292" s="28"/>
      <c r="EY292" s="24" t="n">
        <v>1</v>
      </c>
      <c r="EZ292" s="24" t="n">
        <v>50</v>
      </c>
      <c r="FA292" s="24" t="n">
        <v>4</v>
      </c>
      <c r="FB292" s="24" t="n">
        <v>0.46</v>
      </c>
      <c r="FC292" s="24" t="n">
        <v>6</v>
      </c>
      <c r="FD292" s="24" t="n">
        <v>40</v>
      </c>
      <c r="FE292" s="24" t="n">
        <v>10</v>
      </c>
      <c r="FF292" s="24" t="n">
        <f aca="false">0.17*2+0.06+0.07</f>
        <v>0.47</v>
      </c>
      <c r="FG292" s="24" t="n">
        <v>1</v>
      </c>
      <c r="FH292" s="24" t="n">
        <v>40</v>
      </c>
      <c r="FI292" s="24" t="n">
        <v>10</v>
      </c>
      <c r="FJ292" s="24" t="n">
        <f aca="false">0.17*2+0.07*2+0.03</f>
        <v>0.51</v>
      </c>
      <c r="FK292" s="24" t="n">
        <v>6</v>
      </c>
      <c r="FL292" s="24" t="n">
        <v>60</v>
      </c>
      <c r="FM292" s="24" t="n">
        <v>6</v>
      </c>
      <c r="FN292" s="24" t="n">
        <f aca="false">4.4*2+0.39*2+0.26</f>
        <v>9.84</v>
      </c>
      <c r="FO292" s="24" t="n">
        <v>3</v>
      </c>
      <c r="GJ292" s="27" t="n">
        <v>1.55</v>
      </c>
      <c r="GK292" s="27" t="n">
        <v>1</v>
      </c>
      <c r="GL292" s="27" t="n">
        <v>1</v>
      </c>
      <c r="GM292" s="27"/>
      <c r="GN292" s="27" t="n">
        <f aca="false">1.65*2</f>
        <v>3.3</v>
      </c>
      <c r="GO292" s="27" t="n">
        <v>2</v>
      </c>
      <c r="GP292" s="27"/>
      <c r="GQ292" s="27" t="n">
        <v>0.54</v>
      </c>
      <c r="GR292" s="27"/>
      <c r="GS292" s="27"/>
      <c r="GT292" s="27"/>
      <c r="GU292" s="27" t="n">
        <v>5.74</v>
      </c>
      <c r="GV292" s="27" t="n">
        <v>3.64</v>
      </c>
      <c r="GW292" s="27"/>
      <c r="GX292" s="27"/>
      <c r="GY292" s="27" t="n">
        <v>0</v>
      </c>
      <c r="GZ292" s="27" t="n">
        <v>0</v>
      </c>
      <c r="HA292" s="27" t="n">
        <v>0</v>
      </c>
      <c r="HB292" s="24" t="n">
        <v>0</v>
      </c>
      <c r="HC292" s="24" t="s">
        <v>691</v>
      </c>
      <c r="HD292" s="24" t="n">
        <v>63.5</v>
      </c>
      <c r="HE292" s="27" t="n">
        <v>98.9</v>
      </c>
      <c r="HF292" s="27" t="n">
        <v>83.4</v>
      </c>
      <c r="HG292" s="27" t="n">
        <v>51</v>
      </c>
      <c r="HH292" s="24" t="n">
        <v>53.65</v>
      </c>
      <c r="HI292" s="24" t="n">
        <v>0</v>
      </c>
      <c r="HJ292" s="24" t="n">
        <v>11.99</v>
      </c>
      <c r="HK292" s="24" t="n">
        <v>24.1</v>
      </c>
      <c r="HL292" s="24" t="n">
        <v>10.26</v>
      </c>
      <c r="HM292" s="24" t="n">
        <v>0</v>
      </c>
      <c r="HN292" s="24" t="n">
        <v>0</v>
      </c>
      <c r="HO292" s="24" t="n">
        <v>0</v>
      </c>
      <c r="HP292" s="24" t="n">
        <v>0</v>
      </c>
      <c r="HQ292" s="24" t="n">
        <v>0</v>
      </c>
      <c r="HR292" s="24" t="n">
        <v>0</v>
      </c>
      <c r="HS292" s="24" t="n">
        <v>9.1</v>
      </c>
      <c r="HT292" s="24" t="n">
        <v>26.31</v>
      </c>
      <c r="HU292" s="24" t="n">
        <v>5.53</v>
      </c>
      <c r="HV292" s="24" t="n">
        <v>0.94</v>
      </c>
      <c r="HW292" s="24" t="n">
        <v>0</v>
      </c>
      <c r="HX292" s="24" t="n">
        <v>0</v>
      </c>
      <c r="HY292" s="24" t="n">
        <v>0</v>
      </c>
      <c r="IL292" s="24" t="n">
        <v>6.1</v>
      </c>
      <c r="IM292" s="24" t="n">
        <v>0</v>
      </c>
      <c r="IX292" s="28"/>
      <c r="JP292" s="24" t="n">
        <v>1</v>
      </c>
      <c r="JQ292" s="24" t="n">
        <v>50</v>
      </c>
      <c r="JR292" s="24" t="n">
        <v>1</v>
      </c>
      <c r="JS292" s="24" t="n">
        <v>0.39</v>
      </c>
      <c r="JT292" s="24" t="n">
        <v>3</v>
      </c>
      <c r="JU292" s="24" t="n">
        <v>50</v>
      </c>
      <c r="JV292" s="24" t="n">
        <v>2</v>
      </c>
      <c r="JW292" s="24" t="n">
        <f aca="false">0.19+0.23</f>
        <v>0.42</v>
      </c>
      <c r="JX292" s="24" t="n">
        <v>4</v>
      </c>
      <c r="JY292" s="24" t="n">
        <v>60</v>
      </c>
      <c r="JZ292" s="24" t="n">
        <v>12</v>
      </c>
      <c r="KA292" s="24" t="n">
        <f aca="false">0.78*2</f>
        <v>1.56</v>
      </c>
      <c r="KB292" s="24" t="n">
        <v>6</v>
      </c>
      <c r="LA292" s="27" t="n">
        <v>5.39</v>
      </c>
      <c r="LB292" s="27" t="n">
        <v>1</v>
      </c>
      <c r="LC292" s="27" t="n">
        <v>1</v>
      </c>
      <c r="LD292" s="27"/>
      <c r="LE292" s="27" t="n">
        <f aca="false">2.04*3+0.36*2</f>
        <v>6.84</v>
      </c>
      <c r="LF292" s="27" t="n">
        <v>2</v>
      </c>
      <c r="LG292" s="27"/>
      <c r="LH292" s="27" t="n">
        <f aca="false">0.72*2+0.36</f>
        <v>1.8</v>
      </c>
      <c r="LI292" s="27" t="n">
        <v>3</v>
      </c>
      <c r="LJ292" s="27"/>
      <c r="LK292" s="27" t="n">
        <v>0.5</v>
      </c>
      <c r="LL292" s="27" t="n">
        <v>0.94</v>
      </c>
      <c r="LM292" s="27" t="n">
        <v>0.94</v>
      </c>
      <c r="LN292" s="27"/>
      <c r="LO292" s="27"/>
      <c r="LP292" s="27" t="n">
        <v>0</v>
      </c>
      <c r="LQ292" s="27" t="n">
        <v>0</v>
      </c>
      <c r="LR292" s="27" t="n">
        <v>0</v>
      </c>
      <c r="LS292" s="24" t="n">
        <v>0</v>
      </c>
      <c r="LT292" s="24" t="s">
        <v>692</v>
      </c>
      <c r="LU292" s="24" t="n">
        <v>30.5</v>
      </c>
      <c r="LV292" s="27" t="n">
        <v>69.11</v>
      </c>
      <c r="LW292" s="27" t="n">
        <v>83.4</v>
      </c>
      <c r="LX292" s="27" t="n">
        <v>18.1</v>
      </c>
      <c r="LY292" s="24" t="n">
        <v>79.03</v>
      </c>
      <c r="LZ292" s="24" t="n">
        <v>0.45</v>
      </c>
      <c r="MA292" s="24" t="n">
        <v>0</v>
      </c>
      <c r="MB292" s="24" t="n">
        <v>0</v>
      </c>
      <c r="MC292" s="24" t="n">
        <v>20.52</v>
      </c>
      <c r="MD292" s="24" t="n">
        <v>0</v>
      </c>
      <c r="ME292" s="24" t="n">
        <v>0</v>
      </c>
      <c r="MF292" s="24" t="n">
        <v>0</v>
      </c>
      <c r="MG292" s="24" t="n">
        <v>0</v>
      </c>
      <c r="MH292" s="24" t="n">
        <v>0</v>
      </c>
      <c r="MI292" s="24" t="n">
        <v>0</v>
      </c>
      <c r="MJ292" s="24" t="n">
        <v>0</v>
      </c>
      <c r="MK292" s="24" t="n">
        <v>12.58</v>
      </c>
      <c r="ML292" s="24" t="n">
        <v>17.94</v>
      </c>
      <c r="MM292" s="24" t="n">
        <v>18.04</v>
      </c>
      <c r="MN292" s="24" t="n">
        <v>0</v>
      </c>
      <c r="MO292" s="24" t="n">
        <v>0</v>
      </c>
      <c r="MP292" s="24" t="n">
        <v>0</v>
      </c>
      <c r="NC292" s="24" t="n">
        <v>8.1</v>
      </c>
      <c r="ND292" s="24" t="n">
        <v>1</v>
      </c>
      <c r="NE292" s="24" t="n">
        <v>35</v>
      </c>
      <c r="NF292" s="24" t="n">
        <v>4</v>
      </c>
      <c r="NG292" s="24" t="n">
        <f aca="false">2.2+0.39</f>
        <v>2.59</v>
      </c>
      <c r="NH292" s="24" t="n">
        <v>3</v>
      </c>
      <c r="NO292" s="28"/>
      <c r="OG292" s="24" t="n">
        <v>1</v>
      </c>
      <c r="OH292" s="24" t="n">
        <v>60</v>
      </c>
      <c r="OI292" s="24" t="n">
        <v>1</v>
      </c>
      <c r="OJ292" s="24" t="n">
        <v>0.73</v>
      </c>
      <c r="OK292" s="24" t="n">
        <v>3</v>
      </c>
      <c r="PR292" s="27" t="n">
        <v>3.89</v>
      </c>
      <c r="PS292" s="27" t="n">
        <v>1</v>
      </c>
      <c r="PT292" s="27" t="n">
        <v>1</v>
      </c>
      <c r="PU292" s="27"/>
      <c r="PV292" s="27" t="n">
        <f aca="false">0.14*2+0.21*2</f>
        <v>0.7</v>
      </c>
      <c r="PW292" s="27" t="n">
        <v>2</v>
      </c>
      <c r="PX292" s="27"/>
      <c r="PY292" s="27" t="n">
        <f aca="false">1.65*2</f>
        <v>3.3</v>
      </c>
      <c r="PZ292" s="27"/>
      <c r="QA292" s="27"/>
      <c r="QB292" s="27"/>
      <c r="QC292" s="27" t="n">
        <v>0</v>
      </c>
      <c r="QD292" s="27" t="n">
        <v>0</v>
      </c>
      <c r="QE292" s="27"/>
      <c r="QF292" s="27"/>
      <c r="QG292" s="27" t="n">
        <v>0</v>
      </c>
      <c r="QH292" s="27" t="n">
        <v>0</v>
      </c>
      <c r="QI292" s="27" t="n">
        <v>0</v>
      </c>
      <c r="QJ292" s="24" t="n">
        <v>0</v>
      </c>
      <c r="QK292" s="24" t="s">
        <v>697</v>
      </c>
      <c r="QL292" s="24" t="n">
        <v>42.5</v>
      </c>
      <c r="QM292" s="27" t="n">
        <v>92.2</v>
      </c>
      <c r="QN292" s="27" t="n">
        <v>83.4</v>
      </c>
      <c r="QO292" s="27" t="n">
        <v>33.5</v>
      </c>
      <c r="QP292" s="24" t="n">
        <v>25.89</v>
      </c>
      <c r="QQ292" s="24" t="n">
        <v>0</v>
      </c>
      <c r="QR292" s="24" t="n">
        <v>0</v>
      </c>
      <c r="QS292" s="24" t="n">
        <v>0</v>
      </c>
      <c r="QT292" s="24" t="n">
        <v>0</v>
      </c>
      <c r="QU292" s="24" t="n">
        <v>0</v>
      </c>
      <c r="QV292" s="24" t="n">
        <v>74.11</v>
      </c>
      <c r="QW292" s="24" t="n">
        <v>25.43</v>
      </c>
      <c r="QX292" s="24" t="n">
        <v>9.72</v>
      </c>
      <c r="QY292" s="24" t="n">
        <v>2.94</v>
      </c>
      <c r="QZ292" s="24" t="n">
        <v>0</v>
      </c>
      <c r="RA292" s="24" t="n">
        <v>11.38</v>
      </c>
      <c r="RB292" s="24" t="n">
        <v>16.89</v>
      </c>
      <c r="RC292" s="24" t="n">
        <v>27.26</v>
      </c>
      <c r="RD292" s="24" t="n">
        <v>0</v>
      </c>
      <c r="RE292" s="24" t="n">
        <v>0</v>
      </c>
      <c r="RF292" s="24" t="n">
        <v>0</v>
      </c>
      <c r="RG292" s="24" t="n">
        <v>0</v>
      </c>
      <c r="RT292" s="24" t="n">
        <v>3.6</v>
      </c>
      <c r="RU292" s="24" t="n">
        <v>1</v>
      </c>
      <c r="RV292" s="24" t="n">
        <v>35</v>
      </c>
      <c r="RW292" s="24" t="n">
        <v>6</v>
      </c>
      <c r="RX292" s="24" t="n">
        <f aca="false">0.13*4</f>
        <v>0.52</v>
      </c>
      <c r="RY292" s="24" t="n">
        <v>3</v>
      </c>
      <c r="RZ292" s="24" t="n">
        <v>25</v>
      </c>
      <c r="SA292" s="24" t="n">
        <v>2</v>
      </c>
      <c r="SB292" s="24" t="n">
        <f aca="false">0.13*2</f>
        <v>0.26</v>
      </c>
      <c r="SC292" s="24" t="n">
        <v>4</v>
      </c>
      <c r="SF292" s="28"/>
      <c r="SX292" s="24" t="n">
        <v>0</v>
      </c>
      <c r="UI292" s="27" t="n">
        <v>3.01</v>
      </c>
      <c r="UJ292" s="27" t="n">
        <v>1</v>
      </c>
      <c r="UK292" s="27" t="n">
        <v>1</v>
      </c>
      <c r="UL292" s="27"/>
      <c r="UM292" s="27" t="n">
        <f aca="false">1.65*5+0.13*2+0.36+0.18</f>
        <v>9.05</v>
      </c>
      <c r="UN292" s="27"/>
      <c r="UO292" s="27"/>
      <c r="UP292" s="27"/>
      <c r="UQ292" s="27"/>
      <c r="UR292" s="27"/>
      <c r="US292" s="27"/>
      <c r="UT292" s="27" t="n">
        <v>2.16</v>
      </c>
      <c r="UU292" s="27" t="n">
        <v>0.52</v>
      </c>
      <c r="UV292" s="27"/>
      <c r="UW292" s="27"/>
      <c r="UX292" s="27" t="n">
        <v>0</v>
      </c>
      <c r="UY292" s="27" t="n">
        <v>0</v>
      </c>
      <c r="UZ292" s="27" t="n">
        <v>0</v>
      </c>
      <c r="VA292" s="24" t="n">
        <v>0</v>
      </c>
      <c r="VB292" s="24" t="s">
        <v>698</v>
      </c>
      <c r="VC292" s="24" t="n">
        <v>37</v>
      </c>
      <c r="VD292" s="27" t="n">
        <v>86.3</v>
      </c>
      <c r="VE292" s="27" t="n">
        <v>83.4</v>
      </c>
      <c r="VF292" s="27" t="n">
        <v>31.3</v>
      </c>
      <c r="VG292" s="24" t="n">
        <v>24.09</v>
      </c>
      <c r="VH292" s="24" t="n">
        <v>0</v>
      </c>
      <c r="VI292" s="24" t="n">
        <v>0</v>
      </c>
      <c r="VJ292" s="24" t="n">
        <v>0</v>
      </c>
      <c r="VK292" s="24" t="n">
        <v>0</v>
      </c>
      <c r="VL292" s="24" t="n">
        <v>0</v>
      </c>
      <c r="VM292" s="24" t="n">
        <v>75.91</v>
      </c>
      <c r="VN292" s="24" t="n">
        <v>21.83</v>
      </c>
      <c r="VO292" s="24" t="n">
        <v>8.63</v>
      </c>
      <c r="VP292" s="24" t="n">
        <v>2.94</v>
      </c>
      <c r="VQ292" s="24" t="n">
        <v>0</v>
      </c>
      <c r="VR292" s="24" t="n">
        <v>13.66</v>
      </c>
      <c r="VS292" s="24" t="n">
        <v>10.54</v>
      </c>
      <c r="VT292" s="24" t="n">
        <v>28.39</v>
      </c>
      <c r="VU292" s="24" t="n">
        <v>0</v>
      </c>
      <c r="VV292" s="24" t="n">
        <v>0</v>
      </c>
      <c r="VW292" s="24" t="n">
        <v>0</v>
      </c>
      <c r="VX292" s="24" t="n">
        <v>0</v>
      </c>
      <c r="WK292" s="24" t="n">
        <v>2.7</v>
      </c>
      <c r="WL292" s="24" t="n">
        <v>1</v>
      </c>
      <c r="WM292" s="24" t="n">
        <v>52</v>
      </c>
      <c r="WN292" s="24" t="n">
        <v>1</v>
      </c>
      <c r="WO292" s="24" t="n">
        <v>0.39</v>
      </c>
      <c r="WP292" s="24" t="n">
        <v>2</v>
      </c>
      <c r="WQ292" s="24" t="n">
        <v>35</v>
      </c>
      <c r="WR292" s="24" t="n">
        <v>4</v>
      </c>
      <c r="WS292" s="24" t="n">
        <v>0.26</v>
      </c>
      <c r="WT292" s="24" t="n">
        <v>3</v>
      </c>
      <c r="WW292" s="28"/>
      <c r="XO292" s="24" t="n">
        <v>0</v>
      </c>
      <c r="YZ292" s="27" t="n">
        <v>2.83</v>
      </c>
      <c r="ZA292" s="27" t="n">
        <v>1</v>
      </c>
      <c r="ZB292" s="27" t="n">
        <v>1</v>
      </c>
      <c r="ZC292" s="27"/>
      <c r="ZD292" s="27" t="n">
        <f aca="false">1.65*5</f>
        <v>8.25</v>
      </c>
      <c r="ZE292" s="27"/>
      <c r="ZF292" s="27"/>
      <c r="ZG292" s="27"/>
      <c r="ZH292" s="27"/>
      <c r="ZI292" s="27"/>
      <c r="ZJ292" s="27"/>
      <c r="ZK292" s="27" t="n">
        <v>0</v>
      </c>
      <c r="ZL292" s="27" t="n">
        <v>0</v>
      </c>
      <c r="ZM292" s="27"/>
      <c r="ZN292" s="27"/>
      <c r="ZO292" s="27" t="n">
        <v>0</v>
      </c>
      <c r="ZP292" s="27" t="n">
        <v>0</v>
      </c>
      <c r="ZQ292" s="27" t="n">
        <v>0</v>
      </c>
      <c r="ZR292" s="24" t="n">
        <v>0</v>
      </c>
      <c r="ZS292" s="24" t="s">
        <v>702</v>
      </c>
      <c r="ZT292" s="24" t="n">
        <v>43.5</v>
      </c>
      <c r="ZU292" s="27" t="n">
        <v>73.8</v>
      </c>
      <c r="ZV292" s="27" t="n">
        <v>83.4</v>
      </c>
      <c r="ZW292" s="27" t="n">
        <v>26.5</v>
      </c>
      <c r="ZX292" s="24" t="n">
        <v>20.2</v>
      </c>
      <c r="ZY292" s="24" t="n">
        <v>0</v>
      </c>
      <c r="ZZ292" s="24" t="n">
        <v>26.95</v>
      </c>
      <c r="AAA292" s="24" t="n">
        <v>0</v>
      </c>
      <c r="AAB292" s="24" t="n">
        <v>0.39</v>
      </c>
      <c r="AAC292" s="24" t="n">
        <v>0</v>
      </c>
      <c r="AAD292" s="24" t="n">
        <v>79.41</v>
      </c>
      <c r="AAE292" s="24" t="n">
        <v>26.95</v>
      </c>
      <c r="AAF292" s="24" t="n">
        <v>0</v>
      </c>
      <c r="AAG292" s="24" t="n">
        <v>0</v>
      </c>
      <c r="AAH292" s="24" t="n">
        <v>0</v>
      </c>
      <c r="AAI292" s="24" t="n">
        <v>35.2</v>
      </c>
      <c r="AAJ292" s="24" t="n">
        <v>15.96</v>
      </c>
      <c r="AAK292" s="24" t="n">
        <v>39.09</v>
      </c>
      <c r="AAL292" s="24" t="n">
        <v>0.32</v>
      </c>
      <c r="AAM292" s="24" t="n">
        <v>0</v>
      </c>
      <c r="AAN292" s="24" t="n">
        <v>0</v>
      </c>
      <c r="AAO292" s="24" t="n">
        <v>0</v>
      </c>
      <c r="ABB292" s="24" t="n">
        <v>14.4</v>
      </c>
      <c r="ABC292" s="24" t="n">
        <v>1</v>
      </c>
      <c r="ABD292" s="24" t="n">
        <v>30</v>
      </c>
      <c r="ABE292" s="24" t="n">
        <v>5</v>
      </c>
      <c r="ABF292" s="24" t="n">
        <f aca="false">2.94+0.6</f>
        <v>3.54</v>
      </c>
      <c r="ABG292" s="24" t="n">
        <v>3</v>
      </c>
      <c r="ABH292" s="24" t="n">
        <v>34</v>
      </c>
      <c r="ABI292" s="24" t="n">
        <v>1</v>
      </c>
      <c r="ABJ292" s="24" t="n">
        <v>1.65</v>
      </c>
      <c r="ABK292" s="24" t="n">
        <v>1</v>
      </c>
      <c r="ABL292" s="24" t="n">
        <v>52</v>
      </c>
      <c r="ABM292" s="24" t="n">
        <v>6</v>
      </c>
      <c r="ABN292" s="28" t="n">
        <f aca="false">0.7+0.77+0.08+0.05</f>
        <v>1.6</v>
      </c>
      <c r="ABO292" s="24" t="n">
        <v>2</v>
      </c>
      <c r="ABP292" s="24" t="n">
        <v>35</v>
      </c>
      <c r="ABQ292" s="24" t="n">
        <v>1</v>
      </c>
      <c r="ABR292" s="24" t="n">
        <v>0.19</v>
      </c>
      <c r="ABS292" s="24" t="n">
        <v>3</v>
      </c>
      <c r="ABT292" s="24" t="n">
        <v>23</v>
      </c>
      <c r="ABU292" s="24" t="n">
        <v>3</v>
      </c>
      <c r="ABV292" s="24" t="n">
        <f aca="false">0.39+0.77</f>
        <v>1.16</v>
      </c>
      <c r="ABW292" s="24" t="n">
        <v>3</v>
      </c>
      <c r="ACF292" s="24" t="n">
        <v>0</v>
      </c>
      <c r="ADQ292" s="27" t="n">
        <v>1.22</v>
      </c>
      <c r="ADR292" s="27" t="n">
        <v>1</v>
      </c>
      <c r="ADS292" s="27" t="n">
        <v>1</v>
      </c>
      <c r="ADT292" s="27"/>
      <c r="ADU292" s="27" t="n">
        <f aca="false">0.97*2+1.07*2</f>
        <v>4.08</v>
      </c>
      <c r="ADV292" s="27"/>
      <c r="ADW292" s="27"/>
      <c r="ADX292" s="27"/>
      <c r="ADY292" s="27"/>
      <c r="ADZ292" s="27"/>
      <c r="AEA292" s="27"/>
      <c r="AEB292" s="27" t="n">
        <v>0</v>
      </c>
      <c r="AEC292" s="27" t="n">
        <v>0</v>
      </c>
      <c r="AED292" s="27"/>
      <c r="AEE292" s="27"/>
      <c r="AEF292" s="27" t="n">
        <v>0</v>
      </c>
      <c r="AEG292" s="27" t="n">
        <v>0</v>
      </c>
      <c r="AEH292" s="27" t="n">
        <v>1.22</v>
      </c>
      <c r="AEI292" s="24" t="n">
        <v>0</v>
      </c>
      <c r="AEJ292" s="24" t="s">
        <v>693</v>
      </c>
      <c r="AEK292" s="24" t="n">
        <v>33.5</v>
      </c>
      <c r="AEL292" s="27" t="n">
        <v>92.3</v>
      </c>
      <c r="AEM292" s="27" t="n">
        <v>83.4</v>
      </c>
      <c r="AEN292" s="27" t="n">
        <v>19.8</v>
      </c>
      <c r="AEO292" s="24" t="n">
        <v>72.02</v>
      </c>
      <c r="AEP292" s="24" t="n">
        <v>2.2</v>
      </c>
      <c r="AEQ292" s="24" t="n">
        <v>7.75</v>
      </c>
      <c r="AER292" s="24" t="n">
        <v>0</v>
      </c>
      <c r="AES292" s="24" t="n">
        <v>5.49</v>
      </c>
      <c r="AET292" s="24" t="n">
        <v>0</v>
      </c>
      <c r="AEU292" s="24" t="n">
        <v>6.84</v>
      </c>
      <c r="AEV292" s="24" t="n">
        <v>0</v>
      </c>
      <c r="AEW292" s="24" t="n">
        <v>0</v>
      </c>
      <c r="AEX292" s="24" t="n">
        <v>0</v>
      </c>
      <c r="AEY292" s="24" t="n">
        <v>0</v>
      </c>
      <c r="AEZ292" s="24" t="n">
        <v>7.13</v>
      </c>
      <c r="AFA292" s="24" t="n">
        <v>54.84</v>
      </c>
      <c r="AFB292" s="24" t="n">
        <v>10.13</v>
      </c>
      <c r="AFC292" s="24" t="n">
        <v>3.36</v>
      </c>
      <c r="AFD292" s="24" t="n">
        <v>5.7</v>
      </c>
      <c r="AFE292" s="24" t="n">
        <v>0</v>
      </c>
      <c r="AFF292" s="24" t="n">
        <v>0</v>
      </c>
      <c r="AFO292" s="24" t="n">
        <v>2</v>
      </c>
      <c r="AFS292" s="24" t="n">
        <v>3.4</v>
      </c>
      <c r="AFT292" s="24" t="n">
        <v>1</v>
      </c>
      <c r="AFU292" s="24" t="n">
        <v>34</v>
      </c>
      <c r="AFV292" s="24" t="n">
        <v>1</v>
      </c>
      <c r="AFW292" s="24" t="n">
        <v>1.28</v>
      </c>
      <c r="AFX292" s="24" t="n">
        <v>1</v>
      </c>
      <c r="AFY292" s="24" t="n">
        <v>52</v>
      </c>
      <c r="AFZ292" s="24" t="n">
        <v>1</v>
      </c>
      <c r="AGA292" s="24" t="n">
        <v>0.73</v>
      </c>
      <c r="AGB292" s="24" t="n">
        <v>2</v>
      </c>
      <c r="AGC292" s="24" t="n">
        <v>30</v>
      </c>
      <c r="AGD292" s="24" t="n">
        <v>1</v>
      </c>
      <c r="AGE292" s="28" t="n">
        <v>0.13</v>
      </c>
      <c r="AGF292" s="24" t="n">
        <v>3</v>
      </c>
      <c r="AGW292" s="24" t="n">
        <v>1</v>
      </c>
      <c r="AGX292" s="24" t="n">
        <v>40</v>
      </c>
      <c r="AGY292" s="24" t="n">
        <v>1</v>
      </c>
      <c r="AGZ292" s="24" t="n">
        <v>1.83</v>
      </c>
      <c r="AHA292" s="24" t="n">
        <v>6</v>
      </c>
      <c r="AHB292" s="24" t="n">
        <v>40</v>
      </c>
      <c r="AHC292" s="24" t="n">
        <v>1</v>
      </c>
      <c r="AHD292" s="24" t="n">
        <v>1.65</v>
      </c>
      <c r="AHE292" s="24" t="n">
        <v>3</v>
      </c>
      <c r="AHF292" s="24" t="n">
        <v>40</v>
      </c>
      <c r="AHG292" s="24" t="n">
        <v>1</v>
      </c>
      <c r="AHH292" s="24" t="n">
        <v>1.83</v>
      </c>
      <c r="AHI292" s="24" t="n">
        <v>4</v>
      </c>
      <c r="AHJ292" s="24" t="n">
        <v>40</v>
      </c>
      <c r="AHK292" s="24" t="n">
        <v>4</v>
      </c>
      <c r="AHL292" s="24" t="n">
        <v>0.26</v>
      </c>
      <c r="AHM292" s="24" t="n">
        <v>1</v>
      </c>
      <c r="AIH292" s="27" t="n">
        <v>3.89</v>
      </c>
      <c r="AII292" s="27" t="n">
        <v>1</v>
      </c>
      <c r="AIJ292" s="27" t="n">
        <v>1</v>
      </c>
      <c r="AIK292" s="27"/>
      <c r="AIL292" s="27" t="n">
        <f aca="false">0.36*2</f>
        <v>0.72</v>
      </c>
      <c r="AIM292" s="27" t="n">
        <v>2</v>
      </c>
      <c r="AIN292" s="27"/>
      <c r="AIO292" s="27" t="n">
        <f aca="false">2.04*2</f>
        <v>4.08</v>
      </c>
      <c r="AIP292" s="27"/>
      <c r="AIQ292" s="27"/>
      <c r="AIR292" s="27"/>
      <c r="AIS292" s="27" t="n">
        <v>3.27</v>
      </c>
      <c r="AIT292" s="27" t="n">
        <v>2.46</v>
      </c>
      <c r="AIU292" s="27"/>
      <c r="AIV292" s="27"/>
      <c r="AIW292" s="27" t="n">
        <v>2.88</v>
      </c>
      <c r="AIX292" s="27" t="n">
        <v>4.14</v>
      </c>
      <c r="AIY292" s="27" t="n">
        <v>0</v>
      </c>
      <c r="AIZ292" s="24" t="n">
        <v>0</v>
      </c>
      <c r="AJA292" s="24" t="s">
        <v>699</v>
      </c>
      <c r="AJB292" s="24" t="n">
        <v>44.5</v>
      </c>
      <c r="AJC292" s="27" t="n">
        <v>101.7</v>
      </c>
      <c r="AJD292" s="27" t="n">
        <v>83.4</v>
      </c>
      <c r="AJE292" s="27" t="n">
        <v>22.5</v>
      </c>
      <c r="AJF292" s="24" t="n">
        <v>75.78</v>
      </c>
      <c r="AJG292" s="24" t="n">
        <v>0</v>
      </c>
      <c r="AJH292" s="24" t="n">
        <v>2.04</v>
      </c>
      <c r="AJI292" s="24" t="n">
        <v>0</v>
      </c>
      <c r="AJJ292" s="24" t="n">
        <v>8.57</v>
      </c>
      <c r="AJK292" s="24" t="n">
        <v>0</v>
      </c>
      <c r="AJL292" s="24" t="n">
        <v>2.21</v>
      </c>
      <c r="AJM292" s="24" t="n">
        <v>0</v>
      </c>
      <c r="AJN292" s="24" t="n">
        <v>1.1</v>
      </c>
      <c r="AJO292" s="24" t="n">
        <v>0</v>
      </c>
      <c r="AJP292" s="24" t="n">
        <v>0</v>
      </c>
      <c r="AJQ292" s="24" t="n">
        <v>1.61</v>
      </c>
      <c r="AJR292" s="24" t="n">
        <v>54.76</v>
      </c>
      <c r="AJS292" s="24" t="n">
        <v>16</v>
      </c>
      <c r="AJT292" s="24" t="n">
        <v>6.05</v>
      </c>
      <c r="AJU292" s="24" t="n">
        <v>10.83</v>
      </c>
      <c r="AJV292" s="24" t="n">
        <v>10.1</v>
      </c>
      <c r="AJW292" s="24" t="n">
        <v>1</v>
      </c>
      <c r="AJX292" s="24" t="n">
        <v>2</v>
      </c>
      <c r="AJZ292" s="24" t="n">
        <v>3</v>
      </c>
      <c r="AKA292" s="24" t="n">
        <v>5</v>
      </c>
      <c r="AKC292" s="24" t="n">
        <v>1</v>
      </c>
      <c r="AKD292" s="24" t="n">
        <v>3</v>
      </c>
      <c r="AKF292" s="24" t="n">
        <v>1</v>
      </c>
      <c r="AKJ292" s="24" t="n">
        <v>3</v>
      </c>
      <c r="AKK292" s="24" t="n">
        <v>1</v>
      </c>
      <c r="AKL292" s="24" t="n">
        <v>52</v>
      </c>
      <c r="AKM292" s="24" t="n">
        <v>1</v>
      </c>
      <c r="AKN292" s="24" t="n">
        <v>0.73</v>
      </c>
      <c r="AKO292" s="24" t="n">
        <v>2</v>
      </c>
      <c r="AKP292" s="24" t="n">
        <v>34</v>
      </c>
      <c r="AKQ292" s="24" t="n">
        <v>1</v>
      </c>
      <c r="AKR292" s="24" t="n">
        <v>1.28</v>
      </c>
      <c r="AKS292" s="24" t="n">
        <v>1</v>
      </c>
      <c r="AKV292" s="28"/>
      <c r="ALN292" s="24" t="n">
        <v>1</v>
      </c>
      <c r="ALO292" s="24" t="n">
        <v>40</v>
      </c>
      <c r="ALP292" s="24" t="n">
        <v>1</v>
      </c>
      <c r="ALQ292" s="24" t="n">
        <v>1.83</v>
      </c>
      <c r="ALR292" s="24" t="n">
        <v>6</v>
      </c>
      <c r="ALS292" s="24" t="n">
        <v>40</v>
      </c>
      <c r="ALT292" s="24" t="n">
        <v>1</v>
      </c>
      <c r="ALU292" s="24" t="n">
        <v>1.65</v>
      </c>
      <c r="ALV292" s="24" t="n">
        <v>3</v>
      </c>
      <c r="ALW292" s="24" t="n">
        <v>40</v>
      </c>
      <c r="ALX292" s="24" t="n">
        <v>3</v>
      </c>
      <c r="ALY292" s="24" t="n">
        <f aca="false">0.26+1.83</f>
        <v>2.09</v>
      </c>
      <c r="ALZ292" s="24" t="n">
        <v>4</v>
      </c>
    </row>
    <row r="293" customFormat="false" ht="13.8" hidden="false" customHeight="false" outlineLevel="0" collapsed="false">
      <c r="A293" s="22" t="s">
        <v>861</v>
      </c>
      <c r="B293" s="23" t="n">
        <v>42908</v>
      </c>
      <c r="C293" s="24" t="n">
        <v>1</v>
      </c>
      <c r="D293" s="25" t="n">
        <v>42811</v>
      </c>
      <c r="E293" s="23" t="n">
        <v>33831</v>
      </c>
      <c r="F293" s="14" t="n">
        <f aca="false">(B293-E293)/365.25</f>
        <v>24.8514715947981</v>
      </c>
      <c r="G293" s="14" t="n">
        <f aca="false">(B293-D293)/365.25</f>
        <v>0.265571526351814</v>
      </c>
      <c r="H293" s="26" t="s">
        <v>306</v>
      </c>
      <c r="I293" s="21" t="s">
        <v>689</v>
      </c>
      <c r="J293" s="21" t="s">
        <v>183</v>
      </c>
      <c r="K293" s="21" t="n">
        <v>8</v>
      </c>
      <c r="L293" s="26" t="n">
        <v>64</v>
      </c>
      <c r="M293" s="24" t="n">
        <v>1.64</v>
      </c>
      <c r="N293" s="27" t="n">
        <f aca="false">L293/(M293*M293)</f>
        <v>23.7953599048186</v>
      </c>
      <c r="O293" s="26" t="n">
        <v>0</v>
      </c>
      <c r="P293" s="26" t="n">
        <v>0</v>
      </c>
      <c r="Q293" s="26" t="n">
        <v>0</v>
      </c>
      <c r="R293" s="26" t="n">
        <v>0</v>
      </c>
      <c r="S293" s="26" t="n">
        <v>0</v>
      </c>
      <c r="T293" s="26" t="n">
        <v>0</v>
      </c>
      <c r="U293" s="26" t="n">
        <v>0</v>
      </c>
      <c r="V293" s="26" t="n">
        <v>0</v>
      </c>
      <c r="W293" s="26" t="n">
        <v>0</v>
      </c>
      <c r="X293" s="26" t="n">
        <v>0</v>
      </c>
      <c r="Y293" s="26" t="n">
        <v>0</v>
      </c>
      <c r="Z293" s="26" t="n">
        <v>0</v>
      </c>
      <c r="AA293" s="26" t="n">
        <v>0</v>
      </c>
      <c r="AB293" s="26" t="n">
        <v>0</v>
      </c>
      <c r="AC293" s="26" t="n">
        <v>1</v>
      </c>
      <c r="AD293" s="26" t="n">
        <v>10</v>
      </c>
      <c r="AE293" s="26" t="n">
        <v>0</v>
      </c>
      <c r="AF293" s="26" t="n">
        <v>0</v>
      </c>
      <c r="AG293" s="26" t="n">
        <v>0</v>
      </c>
      <c r="AH293" s="26" t="n">
        <v>0</v>
      </c>
      <c r="AI293" s="26" t="n">
        <v>3</v>
      </c>
      <c r="AJ293" s="26" t="n">
        <v>0</v>
      </c>
      <c r="AK293" s="26" t="n">
        <v>1</v>
      </c>
      <c r="AL293" s="26" t="n">
        <v>7</v>
      </c>
      <c r="AM293" s="19" t="n">
        <v>0</v>
      </c>
      <c r="AN293" s="26" t="n">
        <v>0</v>
      </c>
      <c r="AO293" s="26" t="n">
        <v>0</v>
      </c>
      <c r="AP293" s="26" t="n">
        <v>0</v>
      </c>
      <c r="AQ293" s="26" t="n">
        <v>0</v>
      </c>
      <c r="AR293" s="26" t="n">
        <v>0</v>
      </c>
      <c r="AS293" s="26" t="n">
        <v>1</v>
      </c>
      <c r="AT293" s="26" t="n">
        <v>0</v>
      </c>
      <c r="AU293" s="26" t="n">
        <v>0</v>
      </c>
      <c r="AV293" s="26" t="n">
        <v>0</v>
      </c>
      <c r="AW293" s="26" t="n">
        <v>0</v>
      </c>
      <c r="AX293" s="26" t="n">
        <v>1</v>
      </c>
      <c r="AY293" s="26" t="n">
        <v>0</v>
      </c>
      <c r="AZ293" s="26" t="n">
        <v>1</v>
      </c>
      <c r="BA293" s="26" t="n">
        <v>7</v>
      </c>
      <c r="BB293" s="26" t="n">
        <v>1</v>
      </c>
      <c r="BC293" s="26" t="n">
        <v>0</v>
      </c>
      <c r="BD293" s="26" t="n">
        <v>0</v>
      </c>
      <c r="BE293" s="26" t="n">
        <v>0</v>
      </c>
      <c r="BF293" s="26" t="n">
        <v>0</v>
      </c>
      <c r="BG293" s="26" t="n">
        <v>0</v>
      </c>
      <c r="BH293" s="26" t="n">
        <v>0</v>
      </c>
      <c r="BI293" s="26" t="n">
        <v>0</v>
      </c>
      <c r="BJ293" s="26" t="n">
        <v>0</v>
      </c>
      <c r="BK293" s="26" t="n">
        <v>0</v>
      </c>
      <c r="BL293" s="26" t="n">
        <v>0</v>
      </c>
      <c r="BM293" s="26" t="n">
        <v>0</v>
      </c>
      <c r="BN293" s="26" t="n">
        <v>0</v>
      </c>
      <c r="BO293" s="26" t="n">
        <v>0</v>
      </c>
      <c r="BP293" s="26" t="n">
        <v>0</v>
      </c>
      <c r="BQ293" s="26" t="n">
        <v>0</v>
      </c>
      <c r="BR293" s="26" t="n">
        <v>2</v>
      </c>
      <c r="BS293" s="26" t="n">
        <v>2</v>
      </c>
      <c r="BT293" s="26" t="n">
        <v>4</v>
      </c>
      <c r="BU293" s="26" t="n">
        <v>5</v>
      </c>
      <c r="BV293" s="26" t="n">
        <v>1</v>
      </c>
      <c r="BW293" s="26" t="n">
        <v>1</v>
      </c>
      <c r="BX293" s="26" t="n">
        <v>3</v>
      </c>
      <c r="BY293" s="26" t="n">
        <v>2</v>
      </c>
      <c r="BZ293" s="26" t="n">
        <v>4</v>
      </c>
      <c r="CA293" s="26" t="n">
        <v>4</v>
      </c>
      <c r="CB293" s="26" t="n">
        <v>5</v>
      </c>
      <c r="CC293" s="26" t="n">
        <v>5</v>
      </c>
      <c r="CD293" s="26" t="n">
        <v>4</v>
      </c>
      <c r="CE293" s="26" t="n">
        <v>5</v>
      </c>
      <c r="CF293" s="26" t="n">
        <v>4</v>
      </c>
      <c r="CG293" s="26" t="n">
        <v>4</v>
      </c>
      <c r="CH293" s="26" t="n">
        <v>4</v>
      </c>
      <c r="CI293" s="26" t="n">
        <v>5</v>
      </c>
      <c r="CJ293" s="26" t="n">
        <v>4</v>
      </c>
      <c r="CK293" s="26" t="n">
        <v>10</v>
      </c>
      <c r="CL293" s="24" t="s">
        <v>690</v>
      </c>
      <c r="CM293" s="24" t="n">
        <v>38</v>
      </c>
      <c r="CN293" s="27" t="n">
        <v>85.5</v>
      </c>
      <c r="CO293" s="27" t="n">
        <v>83.4</v>
      </c>
      <c r="CP293" s="27" t="n">
        <v>28.7</v>
      </c>
      <c r="CQ293" s="24" t="n">
        <v>61.84</v>
      </c>
      <c r="CR293" s="24" t="n">
        <v>0</v>
      </c>
      <c r="CS293" s="24" t="n">
        <v>0</v>
      </c>
      <c r="CT293" s="24" t="n">
        <v>0</v>
      </c>
      <c r="CU293" s="24" t="n">
        <v>37.42</v>
      </c>
      <c r="CV293" s="24" t="n">
        <v>0</v>
      </c>
      <c r="CW293" s="24" t="n">
        <v>0.73</v>
      </c>
      <c r="CX293" s="24" t="n">
        <v>0</v>
      </c>
      <c r="CY293" s="24" t="n">
        <v>0</v>
      </c>
      <c r="CZ293" s="24" t="n">
        <v>0.74</v>
      </c>
      <c r="DA293" s="24" t="n">
        <v>0</v>
      </c>
      <c r="DB293" s="24" t="n">
        <v>7.34</v>
      </c>
      <c r="DC293" s="24" t="n">
        <v>25.37</v>
      </c>
      <c r="DD293" s="24" t="n">
        <v>15.03</v>
      </c>
      <c r="DE293" s="24" t="n">
        <v>30.09</v>
      </c>
      <c r="DF293" s="24" t="n">
        <v>0</v>
      </c>
      <c r="DG293" s="24" t="n">
        <v>0</v>
      </c>
      <c r="DH293" s="24" t="n">
        <v>0</v>
      </c>
      <c r="DU293" s="24" t="n">
        <v>1.7</v>
      </c>
      <c r="DV293" s="24" t="n">
        <v>0</v>
      </c>
      <c r="EG293" s="28"/>
      <c r="EY293" s="24" t="n">
        <v>1</v>
      </c>
      <c r="EZ293" s="24" t="n">
        <v>50</v>
      </c>
      <c r="FA293" s="24" t="n">
        <v>4</v>
      </c>
      <c r="FB293" s="24" t="n">
        <v>0.46</v>
      </c>
      <c r="FC293" s="24" t="n">
        <v>6</v>
      </c>
      <c r="FD293" s="24" t="n">
        <v>40</v>
      </c>
      <c r="FE293" s="24" t="n">
        <v>10</v>
      </c>
      <c r="FF293" s="24" t="n">
        <f aca="false">0.17*2+0.06+0.07</f>
        <v>0.47</v>
      </c>
      <c r="FG293" s="24" t="n">
        <v>1</v>
      </c>
      <c r="FH293" s="24" t="n">
        <v>40</v>
      </c>
      <c r="FI293" s="24" t="n">
        <v>10</v>
      </c>
      <c r="FJ293" s="24" t="n">
        <f aca="false">0.17*2+0.07*2+0.03</f>
        <v>0.51</v>
      </c>
      <c r="FK293" s="24" t="n">
        <v>6</v>
      </c>
      <c r="FL293" s="24" t="n">
        <v>60</v>
      </c>
      <c r="FM293" s="24" t="n">
        <v>6</v>
      </c>
      <c r="FN293" s="24" t="n">
        <f aca="false">4.4*2+0.39*2+0.26</f>
        <v>9.84</v>
      </c>
      <c r="FO293" s="24" t="n">
        <v>3</v>
      </c>
      <c r="GJ293" s="27" t="n">
        <v>1.55</v>
      </c>
      <c r="GK293" s="27" t="n">
        <v>1</v>
      </c>
      <c r="GL293" s="27" t="n">
        <v>1</v>
      </c>
      <c r="GM293" s="27"/>
      <c r="GN293" s="27" t="n">
        <f aca="false">1.65*2</f>
        <v>3.3</v>
      </c>
      <c r="GO293" s="27" t="n">
        <v>2</v>
      </c>
      <c r="GP293" s="27"/>
      <c r="GQ293" s="27" t="n">
        <v>0.54</v>
      </c>
      <c r="GR293" s="27"/>
      <c r="GS293" s="27"/>
      <c r="GT293" s="27"/>
      <c r="GU293" s="27" t="n">
        <v>5.74</v>
      </c>
      <c r="GV293" s="27" t="n">
        <v>3.64</v>
      </c>
      <c r="GW293" s="27"/>
      <c r="GX293" s="27"/>
      <c r="GY293" s="27" t="n">
        <v>0</v>
      </c>
      <c r="GZ293" s="27" t="n">
        <v>0</v>
      </c>
      <c r="HA293" s="27" t="n">
        <v>0</v>
      </c>
      <c r="HB293" s="24" t="n">
        <v>0</v>
      </c>
      <c r="HC293" s="24" t="s">
        <v>692</v>
      </c>
      <c r="HD293" s="24" t="n">
        <v>30.5</v>
      </c>
      <c r="HE293" s="27" t="n">
        <v>69.11</v>
      </c>
      <c r="HF293" s="27" t="n">
        <v>83.4</v>
      </c>
      <c r="HG293" s="27" t="n">
        <v>18.1</v>
      </c>
      <c r="HH293" s="24" t="n">
        <v>79.03</v>
      </c>
      <c r="HI293" s="24" t="n">
        <v>0.45</v>
      </c>
      <c r="HJ293" s="24" t="n">
        <v>0</v>
      </c>
      <c r="HK293" s="24" t="n">
        <v>0</v>
      </c>
      <c r="HL293" s="24" t="n">
        <v>20.52</v>
      </c>
      <c r="HM293" s="24" t="n">
        <v>0</v>
      </c>
      <c r="HN293" s="24" t="n">
        <v>0</v>
      </c>
      <c r="HO293" s="24" t="n">
        <v>0</v>
      </c>
      <c r="HP293" s="24" t="n">
        <v>0</v>
      </c>
      <c r="HQ293" s="24" t="n">
        <v>0</v>
      </c>
      <c r="HR293" s="24" t="n">
        <v>0</v>
      </c>
      <c r="HS293" s="24" t="n">
        <v>0</v>
      </c>
      <c r="HT293" s="24" t="n">
        <v>12.58</v>
      </c>
      <c r="HU293" s="24" t="n">
        <v>17.94</v>
      </c>
      <c r="HV293" s="24" t="n">
        <v>18.04</v>
      </c>
      <c r="HW293" s="24" t="n">
        <v>0</v>
      </c>
      <c r="HX293" s="24" t="n">
        <v>0</v>
      </c>
      <c r="HY293" s="24" t="n">
        <v>0</v>
      </c>
      <c r="IL293" s="24" t="n">
        <v>8.1</v>
      </c>
      <c r="IM293" s="24" t="n">
        <v>1</v>
      </c>
      <c r="IN293" s="24" t="n">
        <v>35</v>
      </c>
      <c r="IO293" s="24" t="n">
        <v>4</v>
      </c>
      <c r="IP293" s="24" t="n">
        <f aca="false">2.2+0.39</f>
        <v>2.59</v>
      </c>
      <c r="IQ293" s="24" t="n">
        <v>3</v>
      </c>
      <c r="IX293" s="28"/>
      <c r="JP293" s="24" t="n">
        <v>1</v>
      </c>
      <c r="JQ293" s="24" t="n">
        <v>60</v>
      </c>
      <c r="JR293" s="24" t="n">
        <v>1</v>
      </c>
      <c r="JS293" s="24" t="n">
        <v>0.73</v>
      </c>
      <c r="JT293" s="24" t="n">
        <v>3</v>
      </c>
      <c r="LA293" s="27" t="n">
        <v>3.89</v>
      </c>
      <c r="LB293" s="27" t="n">
        <v>1</v>
      </c>
      <c r="LC293" s="27" t="n">
        <v>1</v>
      </c>
      <c r="LD293" s="27"/>
      <c r="LE293" s="27" t="n">
        <f aca="false">0.14*2+0.21*2</f>
        <v>0.7</v>
      </c>
      <c r="LF293" s="27" t="n">
        <v>2</v>
      </c>
      <c r="LG293" s="27"/>
      <c r="LH293" s="27" t="n">
        <f aca="false">1.65*2</f>
        <v>3.3</v>
      </c>
      <c r="LI293" s="27"/>
      <c r="LJ293" s="27"/>
      <c r="LK293" s="27"/>
      <c r="LL293" s="27" t="n">
        <v>0</v>
      </c>
      <c r="LM293" s="27" t="n">
        <v>0</v>
      </c>
      <c r="LN293" s="27"/>
      <c r="LO293" s="27"/>
      <c r="LP293" s="27" t="n">
        <v>0</v>
      </c>
      <c r="LQ293" s="27" t="n">
        <v>0</v>
      </c>
      <c r="LR293" s="27" t="n">
        <v>0</v>
      </c>
      <c r="LS293" s="24" t="n">
        <v>0</v>
      </c>
      <c r="LT293" s="24" t="s">
        <v>697</v>
      </c>
      <c r="LU293" s="24" t="n">
        <v>42.5</v>
      </c>
      <c r="LV293" s="27" t="n">
        <v>92.2</v>
      </c>
      <c r="LW293" s="27" t="n">
        <v>83.4</v>
      </c>
      <c r="LX293" s="27" t="n">
        <v>33.5</v>
      </c>
      <c r="LY293" s="24" t="n">
        <v>25.89</v>
      </c>
      <c r="LZ293" s="24" t="n">
        <v>0</v>
      </c>
      <c r="MA293" s="24" t="n">
        <v>0</v>
      </c>
      <c r="MB293" s="24" t="n">
        <v>0</v>
      </c>
      <c r="MC293" s="24" t="n">
        <v>0</v>
      </c>
      <c r="MD293" s="24" t="n">
        <v>0</v>
      </c>
      <c r="ME293" s="24" t="n">
        <v>74.11</v>
      </c>
      <c r="MF293" s="24" t="n">
        <v>25.43</v>
      </c>
      <c r="MG293" s="24" t="n">
        <v>9.72</v>
      </c>
      <c r="MH293" s="24" t="n">
        <v>2.94</v>
      </c>
      <c r="MI293" s="24" t="n">
        <v>0</v>
      </c>
      <c r="MJ293" s="24" t="n">
        <v>11.38</v>
      </c>
      <c r="MK293" s="24" t="n">
        <v>16.89</v>
      </c>
      <c r="ML293" s="24" t="n">
        <v>27.26</v>
      </c>
      <c r="MM293" s="24" t="n">
        <v>0</v>
      </c>
      <c r="MN293" s="24" t="n">
        <v>0</v>
      </c>
      <c r="MO293" s="24" t="n">
        <v>0</v>
      </c>
      <c r="MP293" s="24" t="n">
        <v>0</v>
      </c>
      <c r="NC293" s="24" t="n">
        <v>3.6</v>
      </c>
      <c r="ND293" s="24" t="n">
        <v>1</v>
      </c>
      <c r="NE293" s="24" t="n">
        <v>35</v>
      </c>
      <c r="NF293" s="24" t="n">
        <v>6</v>
      </c>
      <c r="NG293" s="24" t="n">
        <f aca="false">0.13*4</f>
        <v>0.52</v>
      </c>
      <c r="NH293" s="24" t="n">
        <v>3</v>
      </c>
      <c r="NI293" s="24" t="n">
        <v>25</v>
      </c>
      <c r="NJ293" s="24" t="n">
        <v>2</v>
      </c>
      <c r="NK293" s="24" t="n">
        <f aca="false">0.13*2</f>
        <v>0.26</v>
      </c>
      <c r="NL293" s="24" t="n">
        <v>4</v>
      </c>
      <c r="NO293" s="28"/>
      <c r="OG293" s="24" t="n">
        <v>0</v>
      </c>
      <c r="PR293" s="27" t="n">
        <v>3.01</v>
      </c>
      <c r="PS293" s="27" t="n">
        <v>1</v>
      </c>
      <c r="PT293" s="27" t="n">
        <v>1</v>
      </c>
      <c r="PU293" s="27"/>
      <c r="PV293" s="27" t="n">
        <f aca="false">1.65*5+0.13*2+0.36+0.18</f>
        <v>9.05</v>
      </c>
      <c r="PW293" s="27"/>
      <c r="PX293" s="27"/>
      <c r="PY293" s="27"/>
      <c r="PZ293" s="27"/>
      <c r="QA293" s="27"/>
      <c r="QB293" s="27"/>
      <c r="QC293" s="27" t="n">
        <v>2.16</v>
      </c>
      <c r="QD293" s="27" t="n">
        <v>0.52</v>
      </c>
      <c r="QE293" s="27"/>
      <c r="QF293" s="27"/>
      <c r="QG293" s="27" t="n">
        <v>0</v>
      </c>
      <c r="QH293" s="27" t="n">
        <v>0</v>
      </c>
      <c r="QI293" s="27" t="n">
        <v>0</v>
      </c>
      <c r="QJ293" s="24" t="n">
        <v>0</v>
      </c>
      <c r="QK293" s="24" t="s">
        <v>698</v>
      </c>
      <c r="QL293" s="24" t="n">
        <v>37</v>
      </c>
      <c r="QM293" s="27" t="n">
        <v>86.3</v>
      </c>
      <c r="QN293" s="27" t="n">
        <v>83.4</v>
      </c>
      <c r="QO293" s="27" t="n">
        <v>31.3</v>
      </c>
      <c r="QP293" s="24" t="n">
        <v>24.09</v>
      </c>
      <c r="QQ293" s="24" t="n">
        <v>0</v>
      </c>
      <c r="QR293" s="24" t="n">
        <v>0</v>
      </c>
      <c r="QS293" s="24" t="n">
        <v>0</v>
      </c>
      <c r="QT293" s="24" t="n">
        <v>0</v>
      </c>
      <c r="QU293" s="24" t="n">
        <v>0</v>
      </c>
      <c r="QV293" s="24" t="n">
        <v>75.91</v>
      </c>
      <c r="QW293" s="24" t="n">
        <v>21.83</v>
      </c>
      <c r="QX293" s="24" t="n">
        <v>8.63</v>
      </c>
      <c r="QY293" s="24" t="n">
        <v>2.94</v>
      </c>
      <c r="QZ293" s="24" t="n">
        <v>0</v>
      </c>
      <c r="RA293" s="24" t="n">
        <v>13.66</v>
      </c>
      <c r="RB293" s="24" t="n">
        <v>10.54</v>
      </c>
      <c r="RC293" s="24" t="n">
        <v>28.39</v>
      </c>
      <c r="RD293" s="24" t="n">
        <v>0</v>
      </c>
      <c r="RE293" s="24" t="n">
        <v>0</v>
      </c>
      <c r="RF293" s="24" t="n">
        <v>0</v>
      </c>
      <c r="RG293" s="24" t="n">
        <v>0</v>
      </c>
      <c r="RT293" s="24" t="n">
        <v>2.7</v>
      </c>
      <c r="RU293" s="24" t="n">
        <v>1</v>
      </c>
      <c r="RV293" s="24" t="n">
        <v>52</v>
      </c>
      <c r="RW293" s="24" t="n">
        <v>1</v>
      </c>
      <c r="RX293" s="24" t="n">
        <v>0.39</v>
      </c>
      <c r="RY293" s="24" t="n">
        <v>2</v>
      </c>
      <c r="RZ293" s="24" t="n">
        <v>35</v>
      </c>
      <c r="SA293" s="24" t="n">
        <v>4</v>
      </c>
      <c r="SB293" s="24" t="n">
        <v>0.26</v>
      </c>
      <c r="SC293" s="24" t="n">
        <v>3</v>
      </c>
      <c r="SF293" s="28"/>
      <c r="SX293" s="24" t="n">
        <v>0</v>
      </c>
      <c r="UI293" s="27" t="n">
        <v>2.83</v>
      </c>
      <c r="UJ293" s="27" t="n">
        <v>1</v>
      </c>
      <c r="UK293" s="27" t="n">
        <v>1</v>
      </c>
      <c r="UL293" s="27"/>
      <c r="UM293" s="27" t="n">
        <f aca="false">1.65*5</f>
        <v>8.25</v>
      </c>
      <c r="UN293" s="27"/>
      <c r="UO293" s="27"/>
      <c r="UP293" s="27"/>
      <c r="UQ293" s="27"/>
      <c r="UR293" s="27"/>
      <c r="US293" s="27"/>
      <c r="UT293" s="27" t="n">
        <v>0</v>
      </c>
      <c r="UU293" s="27" t="n">
        <v>0</v>
      </c>
      <c r="UV293" s="27"/>
      <c r="UW293" s="27"/>
      <c r="UX293" s="27" t="n">
        <v>0</v>
      </c>
      <c r="UY293" s="27" t="n">
        <v>0</v>
      </c>
      <c r="UZ293" s="27" t="n">
        <v>0</v>
      </c>
      <c r="VA293" s="24" t="n">
        <v>0</v>
      </c>
      <c r="VB293" s="24" t="s">
        <v>702</v>
      </c>
      <c r="VC293" s="24" t="n">
        <v>43.5</v>
      </c>
      <c r="VD293" s="27" t="n">
        <v>73.8</v>
      </c>
      <c r="VE293" s="27" t="n">
        <v>83.4</v>
      </c>
      <c r="VF293" s="27" t="n">
        <v>26.5</v>
      </c>
      <c r="VG293" s="24" t="n">
        <v>20.2</v>
      </c>
      <c r="VH293" s="24" t="n">
        <v>0</v>
      </c>
      <c r="VI293" s="24" t="n">
        <v>26.95</v>
      </c>
      <c r="VJ293" s="24" t="n">
        <v>0</v>
      </c>
      <c r="VK293" s="24" t="n">
        <v>0.39</v>
      </c>
      <c r="VL293" s="24" t="n">
        <v>0</v>
      </c>
      <c r="VM293" s="24" t="n">
        <v>79.41</v>
      </c>
      <c r="VN293" s="24" t="n">
        <v>26.95</v>
      </c>
      <c r="VO293" s="24" t="n">
        <v>0</v>
      </c>
      <c r="VP293" s="24" t="n">
        <v>0</v>
      </c>
      <c r="VQ293" s="24" t="n">
        <v>0</v>
      </c>
      <c r="VR293" s="24" t="n">
        <v>35.2</v>
      </c>
      <c r="VS293" s="24" t="n">
        <v>15.96</v>
      </c>
      <c r="VT293" s="24" t="n">
        <v>39.09</v>
      </c>
      <c r="VU293" s="24" t="n">
        <v>0.32</v>
      </c>
      <c r="VV293" s="24" t="n">
        <v>0</v>
      </c>
      <c r="VW293" s="24" t="n">
        <v>0</v>
      </c>
      <c r="VX293" s="24" t="n">
        <v>0</v>
      </c>
      <c r="WK293" s="24" t="n">
        <v>14.4</v>
      </c>
      <c r="WL293" s="24" t="n">
        <v>1</v>
      </c>
      <c r="WM293" s="24" t="n">
        <v>30</v>
      </c>
      <c r="WN293" s="24" t="n">
        <v>5</v>
      </c>
      <c r="WO293" s="24" t="n">
        <f aca="false">2.94+0.6</f>
        <v>3.54</v>
      </c>
      <c r="WP293" s="24" t="n">
        <v>3</v>
      </c>
      <c r="WQ293" s="24" t="n">
        <v>34</v>
      </c>
      <c r="WR293" s="24" t="n">
        <v>1</v>
      </c>
      <c r="WS293" s="24" t="n">
        <v>1.65</v>
      </c>
      <c r="WT293" s="24" t="n">
        <v>1</v>
      </c>
      <c r="WU293" s="24" t="n">
        <v>52</v>
      </c>
      <c r="WV293" s="24" t="n">
        <v>6</v>
      </c>
      <c r="WW293" s="28" t="n">
        <f aca="false">0.7+0.77+0.08+0.05</f>
        <v>1.6</v>
      </c>
      <c r="WX293" s="24" t="n">
        <v>2</v>
      </c>
      <c r="WY293" s="24" t="n">
        <v>35</v>
      </c>
      <c r="WZ293" s="24" t="n">
        <v>1</v>
      </c>
      <c r="XA293" s="24" t="n">
        <v>0.19</v>
      </c>
      <c r="XB293" s="24" t="n">
        <v>3</v>
      </c>
      <c r="XC293" s="24" t="n">
        <v>23</v>
      </c>
      <c r="XD293" s="24" t="n">
        <v>3</v>
      </c>
      <c r="XE293" s="24" t="n">
        <f aca="false">0.39+0.77</f>
        <v>1.16</v>
      </c>
      <c r="XF293" s="24" t="n">
        <v>3</v>
      </c>
      <c r="XO293" s="24" t="n">
        <v>0</v>
      </c>
      <c r="YZ293" s="27" t="n">
        <v>1.22</v>
      </c>
      <c r="ZA293" s="27" t="n">
        <v>1</v>
      </c>
      <c r="ZB293" s="27" t="n">
        <v>1</v>
      </c>
      <c r="ZC293" s="27"/>
      <c r="ZD293" s="27" t="n">
        <f aca="false">0.97*2+1.07*2</f>
        <v>4.08</v>
      </c>
      <c r="ZE293" s="27"/>
      <c r="ZF293" s="27"/>
      <c r="ZG293" s="27"/>
      <c r="ZH293" s="27"/>
      <c r="ZI293" s="27"/>
      <c r="ZJ293" s="27"/>
      <c r="ZK293" s="27" t="n">
        <v>0</v>
      </c>
      <c r="ZL293" s="27" t="n">
        <v>0</v>
      </c>
      <c r="ZM293" s="27"/>
      <c r="ZN293" s="27"/>
      <c r="ZO293" s="27" t="n">
        <v>0</v>
      </c>
      <c r="ZP293" s="27" t="n">
        <v>0</v>
      </c>
      <c r="ZQ293" s="27" t="n">
        <v>1.22</v>
      </c>
      <c r="ZR293" s="24" t="n">
        <v>0</v>
      </c>
      <c r="ZS293" s="24" t="s">
        <v>693</v>
      </c>
      <c r="ZT293" s="24" t="n">
        <v>33.5</v>
      </c>
      <c r="ZU293" s="27" t="n">
        <v>92.3</v>
      </c>
      <c r="ZV293" s="27" t="n">
        <v>83.4</v>
      </c>
      <c r="ZW293" s="27" t="n">
        <v>19.8</v>
      </c>
      <c r="ZX293" s="24" t="n">
        <v>72.02</v>
      </c>
      <c r="ZY293" s="24" t="n">
        <v>2.2</v>
      </c>
      <c r="ZZ293" s="24" t="n">
        <v>7.75</v>
      </c>
      <c r="AAA293" s="24" t="n">
        <v>0</v>
      </c>
      <c r="AAB293" s="24" t="n">
        <v>5.49</v>
      </c>
      <c r="AAC293" s="24" t="n">
        <v>0</v>
      </c>
      <c r="AAD293" s="24" t="n">
        <v>6.84</v>
      </c>
      <c r="AAE293" s="24" t="n">
        <v>0</v>
      </c>
      <c r="AAF293" s="24" t="n">
        <v>0</v>
      </c>
      <c r="AAG293" s="24" t="n">
        <v>0</v>
      </c>
      <c r="AAH293" s="24" t="n">
        <v>0</v>
      </c>
      <c r="AAI293" s="24" t="n">
        <v>7.13</v>
      </c>
      <c r="AAJ293" s="24" t="n">
        <v>54.84</v>
      </c>
      <c r="AAK293" s="24" t="n">
        <v>10.13</v>
      </c>
      <c r="AAL293" s="24" t="n">
        <v>3.36</v>
      </c>
      <c r="AAM293" s="24" t="n">
        <v>5.7</v>
      </c>
      <c r="AAN293" s="24" t="n">
        <v>0</v>
      </c>
      <c r="AAO293" s="24" t="n">
        <v>0</v>
      </c>
      <c r="AAX293" s="24" t="n">
        <v>2</v>
      </c>
      <c r="ABB293" s="24" t="n">
        <v>3.4</v>
      </c>
      <c r="ABC293" s="24" t="n">
        <v>1</v>
      </c>
      <c r="ABD293" s="24" t="n">
        <v>34</v>
      </c>
      <c r="ABE293" s="24" t="n">
        <v>1</v>
      </c>
      <c r="ABF293" s="24" t="n">
        <v>1.28</v>
      </c>
      <c r="ABG293" s="24" t="n">
        <v>1</v>
      </c>
      <c r="ABH293" s="24" t="n">
        <v>52</v>
      </c>
      <c r="ABI293" s="24" t="n">
        <v>1</v>
      </c>
      <c r="ABJ293" s="24" t="n">
        <v>0.73</v>
      </c>
      <c r="ABK293" s="24" t="n">
        <v>2</v>
      </c>
      <c r="ABL293" s="24" t="n">
        <v>30</v>
      </c>
      <c r="ABM293" s="24" t="n">
        <v>1</v>
      </c>
      <c r="ABN293" s="28" t="n">
        <v>0.13</v>
      </c>
      <c r="ABO293" s="24" t="n">
        <v>3</v>
      </c>
      <c r="ACF293" s="24" t="n">
        <v>1</v>
      </c>
      <c r="ACG293" s="24" t="n">
        <v>40</v>
      </c>
      <c r="ACH293" s="24" t="n">
        <v>1</v>
      </c>
      <c r="ACI293" s="24" t="n">
        <v>1.83</v>
      </c>
      <c r="ACJ293" s="24" t="n">
        <v>6</v>
      </c>
      <c r="ACK293" s="24" t="n">
        <v>40</v>
      </c>
      <c r="ACL293" s="24" t="n">
        <v>1</v>
      </c>
      <c r="ACM293" s="24" t="n">
        <v>1.65</v>
      </c>
      <c r="ACN293" s="24" t="n">
        <v>3</v>
      </c>
      <c r="ACO293" s="24" t="n">
        <v>40</v>
      </c>
      <c r="ACP293" s="24" t="n">
        <v>1</v>
      </c>
      <c r="ACQ293" s="24" t="n">
        <v>1.83</v>
      </c>
      <c r="ACR293" s="24" t="n">
        <v>4</v>
      </c>
      <c r="ACS293" s="24" t="n">
        <v>40</v>
      </c>
      <c r="ACT293" s="24" t="n">
        <v>4</v>
      </c>
      <c r="ACU293" s="24" t="n">
        <v>0.26</v>
      </c>
      <c r="ACV293" s="24" t="n">
        <v>1</v>
      </c>
      <c r="ADQ293" s="27" t="n">
        <v>3.89</v>
      </c>
      <c r="ADR293" s="27" t="n">
        <v>1</v>
      </c>
      <c r="ADS293" s="27" t="n">
        <v>1</v>
      </c>
      <c r="ADT293" s="27"/>
      <c r="ADU293" s="27" t="n">
        <f aca="false">0.36*2</f>
        <v>0.72</v>
      </c>
      <c r="ADV293" s="27" t="n">
        <v>2</v>
      </c>
      <c r="ADW293" s="27"/>
      <c r="ADX293" s="27" t="n">
        <f aca="false">2.04*2</f>
        <v>4.08</v>
      </c>
      <c r="ADY293" s="27"/>
      <c r="ADZ293" s="27"/>
      <c r="AEA293" s="27"/>
      <c r="AEB293" s="27" t="n">
        <v>3.27</v>
      </c>
      <c r="AEC293" s="27" t="n">
        <v>2.46</v>
      </c>
      <c r="AED293" s="27"/>
      <c r="AEE293" s="27"/>
      <c r="AEF293" s="27" t="n">
        <v>2.88</v>
      </c>
      <c r="AEG293" s="27" t="n">
        <v>4.14</v>
      </c>
      <c r="AEH293" s="27" t="n">
        <v>0</v>
      </c>
      <c r="AEI293" s="24" t="n">
        <v>0</v>
      </c>
      <c r="AEJ293" s="24" t="s">
        <v>699</v>
      </c>
      <c r="AEK293" s="24" t="n">
        <v>44.5</v>
      </c>
      <c r="AEL293" s="27" t="n">
        <v>101.7</v>
      </c>
      <c r="AEM293" s="27" t="n">
        <v>83.4</v>
      </c>
      <c r="AEN293" s="27" t="n">
        <v>22.5</v>
      </c>
      <c r="AEO293" s="24" t="n">
        <v>75.78</v>
      </c>
      <c r="AEP293" s="24" t="n">
        <v>0</v>
      </c>
      <c r="AEQ293" s="24" t="n">
        <v>2.04</v>
      </c>
      <c r="AER293" s="24" t="n">
        <v>0</v>
      </c>
      <c r="AES293" s="24" t="n">
        <v>8.57</v>
      </c>
      <c r="AET293" s="24" t="n">
        <v>0</v>
      </c>
      <c r="AEU293" s="24" t="n">
        <v>2.21</v>
      </c>
      <c r="AEV293" s="24" t="n">
        <v>0</v>
      </c>
      <c r="AEW293" s="24" t="n">
        <v>1.1</v>
      </c>
      <c r="AEX293" s="24" t="n">
        <v>0</v>
      </c>
      <c r="AEY293" s="24" t="n">
        <v>0</v>
      </c>
      <c r="AEZ293" s="24" t="n">
        <v>1.61</v>
      </c>
      <c r="AFA293" s="24" t="n">
        <v>54.76</v>
      </c>
      <c r="AFB293" s="24" t="n">
        <v>16</v>
      </c>
      <c r="AFC293" s="24" t="n">
        <v>6.05</v>
      </c>
      <c r="AFD293" s="24" t="n">
        <v>10.83</v>
      </c>
      <c r="AFE293" s="24" t="n">
        <v>10.1</v>
      </c>
      <c r="AFF293" s="24" t="n">
        <v>1</v>
      </c>
      <c r="AFG293" s="24" t="n">
        <v>2</v>
      </c>
      <c r="AFI293" s="24" t="n">
        <v>3</v>
      </c>
      <c r="AFJ293" s="24" t="n">
        <v>5</v>
      </c>
      <c r="AFL293" s="24" t="n">
        <v>1</v>
      </c>
      <c r="AFM293" s="24" t="n">
        <v>3</v>
      </c>
      <c r="AFO293" s="24" t="n">
        <v>1</v>
      </c>
      <c r="AFS293" s="24" t="n">
        <v>3</v>
      </c>
      <c r="AFT293" s="24" t="n">
        <v>1</v>
      </c>
      <c r="AFU293" s="24" t="n">
        <v>52</v>
      </c>
      <c r="AFV293" s="24" t="n">
        <v>1</v>
      </c>
      <c r="AFW293" s="24" t="n">
        <v>0.73</v>
      </c>
      <c r="AFX293" s="24" t="n">
        <v>2</v>
      </c>
      <c r="AFY293" s="24" t="n">
        <v>34</v>
      </c>
      <c r="AFZ293" s="24" t="n">
        <v>1</v>
      </c>
      <c r="AGA293" s="24" t="n">
        <v>1.28</v>
      </c>
      <c r="AGB293" s="24" t="n">
        <v>1</v>
      </c>
      <c r="AGE293" s="28"/>
      <c r="AGW293" s="24" t="n">
        <v>1</v>
      </c>
      <c r="AGX293" s="24" t="n">
        <v>40</v>
      </c>
      <c r="AGY293" s="24" t="n">
        <v>1</v>
      </c>
      <c r="AGZ293" s="24" t="n">
        <v>1.83</v>
      </c>
      <c r="AHA293" s="24" t="n">
        <v>6</v>
      </c>
      <c r="AHB293" s="24" t="n">
        <v>40</v>
      </c>
      <c r="AHC293" s="24" t="n">
        <v>1</v>
      </c>
      <c r="AHD293" s="24" t="n">
        <v>1.65</v>
      </c>
      <c r="AHE293" s="24" t="n">
        <v>3</v>
      </c>
      <c r="AHF293" s="24" t="n">
        <v>40</v>
      </c>
      <c r="AHG293" s="24" t="n">
        <v>3</v>
      </c>
      <c r="AHH293" s="24" t="n">
        <f aca="false">0.26+1.83</f>
        <v>2.09</v>
      </c>
      <c r="AHI293" s="24" t="n">
        <v>4</v>
      </c>
      <c r="AIH293" s="27" t="n">
        <v>3.87</v>
      </c>
      <c r="AII293" s="27" t="n">
        <v>1</v>
      </c>
      <c r="AIJ293" s="27" t="n">
        <v>1</v>
      </c>
      <c r="AIK293" s="27"/>
      <c r="AIL293" s="27" t="n">
        <f aca="false">0.46*2+0.08</f>
        <v>1</v>
      </c>
      <c r="AIM293" s="27" t="n">
        <v>2</v>
      </c>
      <c r="AIN293" s="27"/>
      <c r="AIO293" s="27" t="n">
        <f aca="false">4.08</f>
        <v>4.08</v>
      </c>
      <c r="AIP293" s="27"/>
      <c r="AIQ293" s="27"/>
      <c r="AIR293" s="27"/>
      <c r="AIS293" s="27" t="n">
        <v>2.2</v>
      </c>
      <c r="AIT293" s="27" t="n">
        <v>2.2</v>
      </c>
      <c r="AIU293" s="27"/>
      <c r="AIV293" s="27"/>
      <c r="AIW293" s="27" t="n">
        <v>2.88</v>
      </c>
      <c r="AIX293" s="27" t="n">
        <v>3.04</v>
      </c>
      <c r="AIY293" s="27" t="n">
        <v>0</v>
      </c>
      <c r="AIZ293" s="24" t="n">
        <v>0</v>
      </c>
      <c r="AJA293" s="24" t="s">
        <v>694</v>
      </c>
      <c r="AJB293" s="24" t="n">
        <v>40</v>
      </c>
      <c r="AJC293" s="27" t="n">
        <v>78.1</v>
      </c>
      <c r="AJD293" s="27" t="n">
        <v>83.4</v>
      </c>
      <c r="AJE293" s="27" t="n">
        <v>34.6</v>
      </c>
      <c r="AJF293" s="24" t="n">
        <v>66.6</v>
      </c>
      <c r="AJG293" s="24" t="n">
        <v>0</v>
      </c>
      <c r="AJH293" s="24" t="n">
        <v>18.54</v>
      </c>
      <c r="AJI293" s="24" t="n">
        <v>7.52</v>
      </c>
      <c r="AJJ293" s="24" t="n">
        <v>0</v>
      </c>
      <c r="AJK293" s="24" t="n">
        <v>0</v>
      </c>
      <c r="AJL293" s="24" t="n">
        <v>0</v>
      </c>
      <c r="AJM293" s="24" t="n">
        <v>0</v>
      </c>
      <c r="AJN293" s="24" t="n">
        <v>0</v>
      </c>
      <c r="AJO293" s="24" t="n">
        <v>0</v>
      </c>
      <c r="AJP293" s="24" t="n">
        <v>0</v>
      </c>
      <c r="AJQ293" s="24" t="n">
        <v>0</v>
      </c>
      <c r="AJR293" s="24" t="n">
        <v>28.45</v>
      </c>
      <c r="AJS293" s="24" t="n">
        <v>20.45</v>
      </c>
      <c r="AJT293" s="24" t="n">
        <v>0.01</v>
      </c>
      <c r="AJU293" s="24" t="n">
        <v>7.34</v>
      </c>
      <c r="AJV293" s="24" t="n">
        <v>0</v>
      </c>
      <c r="AJW293" s="24" t="n">
        <v>0</v>
      </c>
      <c r="AKJ293" s="24" t="n">
        <v>0</v>
      </c>
      <c r="AKK293" s="24" t="n">
        <v>0</v>
      </c>
      <c r="AKV293" s="28"/>
      <c r="ALN293" s="24" t="n">
        <v>1</v>
      </c>
      <c r="ALO293" s="24" t="n">
        <v>40</v>
      </c>
      <c r="ALP293" s="24" t="n">
        <v>1</v>
      </c>
      <c r="ALQ293" s="24" t="n">
        <v>0.73</v>
      </c>
      <c r="ALR293" s="24" t="n">
        <v>3</v>
      </c>
    </row>
    <row r="294" customFormat="false" ht="13.8" hidden="false" customHeight="false" outlineLevel="0" collapsed="false">
      <c r="A294" s="22" t="s">
        <v>862</v>
      </c>
      <c r="B294" s="23" t="n">
        <v>42909</v>
      </c>
      <c r="C294" s="24" t="n">
        <v>1</v>
      </c>
      <c r="D294" s="25" t="n">
        <v>42804</v>
      </c>
      <c r="E294" s="23" t="n">
        <v>32718</v>
      </c>
      <c r="F294" s="14" t="n">
        <f aca="false">(B294-E294)/365.25</f>
        <v>27.9014373716632</v>
      </c>
      <c r="G294" s="14" t="n">
        <f aca="false">(B294-D294)/365.25</f>
        <v>0.287474332648871</v>
      </c>
      <c r="H294" s="26" t="s">
        <v>306</v>
      </c>
      <c r="I294" s="21" t="s">
        <v>689</v>
      </c>
      <c r="J294" s="21" t="s">
        <v>183</v>
      </c>
      <c r="K294" s="21" t="n">
        <v>8</v>
      </c>
      <c r="L294" s="26" t="n">
        <v>67</v>
      </c>
      <c r="M294" s="24" t="n">
        <v>1.74</v>
      </c>
      <c r="N294" s="27" t="n">
        <f aca="false">L294/(M294*M294)</f>
        <v>22.1297397278372</v>
      </c>
      <c r="O294" s="26" t="n">
        <v>0</v>
      </c>
      <c r="P294" s="26" t="n">
        <v>0</v>
      </c>
      <c r="Q294" s="26" t="n">
        <v>0</v>
      </c>
      <c r="R294" s="26" t="n">
        <v>0</v>
      </c>
      <c r="S294" s="26" t="n">
        <v>0</v>
      </c>
      <c r="T294" s="26" t="n">
        <v>0</v>
      </c>
      <c r="U294" s="26" t="n">
        <v>1</v>
      </c>
      <c r="V294" s="26" t="n">
        <v>10</v>
      </c>
      <c r="W294" s="26" t="n">
        <v>0</v>
      </c>
      <c r="X294" s="26" t="n">
        <v>0</v>
      </c>
      <c r="Y294" s="26" t="n">
        <v>1</v>
      </c>
      <c r="Z294" s="26" t="n">
        <v>1</v>
      </c>
      <c r="AA294" s="26" t="n">
        <v>45</v>
      </c>
      <c r="AB294" s="26" t="s">
        <v>863</v>
      </c>
      <c r="AC294" s="26" t="n">
        <v>1</v>
      </c>
      <c r="AD294" s="26" t="n">
        <v>5</v>
      </c>
      <c r="AE294" s="26" t="n">
        <v>0</v>
      </c>
      <c r="AF294" s="26" t="n">
        <v>0</v>
      </c>
      <c r="AG294" s="26" t="n">
        <v>0</v>
      </c>
      <c r="AH294" s="26" t="n">
        <v>0</v>
      </c>
      <c r="AI294" s="26" t="n">
        <v>0</v>
      </c>
      <c r="AJ294" s="26" t="n">
        <v>0</v>
      </c>
      <c r="AK294" s="26" t="n">
        <v>0</v>
      </c>
      <c r="AL294" s="26" t="n">
        <v>0</v>
      </c>
      <c r="AM294" s="19" t="n">
        <v>0</v>
      </c>
      <c r="AN294" s="26" t="n">
        <v>0</v>
      </c>
      <c r="AO294" s="26" t="n">
        <v>0</v>
      </c>
      <c r="AP294" s="26" t="n">
        <v>0</v>
      </c>
      <c r="AQ294" s="26" t="n">
        <v>0</v>
      </c>
      <c r="AR294" s="26" t="n">
        <v>0</v>
      </c>
      <c r="AS294" s="26" t="n">
        <v>0</v>
      </c>
      <c r="AT294" s="26" t="n">
        <v>0</v>
      </c>
      <c r="AU294" s="26" t="n">
        <v>0</v>
      </c>
      <c r="AV294" s="26" t="n">
        <v>0</v>
      </c>
      <c r="AW294" s="26" t="n">
        <v>0</v>
      </c>
      <c r="AX294" s="26" t="n">
        <v>0</v>
      </c>
      <c r="AY294" s="26" t="n">
        <v>0</v>
      </c>
      <c r="AZ294" s="26" t="n">
        <v>0</v>
      </c>
      <c r="BA294" s="26" t="n">
        <v>0</v>
      </c>
      <c r="BB294" s="26" t="n">
        <v>0</v>
      </c>
      <c r="BC294" s="26" t="n">
        <v>0</v>
      </c>
      <c r="BD294" s="26" t="n">
        <v>0</v>
      </c>
      <c r="BE294" s="26" t="n">
        <v>0</v>
      </c>
      <c r="BF294" s="26" t="n">
        <v>0</v>
      </c>
      <c r="BG294" s="26" t="n">
        <v>0</v>
      </c>
      <c r="BH294" s="26" t="n">
        <v>0</v>
      </c>
      <c r="BI294" s="26" t="n">
        <v>0</v>
      </c>
      <c r="BJ294" s="26" t="n">
        <v>0</v>
      </c>
      <c r="BK294" s="26" t="n">
        <v>0</v>
      </c>
      <c r="BL294" s="26" t="n">
        <v>0</v>
      </c>
      <c r="BM294" s="26" t="n">
        <v>0</v>
      </c>
      <c r="BN294" s="26" t="n">
        <v>0</v>
      </c>
      <c r="BO294" s="26" t="n">
        <v>0</v>
      </c>
      <c r="BP294" s="26" t="n">
        <v>0</v>
      </c>
      <c r="BQ294" s="26" t="n">
        <v>0</v>
      </c>
      <c r="BR294" s="26" t="n">
        <v>1</v>
      </c>
      <c r="BS294" s="26" t="n">
        <v>2</v>
      </c>
      <c r="BT294" s="26"/>
      <c r="BU294" s="26" t="n">
        <v>5</v>
      </c>
      <c r="BV294" s="26" t="n">
        <v>2</v>
      </c>
      <c r="BW294" s="26" t="n">
        <v>1</v>
      </c>
      <c r="BX294" s="26" t="n">
        <v>1</v>
      </c>
      <c r="BY294" s="26" t="n">
        <v>5</v>
      </c>
      <c r="BZ294" s="26" t="n">
        <v>5</v>
      </c>
      <c r="CA294" s="26" t="n">
        <v>4</v>
      </c>
      <c r="CB294" s="26"/>
      <c r="CC294" s="26" t="n">
        <v>5</v>
      </c>
      <c r="CD294" s="26" t="n">
        <v>4</v>
      </c>
      <c r="CE294" s="26" t="n">
        <v>4</v>
      </c>
      <c r="CF294" s="26" t="n">
        <v>5</v>
      </c>
      <c r="CG294" s="26" t="n">
        <v>3</v>
      </c>
      <c r="CH294" s="26" t="n">
        <v>4</v>
      </c>
      <c r="CI294" s="26" t="n">
        <v>4</v>
      </c>
      <c r="CJ294" s="26" t="n">
        <v>5</v>
      </c>
      <c r="CK294" s="26" t="n">
        <v>9</v>
      </c>
      <c r="CL294" s="24" t="s">
        <v>690</v>
      </c>
      <c r="CM294" s="24" t="n">
        <v>38</v>
      </c>
      <c r="CN294" s="27" t="n">
        <v>85.5</v>
      </c>
      <c r="CO294" s="27" t="n">
        <v>83.4</v>
      </c>
      <c r="CP294" s="27" t="n">
        <v>28.7</v>
      </c>
      <c r="CQ294" s="24" t="n">
        <v>61.84</v>
      </c>
      <c r="CR294" s="24" t="n">
        <v>0</v>
      </c>
      <c r="CS294" s="24" t="n">
        <v>0</v>
      </c>
      <c r="CT294" s="24" t="n">
        <v>0</v>
      </c>
      <c r="CU294" s="24" t="n">
        <v>37.42</v>
      </c>
      <c r="CV294" s="24" t="n">
        <v>0</v>
      </c>
      <c r="CW294" s="24" t="n">
        <v>0.73</v>
      </c>
      <c r="CX294" s="24" t="n">
        <v>0</v>
      </c>
      <c r="CY294" s="24" t="n">
        <v>0</v>
      </c>
      <c r="CZ294" s="24" t="n">
        <v>0.74</v>
      </c>
      <c r="DA294" s="24" t="n">
        <v>0</v>
      </c>
      <c r="DB294" s="24" t="n">
        <v>7.34</v>
      </c>
      <c r="DC294" s="24" t="n">
        <v>25.37</v>
      </c>
      <c r="DD294" s="24" t="n">
        <v>15.03</v>
      </c>
      <c r="DE294" s="24" t="n">
        <v>30.09</v>
      </c>
      <c r="DF294" s="24" t="n">
        <v>0</v>
      </c>
      <c r="DG294" s="24" t="n">
        <v>0</v>
      </c>
      <c r="DH294" s="24" t="n">
        <v>0</v>
      </c>
      <c r="DU294" s="24" t="n">
        <v>1.7</v>
      </c>
      <c r="DV294" s="24" t="n">
        <v>0</v>
      </c>
      <c r="EG294" s="28"/>
      <c r="EY294" s="24" t="n">
        <v>1</v>
      </c>
      <c r="EZ294" s="24" t="n">
        <v>50</v>
      </c>
      <c r="FA294" s="24" t="n">
        <v>4</v>
      </c>
      <c r="FB294" s="24" t="n">
        <v>0.46</v>
      </c>
      <c r="FC294" s="24" t="n">
        <v>6</v>
      </c>
      <c r="FD294" s="24" t="n">
        <v>40</v>
      </c>
      <c r="FE294" s="24" t="n">
        <v>10</v>
      </c>
      <c r="FF294" s="24" t="n">
        <f aca="false">0.17*2+0.06+0.07</f>
        <v>0.47</v>
      </c>
      <c r="FG294" s="24" t="n">
        <v>1</v>
      </c>
      <c r="FH294" s="24" t="n">
        <v>40</v>
      </c>
      <c r="FI294" s="24" t="n">
        <v>10</v>
      </c>
      <c r="FJ294" s="24" t="n">
        <f aca="false">0.17*2+0.07*2+0.03</f>
        <v>0.51</v>
      </c>
      <c r="FK294" s="24" t="n">
        <v>6</v>
      </c>
      <c r="FL294" s="24" t="n">
        <v>60</v>
      </c>
      <c r="FM294" s="24" t="n">
        <v>6</v>
      </c>
      <c r="FN294" s="24" t="n">
        <f aca="false">4.4*2+0.39*2+0.26</f>
        <v>9.84</v>
      </c>
      <c r="FO294" s="24" t="n">
        <v>3</v>
      </c>
      <c r="GJ294" s="27" t="n">
        <v>1.55</v>
      </c>
      <c r="GK294" s="27" t="n">
        <v>1</v>
      </c>
      <c r="GL294" s="27" t="n">
        <v>1</v>
      </c>
      <c r="GM294" s="27"/>
      <c r="GN294" s="27" t="n">
        <f aca="false">1.65*2</f>
        <v>3.3</v>
      </c>
      <c r="GO294" s="27" t="n">
        <v>2</v>
      </c>
      <c r="GP294" s="27"/>
      <c r="GQ294" s="27" t="n">
        <v>0.54</v>
      </c>
      <c r="GR294" s="27"/>
      <c r="GS294" s="27"/>
      <c r="GT294" s="27"/>
      <c r="GU294" s="27" t="n">
        <v>5.74</v>
      </c>
      <c r="GV294" s="27" t="n">
        <v>3.64</v>
      </c>
      <c r="GW294" s="27"/>
      <c r="GX294" s="27"/>
      <c r="GY294" s="27" t="n">
        <v>0</v>
      </c>
      <c r="GZ294" s="27" t="n">
        <v>0</v>
      </c>
      <c r="HA294" s="27" t="n">
        <v>0</v>
      </c>
      <c r="HB294" s="24" t="n">
        <v>0</v>
      </c>
      <c r="HC294" s="24" t="s">
        <v>697</v>
      </c>
      <c r="HD294" s="24" t="n">
        <v>42.5</v>
      </c>
      <c r="HE294" s="27" t="n">
        <v>92.2</v>
      </c>
      <c r="HF294" s="27" t="n">
        <v>83.4</v>
      </c>
      <c r="HG294" s="27" t="n">
        <v>33.5</v>
      </c>
      <c r="HH294" s="24" t="n">
        <v>25.89</v>
      </c>
      <c r="HI294" s="24" t="n">
        <v>0</v>
      </c>
      <c r="HJ294" s="24" t="n">
        <v>0</v>
      </c>
      <c r="HK294" s="24" t="n">
        <v>0</v>
      </c>
      <c r="HL294" s="24" t="n">
        <v>0</v>
      </c>
      <c r="HM294" s="24" t="n">
        <v>0</v>
      </c>
      <c r="HN294" s="24" t="n">
        <v>74.11</v>
      </c>
      <c r="HO294" s="24" t="n">
        <v>25.43</v>
      </c>
      <c r="HP294" s="24" t="n">
        <v>9.72</v>
      </c>
      <c r="HQ294" s="24" t="n">
        <v>2.94</v>
      </c>
      <c r="HR294" s="24" t="n">
        <v>0</v>
      </c>
      <c r="HS294" s="24" t="n">
        <v>11.38</v>
      </c>
      <c r="HT294" s="24" t="n">
        <v>16.89</v>
      </c>
      <c r="HU294" s="24" t="n">
        <v>27.26</v>
      </c>
      <c r="HV294" s="24" t="n">
        <v>0</v>
      </c>
      <c r="HW294" s="24" t="n">
        <v>0</v>
      </c>
      <c r="HX294" s="24" t="n">
        <v>0</v>
      </c>
      <c r="HY294" s="24" t="n">
        <v>0</v>
      </c>
      <c r="IL294" s="24" t="n">
        <v>3.6</v>
      </c>
      <c r="IM294" s="24" t="n">
        <v>1</v>
      </c>
      <c r="IN294" s="24" t="n">
        <v>35</v>
      </c>
      <c r="IO294" s="24" t="n">
        <v>6</v>
      </c>
      <c r="IP294" s="24" t="n">
        <f aca="false">0.13*4</f>
        <v>0.52</v>
      </c>
      <c r="IQ294" s="24" t="n">
        <v>3</v>
      </c>
      <c r="IR294" s="24" t="n">
        <v>25</v>
      </c>
      <c r="IS294" s="24" t="n">
        <v>2</v>
      </c>
      <c r="IT294" s="24" t="n">
        <f aca="false">0.13*2</f>
        <v>0.26</v>
      </c>
      <c r="IU294" s="24" t="n">
        <v>4</v>
      </c>
      <c r="IX294" s="28"/>
      <c r="JP294" s="24" t="n">
        <v>0</v>
      </c>
      <c r="LA294" s="27" t="n">
        <v>3.01</v>
      </c>
      <c r="LB294" s="27" t="n">
        <v>1</v>
      </c>
      <c r="LC294" s="27" t="n">
        <v>1</v>
      </c>
      <c r="LD294" s="27"/>
      <c r="LE294" s="27" t="n">
        <f aca="false">1.65*5+0.13*2+0.36+0.18</f>
        <v>9.05</v>
      </c>
      <c r="LF294" s="27"/>
      <c r="LG294" s="27"/>
      <c r="LH294" s="27"/>
      <c r="LI294" s="27"/>
      <c r="LJ294" s="27"/>
      <c r="LK294" s="27"/>
      <c r="LL294" s="27" t="n">
        <v>2.16</v>
      </c>
      <c r="LM294" s="27" t="n">
        <v>0.52</v>
      </c>
      <c r="LN294" s="27"/>
      <c r="LO294" s="27"/>
      <c r="LP294" s="27" t="n">
        <v>0</v>
      </c>
      <c r="LQ294" s="27" t="n">
        <v>0</v>
      </c>
      <c r="LR294" s="27" t="n">
        <v>0</v>
      </c>
      <c r="LS294" s="24" t="n">
        <v>0</v>
      </c>
      <c r="LT294" s="24" t="s">
        <v>698</v>
      </c>
      <c r="LU294" s="24" t="n">
        <v>37</v>
      </c>
      <c r="LV294" s="27" t="n">
        <v>86.3</v>
      </c>
      <c r="LW294" s="27" t="n">
        <v>83.4</v>
      </c>
      <c r="LX294" s="27" t="n">
        <v>31.3</v>
      </c>
      <c r="LY294" s="24" t="n">
        <v>24.09</v>
      </c>
      <c r="LZ294" s="24" t="n">
        <v>0</v>
      </c>
      <c r="MA294" s="24" t="n">
        <v>0</v>
      </c>
      <c r="MB294" s="24" t="n">
        <v>0</v>
      </c>
      <c r="MC294" s="24" t="n">
        <v>0</v>
      </c>
      <c r="MD294" s="24" t="n">
        <v>0</v>
      </c>
      <c r="ME294" s="24" t="n">
        <v>75.91</v>
      </c>
      <c r="MF294" s="24" t="n">
        <v>21.83</v>
      </c>
      <c r="MG294" s="24" t="n">
        <v>8.63</v>
      </c>
      <c r="MH294" s="24" t="n">
        <v>2.94</v>
      </c>
      <c r="MI294" s="24" t="n">
        <v>0</v>
      </c>
      <c r="MJ294" s="24" t="n">
        <v>13.66</v>
      </c>
      <c r="MK294" s="24" t="n">
        <v>10.54</v>
      </c>
      <c r="ML294" s="24" t="n">
        <v>28.39</v>
      </c>
      <c r="MM294" s="24" t="n">
        <v>0</v>
      </c>
      <c r="MN294" s="24" t="n">
        <v>0</v>
      </c>
      <c r="MO294" s="24" t="n">
        <v>0</v>
      </c>
      <c r="MP294" s="24" t="n">
        <v>0</v>
      </c>
      <c r="NC294" s="24" t="n">
        <v>2.7</v>
      </c>
      <c r="ND294" s="24" t="n">
        <v>1</v>
      </c>
      <c r="NE294" s="24" t="n">
        <v>52</v>
      </c>
      <c r="NF294" s="24" t="n">
        <v>1</v>
      </c>
      <c r="NG294" s="24" t="n">
        <v>0.39</v>
      </c>
      <c r="NH294" s="24" t="n">
        <v>2</v>
      </c>
      <c r="NI294" s="24" t="n">
        <v>35</v>
      </c>
      <c r="NJ294" s="24" t="n">
        <v>4</v>
      </c>
      <c r="NK294" s="24" t="n">
        <v>0.26</v>
      </c>
      <c r="NL294" s="24" t="n">
        <v>3</v>
      </c>
      <c r="NO294" s="28"/>
      <c r="OG294" s="24" t="n">
        <v>0</v>
      </c>
      <c r="PR294" s="27" t="n">
        <v>2.83</v>
      </c>
      <c r="PS294" s="27" t="n">
        <v>1</v>
      </c>
      <c r="PT294" s="27" t="n">
        <v>1</v>
      </c>
      <c r="PU294" s="27"/>
      <c r="PV294" s="27" t="n">
        <f aca="false">1.65*5</f>
        <v>8.25</v>
      </c>
      <c r="PW294" s="27"/>
      <c r="PX294" s="27"/>
      <c r="PY294" s="27"/>
      <c r="PZ294" s="27"/>
      <c r="QA294" s="27"/>
      <c r="QB294" s="27"/>
      <c r="QC294" s="27" t="n">
        <v>0</v>
      </c>
      <c r="QD294" s="27" t="n">
        <v>0</v>
      </c>
      <c r="QE294" s="27"/>
      <c r="QF294" s="27"/>
      <c r="QG294" s="27" t="n">
        <v>0</v>
      </c>
      <c r="QH294" s="27" t="n">
        <v>0</v>
      </c>
      <c r="QI294" s="27" t="n">
        <v>0</v>
      </c>
      <c r="QJ294" s="24" t="n">
        <v>0</v>
      </c>
      <c r="QK294" s="24" t="s">
        <v>702</v>
      </c>
      <c r="QL294" s="24" t="n">
        <v>43.5</v>
      </c>
      <c r="QM294" s="27" t="n">
        <v>73.8</v>
      </c>
      <c r="QN294" s="27" t="n">
        <v>83.4</v>
      </c>
      <c r="QO294" s="27" t="n">
        <v>26.5</v>
      </c>
      <c r="QP294" s="24" t="n">
        <v>20.2</v>
      </c>
      <c r="QQ294" s="24" t="n">
        <v>0</v>
      </c>
      <c r="QR294" s="24" t="n">
        <v>26.95</v>
      </c>
      <c r="QS294" s="24" t="n">
        <v>0</v>
      </c>
      <c r="QT294" s="24" t="n">
        <v>0.39</v>
      </c>
      <c r="QU294" s="24" t="n">
        <v>0</v>
      </c>
      <c r="QV294" s="24" t="n">
        <v>79.41</v>
      </c>
      <c r="QW294" s="24" t="n">
        <v>26.95</v>
      </c>
      <c r="QX294" s="24" t="n">
        <v>0</v>
      </c>
      <c r="QY294" s="24" t="n">
        <v>0</v>
      </c>
      <c r="QZ294" s="24" t="n">
        <v>0</v>
      </c>
      <c r="RA294" s="24" t="n">
        <v>35.2</v>
      </c>
      <c r="RB294" s="24" t="n">
        <v>15.96</v>
      </c>
      <c r="RC294" s="24" t="n">
        <v>39.09</v>
      </c>
      <c r="RD294" s="24" t="n">
        <v>0.32</v>
      </c>
      <c r="RE294" s="24" t="n">
        <v>0</v>
      </c>
      <c r="RF294" s="24" t="n">
        <v>0</v>
      </c>
      <c r="RG294" s="24" t="n">
        <v>0</v>
      </c>
      <c r="RT294" s="24" t="n">
        <v>14.4</v>
      </c>
      <c r="RU294" s="24" t="n">
        <v>1</v>
      </c>
      <c r="RV294" s="24" t="n">
        <v>30</v>
      </c>
      <c r="RW294" s="24" t="n">
        <v>5</v>
      </c>
      <c r="RX294" s="24" t="n">
        <f aca="false">2.94+0.6</f>
        <v>3.54</v>
      </c>
      <c r="RY294" s="24" t="n">
        <v>3</v>
      </c>
      <c r="RZ294" s="24" t="n">
        <v>34</v>
      </c>
      <c r="SA294" s="24" t="n">
        <v>1</v>
      </c>
      <c r="SB294" s="24" t="n">
        <v>1.65</v>
      </c>
      <c r="SC294" s="24" t="n">
        <v>1</v>
      </c>
      <c r="SD294" s="24" t="n">
        <v>52</v>
      </c>
      <c r="SE294" s="24" t="n">
        <v>6</v>
      </c>
      <c r="SF294" s="28" t="n">
        <f aca="false">0.7+0.77+0.08+0.05</f>
        <v>1.6</v>
      </c>
      <c r="SG294" s="24" t="n">
        <v>2</v>
      </c>
      <c r="SH294" s="24" t="n">
        <v>35</v>
      </c>
      <c r="SI294" s="24" t="n">
        <v>1</v>
      </c>
      <c r="SJ294" s="24" t="n">
        <v>0.19</v>
      </c>
      <c r="SK294" s="24" t="n">
        <v>3</v>
      </c>
      <c r="SL294" s="24" t="n">
        <v>23</v>
      </c>
      <c r="SM294" s="24" t="n">
        <v>3</v>
      </c>
      <c r="SN294" s="24" t="n">
        <f aca="false">0.39+0.77</f>
        <v>1.16</v>
      </c>
      <c r="SO294" s="24" t="n">
        <v>3</v>
      </c>
      <c r="SX294" s="24" t="n">
        <v>0</v>
      </c>
      <c r="UI294" s="27" t="n">
        <v>1.22</v>
      </c>
      <c r="UJ294" s="27" t="n">
        <v>1</v>
      </c>
      <c r="UK294" s="27" t="n">
        <v>1</v>
      </c>
      <c r="UL294" s="27"/>
      <c r="UM294" s="27" t="n">
        <f aca="false">0.97*2+1.07*2</f>
        <v>4.08</v>
      </c>
      <c r="UN294" s="27"/>
      <c r="UO294" s="27"/>
      <c r="UP294" s="27"/>
      <c r="UQ294" s="27"/>
      <c r="UR294" s="27"/>
      <c r="US294" s="27"/>
      <c r="UT294" s="27" t="n">
        <v>0</v>
      </c>
      <c r="UU294" s="27" t="n">
        <v>0</v>
      </c>
      <c r="UV294" s="27"/>
      <c r="UW294" s="27"/>
      <c r="UX294" s="27" t="n">
        <v>0</v>
      </c>
      <c r="UY294" s="27" t="n">
        <v>0</v>
      </c>
      <c r="UZ294" s="27" t="n">
        <v>1.22</v>
      </c>
      <c r="VA294" s="24" t="n">
        <v>0</v>
      </c>
      <c r="VB294" s="24" t="s">
        <v>693</v>
      </c>
      <c r="VC294" s="24" t="n">
        <v>33.5</v>
      </c>
      <c r="VD294" s="27" t="n">
        <v>92.3</v>
      </c>
      <c r="VE294" s="27" t="n">
        <v>83.4</v>
      </c>
      <c r="VF294" s="27" t="n">
        <v>19.8</v>
      </c>
      <c r="VG294" s="24" t="n">
        <v>72.02</v>
      </c>
      <c r="VH294" s="24" t="n">
        <v>2.2</v>
      </c>
      <c r="VI294" s="24" t="n">
        <v>7.75</v>
      </c>
      <c r="VJ294" s="24" t="n">
        <v>0</v>
      </c>
      <c r="VK294" s="24" t="n">
        <v>5.49</v>
      </c>
      <c r="VL294" s="24" t="n">
        <v>0</v>
      </c>
      <c r="VM294" s="24" t="n">
        <v>6.84</v>
      </c>
      <c r="VN294" s="24" t="n">
        <v>0</v>
      </c>
      <c r="VO294" s="24" t="n">
        <v>0</v>
      </c>
      <c r="VP294" s="24" t="n">
        <v>0</v>
      </c>
      <c r="VQ294" s="24" t="n">
        <v>0</v>
      </c>
      <c r="VR294" s="24" t="n">
        <v>7.13</v>
      </c>
      <c r="VS294" s="24" t="n">
        <v>54.84</v>
      </c>
      <c r="VT294" s="24" t="n">
        <v>10.13</v>
      </c>
      <c r="VU294" s="24" t="n">
        <v>3.36</v>
      </c>
      <c r="VV294" s="24" t="n">
        <v>5.7</v>
      </c>
      <c r="VW294" s="24" t="n">
        <v>0</v>
      </c>
      <c r="VX294" s="24" t="n">
        <v>0</v>
      </c>
      <c r="WG294" s="24" t="n">
        <v>2</v>
      </c>
      <c r="WK294" s="24" t="n">
        <v>3.4</v>
      </c>
      <c r="WL294" s="24" t="n">
        <v>1</v>
      </c>
      <c r="WM294" s="24" t="n">
        <v>34</v>
      </c>
      <c r="WN294" s="24" t="n">
        <v>1</v>
      </c>
      <c r="WO294" s="24" t="n">
        <v>1.28</v>
      </c>
      <c r="WP294" s="24" t="n">
        <v>1</v>
      </c>
      <c r="WQ294" s="24" t="n">
        <v>52</v>
      </c>
      <c r="WR294" s="24" t="n">
        <v>1</v>
      </c>
      <c r="WS294" s="24" t="n">
        <v>0.73</v>
      </c>
      <c r="WT294" s="24" t="n">
        <v>2</v>
      </c>
      <c r="WU294" s="24" t="n">
        <v>30</v>
      </c>
      <c r="WV294" s="24" t="n">
        <v>1</v>
      </c>
      <c r="WW294" s="28" t="n">
        <v>0.13</v>
      </c>
      <c r="WX294" s="24" t="n">
        <v>3</v>
      </c>
      <c r="XO294" s="24" t="n">
        <v>1</v>
      </c>
      <c r="XP294" s="24" t="n">
        <v>40</v>
      </c>
      <c r="XQ294" s="24" t="n">
        <v>1</v>
      </c>
      <c r="XR294" s="24" t="n">
        <v>1.83</v>
      </c>
      <c r="XS294" s="24" t="n">
        <v>6</v>
      </c>
      <c r="XT294" s="24" t="n">
        <v>40</v>
      </c>
      <c r="XU294" s="24" t="n">
        <v>1</v>
      </c>
      <c r="XV294" s="24" t="n">
        <v>1.65</v>
      </c>
      <c r="XW294" s="24" t="n">
        <v>3</v>
      </c>
      <c r="XX294" s="24" t="n">
        <v>40</v>
      </c>
      <c r="XY294" s="24" t="n">
        <v>1</v>
      </c>
      <c r="XZ294" s="24" t="n">
        <v>1.83</v>
      </c>
      <c r="YA294" s="24" t="n">
        <v>4</v>
      </c>
      <c r="YB294" s="24" t="n">
        <v>40</v>
      </c>
      <c r="YC294" s="24" t="n">
        <v>4</v>
      </c>
      <c r="YD294" s="24" t="n">
        <v>0.26</v>
      </c>
      <c r="YE294" s="24" t="n">
        <v>1</v>
      </c>
      <c r="YZ294" s="27" t="n">
        <v>3.89</v>
      </c>
      <c r="ZA294" s="27" t="n">
        <v>1</v>
      </c>
      <c r="ZB294" s="27" t="n">
        <v>1</v>
      </c>
      <c r="ZC294" s="27"/>
      <c r="ZD294" s="27" t="n">
        <f aca="false">0.36*2</f>
        <v>0.72</v>
      </c>
      <c r="ZE294" s="27" t="n">
        <v>2</v>
      </c>
      <c r="ZF294" s="27"/>
      <c r="ZG294" s="27" t="n">
        <f aca="false">2.04*2</f>
        <v>4.08</v>
      </c>
      <c r="ZH294" s="27"/>
      <c r="ZI294" s="27"/>
      <c r="ZJ294" s="27"/>
      <c r="ZK294" s="27" t="n">
        <v>3.27</v>
      </c>
      <c r="ZL294" s="27" t="n">
        <v>2.46</v>
      </c>
      <c r="ZM294" s="27"/>
      <c r="ZN294" s="27"/>
      <c r="ZO294" s="27" t="n">
        <v>2.88</v>
      </c>
      <c r="ZP294" s="27" t="n">
        <v>4.14</v>
      </c>
      <c r="ZQ294" s="27" t="n">
        <v>0</v>
      </c>
      <c r="ZR294" s="24" t="n">
        <v>0</v>
      </c>
      <c r="ZS294" s="24" t="s">
        <v>699</v>
      </c>
      <c r="ZT294" s="24" t="n">
        <v>44.5</v>
      </c>
      <c r="ZU294" s="27" t="n">
        <v>101.7</v>
      </c>
      <c r="ZV294" s="27" t="n">
        <v>83.4</v>
      </c>
      <c r="ZW294" s="27" t="n">
        <v>22.5</v>
      </c>
      <c r="ZX294" s="24" t="n">
        <v>75.78</v>
      </c>
      <c r="ZY294" s="24" t="n">
        <v>0</v>
      </c>
      <c r="ZZ294" s="24" t="n">
        <v>2.04</v>
      </c>
      <c r="AAA294" s="24" t="n">
        <v>0</v>
      </c>
      <c r="AAB294" s="24" t="n">
        <v>8.57</v>
      </c>
      <c r="AAC294" s="24" t="n">
        <v>0</v>
      </c>
      <c r="AAD294" s="24" t="n">
        <v>2.21</v>
      </c>
      <c r="AAE294" s="24" t="n">
        <v>0</v>
      </c>
      <c r="AAF294" s="24" t="n">
        <v>1.1</v>
      </c>
      <c r="AAG294" s="24" t="n">
        <v>0</v>
      </c>
      <c r="AAH294" s="24" t="n">
        <v>0</v>
      </c>
      <c r="AAI294" s="24" t="n">
        <v>1.61</v>
      </c>
      <c r="AAJ294" s="24" t="n">
        <v>54.76</v>
      </c>
      <c r="AAK294" s="24" t="n">
        <v>16</v>
      </c>
      <c r="AAL294" s="24" t="n">
        <v>6.05</v>
      </c>
      <c r="AAM294" s="24" t="n">
        <v>10.83</v>
      </c>
      <c r="AAN294" s="24" t="n">
        <v>10.1</v>
      </c>
      <c r="AAO294" s="24" t="n">
        <v>1</v>
      </c>
      <c r="AAP294" s="24" t="n">
        <v>2</v>
      </c>
      <c r="AAR294" s="24" t="n">
        <v>3</v>
      </c>
      <c r="AAS294" s="24" t="n">
        <v>5</v>
      </c>
      <c r="AAU294" s="24" t="n">
        <v>1</v>
      </c>
      <c r="AAV294" s="24" t="n">
        <v>3</v>
      </c>
      <c r="AAX294" s="24" t="n">
        <v>1</v>
      </c>
      <c r="ABB294" s="24" t="n">
        <v>3</v>
      </c>
      <c r="ABC294" s="24" t="n">
        <v>1</v>
      </c>
      <c r="ABD294" s="24" t="n">
        <v>52</v>
      </c>
      <c r="ABE294" s="24" t="n">
        <v>1</v>
      </c>
      <c r="ABF294" s="24" t="n">
        <v>0.73</v>
      </c>
      <c r="ABG294" s="24" t="n">
        <v>2</v>
      </c>
      <c r="ABH294" s="24" t="n">
        <v>34</v>
      </c>
      <c r="ABI294" s="24" t="n">
        <v>1</v>
      </c>
      <c r="ABJ294" s="24" t="n">
        <v>1.28</v>
      </c>
      <c r="ABK294" s="24" t="n">
        <v>1</v>
      </c>
      <c r="ABN294" s="28"/>
      <c r="ACF294" s="24" t="n">
        <v>1</v>
      </c>
      <c r="ACG294" s="24" t="n">
        <v>40</v>
      </c>
      <c r="ACH294" s="24" t="n">
        <v>1</v>
      </c>
      <c r="ACI294" s="24" t="n">
        <v>1.83</v>
      </c>
      <c r="ACJ294" s="24" t="n">
        <v>6</v>
      </c>
      <c r="ACK294" s="24" t="n">
        <v>40</v>
      </c>
      <c r="ACL294" s="24" t="n">
        <v>1</v>
      </c>
      <c r="ACM294" s="24" t="n">
        <v>1.65</v>
      </c>
      <c r="ACN294" s="24" t="n">
        <v>3</v>
      </c>
      <c r="ACO294" s="24" t="n">
        <v>40</v>
      </c>
      <c r="ACP294" s="24" t="n">
        <v>3</v>
      </c>
      <c r="ACQ294" s="24" t="n">
        <f aca="false">0.26+1.83</f>
        <v>2.09</v>
      </c>
      <c r="ACR294" s="24" t="n">
        <v>4</v>
      </c>
      <c r="ADQ294" s="27" t="n">
        <v>3.87</v>
      </c>
      <c r="ADR294" s="27" t="n">
        <v>1</v>
      </c>
      <c r="ADS294" s="27" t="n">
        <v>1</v>
      </c>
      <c r="ADT294" s="27"/>
      <c r="ADU294" s="27" t="n">
        <f aca="false">0.46*2+0.08</f>
        <v>1</v>
      </c>
      <c r="ADV294" s="27" t="n">
        <v>2</v>
      </c>
      <c r="ADW294" s="27"/>
      <c r="ADX294" s="27" t="n">
        <f aca="false">4.08</f>
        <v>4.08</v>
      </c>
      <c r="ADY294" s="27"/>
      <c r="ADZ294" s="27"/>
      <c r="AEA294" s="27"/>
      <c r="AEB294" s="27" t="n">
        <v>2.2</v>
      </c>
      <c r="AEC294" s="27" t="n">
        <v>2.2</v>
      </c>
      <c r="AED294" s="27"/>
      <c r="AEE294" s="27"/>
      <c r="AEF294" s="27" t="n">
        <v>2.88</v>
      </c>
      <c r="AEG294" s="27" t="n">
        <v>3.04</v>
      </c>
      <c r="AEH294" s="27" t="n">
        <v>0</v>
      </c>
      <c r="AEI294" s="24" t="n">
        <v>0</v>
      </c>
      <c r="AEJ294" s="24" t="s">
        <v>694</v>
      </c>
      <c r="AEK294" s="24" t="n">
        <v>40</v>
      </c>
      <c r="AEL294" s="27" t="n">
        <v>78.1</v>
      </c>
      <c r="AEM294" s="27" t="n">
        <v>83.4</v>
      </c>
      <c r="AEN294" s="27" t="n">
        <v>34.6</v>
      </c>
      <c r="AEO294" s="24" t="n">
        <v>66.6</v>
      </c>
      <c r="AEP294" s="24" t="n">
        <v>0</v>
      </c>
      <c r="AEQ294" s="24" t="n">
        <v>18.54</v>
      </c>
      <c r="AER294" s="24" t="n">
        <v>7.52</v>
      </c>
      <c r="AES294" s="24" t="n">
        <v>0</v>
      </c>
      <c r="AET294" s="24" t="n">
        <v>0</v>
      </c>
      <c r="AEU294" s="24" t="n">
        <v>0</v>
      </c>
      <c r="AEV294" s="24" t="n">
        <v>0</v>
      </c>
      <c r="AEW294" s="24" t="n">
        <v>0</v>
      </c>
      <c r="AEX294" s="24" t="n">
        <v>0</v>
      </c>
      <c r="AEY294" s="24" t="n">
        <v>0</v>
      </c>
      <c r="AEZ294" s="24" t="n">
        <v>0</v>
      </c>
      <c r="AFA294" s="24" t="n">
        <v>28.45</v>
      </c>
      <c r="AFB294" s="24" t="n">
        <v>20.45</v>
      </c>
      <c r="AFC294" s="24" t="n">
        <v>0.01</v>
      </c>
      <c r="AFD294" s="24" t="n">
        <v>7.34</v>
      </c>
      <c r="AFE294" s="24" t="n">
        <v>0</v>
      </c>
      <c r="AFF294" s="24" t="n">
        <v>0</v>
      </c>
      <c r="AFS294" s="24" t="n">
        <v>0</v>
      </c>
      <c r="AFT294" s="24" t="n">
        <v>0</v>
      </c>
      <c r="AGE294" s="28"/>
      <c r="AGW294" s="24" t="n">
        <v>1</v>
      </c>
      <c r="AGX294" s="24" t="n">
        <v>40</v>
      </c>
      <c r="AGY294" s="24" t="n">
        <v>1</v>
      </c>
      <c r="AGZ294" s="24" t="n">
        <v>0.73</v>
      </c>
      <c r="AHA294" s="24" t="n">
        <v>3</v>
      </c>
      <c r="AIH294" s="27" t="n">
        <v>1.22</v>
      </c>
      <c r="AII294" s="27" t="n">
        <v>1</v>
      </c>
      <c r="AIJ294" s="27" t="n">
        <v>1</v>
      </c>
      <c r="AIK294" s="27"/>
      <c r="AIL294" s="27" t="n">
        <f aca="false">1.65+3.3</f>
        <v>4.95</v>
      </c>
      <c r="AIM294" s="27"/>
      <c r="AIN294" s="27"/>
      <c r="AIO294" s="27"/>
      <c r="AIP294" s="27"/>
      <c r="AIQ294" s="27"/>
      <c r="AIR294" s="27"/>
      <c r="AIS294" s="27" t="n">
        <v>1.1</v>
      </c>
      <c r="AIT294" s="27" t="n">
        <v>1.1</v>
      </c>
      <c r="AIU294" s="27"/>
      <c r="AIV294" s="27"/>
      <c r="AIW294" s="27" t="n">
        <v>2.88</v>
      </c>
      <c r="AIX294" s="27" t="n">
        <v>6.79</v>
      </c>
      <c r="AIY294" s="27" t="n">
        <v>0</v>
      </c>
      <c r="AIZ294" s="24" t="n">
        <v>0</v>
      </c>
      <c r="AJA294" s="24" t="s">
        <v>703</v>
      </c>
      <c r="AJB294" s="24" t="n">
        <v>34.5</v>
      </c>
      <c r="AJC294" s="27" t="n">
        <v>62.2</v>
      </c>
      <c r="AJD294" s="27" t="n">
        <v>83.4</v>
      </c>
      <c r="AJE294" s="27" t="n">
        <v>29.9</v>
      </c>
      <c r="AJF294" s="24" t="n">
        <v>73.95</v>
      </c>
      <c r="AJG294" s="24" t="n">
        <v>0</v>
      </c>
      <c r="AJH294" s="24" t="n">
        <v>18.53</v>
      </c>
      <c r="AJI294" s="24" t="n">
        <v>7.52</v>
      </c>
      <c r="AJJ294" s="24" t="n">
        <v>0</v>
      </c>
      <c r="AJK294" s="24" t="n">
        <v>0</v>
      </c>
      <c r="AJL294" s="24" t="n">
        <v>0</v>
      </c>
      <c r="AJM294" s="24" t="n">
        <v>0</v>
      </c>
      <c r="AJN294" s="24" t="n">
        <v>0</v>
      </c>
      <c r="AJO294" s="24" t="n">
        <v>0</v>
      </c>
      <c r="AJP294" s="24" t="n">
        <v>0</v>
      </c>
      <c r="AJQ294" s="24" t="n">
        <v>0</v>
      </c>
      <c r="AJR294" s="24" t="n">
        <v>11.93</v>
      </c>
      <c r="AJS294" s="24" t="n">
        <v>21.11</v>
      </c>
      <c r="AJT294" s="24" t="n">
        <v>0</v>
      </c>
      <c r="AJU294" s="24" t="n">
        <v>0</v>
      </c>
      <c r="AJV294" s="24" t="n">
        <v>0</v>
      </c>
      <c r="AJW294" s="24" t="n">
        <v>0</v>
      </c>
      <c r="AKJ294" s="24" t="n">
        <v>0</v>
      </c>
      <c r="AKK294" s="24" t="n">
        <v>0</v>
      </c>
      <c r="AKV294" s="28"/>
      <c r="ALN294" s="24" t="n">
        <v>1</v>
      </c>
      <c r="ALO294" s="24" t="n">
        <v>40</v>
      </c>
      <c r="ALP294" s="24" t="n">
        <v>1</v>
      </c>
      <c r="ALQ294" s="24" t="n">
        <v>0.73</v>
      </c>
      <c r="ALR294" s="24" t="n">
        <v>3</v>
      </c>
    </row>
    <row r="295" customFormat="false" ht="13.8" hidden="false" customHeight="false" outlineLevel="0" collapsed="false">
      <c r="A295" s="22" t="s">
        <v>864</v>
      </c>
      <c r="B295" s="23" t="n">
        <v>42909</v>
      </c>
      <c r="C295" s="24" t="n">
        <v>2</v>
      </c>
      <c r="D295" s="25" t="n">
        <v>40700</v>
      </c>
      <c r="E295" s="23" t="n">
        <v>31967</v>
      </c>
      <c r="F295" s="14" t="n">
        <f aca="false">(B295-E295)/365.25</f>
        <v>29.9575633127994</v>
      </c>
      <c r="G295" s="14" t="n">
        <f aca="false">(B295-D295)/365.25</f>
        <v>6.04791238877481</v>
      </c>
      <c r="H295" s="26" t="s">
        <v>306</v>
      </c>
      <c r="I295" s="21" t="s">
        <v>689</v>
      </c>
      <c r="J295" s="21" t="s">
        <v>183</v>
      </c>
      <c r="K295" s="21" t="n">
        <v>8</v>
      </c>
      <c r="L295" s="26" t="n">
        <v>84</v>
      </c>
      <c r="M295" s="24" t="n">
        <v>1.83</v>
      </c>
      <c r="N295" s="27" t="n">
        <f aca="false">L295/(M295*M295)</f>
        <v>25.0828630296515</v>
      </c>
      <c r="O295" s="26" t="n">
        <v>0</v>
      </c>
      <c r="P295" s="26" t="n">
        <v>0</v>
      </c>
      <c r="Q295" s="26" t="n">
        <v>0</v>
      </c>
      <c r="R295" s="26" t="n">
        <v>0</v>
      </c>
      <c r="S295" s="26" t="n">
        <v>0</v>
      </c>
      <c r="T295" s="26" t="n">
        <v>0</v>
      </c>
      <c r="U295" s="19" t="n">
        <v>0</v>
      </c>
      <c r="V295" s="19" t="n">
        <v>0</v>
      </c>
      <c r="W295" s="26" t="n">
        <v>0</v>
      </c>
      <c r="X295" s="26" t="n">
        <v>0</v>
      </c>
      <c r="Y295" s="26" t="n">
        <v>1</v>
      </c>
      <c r="Z295" s="26" t="n">
        <v>2</v>
      </c>
      <c r="AA295" s="26" t="n">
        <v>180</v>
      </c>
      <c r="AB295" s="26" t="s">
        <v>308</v>
      </c>
      <c r="AC295" s="26" t="n">
        <v>0</v>
      </c>
      <c r="AD295" s="26" t="n">
        <v>0</v>
      </c>
      <c r="AE295" s="26" t="n">
        <v>0</v>
      </c>
      <c r="AF295" s="26" t="n">
        <v>0</v>
      </c>
      <c r="AG295" s="26" t="n">
        <v>0</v>
      </c>
      <c r="AH295" s="26" t="n">
        <v>0</v>
      </c>
      <c r="AI295" s="26" t="n">
        <v>0</v>
      </c>
      <c r="AJ295" s="26" t="n">
        <v>0</v>
      </c>
      <c r="AK295" s="26" t="n">
        <v>0</v>
      </c>
      <c r="AL295" s="26" t="n">
        <v>0</v>
      </c>
      <c r="AM295" s="19" t="n">
        <v>0</v>
      </c>
      <c r="AN295" s="26" t="n">
        <v>0</v>
      </c>
      <c r="AO295" s="26" t="n">
        <v>0</v>
      </c>
      <c r="AP295" s="26" t="n">
        <v>0</v>
      </c>
      <c r="AQ295" s="26" t="n">
        <v>0</v>
      </c>
      <c r="AR295" s="26" t="n">
        <v>0</v>
      </c>
      <c r="AS295" s="26" t="n">
        <v>0</v>
      </c>
      <c r="AT295" s="26" t="n">
        <v>0</v>
      </c>
      <c r="AU295" s="26" t="n">
        <v>0</v>
      </c>
      <c r="AV295" s="26" t="n">
        <v>0</v>
      </c>
      <c r="AW295" s="26" t="n">
        <v>0</v>
      </c>
      <c r="AX295" s="26" t="n">
        <v>0</v>
      </c>
      <c r="AY295" s="26" t="n">
        <v>0</v>
      </c>
      <c r="AZ295" s="26" t="n">
        <v>0</v>
      </c>
      <c r="BA295" s="26" t="n">
        <v>0</v>
      </c>
      <c r="BB295" s="26" t="n">
        <v>0</v>
      </c>
      <c r="BC295" s="26" t="n">
        <v>0</v>
      </c>
      <c r="BD295" s="26" t="n">
        <v>0</v>
      </c>
      <c r="BE295" s="26" t="n">
        <v>0</v>
      </c>
      <c r="BF295" s="26" t="n">
        <v>0</v>
      </c>
      <c r="BG295" s="26" t="n">
        <v>0</v>
      </c>
      <c r="BH295" s="26" t="n">
        <v>0</v>
      </c>
      <c r="BI295" s="26" t="n">
        <v>0</v>
      </c>
      <c r="BJ295" s="26" t="n">
        <v>0</v>
      </c>
      <c r="BK295" s="26" t="n">
        <v>0</v>
      </c>
      <c r="BL295" s="26" t="n">
        <v>0</v>
      </c>
      <c r="BM295" s="26" t="n">
        <v>0</v>
      </c>
      <c r="BN295" s="26" t="n">
        <v>0</v>
      </c>
      <c r="BO295" s="26" t="n">
        <v>0</v>
      </c>
      <c r="BP295" s="26" t="n">
        <v>0</v>
      </c>
      <c r="BQ295" s="26" t="n">
        <v>0</v>
      </c>
      <c r="BR295" s="26" t="n">
        <v>3</v>
      </c>
      <c r="BS295" s="26" t="n">
        <v>3</v>
      </c>
      <c r="BT295" s="26" t="n">
        <v>3</v>
      </c>
      <c r="BU295" s="26" t="n">
        <v>4</v>
      </c>
      <c r="BV295" s="26" t="n">
        <v>3</v>
      </c>
      <c r="BW295" s="26"/>
      <c r="BX295" s="26" t="n">
        <v>5</v>
      </c>
      <c r="BY295" s="26" t="n">
        <v>5</v>
      </c>
      <c r="BZ295" s="26" t="n">
        <v>5</v>
      </c>
      <c r="CA295" s="26" t="n">
        <v>4</v>
      </c>
      <c r="CB295" s="26" t="n">
        <v>2</v>
      </c>
      <c r="CC295" s="26" t="n">
        <v>5</v>
      </c>
      <c r="CD295" s="26" t="n">
        <v>3</v>
      </c>
      <c r="CE295" s="26" t="n">
        <v>4</v>
      </c>
      <c r="CF295" s="26" t="n">
        <v>4</v>
      </c>
      <c r="CG295" s="26" t="n">
        <v>5</v>
      </c>
      <c r="CH295" s="26" t="n">
        <v>4</v>
      </c>
      <c r="CI295" s="26" t="n">
        <v>4</v>
      </c>
      <c r="CJ295" s="26" t="n">
        <v>3</v>
      </c>
      <c r="CK295" s="26" t="n">
        <v>10</v>
      </c>
      <c r="CL295" s="24" t="s">
        <v>690</v>
      </c>
      <c r="CM295" s="24" t="n">
        <v>38</v>
      </c>
      <c r="CN295" s="27" t="n">
        <v>85.5</v>
      </c>
      <c r="CO295" s="27" t="n">
        <v>83.4</v>
      </c>
      <c r="CP295" s="27" t="n">
        <v>28.7</v>
      </c>
      <c r="CQ295" s="24" t="n">
        <v>61.84</v>
      </c>
      <c r="CR295" s="24" t="n">
        <v>0</v>
      </c>
      <c r="CS295" s="24" t="n">
        <v>0</v>
      </c>
      <c r="CT295" s="24" t="n">
        <v>0</v>
      </c>
      <c r="CU295" s="24" t="n">
        <v>37.42</v>
      </c>
      <c r="CV295" s="24" t="n">
        <v>0</v>
      </c>
      <c r="CW295" s="24" t="n">
        <v>0.73</v>
      </c>
      <c r="CX295" s="24" t="n">
        <v>0</v>
      </c>
      <c r="CY295" s="24" t="n">
        <v>0</v>
      </c>
      <c r="CZ295" s="24" t="n">
        <v>0.74</v>
      </c>
      <c r="DA295" s="24" t="n">
        <v>0</v>
      </c>
      <c r="DB295" s="24" t="n">
        <v>7.34</v>
      </c>
      <c r="DC295" s="24" t="n">
        <v>25.37</v>
      </c>
      <c r="DD295" s="24" t="n">
        <v>15.03</v>
      </c>
      <c r="DE295" s="24" t="n">
        <v>30.09</v>
      </c>
      <c r="DF295" s="24" t="n">
        <v>0</v>
      </c>
      <c r="DG295" s="24" t="n">
        <v>0</v>
      </c>
      <c r="DH295" s="24" t="n">
        <v>0</v>
      </c>
      <c r="DU295" s="24" t="n">
        <v>1.7</v>
      </c>
      <c r="DV295" s="24" t="n">
        <v>0</v>
      </c>
      <c r="EG295" s="28"/>
      <c r="EY295" s="24" t="n">
        <v>1</v>
      </c>
      <c r="EZ295" s="24" t="n">
        <v>50</v>
      </c>
      <c r="FA295" s="24" t="n">
        <v>4</v>
      </c>
      <c r="FB295" s="24" t="n">
        <v>0.46</v>
      </c>
      <c r="FC295" s="24" t="n">
        <v>6</v>
      </c>
      <c r="FD295" s="24" t="n">
        <v>40</v>
      </c>
      <c r="FE295" s="24" t="n">
        <v>10</v>
      </c>
      <c r="FF295" s="24" t="n">
        <f aca="false">0.17*2+0.06+0.07</f>
        <v>0.47</v>
      </c>
      <c r="FG295" s="24" t="n">
        <v>1</v>
      </c>
      <c r="FH295" s="24" t="n">
        <v>40</v>
      </c>
      <c r="FI295" s="24" t="n">
        <v>10</v>
      </c>
      <c r="FJ295" s="24" t="n">
        <f aca="false">0.17*2+0.07*2+0.03</f>
        <v>0.51</v>
      </c>
      <c r="FK295" s="24" t="n">
        <v>6</v>
      </c>
      <c r="FL295" s="24" t="n">
        <v>60</v>
      </c>
      <c r="FM295" s="24" t="n">
        <v>6</v>
      </c>
      <c r="FN295" s="24" t="n">
        <f aca="false">4.4*2+0.39*2+0.26</f>
        <v>9.84</v>
      </c>
      <c r="FO295" s="24" t="n">
        <v>3</v>
      </c>
      <c r="GJ295" s="27" t="n">
        <v>1.55</v>
      </c>
      <c r="GK295" s="27" t="n">
        <v>1</v>
      </c>
      <c r="GL295" s="27" t="n">
        <v>1</v>
      </c>
      <c r="GM295" s="27"/>
      <c r="GN295" s="27" t="n">
        <f aca="false">1.65*2</f>
        <v>3.3</v>
      </c>
      <c r="GO295" s="27" t="n">
        <v>2</v>
      </c>
      <c r="GP295" s="27"/>
      <c r="GQ295" s="27" t="n">
        <v>0.54</v>
      </c>
      <c r="GR295" s="27"/>
      <c r="GS295" s="27"/>
      <c r="GT295" s="27"/>
      <c r="GU295" s="27" t="n">
        <v>5.74</v>
      </c>
      <c r="GV295" s="27" t="n">
        <v>3.64</v>
      </c>
      <c r="GW295" s="27"/>
      <c r="GX295" s="27"/>
      <c r="GY295" s="27" t="n">
        <v>0</v>
      </c>
      <c r="GZ295" s="27" t="n">
        <v>0</v>
      </c>
      <c r="HA295" s="27" t="n">
        <v>0</v>
      </c>
      <c r="HB295" s="24" t="n">
        <v>0</v>
      </c>
      <c r="HC295" s="24" t="s">
        <v>691</v>
      </c>
      <c r="HD295" s="24" t="n">
        <v>63.5</v>
      </c>
      <c r="HE295" s="27" t="n">
        <v>98.9</v>
      </c>
      <c r="HF295" s="27" t="n">
        <v>83.4</v>
      </c>
      <c r="HG295" s="27" t="n">
        <v>51</v>
      </c>
      <c r="HH295" s="24" t="n">
        <v>53.65</v>
      </c>
      <c r="HI295" s="24" t="n">
        <v>0</v>
      </c>
      <c r="HJ295" s="24" t="n">
        <v>11.99</v>
      </c>
      <c r="HK295" s="24" t="n">
        <v>24.1</v>
      </c>
      <c r="HL295" s="24" t="n">
        <v>10.26</v>
      </c>
      <c r="HM295" s="24" t="n">
        <v>0</v>
      </c>
      <c r="HN295" s="24" t="n">
        <v>0</v>
      </c>
      <c r="HO295" s="24" t="n">
        <v>0</v>
      </c>
      <c r="HP295" s="24" t="n">
        <v>0</v>
      </c>
      <c r="HQ295" s="24" t="n">
        <v>0</v>
      </c>
      <c r="HR295" s="24" t="n">
        <v>0</v>
      </c>
      <c r="HS295" s="24" t="n">
        <v>9.1</v>
      </c>
      <c r="HT295" s="24" t="n">
        <v>26.31</v>
      </c>
      <c r="HU295" s="24" t="n">
        <v>5.53</v>
      </c>
      <c r="HV295" s="24" t="n">
        <v>0.94</v>
      </c>
      <c r="HW295" s="24" t="n">
        <v>0</v>
      </c>
      <c r="HX295" s="24" t="n">
        <v>0</v>
      </c>
      <c r="HY295" s="24" t="n">
        <v>0</v>
      </c>
      <c r="IL295" s="24" t="n">
        <v>6.1</v>
      </c>
      <c r="IM295" s="24" t="n">
        <v>0</v>
      </c>
      <c r="IX295" s="28"/>
      <c r="JP295" s="24" t="n">
        <v>1</v>
      </c>
      <c r="JQ295" s="24" t="n">
        <v>50</v>
      </c>
      <c r="JR295" s="24" t="n">
        <v>1</v>
      </c>
      <c r="JS295" s="24" t="n">
        <v>0.39</v>
      </c>
      <c r="JT295" s="24" t="n">
        <v>3</v>
      </c>
      <c r="JU295" s="24" t="n">
        <v>50</v>
      </c>
      <c r="JV295" s="24" t="n">
        <v>2</v>
      </c>
      <c r="JW295" s="24" t="n">
        <f aca="false">0.19+0.23</f>
        <v>0.42</v>
      </c>
      <c r="JX295" s="24" t="n">
        <v>4</v>
      </c>
      <c r="JY295" s="24" t="n">
        <v>60</v>
      </c>
      <c r="JZ295" s="24" t="n">
        <v>12</v>
      </c>
      <c r="KA295" s="24" t="n">
        <f aca="false">0.78*2</f>
        <v>1.56</v>
      </c>
      <c r="KB295" s="24" t="n">
        <v>6</v>
      </c>
      <c r="LA295" s="27" t="n">
        <v>5.39</v>
      </c>
      <c r="LB295" s="27" t="n">
        <v>1</v>
      </c>
      <c r="LC295" s="27" t="n">
        <v>1</v>
      </c>
      <c r="LD295" s="27"/>
      <c r="LE295" s="27" t="n">
        <f aca="false">2.04*3+0.36*2</f>
        <v>6.84</v>
      </c>
      <c r="LF295" s="27" t="n">
        <v>2</v>
      </c>
      <c r="LG295" s="27"/>
      <c r="LH295" s="27" t="n">
        <f aca="false">0.72*2+0.36</f>
        <v>1.8</v>
      </c>
      <c r="LI295" s="27" t="n">
        <v>3</v>
      </c>
      <c r="LJ295" s="27"/>
      <c r="LK295" s="27" t="n">
        <v>0.5</v>
      </c>
      <c r="LL295" s="27" t="n">
        <v>0.94</v>
      </c>
      <c r="LM295" s="27" t="n">
        <v>0.94</v>
      </c>
      <c r="LN295" s="27"/>
      <c r="LO295" s="27"/>
      <c r="LP295" s="27" t="n">
        <v>0</v>
      </c>
      <c r="LQ295" s="27" t="n">
        <v>0</v>
      </c>
      <c r="LR295" s="27" t="n">
        <v>0</v>
      </c>
      <c r="LS295" s="24" t="n">
        <v>0</v>
      </c>
      <c r="LT295" s="24" t="s">
        <v>691</v>
      </c>
      <c r="LU295" s="24" t="n">
        <v>63.5</v>
      </c>
      <c r="LV295" s="27" t="n">
        <v>98.9</v>
      </c>
      <c r="LW295" s="27" t="n">
        <v>83.4</v>
      </c>
      <c r="LX295" s="27" t="n">
        <v>51</v>
      </c>
      <c r="LY295" s="24" t="n">
        <v>53.65</v>
      </c>
      <c r="LZ295" s="24" t="n">
        <v>0</v>
      </c>
      <c r="MA295" s="24" t="n">
        <v>11.99</v>
      </c>
      <c r="MB295" s="24" t="n">
        <v>24.1</v>
      </c>
      <c r="MC295" s="24" t="n">
        <v>10.26</v>
      </c>
      <c r="MD295" s="24" t="n">
        <v>0</v>
      </c>
      <c r="ME295" s="24" t="n">
        <v>0</v>
      </c>
      <c r="MF295" s="24" t="n">
        <v>0</v>
      </c>
      <c r="MG295" s="24" t="n">
        <v>0</v>
      </c>
      <c r="MH295" s="24" t="n">
        <v>0</v>
      </c>
      <c r="MI295" s="24" t="n">
        <v>0</v>
      </c>
      <c r="MJ295" s="24" t="n">
        <v>9.1</v>
      </c>
      <c r="MK295" s="24" t="n">
        <v>26.31</v>
      </c>
      <c r="ML295" s="24" t="n">
        <v>5.53</v>
      </c>
      <c r="MM295" s="24" t="n">
        <v>0.94</v>
      </c>
      <c r="MN295" s="24" t="n">
        <v>0</v>
      </c>
      <c r="MO295" s="24" t="n">
        <v>0</v>
      </c>
      <c r="MP295" s="24" t="n">
        <v>0</v>
      </c>
      <c r="NC295" s="24" t="n">
        <v>6.1</v>
      </c>
      <c r="ND295" s="24" t="n">
        <v>0</v>
      </c>
      <c r="NO295" s="28"/>
      <c r="OG295" s="24" t="n">
        <v>1</v>
      </c>
      <c r="OH295" s="24" t="n">
        <v>50</v>
      </c>
      <c r="OI295" s="24" t="n">
        <v>1</v>
      </c>
      <c r="OJ295" s="24" t="n">
        <v>0.39</v>
      </c>
      <c r="OK295" s="24" t="n">
        <v>3</v>
      </c>
      <c r="OL295" s="24" t="n">
        <v>50</v>
      </c>
      <c r="OM295" s="24" t="n">
        <v>2</v>
      </c>
      <c r="ON295" s="24" t="n">
        <f aca="false">0.19+0.23</f>
        <v>0.42</v>
      </c>
      <c r="OO295" s="24" t="n">
        <v>4</v>
      </c>
      <c r="OP295" s="24" t="n">
        <v>60</v>
      </c>
      <c r="OQ295" s="24" t="n">
        <v>12</v>
      </c>
      <c r="OR295" s="24" t="n">
        <f aca="false">0.78*2</f>
        <v>1.56</v>
      </c>
      <c r="OS295" s="24" t="n">
        <v>6</v>
      </c>
      <c r="PR295" s="27" t="n">
        <v>5.39</v>
      </c>
      <c r="PS295" s="27" t="n">
        <v>1</v>
      </c>
      <c r="PT295" s="27" t="n">
        <v>1</v>
      </c>
      <c r="PU295" s="27"/>
      <c r="PV295" s="27" t="n">
        <f aca="false">2.04*3+0.36*2</f>
        <v>6.84</v>
      </c>
      <c r="PW295" s="27" t="n">
        <v>2</v>
      </c>
      <c r="PX295" s="27"/>
      <c r="PY295" s="27" t="n">
        <f aca="false">0.72*2+0.36</f>
        <v>1.8</v>
      </c>
      <c r="PZ295" s="27" t="n">
        <v>3</v>
      </c>
      <c r="QA295" s="27"/>
      <c r="QB295" s="27" t="n">
        <v>0.5</v>
      </c>
      <c r="QC295" s="27" t="n">
        <v>0.94</v>
      </c>
      <c r="QD295" s="27" t="n">
        <v>0.94</v>
      </c>
      <c r="QE295" s="27"/>
      <c r="QF295" s="27"/>
      <c r="QG295" s="27" t="n">
        <v>0</v>
      </c>
      <c r="QH295" s="27" t="n">
        <v>0</v>
      </c>
      <c r="QI295" s="27" t="n">
        <v>0</v>
      </c>
      <c r="QJ295" s="24" t="n">
        <v>0</v>
      </c>
      <c r="QK295" s="24" t="s">
        <v>692</v>
      </c>
      <c r="QL295" s="24" t="n">
        <v>30.5</v>
      </c>
      <c r="QM295" s="27" t="n">
        <v>69.11</v>
      </c>
      <c r="QN295" s="27" t="n">
        <v>83.4</v>
      </c>
      <c r="QO295" s="27" t="n">
        <v>18.1</v>
      </c>
      <c r="QP295" s="24" t="n">
        <v>79.03</v>
      </c>
      <c r="QQ295" s="24" t="n">
        <v>0.45</v>
      </c>
      <c r="QR295" s="24" t="n">
        <v>0</v>
      </c>
      <c r="QS295" s="24" t="n">
        <v>0</v>
      </c>
      <c r="QT295" s="24" t="n">
        <v>20.52</v>
      </c>
      <c r="QU295" s="24" t="n">
        <v>0</v>
      </c>
      <c r="QV295" s="24" t="n">
        <v>0</v>
      </c>
      <c r="QW295" s="24" t="n">
        <v>0</v>
      </c>
      <c r="QX295" s="24" t="n">
        <v>0</v>
      </c>
      <c r="QY295" s="24" t="n">
        <v>0</v>
      </c>
      <c r="QZ295" s="24" t="n">
        <v>0</v>
      </c>
      <c r="RA295" s="24" t="n">
        <v>0</v>
      </c>
      <c r="RB295" s="24" t="n">
        <v>12.58</v>
      </c>
      <c r="RC295" s="24" t="n">
        <v>17.94</v>
      </c>
      <c r="RD295" s="24" t="n">
        <v>18.04</v>
      </c>
      <c r="RE295" s="24" t="n">
        <v>0</v>
      </c>
      <c r="RF295" s="24" t="n">
        <v>0</v>
      </c>
      <c r="RG295" s="24" t="n">
        <v>0</v>
      </c>
      <c r="RT295" s="24" t="n">
        <v>8.1</v>
      </c>
      <c r="RU295" s="24" t="n">
        <v>1</v>
      </c>
      <c r="RV295" s="24" t="n">
        <v>35</v>
      </c>
      <c r="RW295" s="24" t="n">
        <v>4</v>
      </c>
      <c r="RX295" s="24" t="n">
        <f aca="false">2.2+0.39</f>
        <v>2.59</v>
      </c>
      <c r="RY295" s="24" t="n">
        <v>3</v>
      </c>
      <c r="SF295" s="28"/>
      <c r="SX295" s="24" t="n">
        <v>1</v>
      </c>
      <c r="SY295" s="24" t="n">
        <v>60</v>
      </c>
      <c r="SZ295" s="24" t="n">
        <v>1</v>
      </c>
      <c r="TA295" s="24" t="n">
        <v>0.73</v>
      </c>
      <c r="TB295" s="24" t="n">
        <v>3</v>
      </c>
      <c r="UI295" s="27" t="n">
        <v>3.89</v>
      </c>
      <c r="UJ295" s="27" t="n">
        <v>1</v>
      </c>
      <c r="UK295" s="27" t="n">
        <v>1</v>
      </c>
      <c r="UL295" s="27"/>
      <c r="UM295" s="27" t="n">
        <f aca="false">0.14*2+0.21*2</f>
        <v>0.7</v>
      </c>
      <c r="UN295" s="27" t="n">
        <v>2</v>
      </c>
      <c r="UO295" s="27"/>
      <c r="UP295" s="27" t="n">
        <f aca="false">1.65*2</f>
        <v>3.3</v>
      </c>
      <c r="UQ295" s="27"/>
      <c r="UR295" s="27"/>
      <c r="US295" s="27"/>
      <c r="UT295" s="27" t="n">
        <v>0</v>
      </c>
      <c r="UU295" s="27" t="n">
        <v>0</v>
      </c>
      <c r="UV295" s="27"/>
      <c r="UW295" s="27"/>
      <c r="UX295" s="27" t="n">
        <v>0</v>
      </c>
      <c r="UY295" s="27" t="n">
        <v>0</v>
      </c>
      <c r="UZ295" s="27" t="n">
        <v>0</v>
      </c>
      <c r="VA295" s="24" t="n">
        <v>0</v>
      </c>
      <c r="VB295" s="24" t="s">
        <v>697</v>
      </c>
      <c r="VC295" s="24" t="n">
        <v>42.5</v>
      </c>
      <c r="VD295" s="27" t="n">
        <v>92.2</v>
      </c>
      <c r="VE295" s="27" t="n">
        <v>83.4</v>
      </c>
      <c r="VF295" s="27" t="n">
        <v>33.5</v>
      </c>
      <c r="VG295" s="24" t="n">
        <v>25.89</v>
      </c>
      <c r="VH295" s="24" t="n">
        <v>0</v>
      </c>
      <c r="VI295" s="24" t="n">
        <v>0</v>
      </c>
      <c r="VJ295" s="24" t="n">
        <v>0</v>
      </c>
      <c r="VK295" s="24" t="n">
        <v>0</v>
      </c>
      <c r="VL295" s="24" t="n">
        <v>0</v>
      </c>
      <c r="VM295" s="24" t="n">
        <v>74.11</v>
      </c>
      <c r="VN295" s="24" t="n">
        <v>25.43</v>
      </c>
      <c r="VO295" s="24" t="n">
        <v>9.72</v>
      </c>
      <c r="VP295" s="24" t="n">
        <v>2.94</v>
      </c>
      <c r="VQ295" s="24" t="n">
        <v>0</v>
      </c>
      <c r="VR295" s="24" t="n">
        <v>11.38</v>
      </c>
      <c r="VS295" s="24" t="n">
        <v>16.89</v>
      </c>
      <c r="VT295" s="24" t="n">
        <v>27.26</v>
      </c>
      <c r="VU295" s="24" t="n">
        <v>0</v>
      </c>
      <c r="VV295" s="24" t="n">
        <v>0</v>
      </c>
      <c r="VW295" s="24" t="n">
        <v>0</v>
      </c>
      <c r="VX295" s="24" t="n">
        <v>0</v>
      </c>
      <c r="WK295" s="24" t="n">
        <v>3.6</v>
      </c>
      <c r="WL295" s="24" t="n">
        <v>1</v>
      </c>
      <c r="WM295" s="24" t="n">
        <v>35</v>
      </c>
      <c r="WN295" s="24" t="n">
        <v>6</v>
      </c>
      <c r="WO295" s="24" t="n">
        <f aca="false">0.13*4</f>
        <v>0.52</v>
      </c>
      <c r="WP295" s="24" t="n">
        <v>3</v>
      </c>
      <c r="WQ295" s="24" t="n">
        <v>25</v>
      </c>
      <c r="WR295" s="24" t="n">
        <v>2</v>
      </c>
      <c r="WS295" s="24" t="n">
        <f aca="false">0.13*2</f>
        <v>0.26</v>
      </c>
      <c r="WT295" s="24" t="n">
        <v>4</v>
      </c>
      <c r="WW295" s="28"/>
      <c r="XO295" s="24" t="n">
        <v>0</v>
      </c>
      <c r="YZ295" s="27" t="n">
        <v>3.01</v>
      </c>
      <c r="ZA295" s="27" t="n">
        <v>1</v>
      </c>
      <c r="ZB295" s="27" t="n">
        <v>1</v>
      </c>
      <c r="ZC295" s="27"/>
      <c r="ZD295" s="27" t="n">
        <f aca="false">1.65*5+0.13*2+0.36+0.18</f>
        <v>9.05</v>
      </c>
      <c r="ZE295" s="27"/>
      <c r="ZF295" s="27"/>
      <c r="ZG295" s="27"/>
      <c r="ZH295" s="27"/>
      <c r="ZI295" s="27"/>
      <c r="ZJ295" s="27"/>
      <c r="ZK295" s="27" t="n">
        <v>2.16</v>
      </c>
      <c r="ZL295" s="27" t="n">
        <v>0.52</v>
      </c>
      <c r="ZM295" s="27"/>
      <c r="ZN295" s="27"/>
      <c r="ZO295" s="27" t="n">
        <v>0</v>
      </c>
      <c r="ZP295" s="27" t="n">
        <v>0</v>
      </c>
      <c r="ZQ295" s="27" t="n">
        <v>0</v>
      </c>
      <c r="ZR295" s="24" t="n">
        <v>0</v>
      </c>
      <c r="ZS295" s="24" t="s">
        <v>698</v>
      </c>
      <c r="ZT295" s="24" t="n">
        <v>37</v>
      </c>
      <c r="ZU295" s="27" t="n">
        <v>86.3</v>
      </c>
      <c r="ZV295" s="27" t="n">
        <v>83.4</v>
      </c>
      <c r="ZW295" s="27" t="n">
        <v>31.3</v>
      </c>
      <c r="ZX295" s="24" t="n">
        <v>24.09</v>
      </c>
      <c r="ZY295" s="24" t="n">
        <v>0</v>
      </c>
      <c r="ZZ295" s="24" t="n">
        <v>0</v>
      </c>
      <c r="AAA295" s="24" t="n">
        <v>0</v>
      </c>
      <c r="AAB295" s="24" t="n">
        <v>0</v>
      </c>
      <c r="AAC295" s="24" t="n">
        <v>0</v>
      </c>
      <c r="AAD295" s="24" t="n">
        <v>75.91</v>
      </c>
      <c r="AAE295" s="24" t="n">
        <v>21.83</v>
      </c>
      <c r="AAF295" s="24" t="n">
        <v>8.63</v>
      </c>
      <c r="AAG295" s="24" t="n">
        <v>2.94</v>
      </c>
      <c r="AAH295" s="24" t="n">
        <v>0</v>
      </c>
      <c r="AAI295" s="24" t="n">
        <v>13.66</v>
      </c>
      <c r="AAJ295" s="24" t="n">
        <v>10.54</v>
      </c>
      <c r="AAK295" s="24" t="n">
        <v>28.39</v>
      </c>
      <c r="AAL295" s="24" t="n">
        <v>0</v>
      </c>
      <c r="AAM295" s="24" t="n">
        <v>0</v>
      </c>
      <c r="AAN295" s="24" t="n">
        <v>0</v>
      </c>
      <c r="AAO295" s="24" t="n">
        <v>0</v>
      </c>
      <c r="ABB295" s="24" t="n">
        <v>2.7</v>
      </c>
      <c r="ABC295" s="24" t="n">
        <v>1</v>
      </c>
      <c r="ABD295" s="24" t="n">
        <v>52</v>
      </c>
      <c r="ABE295" s="24" t="n">
        <v>1</v>
      </c>
      <c r="ABF295" s="24" t="n">
        <v>0.39</v>
      </c>
      <c r="ABG295" s="24" t="n">
        <v>2</v>
      </c>
      <c r="ABH295" s="24" t="n">
        <v>35</v>
      </c>
      <c r="ABI295" s="24" t="n">
        <v>4</v>
      </c>
      <c r="ABJ295" s="24" t="n">
        <v>0.26</v>
      </c>
      <c r="ABK295" s="24" t="n">
        <v>3</v>
      </c>
      <c r="ABN295" s="28"/>
      <c r="ACF295" s="24" t="n">
        <v>0</v>
      </c>
      <c r="ADQ295" s="27" t="n">
        <v>2.83</v>
      </c>
      <c r="ADR295" s="27" t="n">
        <v>1</v>
      </c>
      <c r="ADS295" s="27" t="n">
        <v>1</v>
      </c>
      <c r="ADT295" s="27"/>
      <c r="ADU295" s="27" t="n">
        <f aca="false">1.65*5</f>
        <v>8.25</v>
      </c>
      <c r="ADV295" s="27"/>
      <c r="ADW295" s="27"/>
      <c r="ADX295" s="27"/>
      <c r="ADY295" s="27"/>
      <c r="ADZ295" s="27"/>
      <c r="AEA295" s="27"/>
      <c r="AEB295" s="27" t="n">
        <v>0</v>
      </c>
      <c r="AEC295" s="27" t="n">
        <v>0</v>
      </c>
      <c r="AED295" s="27"/>
      <c r="AEE295" s="27"/>
      <c r="AEF295" s="27" t="n">
        <v>0</v>
      </c>
      <c r="AEG295" s="27" t="n">
        <v>0</v>
      </c>
      <c r="AEH295" s="27" t="n">
        <v>0</v>
      </c>
      <c r="AEI295" s="24" t="n">
        <v>0</v>
      </c>
      <c r="AEJ295" s="24" t="s">
        <v>702</v>
      </c>
      <c r="AEK295" s="24" t="n">
        <v>43.5</v>
      </c>
      <c r="AEL295" s="27" t="n">
        <v>73.8</v>
      </c>
      <c r="AEM295" s="27" t="n">
        <v>83.4</v>
      </c>
      <c r="AEN295" s="27" t="n">
        <v>26.5</v>
      </c>
      <c r="AEO295" s="24" t="n">
        <v>20.2</v>
      </c>
      <c r="AEP295" s="24" t="n">
        <v>0</v>
      </c>
      <c r="AEQ295" s="24" t="n">
        <v>26.95</v>
      </c>
      <c r="AER295" s="24" t="n">
        <v>0</v>
      </c>
      <c r="AES295" s="24" t="n">
        <v>0.39</v>
      </c>
      <c r="AET295" s="24" t="n">
        <v>0</v>
      </c>
      <c r="AEU295" s="24" t="n">
        <v>79.41</v>
      </c>
      <c r="AEV295" s="24" t="n">
        <v>26.95</v>
      </c>
      <c r="AEW295" s="24" t="n">
        <v>0</v>
      </c>
      <c r="AEX295" s="24" t="n">
        <v>0</v>
      </c>
      <c r="AEY295" s="24" t="n">
        <v>0</v>
      </c>
      <c r="AEZ295" s="24" t="n">
        <v>35.2</v>
      </c>
      <c r="AFA295" s="24" t="n">
        <v>15.96</v>
      </c>
      <c r="AFB295" s="24" t="n">
        <v>39.09</v>
      </c>
      <c r="AFC295" s="24" t="n">
        <v>0.32</v>
      </c>
      <c r="AFD295" s="24" t="n">
        <v>0</v>
      </c>
      <c r="AFE295" s="24" t="n">
        <v>0</v>
      </c>
      <c r="AFF295" s="24" t="n">
        <v>0</v>
      </c>
      <c r="AFS295" s="24" t="n">
        <v>14.4</v>
      </c>
      <c r="AFT295" s="24" t="n">
        <v>1</v>
      </c>
      <c r="AFU295" s="24" t="n">
        <v>30</v>
      </c>
      <c r="AFV295" s="24" t="n">
        <v>5</v>
      </c>
      <c r="AFW295" s="24" t="n">
        <f aca="false">2.94+0.6</f>
        <v>3.54</v>
      </c>
      <c r="AFX295" s="24" t="n">
        <v>3</v>
      </c>
      <c r="AFY295" s="24" t="n">
        <v>34</v>
      </c>
      <c r="AFZ295" s="24" t="n">
        <v>1</v>
      </c>
      <c r="AGA295" s="24" t="n">
        <v>1.65</v>
      </c>
      <c r="AGB295" s="24" t="n">
        <v>1</v>
      </c>
      <c r="AGC295" s="24" t="n">
        <v>52</v>
      </c>
      <c r="AGD295" s="24" t="n">
        <v>6</v>
      </c>
      <c r="AGE295" s="28" t="n">
        <f aca="false">0.7+0.77+0.08+0.05</f>
        <v>1.6</v>
      </c>
      <c r="AGF295" s="24" t="n">
        <v>2</v>
      </c>
      <c r="AGG295" s="24" t="n">
        <v>35</v>
      </c>
      <c r="AGH295" s="24" t="n">
        <v>1</v>
      </c>
      <c r="AGI295" s="24" t="n">
        <v>0.19</v>
      </c>
      <c r="AGJ295" s="24" t="n">
        <v>3</v>
      </c>
      <c r="AGK295" s="24" t="n">
        <v>23</v>
      </c>
      <c r="AGL295" s="24" t="n">
        <v>3</v>
      </c>
      <c r="AGM295" s="24" t="n">
        <f aca="false">0.39+0.77</f>
        <v>1.16</v>
      </c>
      <c r="AGN295" s="24" t="n">
        <v>3</v>
      </c>
      <c r="AGW295" s="24" t="n">
        <v>0</v>
      </c>
      <c r="AIH295" s="27" t="n">
        <v>1.22</v>
      </c>
      <c r="AII295" s="27" t="n">
        <v>1</v>
      </c>
      <c r="AIJ295" s="27" t="n">
        <v>1</v>
      </c>
      <c r="AIK295" s="27"/>
      <c r="AIL295" s="27" t="n">
        <f aca="false">0.97*2+1.07*2</f>
        <v>4.08</v>
      </c>
      <c r="AIM295" s="27"/>
      <c r="AIN295" s="27"/>
      <c r="AIO295" s="27"/>
      <c r="AIP295" s="27"/>
      <c r="AIQ295" s="27"/>
      <c r="AIR295" s="27"/>
      <c r="AIS295" s="27" t="n">
        <v>0</v>
      </c>
      <c r="AIT295" s="27" t="n">
        <v>0</v>
      </c>
      <c r="AIU295" s="27"/>
      <c r="AIV295" s="27"/>
      <c r="AIW295" s="27" t="n">
        <v>0</v>
      </c>
      <c r="AIX295" s="27" t="n">
        <v>0</v>
      </c>
      <c r="AIY295" s="27" t="n">
        <v>1.22</v>
      </c>
      <c r="AIZ295" s="24" t="n">
        <v>0</v>
      </c>
      <c r="AJA295" s="24" t="s">
        <v>693</v>
      </c>
      <c r="AJB295" s="24" t="n">
        <v>33.5</v>
      </c>
      <c r="AJC295" s="27" t="n">
        <v>92.3</v>
      </c>
      <c r="AJD295" s="27" t="n">
        <v>83.4</v>
      </c>
      <c r="AJE295" s="27" t="n">
        <v>19.8</v>
      </c>
      <c r="AJF295" s="24" t="n">
        <v>72.02</v>
      </c>
      <c r="AJG295" s="24" t="n">
        <v>2.2</v>
      </c>
      <c r="AJH295" s="24" t="n">
        <v>7.75</v>
      </c>
      <c r="AJI295" s="24" t="n">
        <v>0</v>
      </c>
      <c r="AJJ295" s="24" t="n">
        <v>5.49</v>
      </c>
      <c r="AJK295" s="24" t="n">
        <v>0</v>
      </c>
      <c r="AJL295" s="24" t="n">
        <v>6.84</v>
      </c>
      <c r="AJM295" s="24" t="n">
        <v>0</v>
      </c>
      <c r="AJN295" s="24" t="n">
        <v>0</v>
      </c>
      <c r="AJO295" s="24" t="n">
        <v>0</v>
      </c>
      <c r="AJP295" s="24" t="n">
        <v>0</v>
      </c>
      <c r="AJQ295" s="24" t="n">
        <v>7.13</v>
      </c>
      <c r="AJR295" s="24" t="n">
        <v>54.84</v>
      </c>
      <c r="AJS295" s="24" t="n">
        <v>10.13</v>
      </c>
      <c r="AJT295" s="24" t="n">
        <v>3.36</v>
      </c>
      <c r="AJU295" s="24" t="n">
        <v>5.7</v>
      </c>
      <c r="AJV295" s="24" t="n">
        <v>0</v>
      </c>
      <c r="AJW295" s="24" t="n">
        <v>0</v>
      </c>
      <c r="AKF295" s="24" t="n">
        <v>2</v>
      </c>
      <c r="AKJ295" s="24" t="n">
        <v>3.4</v>
      </c>
      <c r="AKK295" s="24" t="n">
        <v>1</v>
      </c>
      <c r="AKL295" s="24" t="n">
        <v>34</v>
      </c>
      <c r="AKM295" s="24" t="n">
        <v>1</v>
      </c>
      <c r="AKN295" s="24" t="n">
        <v>1.28</v>
      </c>
      <c r="AKO295" s="24" t="n">
        <v>1</v>
      </c>
      <c r="AKP295" s="24" t="n">
        <v>52</v>
      </c>
      <c r="AKQ295" s="24" t="n">
        <v>1</v>
      </c>
      <c r="AKR295" s="24" t="n">
        <v>0.73</v>
      </c>
      <c r="AKS295" s="24" t="n">
        <v>2</v>
      </c>
      <c r="AKT295" s="24" t="n">
        <v>30</v>
      </c>
      <c r="AKU295" s="24" t="n">
        <v>1</v>
      </c>
      <c r="AKV295" s="28" t="n">
        <v>0.13</v>
      </c>
      <c r="AKW295" s="24" t="n">
        <v>3</v>
      </c>
      <c r="ALN295" s="24" t="n">
        <v>1</v>
      </c>
      <c r="ALO295" s="24" t="n">
        <v>40</v>
      </c>
      <c r="ALP295" s="24" t="n">
        <v>1</v>
      </c>
      <c r="ALQ295" s="24" t="n">
        <v>1.83</v>
      </c>
      <c r="ALR295" s="24" t="n">
        <v>6</v>
      </c>
      <c r="ALS295" s="24" t="n">
        <v>40</v>
      </c>
      <c r="ALT295" s="24" t="n">
        <v>1</v>
      </c>
      <c r="ALU295" s="24" t="n">
        <v>1.65</v>
      </c>
      <c r="ALV295" s="24" t="n">
        <v>3</v>
      </c>
      <c r="ALW295" s="24" t="n">
        <v>40</v>
      </c>
      <c r="ALX295" s="24" t="n">
        <v>1</v>
      </c>
      <c r="ALY295" s="24" t="n">
        <v>1.83</v>
      </c>
      <c r="ALZ295" s="24" t="n">
        <v>4</v>
      </c>
      <c r="AMA295" s="24" t="n">
        <v>40</v>
      </c>
      <c r="AMB295" s="24" t="n">
        <v>4</v>
      </c>
      <c r="AMC295" s="24" t="n">
        <v>0.26</v>
      </c>
      <c r="AMD295" s="24" t="n">
        <v>1</v>
      </c>
    </row>
    <row r="296" customFormat="false" ht="13.8" hidden="false" customHeight="false" outlineLevel="0" collapsed="false">
      <c r="A296" s="22" t="s">
        <v>865</v>
      </c>
      <c r="B296" s="23" t="n">
        <v>42909</v>
      </c>
      <c r="C296" s="24" t="n">
        <v>2</v>
      </c>
      <c r="D296" s="25" t="n">
        <v>42811</v>
      </c>
      <c r="E296" s="23" t="n">
        <v>30831</v>
      </c>
      <c r="F296" s="14" t="n">
        <f aca="false">(B296-E296)/365.25</f>
        <v>33.0677618069815</v>
      </c>
      <c r="G296" s="14" t="n">
        <f aca="false">(B296-D296)/365.25</f>
        <v>0.268309377138946</v>
      </c>
      <c r="H296" s="26" t="s">
        <v>306</v>
      </c>
      <c r="I296" s="21" t="s">
        <v>689</v>
      </c>
      <c r="J296" s="21" t="s">
        <v>183</v>
      </c>
      <c r="K296" s="21" t="n">
        <v>8</v>
      </c>
      <c r="L296" s="26" t="n">
        <v>78</v>
      </c>
      <c r="M296" s="24" t="n">
        <v>1.81</v>
      </c>
      <c r="N296" s="27" t="n">
        <f aca="false">L296/(M296*M296)</f>
        <v>23.8087970452672</v>
      </c>
      <c r="O296" s="26" t="n">
        <v>0</v>
      </c>
      <c r="P296" s="26" t="n">
        <v>0</v>
      </c>
      <c r="Q296" s="26" t="n">
        <v>0</v>
      </c>
      <c r="R296" s="26" t="n">
        <v>1</v>
      </c>
      <c r="S296" s="26" t="n">
        <v>1</v>
      </c>
      <c r="T296" s="26" t="s">
        <v>474</v>
      </c>
      <c r="U296" s="19" t="n">
        <v>0</v>
      </c>
      <c r="V296" s="19" t="n">
        <v>0</v>
      </c>
      <c r="W296" s="26" t="n">
        <v>0</v>
      </c>
      <c r="X296" s="26" t="n">
        <v>0</v>
      </c>
      <c r="Y296" s="26" t="n">
        <v>1</v>
      </c>
      <c r="Z296" s="26" t="n">
        <v>1</v>
      </c>
      <c r="AA296" s="26" t="n">
        <v>90</v>
      </c>
      <c r="AB296" s="26" t="s">
        <v>866</v>
      </c>
      <c r="AC296" s="26" t="n">
        <v>1</v>
      </c>
      <c r="AD296" s="26" t="n">
        <v>10</v>
      </c>
      <c r="AE296" s="26" t="n">
        <v>0</v>
      </c>
      <c r="AF296" s="26" t="n">
        <v>0</v>
      </c>
      <c r="AG296" s="26" t="n">
        <v>0</v>
      </c>
      <c r="AH296" s="26" t="n">
        <v>0</v>
      </c>
      <c r="AI296" s="26" t="n">
        <v>0</v>
      </c>
      <c r="AJ296" s="26" t="n">
        <v>0</v>
      </c>
      <c r="AK296" s="26" t="n">
        <v>0</v>
      </c>
      <c r="AL296" s="26" t="n">
        <v>0</v>
      </c>
      <c r="AM296" s="19" t="n">
        <v>0</v>
      </c>
      <c r="AN296" s="26" t="n">
        <v>0</v>
      </c>
      <c r="AO296" s="26" t="n">
        <v>0</v>
      </c>
      <c r="AP296" s="26" t="n">
        <v>0</v>
      </c>
      <c r="AQ296" s="26" t="n">
        <v>0</v>
      </c>
      <c r="AR296" s="26" t="n">
        <v>0</v>
      </c>
      <c r="AS296" s="26" t="n">
        <v>0</v>
      </c>
      <c r="AT296" s="26" t="n">
        <v>0</v>
      </c>
      <c r="AU296" s="26" t="n">
        <v>0</v>
      </c>
      <c r="AV296" s="26" t="n">
        <v>0</v>
      </c>
      <c r="AW296" s="26" t="n">
        <v>0</v>
      </c>
      <c r="AX296" s="26" t="n">
        <v>0</v>
      </c>
      <c r="AY296" s="26" t="n">
        <v>0</v>
      </c>
      <c r="AZ296" s="26" t="n">
        <v>0</v>
      </c>
      <c r="BA296" s="26" t="n">
        <v>0</v>
      </c>
      <c r="BB296" s="26" t="n">
        <v>0</v>
      </c>
      <c r="BC296" s="26" t="n">
        <v>0</v>
      </c>
      <c r="BD296" s="26" t="n">
        <v>0</v>
      </c>
      <c r="BE296" s="26" t="n">
        <v>0</v>
      </c>
      <c r="BF296" s="26" t="n">
        <v>0</v>
      </c>
      <c r="BG296" s="26" t="n">
        <v>0</v>
      </c>
      <c r="BH296" s="26" t="n">
        <v>0</v>
      </c>
      <c r="BI296" s="26" t="n">
        <v>0</v>
      </c>
      <c r="BJ296" s="26" t="n">
        <v>0</v>
      </c>
      <c r="BK296" s="26" t="n">
        <v>0</v>
      </c>
      <c r="BL296" s="26" t="n">
        <v>0</v>
      </c>
      <c r="BM296" s="26" t="n">
        <v>0</v>
      </c>
      <c r="BN296" s="26" t="n">
        <v>0</v>
      </c>
      <c r="BO296" s="26" t="n">
        <v>0</v>
      </c>
      <c r="BP296" s="26" t="n">
        <v>0</v>
      </c>
      <c r="BQ296" s="26" t="n">
        <v>0</v>
      </c>
      <c r="BR296" s="26" t="n">
        <v>3</v>
      </c>
      <c r="BS296" s="26" t="n">
        <v>2</v>
      </c>
      <c r="BT296" s="26" t="n">
        <v>4</v>
      </c>
      <c r="BU296" s="26" t="n">
        <v>5</v>
      </c>
      <c r="BV296" s="26" t="n">
        <v>3</v>
      </c>
      <c r="BW296" s="26" t="n">
        <v>3</v>
      </c>
      <c r="BX296" s="26" t="n">
        <v>5</v>
      </c>
      <c r="BY296" s="26" t="n">
        <v>5</v>
      </c>
      <c r="BZ296" s="26" t="n">
        <v>3</v>
      </c>
      <c r="CA296" s="26" t="n">
        <v>4</v>
      </c>
      <c r="CB296" s="26" t="n">
        <v>5</v>
      </c>
      <c r="CC296" s="26" t="n">
        <v>5</v>
      </c>
      <c r="CD296" s="26" t="n">
        <v>5</v>
      </c>
      <c r="CE296" s="26" t="n">
        <v>4</v>
      </c>
      <c r="CF296" s="26" t="n">
        <v>4</v>
      </c>
      <c r="CG296" s="26" t="n">
        <v>4</v>
      </c>
      <c r="CH296" s="26" t="n">
        <v>4</v>
      </c>
      <c r="CI296" s="26" t="n">
        <v>4</v>
      </c>
      <c r="CJ296" s="26" t="n">
        <v>4</v>
      </c>
      <c r="CK296" s="26" t="n">
        <v>10</v>
      </c>
      <c r="CL296" s="24" t="s">
        <v>690</v>
      </c>
      <c r="CM296" s="24" t="n">
        <v>38</v>
      </c>
      <c r="CN296" s="27" t="n">
        <v>85.5</v>
      </c>
      <c r="CO296" s="27" t="n">
        <v>83.4</v>
      </c>
      <c r="CP296" s="27" t="n">
        <v>28.7</v>
      </c>
      <c r="CQ296" s="24" t="n">
        <v>61.84</v>
      </c>
      <c r="CR296" s="24" t="n">
        <v>0</v>
      </c>
      <c r="CS296" s="24" t="n">
        <v>0</v>
      </c>
      <c r="CT296" s="24" t="n">
        <v>0</v>
      </c>
      <c r="CU296" s="24" t="n">
        <v>37.42</v>
      </c>
      <c r="CV296" s="24" t="n">
        <v>0</v>
      </c>
      <c r="CW296" s="24" t="n">
        <v>0.73</v>
      </c>
      <c r="CX296" s="24" t="n">
        <v>0</v>
      </c>
      <c r="CY296" s="24" t="n">
        <v>0</v>
      </c>
      <c r="CZ296" s="24" t="n">
        <v>0.74</v>
      </c>
      <c r="DA296" s="24" t="n">
        <v>0</v>
      </c>
      <c r="DB296" s="24" t="n">
        <v>7.34</v>
      </c>
      <c r="DC296" s="24" t="n">
        <v>25.37</v>
      </c>
      <c r="DD296" s="24" t="n">
        <v>15.03</v>
      </c>
      <c r="DE296" s="24" t="n">
        <v>30.09</v>
      </c>
      <c r="DF296" s="24" t="n">
        <v>0</v>
      </c>
      <c r="DG296" s="24" t="n">
        <v>0</v>
      </c>
      <c r="DH296" s="24" t="n">
        <v>0</v>
      </c>
      <c r="DU296" s="24" t="n">
        <v>1.7</v>
      </c>
      <c r="DV296" s="24" t="n">
        <v>0</v>
      </c>
      <c r="EG296" s="28"/>
      <c r="EY296" s="24" t="n">
        <v>1</v>
      </c>
      <c r="EZ296" s="24" t="n">
        <v>50</v>
      </c>
      <c r="FA296" s="24" t="n">
        <v>4</v>
      </c>
      <c r="FB296" s="24" t="n">
        <v>0.46</v>
      </c>
      <c r="FC296" s="24" t="n">
        <v>6</v>
      </c>
      <c r="FD296" s="24" t="n">
        <v>40</v>
      </c>
      <c r="FE296" s="24" t="n">
        <v>10</v>
      </c>
      <c r="FF296" s="24" t="n">
        <f aca="false">0.17*2+0.06+0.07</f>
        <v>0.47</v>
      </c>
      <c r="FG296" s="24" t="n">
        <v>1</v>
      </c>
      <c r="FH296" s="24" t="n">
        <v>40</v>
      </c>
      <c r="FI296" s="24" t="n">
        <v>10</v>
      </c>
      <c r="FJ296" s="24" t="n">
        <f aca="false">0.17*2+0.07*2+0.03</f>
        <v>0.51</v>
      </c>
      <c r="FK296" s="24" t="n">
        <v>6</v>
      </c>
      <c r="FL296" s="24" t="n">
        <v>60</v>
      </c>
      <c r="FM296" s="24" t="n">
        <v>6</v>
      </c>
      <c r="FN296" s="24" t="n">
        <f aca="false">4.4*2+0.39*2+0.26</f>
        <v>9.84</v>
      </c>
      <c r="FO296" s="24" t="n">
        <v>3</v>
      </c>
      <c r="GJ296" s="27" t="n">
        <v>1.55</v>
      </c>
      <c r="GK296" s="27" t="n">
        <v>1</v>
      </c>
      <c r="GL296" s="27" t="n">
        <v>1</v>
      </c>
      <c r="GM296" s="27"/>
      <c r="GN296" s="27" t="n">
        <f aca="false">1.65*2</f>
        <v>3.3</v>
      </c>
      <c r="GO296" s="27" t="n">
        <v>2</v>
      </c>
      <c r="GP296" s="27"/>
      <c r="GQ296" s="27" t="n">
        <v>0.54</v>
      </c>
      <c r="GR296" s="27"/>
      <c r="GS296" s="27"/>
      <c r="GT296" s="27"/>
      <c r="GU296" s="27" t="n">
        <v>5.74</v>
      </c>
      <c r="GV296" s="27" t="n">
        <v>3.64</v>
      </c>
      <c r="GW296" s="27"/>
      <c r="GX296" s="27"/>
      <c r="GY296" s="27" t="n">
        <v>0</v>
      </c>
      <c r="GZ296" s="27" t="n">
        <v>0</v>
      </c>
      <c r="HA296" s="27" t="n">
        <v>0</v>
      </c>
      <c r="HB296" s="24" t="n">
        <v>0</v>
      </c>
      <c r="HC296" s="24" t="s">
        <v>691</v>
      </c>
      <c r="HD296" s="24" t="n">
        <v>63.5</v>
      </c>
      <c r="HE296" s="27" t="n">
        <v>98.9</v>
      </c>
      <c r="HF296" s="27" t="n">
        <v>83.4</v>
      </c>
      <c r="HG296" s="27" t="n">
        <v>51</v>
      </c>
      <c r="HH296" s="24" t="n">
        <v>53.65</v>
      </c>
      <c r="HI296" s="24" t="n">
        <v>0</v>
      </c>
      <c r="HJ296" s="24" t="n">
        <v>11.99</v>
      </c>
      <c r="HK296" s="24" t="n">
        <v>24.1</v>
      </c>
      <c r="HL296" s="24" t="n">
        <v>10.26</v>
      </c>
      <c r="HM296" s="24" t="n">
        <v>0</v>
      </c>
      <c r="HN296" s="24" t="n">
        <v>0</v>
      </c>
      <c r="HO296" s="24" t="n">
        <v>0</v>
      </c>
      <c r="HP296" s="24" t="n">
        <v>0</v>
      </c>
      <c r="HQ296" s="24" t="n">
        <v>0</v>
      </c>
      <c r="HR296" s="24" t="n">
        <v>0</v>
      </c>
      <c r="HS296" s="24" t="n">
        <v>9.1</v>
      </c>
      <c r="HT296" s="24" t="n">
        <v>26.31</v>
      </c>
      <c r="HU296" s="24" t="n">
        <v>5.53</v>
      </c>
      <c r="HV296" s="24" t="n">
        <v>0.94</v>
      </c>
      <c r="HW296" s="24" t="n">
        <v>0</v>
      </c>
      <c r="HX296" s="24" t="n">
        <v>0</v>
      </c>
      <c r="HY296" s="24" t="n">
        <v>0</v>
      </c>
      <c r="IL296" s="24" t="n">
        <v>6.1</v>
      </c>
      <c r="IM296" s="24" t="n">
        <v>0</v>
      </c>
      <c r="IX296" s="28"/>
      <c r="JP296" s="24" t="n">
        <v>1</v>
      </c>
      <c r="JQ296" s="24" t="n">
        <v>50</v>
      </c>
      <c r="JR296" s="24" t="n">
        <v>1</v>
      </c>
      <c r="JS296" s="24" t="n">
        <v>0.39</v>
      </c>
      <c r="JT296" s="24" t="n">
        <v>3</v>
      </c>
      <c r="JU296" s="24" t="n">
        <v>50</v>
      </c>
      <c r="JV296" s="24" t="n">
        <v>2</v>
      </c>
      <c r="JW296" s="24" t="n">
        <f aca="false">0.19+0.23</f>
        <v>0.42</v>
      </c>
      <c r="JX296" s="24" t="n">
        <v>4</v>
      </c>
      <c r="JY296" s="24" t="n">
        <v>60</v>
      </c>
      <c r="JZ296" s="24" t="n">
        <v>12</v>
      </c>
      <c r="KA296" s="24" t="n">
        <f aca="false">0.78*2</f>
        <v>1.56</v>
      </c>
      <c r="KB296" s="24" t="n">
        <v>6</v>
      </c>
      <c r="LA296" s="27" t="n">
        <v>5.39</v>
      </c>
      <c r="LB296" s="27" t="n">
        <v>1</v>
      </c>
      <c r="LC296" s="27" t="n">
        <v>1</v>
      </c>
      <c r="LD296" s="27"/>
      <c r="LE296" s="27" t="n">
        <f aca="false">2.04*3+0.36*2</f>
        <v>6.84</v>
      </c>
      <c r="LF296" s="27" t="n">
        <v>2</v>
      </c>
      <c r="LG296" s="27"/>
      <c r="LH296" s="27" t="n">
        <f aca="false">0.72*2+0.36</f>
        <v>1.8</v>
      </c>
      <c r="LI296" s="27" t="n">
        <v>3</v>
      </c>
      <c r="LJ296" s="27"/>
      <c r="LK296" s="27" t="n">
        <v>0.5</v>
      </c>
      <c r="LL296" s="27" t="n">
        <v>0.94</v>
      </c>
      <c r="LM296" s="27" t="n">
        <v>0.94</v>
      </c>
      <c r="LN296" s="27"/>
      <c r="LO296" s="27"/>
      <c r="LP296" s="27" t="n">
        <v>0</v>
      </c>
      <c r="LQ296" s="27" t="n">
        <v>0</v>
      </c>
      <c r="LR296" s="27" t="n">
        <v>0</v>
      </c>
      <c r="LS296" s="24" t="n">
        <v>0</v>
      </c>
      <c r="LT296" s="24" t="s">
        <v>692</v>
      </c>
      <c r="LU296" s="24" t="n">
        <v>30.5</v>
      </c>
      <c r="LV296" s="27" t="n">
        <v>69.11</v>
      </c>
      <c r="LW296" s="27" t="n">
        <v>83.4</v>
      </c>
      <c r="LX296" s="27" t="n">
        <v>18.1</v>
      </c>
      <c r="LY296" s="24" t="n">
        <v>79.03</v>
      </c>
      <c r="LZ296" s="24" t="n">
        <v>0.45</v>
      </c>
      <c r="MA296" s="24" t="n">
        <v>0</v>
      </c>
      <c r="MB296" s="24" t="n">
        <v>0</v>
      </c>
      <c r="MC296" s="24" t="n">
        <v>20.52</v>
      </c>
      <c r="MD296" s="24" t="n">
        <v>0</v>
      </c>
      <c r="ME296" s="24" t="n">
        <v>0</v>
      </c>
      <c r="MF296" s="24" t="n">
        <v>0</v>
      </c>
      <c r="MG296" s="24" t="n">
        <v>0</v>
      </c>
      <c r="MH296" s="24" t="n">
        <v>0</v>
      </c>
      <c r="MI296" s="24" t="n">
        <v>0</v>
      </c>
      <c r="MJ296" s="24" t="n">
        <v>0</v>
      </c>
      <c r="MK296" s="24" t="n">
        <v>12.58</v>
      </c>
      <c r="ML296" s="24" t="n">
        <v>17.94</v>
      </c>
      <c r="MM296" s="24" t="n">
        <v>18.04</v>
      </c>
      <c r="MN296" s="24" t="n">
        <v>0</v>
      </c>
      <c r="MO296" s="24" t="n">
        <v>0</v>
      </c>
      <c r="MP296" s="24" t="n">
        <v>0</v>
      </c>
      <c r="NC296" s="24" t="n">
        <v>8.1</v>
      </c>
      <c r="ND296" s="24" t="n">
        <v>1</v>
      </c>
      <c r="NE296" s="24" t="n">
        <v>35</v>
      </c>
      <c r="NF296" s="24" t="n">
        <v>4</v>
      </c>
      <c r="NG296" s="24" t="n">
        <f aca="false">2.2+0.39</f>
        <v>2.59</v>
      </c>
      <c r="NH296" s="24" t="n">
        <v>3</v>
      </c>
      <c r="NO296" s="28"/>
      <c r="OG296" s="24" t="n">
        <v>1</v>
      </c>
      <c r="OH296" s="24" t="n">
        <v>60</v>
      </c>
      <c r="OI296" s="24" t="n">
        <v>1</v>
      </c>
      <c r="OJ296" s="24" t="n">
        <v>0.73</v>
      </c>
      <c r="OK296" s="24" t="n">
        <v>3</v>
      </c>
      <c r="PR296" s="27" t="n">
        <v>3.89</v>
      </c>
      <c r="PS296" s="27" t="n">
        <v>1</v>
      </c>
      <c r="PT296" s="27" t="n">
        <v>1</v>
      </c>
      <c r="PU296" s="27"/>
      <c r="PV296" s="27" t="n">
        <f aca="false">0.14*2+0.21*2</f>
        <v>0.7</v>
      </c>
      <c r="PW296" s="27" t="n">
        <v>2</v>
      </c>
      <c r="PX296" s="27"/>
      <c r="PY296" s="27" t="n">
        <f aca="false">1.65*2</f>
        <v>3.3</v>
      </c>
      <c r="PZ296" s="27"/>
      <c r="QA296" s="27"/>
      <c r="QB296" s="27"/>
      <c r="QC296" s="27" t="n">
        <v>0</v>
      </c>
      <c r="QD296" s="27" t="n">
        <v>0</v>
      </c>
      <c r="QE296" s="27"/>
      <c r="QF296" s="27"/>
      <c r="QG296" s="27" t="n">
        <v>0</v>
      </c>
      <c r="QH296" s="27" t="n">
        <v>0</v>
      </c>
      <c r="QI296" s="27" t="n">
        <v>0</v>
      </c>
      <c r="QJ296" s="24" t="n">
        <v>0</v>
      </c>
      <c r="QK296" s="24" t="s">
        <v>697</v>
      </c>
      <c r="QL296" s="24" t="n">
        <v>42.5</v>
      </c>
      <c r="QM296" s="27" t="n">
        <v>92.2</v>
      </c>
      <c r="QN296" s="27" t="n">
        <v>83.4</v>
      </c>
      <c r="QO296" s="27" t="n">
        <v>33.5</v>
      </c>
      <c r="QP296" s="24" t="n">
        <v>25.89</v>
      </c>
      <c r="QQ296" s="24" t="n">
        <v>0</v>
      </c>
      <c r="QR296" s="24" t="n">
        <v>0</v>
      </c>
      <c r="QS296" s="24" t="n">
        <v>0</v>
      </c>
      <c r="QT296" s="24" t="n">
        <v>0</v>
      </c>
      <c r="QU296" s="24" t="n">
        <v>0</v>
      </c>
      <c r="QV296" s="24" t="n">
        <v>74.11</v>
      </c>
      <c r="QW296" s="24" t="n">
        <v>25.43</v>
      </c>
      <c r="QX296" s="24" t="n">
        <v>9.72</v>
      </c>
      <c r="QY296" s="24" t="n">
        <v>2.94</v>
      </c>
      <c r="QZ296" s="24" t="n">
        <v>0</v>
      </c>
      <c r="RA296" s="24" t="n">
        <v>11.38</v>
      </c>
      <c r="RB296" s="24" t="n">
        <v>16.89</v>
      </c>
      <c r="RC296" s="24" t="n">
        <v>27.26</v>
      </c>
      <c r="RD296" s="24" t="n">
        <v>0</v>
      </c>
      <c r="RE296" s="24" t="n">
        <v>0</v>
      </c>
      <c r="RF296" s="24" t="n">
        <v>0</v>
      </c>
      <c r="RG296" s="24" t="n">
        <v>0</v>
      </c>
      <c r="RT296" s="24" t="n">
        <v>3.6</v>
      </c>
      <c r="RU296" s="24" t="n">
        <v>1</v>
      </c>
      <c r="RV296" s="24" t="n">
        <v>35</v>
      </c>
      <c r="RW296" s="24" t="n">
        <v>6</v>
      </c>
      <c r="RX296" s="24" t="n">
        <f aca="false">0.13*4</f>
        <v>0.52</v>
      </c>
      <c r="RY296" s="24" t="n">
        <v>3</v>
      </c>
      <c r="RZ296" s="24" t="n">
        <v>25</v>
      </c>
      <c r="SA296" s="24" t="n">
        <v>2</v>
      </c>
      <c r="SB296" s="24" t="n">
        <f aca="false">0.13*2</f>
        <v>0.26</v>
      </c>
      <c r="SC296" s="24" t="n">
        <v>4</v>
      </c>
      <c r="SF296" s="28"/>
      <c r="SX296" s="24" t="n">
        <v>0</v>
      </c>
      <c r="UI296" s="27" t="n">
        <v>3.01</v>
      </c>
      <c r="UJ296" s="27" t="n">
        <v>1</v>
      </c>
      <c r="UK296" s="27" t="n">
        <v>1</v>
      </c>
      <c r="UL296" s="27"/>
      <c r="UM296" s="27" t="n">
        <f aca="false">1.65*5+0.13*2+0.36+0.18</f>
        <v>9.05</v>
      </c>
      <c r="UN296" s="27"/>
      <c r="UO296" s="27"/>
      <c r="UP296" s="27"/>
      <c r="UQ296" s="27"/>
      <c r="UR296" s="27"/>
      <c r="US296" s="27"/>
      <c r="UT296" s="27" t="n">
        <v>2.16</v>
      </c>
      <c r="UU296" s="27" t="n">
        <v>0.52</v>
      </c>
      <c r="UV296" s="27"/>
      <c r="UW296" s="27"/>
      <c r="UX296" s="27" t="n">
        <v>0</v>
      </c>
      <c r="UY296" s="27" t="n">
        <v>0</v>
      </c>
      <c r="UZ296" s="27" t="n">
        <v>0</v>
      </c>
      <c r="VA296" s="24" t="n">
        <v>0</v>
      </c>
      <c r="VB296" s="24" t="s">
        <v>698</v>
      </c>
      <c r="VC296" s="24" t="n">
        <v>37</v>
      </c>
      <c r="VD296" s="27" t="n">
        <v>86.3</v>
      </c>
      <c r="VE296" s="27" t="n">
        <v>83.4</v>
      </c>
      <c r="VF296" s="27" t="n">
        <v>31.3</v>
      </c>
      <c r="VG296" s="24" t="n">
        <v>24.09</v>
      </c>
      <c r="VH296" s="24" t="n">
        <v>0</v>
      </c>
      <c r="VI296" s="24" t="n">
        <v>0</v>
      </c>
      <c r="VJ296" s="24" t="n">
        <v>0</v>
      </c>
      <c r="VK296" s="24" t="n">
        <v>0</v>
      </c>
      <c r="VL296" s="24" t="n">
        <v>0</v>
      </c>
      <c r="VM296" s="24" t="n">
        <v>75.91</v>
      </c>
      <c r="VN296" s="24" t="n">
        <v>21.83</v>
      </c>
      <c r="VO296" s="24" t="n">
        <v>8.63</v>
      </c>
      <c r="VP296" s="24" t="n">
        <v>2.94</v>
      </c>
      <c r="VQ296" s="24" t="n">
        <v>0</v>
      </c>
      <c r="VR296" s="24" t="n">
        <v>13.66</v>
      </c>
      <c r="VS296" s="24" t="n">
        <v>10.54</v>
      </c>
      <c r="VT296" s="24" t="n">
        <v>28.39</v>
      </c>
      <c r="VU296" s="24" t="n">
        <v>0</v>
      </c>
      <c r="VV296" s="24" t="n">
        <v>0</v>
      </c>
      <c r="VW296" s="24" t="n">
        <v>0</v>
      </c>
      <c r="VX296" s="24" t="n">
        <v>0</v>
      </c>
      <c r="WK296" s="24" t="n">
        <v>2.7</v>
      </c>
      <c r="WL296" s="24" t="n">
        <v>1</v>
      </c>
      <c r="WM296" s="24" t="n">
        <v>52</v>
      </c>
      <c r="WN296" s="24" t="n">
        <v>1</v>
      </c>
      <c r="WO296" s="24" t="n">
        <v>0.39</v>
      </c>
      <c r="WP296" s="24" t="n">
        <v>2</v>
      </c>
      <c r="WQ296" s="24" t="n">
        <v>35</v>
      </c>
      <c r="WR296" s="24" t="n">
        <v>4</v>
      </c>
      <c r="WS296" s="24" t="n">
        <v>0.26</v>
      </c>
      <c r="WT296" s="24" t="n">
        <v>3</v>
      </c>
      <c r="WW296" s="28"/>
      <c r="XO296" s="24" t="n">
        <v>0</v>
      </c>
      <c r="YZ296" s="27" t="n">
        <v>2.83</v>
      </c>
      <c r="ZA296" s="27" t="n">
        <v>1</v>
      </c>
      <c r="ZB296" s="27" t="n">
        <v>1</v>
      </c>
      <c r="ZC296" s="27"/>
      <c r="ZD296" s="27" t="n">
        <f aca="false">1.65*5</f>
        <v>8.25</v>
      </c>
      <c r="ZE296" s="27"/>
      <c r="ZF296" s="27"/>
      <c r="ZG296" s="27"/>
      <c r="ZH296" s="27"/>
      <c r="ZI296" s="27"/>
      <c r="ZJ296" s="27"/>
      <c r="ZK296" s="27" t="n">
        <v>0</v>
      </c>
      <c r="ZL296" s="27" t="n">
        <v>0</v>
      </c>
      <c r="ZM296" s="27"/>
      <c r="ZN296" s="27"/>
      <c r="ZO296" s="27" t="n">
        <v>0</v>
      </c>
      <c r="ZP296" s="27" t="n">
        <v>0</v>
      </c>
      <c r="ZQ296" s="27" t="n">
        <v>0</v>
      </c>
      <c r="ZR296" s="24" t="n">
        <v>0</v>
      </c>
      <c r="ZS296" s="24" t="s">
        <v>702</v>
      </c>
      <c r="ZT296" s="24" t="n">
        <v>43.5</v>
      </c>
      <c r="ZU296" s="27" t="n">
        <v>73.8</v>
      </c>
      <c r="ZV296" s="27" t="n">
        <v>83.4</v>
      </c>
      <c r="ZW296" s="27" t="n">
        <v>26.5</v>
      </c>
      <c r="ZX296" s="24" t="n">
        <v>20.2</v>
      </c>
      <c r="ZY296" s="24" t="n">
        <v>0</v>
      </c>
      <c r="ZZ296" s="24" t="n">
        <v>26.95</v>
      </c>
      <c r="AAA296" s="24" t="n">
        <v>0</v>
      </c>
      <c r="AAB296" s="24" t="n">
        <v>0.39</v>
      </c>
      <c r="AAC296" s="24" t="n">
        <v>0</v>
      </c>
      <c r="AAD296" s="24" t="n">
        <v>79.41</v>
      </c>
      <c r="AAE296" s="24" t="n">
        <v>26.95</v>
      </c>
      <c r="AAF296" s="24" t="n">
        <v>0</v>
      </c>
      <c r="AAG296" s="24" t="n">
        <v>0</v>
      </c>
      <c r="AAH296" s="24" t="n">
        <v>0</v>
      </c>
      <c r="AAI296" s="24" t="n">
        <v>35.2</v>
      </c>
      <c r="AAJ296" s="24" t="n">
        <v>15.96</v>
      </c>
      <c r="AAK296" s="24" t="n">
        <v>39.09</v>
      </c>
      <c r="AAL296" s="24" t="n">
        <v>0.32</v>
      </c>
      <c r="AAM296" s="24" t="n">
        <v>0</v>
      </c>
      <c r="AAN296" s="24" t="n">
        <v>0</v>
      </c>
      <c r="AAO296" s="24" t="n">
        <v>0</v>
      </c>
      <c r="ABB296" s="24" t="n">
        <v>14.4</v>
      </c>
      <c r="ABC296" s="24" t="n">
        <v>1</v>
      </c>
      <c r="ABD296" s="24" t="n">
        <v>30</v>
      </c>
      <c r="ABE296" s="24" t="n">
        <v>5</v>
      </c>
      <c r="ABF296" s="24" t="n">
        <f aca="false">2.94+0.6</f>
        <v>3.54</v>
      </c>
      <c r="ABG296" s="24" t="n">
        <v>3</v>
      </c>
      <c r="ABH296" s="24" t="n">
        <v>34</v>
      </c>
      <c r="ABI296" s="24" t="n">
        <v>1</v>
      </c>
      <c r="ABJ296" s="24" t="n">
        <v>1.65</v>
      </c>
      <c r="ABK296" s="24" t="n">
        <v>1</v>
      </c>
      <c r="ABL296" s="24" t="n">
        <v>52</v>
      </c>
      <c r="ABM296" s="24" t="n">
        <v>6</v>
      </c>
      <c r="ABN296" s="28" t="n">
        <f aca="false">0.7+0.77+0.08+0.05</f>
        <v>1.6</v>
      </c>
      <c r="ABO296" s="24" t="n">
        <v>2</v>
      </c>
      <c r="ABP296" s="24" t="n">
        <v>35</v>
      </c>
      <c r="ABQ296" s="24" t="n">
        <v>1</v>
      </c>
      <c r="ABR296" s="24" t="n">
        <v>0.19</v>
      </c>
      <c r="ABS296" s="24" t="n">
        <v>3</v>
      </c>
      <c r="ABT296" s="24" t="n">
        <v>23</v>
      </c>
      <c r="ABU296" s="24" t="n">
        <v>3</v>
      </c>
      <c r="ABV296" s="24" t="n">
        <f aca="false">0.39+0.77</f>
        <v>1.16</v>
      </c>
      <c r="ABW296" s="24" t="n">
        <v>3</v>
      </c>
      <c r="ACF296" s="24" t="n">
        <v>0</v>
      </c>
      <c r="ADQ296" s="27" t="n">
        <v>1.22</v>
      </c>
      <c r="ADR296" s="27" t="n">
        <v>1</v>
      </c>
      <c r="ADS296" s="27" t="n">
        <v>1</v>
      </c>
      <c r="ADT296" s="27"/>
      <c r="ADU296" s="27" t="n">
        <f aca="false">0.97*2+1.07*2</f>
        <v>4.08</v>
      </c>
      <c r="ADV296" s="27"/>
      <c r="ADW296" s="27"/>
      <c r="ADX296" s="27"/>
      <c r="ADY296" s="27"/>
      <c r="ADZ296" s="27"/>
      <c r="AEA296" s="27"/>
      <c r="AEB296" s="27" t="n">
        <v>0</v>
      </c>
      <c r="AEC296" s="27" t="n">
        <v>0</v>
      </c>
      <c r="AED296" s="27"/>
      <c r="AEE296" s="27"/>
      <c r="AEF296" s="27" t="n">
        <v>0</v>
      </c>
      <c r="AEG296" s="27" t="n">
        <v>0</v>
      </c>
      <c r="AEH296" s="27" t="n">
        <v>1.22</v>
      </c>
      <c r="AEI296" s="24" t="n">
        <v>0</v>
      </c>
      <c r="AEJ296" s="24" t="s">
        <v>693</v>
      </c>
      <c r="AEK296" s="24" t="n">
        <v>33.5</v>
      </c>
      <c r="AEL296" s="27" t="n">
        <v>92.3</v>
      </c>
      <c r="AEM296" s="27" t="n">
        <v>83.4</v>
      </c>
      <c r="AEN296" s="27" t="n">
        <v>19.8</v>
      </c>
      <c r="AEO296" s="24" t="n">
        <v>72.02</v>
      </c>
      <c r="AEP296" s="24" t="n">
        <v>2.2</v>
      </c>
      <c r="AEQ296" s="24" t="n">
        <v>7.75</v>
      </c>
      <c r="AER296" s="24" t="n">
        <v>0</v>
      </c>
      <c r="AES296" s="24" t="n">
        <v>5.49</v>
      </c>
      <c r="AET296" s="24" t="n">
        <v>0</v>
      </c>
      <c r="AEU296" s="24" t="n">
        <v>6.84</v>
      </c>
      <c r="AEV296" s="24" t="n">
        <v>0</v>
      </c>
      <c r="AEW296" s="24" t="n">
        <v>0</v>
      </c>
      <c r="AEX296" s="24" t="n">
        <v>0</v>
      </c>
      <c r="AEY296" s="24" t="n">
        <v>0</v>
      </c>
      <c r="AEZ296" s="24" t="n">
        <v>7.13</v>
      </c>
      <c r="AFA296" s="24" t="n">
        <v>54.84</v>
      </c>
      <c r="AFB296" s="24" t="n">
        <v>10.13</v>
      </c>
      <c r="AFC296" s="24" t="n">
        <v>3.36</v>
      </c>
      <c r="AFD296" s="24" t="n">
        <v>5.7</v>
      </c>
      <c r="AFE296" s="24" t="n">
        <v>0</v>
      </c>
      <c r="AFF296" s="24" t="n">
        <v>0</v>
      </c>
      <c r="AFO296" s="24" t="n">
        <v>2</v>
      </c>
      <c r="AFS296" s="24" t="n">
        <v>3.4</v>
      </c>
      <c r="AFT296" s="24" t="n">
        <v>1</v>
      </c>
      <c r="AFU296" s="24" t="n">
        <v>34</v>
      </c>
      <c r="AFV296" s="24" t="n">
        <v>1</v>
      </c>
      <c r="AFW296" s="24" t="n">
        <v>1.28</v>
      </c>
      <c r="AFX296" s="24" t="n">
        <v>1</v>
      </c>
      <c r="AFY296" s="24" t="n">
        <v>52</v>
      </c>
      <c r="AFZ296" s="24" t="n">
        <v>1</v>
      </c>
      <c r="AGA296" s="24" t="n">
        <v>0.73</v>
      </c>
      <c r="AGB296" s="24" t="n">
        <v>2</v>
      </c>
      <c r="AGC296" s="24" t="n">
        <v>30</v>
      </c>
      <c r="AGD296" s="24" t="n">
        <v>1</v>
      </c>
      <c r="AGE296" s="28" t="n">
        <v>0.13</v>
      </c>
      <c r="AGF296" s="24" t="n">
        <v>3</v>
      </c>
      <c r="AGW296" s="24" t="n">
        <v>1</v>
      </c>
      <c r="AGX296" s="24" t="n">
        <v>40</v>
      </c>
      <c r="AGY296" s="24" t="n">
        <v>1</v>
      </c>
      <c r="AGZ296" s="24" t="n">
        <v>1.83</v>
      </c>
      <c r="AHA296" s="24" t="n">
        <v>6</v>
      </c>
      <c r="AHB296" s="24" t="n">
        <v>40</v>
      </c>
      <c r="AHC296" s="24" t="n">
        <v>1</v>
      </c>
      <c r="AHD296" s="24" t="n">
        <v>1.65</v>
      </c>
      <c r="AHE296" s="24" t="n">
        <v>3</v>
      </c>
      <c r="AHF296" s="24" t="n">
        <v>40</v>
      </c>
      <c r="AHG296" s="24" t="n">
        <v>1</v>
      </c>
      <c r="AHH296" s="24" t="n">
        <v>1.83</v>
      </c>
      <c r="AHI296" s="24" t="n">
        <v>4</v>
      </c>
      <c r="AHJ296" s="24" t="n">
        <v>40</v>
      </c>
      <c r="AHK296" s="24" t="n">
        <v>4</v>
      </c>
      <c r="AHL296" s="24" t="n">
        <v>0.26</v>
      </c>
      <c r="AHM296" s="24" t="n">
        <v>1</v>
      </c>
      <c r="AIH296" s="27" t="n">
        <v>3.89</v>
      </c>
      <c r="AII296" s="27" t="n">
        <v>1</v>
      </c>
      <c r="AIJ296" s="27" t="n">
        <v>1</v>
      </c>
      <c r="AIK296" s="27"/>
      <c r="AIL296" s="27" t="n">
        <f aca="false">0.36*2</f>
        <v>0.72</v>
      </c>
      <c r="AIM296" s="27" t="n">
        <v>2</v>
      </c>
      <c r="AIN296" s="27"/>
      <c r="AIO296" s="27" t="n">
        <f aca="false">2.04*2</f>
        <v>4.08</v>
      </c>
      <c r="AIP296" s="27"/>
      <c r="AIQ296" s="27"/>
      <c r="AIR296" s="27"/>
      <c r="AIS296" s="27" t="n">
        <v>3.27</v>
      </c>
      <c r="AIT296" s="27" t="n">
        <v>2.46</v>
      </c>
      <c r="AIU296" s="27"/>
      <c r="AIV296" s="27"/>
      <c r="AIW296" s="27" t="n">
        <v>2.88</v>
      </c>
      <c r="AIX296" s="27" t="n">
        <v>4.14</v>
      </c>
      <c r="AIY296" s="27" t="n">
        <v>0</v>
      </c>
      <c r="AIZ296" s="24" t="n">
        <v>0</v>
      </c>
      <c r="AJA296" s="24" t="s">
        <v>699</v>
      </c>
      <c r="AJB296" s="24" t="n">
        <v>44.5</v>
      </c>
      <c r="AJC296" s="27" t="n">
        <v>101.7</v>
      </c>
      <c r="AJD296" s="27" t="n">
        <v>83.4</v>
      </c>
      <c r="AJE296" s="27" t="n">
        <v>22.5</v>
      </c>
      <c r="AJF296" s="24" t="n">
        <v>75.78</v>
      </c>
      <c r="AJG296" s="24" t="n">
        <v>0</v>
      </c>
      <c r="AJH296" s="24" t="n">
        <v>2.04</v>
      </c>
      <c r="AJI296" s="24" t="n">
        <v>0</v>
      </c>
      <c r="AJJ296" s="24" t="n">
        <v>8.57</v>
      </c>
      <c r="AJK296" s="24" t="n">
        <v>0</v>
      </c>
      <c r="AJL296" s="24" t="n">
        <v>2.21</v>
      </c>
      <c r="AJM296" s="24" t="n">
        <v>0</v>
      </c>
      <c r="AJN296" s="24" t="n">
        <v>1.1</v>
      </c>
      <c r="AJO296" s="24" t="n">
        <v>0</v>
      </c>
      <c r="AJP296" s="24" t="n">
        <v>0</v>
      </c>
      <c r="AJQ296" s="24" t="n">
        <v>1.61</v>
      </c>
      <c r="AJR296" s="24" t="n">
        <v>54.76</v>
      </c>
      <c r="AJS296" s="24" t="n">
        <v>16</v>
      </c>
      <c r="AJT296" s="24" t="n">
        <v>6.05</v>
      </c>
      <c r="AJU296" s="24" t="n">
        <v>10.83</v>
      </c>
      <c r="AJV296" s="24" t="n">
        <v>10.1</v>
      </c>
      <c r="AJW296" s="24" t="n">
        <v>1</v>
      </c>
      <c r="AJX296" s="24" t="n">
        <v>2</v>
      </c>
      <c r="AJZ296" s="24" t="n">
        <v>3</v>
      </c>
      <c r="AKA296" s="24" t="n">
        <v>5</v>
      </c>
      <c r="AKC296" s="24" t="n">
        <v>1</v>
      </c>
      <c r="AKD296" s="24" t="n">
        <v>3</v>
      </c>
      <c r="AKF296" s="24" t="n">
        <v>1</v>
      </c>
      <c r="AKJ296" s="24" t="n">
        <v>3</v>
      </c>
      <c r="AKK296" s="24" t="n">
        <v>1</v>
      </c>
      <c r="AKL296" s="24" t="n">
        <v>52</v>
      </c>
      <c r="AKM296" s="24" t="n">
        <v>1</v>
      </c>
      <c r="AKN296" s="24" t="n">
        <v>0.73</v>
      </c>
      <c r="AKO296" s="24" t="n">
        <v>2</v>
      </c>
      <c r="AKP296" s="24" t="n">
        <v>34</v>
      </c>
      <c r="AKQ296" s="24" t="n">
        <v>1</v>
      </c>
      <c r="AKR296" s="24" t="n">
        <v>1.28</v>
      </c>
      <c r="AKS296" s="24" t="n">
        <v>1</v>
      </c>
      <c r="AKV296" s="28"/>
      <c r="ALN296" s="24" t="n">
        <v>1</v>
      </c>
      <c r="ALO296" s="24" t="n">
        <v>40</v>
      </c>
      <c r="ALP296" s="24" t="n">
        <v>1</v>
      </c>
      <c r="ALQ296" s="24" t="n">
        <v>1.83</v>
      </c>
      <c r="ALR296" s="24" t="n">
        <v>6</v>
      </c>
      <c r="ALS296" s="24" t="n">
        <v>40</v>
      </c>
      <c r="ALT296" s="24" t="n">
        <v>1</v>
      </c>
      <c r="ALU296" s="24" t="n">
        <v>1.65</v>
      </c>
      <c r="ALV296" s="24" t="n">
        <v>3</v>
      </c>
      <c r="ALW296" s="24" t="n">
        <v>40</v>
      </c>
      <c r="ALX296" s="24" t="n">
        <v>3</v>
      </c>
      <c r="ALY296" s="24" t="n">
        <f aca="false">0.26+1.83</f>
        <v>2.09</v>
      </c>
      <c r="ALZ296" s="24" t="n">
        <v>4</v>
      </c>
    </row>
    <row r="297" customFormat="false" ht="13.8" hidden="false" customHeight="false" outlineLevel="0" collapsed="false">
      <c r="A297" s="22" t="s">
        <v>867</v>
      </c>
      <c r="B297" s="23" t="n">
        <v>42909</v>
      </c>
      <c r="C297" s="24" t="n">
        <v>2</v>
      </c>
      <c r="D297" s="25" t="n">
        <v>35103</v>
      </c>
      <c r="E297" s="23" t="n">
        <v>27871</v>
      </c>
      <c r="F297" s="14" t="n">
        <f aca="false">(B297-E297)/365.25</f>
        <v>41.1718001368925</v>
      </c>
      <c r="G297" s="14" t="n">
        <f aca="false">(B297-D297)/365.25</f>
        <v>21.3716632443532</v>
      </c>
      <c r="H297" s="26" t="s">
        <v>306</v>
      </c>
      <c r="I297" s="21" t="s">
        <v>689</v>
      </c>
      <c r="J297" s="21" t="s">
        <v>183</v>
      </c>
      <c r="K297" s="21" t="n">
        <v>8</v>
      </c>
      <c r="L297" s="26" t="n">
        <v>68</v>
      </c>
      <c r="M297" s="24" t="n">
        <v>1.69</v>
      </c>
      <c r="N297" s="27" t="n">
        <f aca="false">L297/(M297*M297)</f>
        <v>23.8086901719128</v>
      </c>
      <c r="O297" s="26" t="n">
        <v>0</v>
      </c>
      <c r="P297" s="26" t="n">
        <v>0</v>
      </c>
      <c r="Q297" s="26" t="n">
        <v>0</v>
      </c>
      <c r="R297" s="26" t="n">
        <v>0</v>
      </c>
      <c r="S297" s="26" t="n">
        <v>0</v>
      </c>
      <c r="T297" s="26" t="n">
        <v>0</v>
      </c>
      <c r="U297" s="19" t="n">
        <v>0</v>
      </c>
      <c r="V297" s="19" t="n">
        <v>0</v>
      </c>
      <c r="W297" s="26" t="n">
        <v>0</v>
      </c>
      <c r="X297" s="26" t="n">
        <v>0</v>
      </c>
      <c r="Y297" s="26" t="n">
        <v>1</v>
      </c>
      <c r="Z297" s="26" t="n">
        <v>1</v>
      </c>
      <c r="AA297" s="26" t="n">
        <v>60</v>
      </c>
      <c r="AB297" s="26" t="s">
        <v>284</v>
      </c>
      <c r="AC297" s="26" t="n">
        <v>0</v>
      </c>
      <c r="AD297" s="26" t="n">
        <v>0</v>
      </c>
      <c r="AE297" s="26" t="n">
        <v>1</v>
      </c>
      <c r="AF297" s="26" t="n">
        <v>1</v>
      </c>
      <c r="AG297" s="26" t="n">
        <v>1</v>
      </c>
      <c r="AH297" s="26" t="n">
        <v>7</v>
      </c>
      <c r="AI297" s="26" t="n">
        <v>3</v>
      </c>
      <c r="AJ297" s="26" t="n">
        <v>0</v>
      </c>
      <c r="AK297" s="26" t="n">
        <v>0</v>
      </c>
      <c r="AL297" s="26" t="n">
        <v>0</v>
      </c>
      <c r="AM297" s="19" t="n">
        <v>0</v>
      </c>
      <c r="AN297" s="26" t="n">
        <v>1</v>
      </c>
      <c r="AO297" s="26" t="n">
        <v>0</v>
      </c>
      <c r="AP297" s="26" t="n">
        <v>0</v>
      </c>
      <c r="AQ297" s="26" t="n">
        <v>0</v>
      </c>
      <c r="AR297" s="26" t="n">
        <v>0</v>
      </c>
      <c r="AS297" s="26" t="n">
        <v>3</v>
      </c>
      <c r="AT297" s="26" t="n">
        <v>3</v>
      </c>
      <c r="AU297" s="26" t="n">
        <v>3</v>
      </c>
      <c r="AV297" s="26" t="n">
        <v>7</v>
      </c>
      <c r="AW297" s="26" t="n">
        <v>7</v>
      </c>
      <c r="AX297" s="26" t="n">
        <v>0</v>
      </c>
      <c r="AY297" s="26" t="n">
        <v>0</v>
      </c>
      <c r="AZ297" s="26" t="n">
        <v>0</v>
      </c>
      <c r="BA297" s="26" t="n">
        <v>0</v>
      </c>
      <c r="BB297" s="26" t="n">
        <v>1</v>
      </c>
      <c r="BC297" s="26" t="n">
        <v>1</v>
      </c>
      <c r="BD297" s="26" t="n">
        <v>1</v>
      </c>
      <c r="BE297" s="26" t="n">
        <v>6</v>
      </c>
      <c r="BF297" s="26" t="n">
        <v>0</v>
      </c>
      <c r="BG297" s="26" t="n">
        <v>0</v>
      </c>
      <c r="BH297" s="26" t="n">
        <v>0</v>
      </c>
      <c r="BI297" s="26" t="n">
        <v>0</v>
      </c>
      <c r="BJ297" s="26" t="n">
        <v>1</v>
      </c>
      <c r="BK297" s="26" t="n">
        <v>1</v>
      </c>
      <c r="BL297" s="26" t="n">
        <v>0</v>
      </c>
      <c r="BM297" s="26" t="n">
        <v>0</v>
      </c>
      <c r="BN297" s="26" t="n">
        <v>0</v>
      </c>
      <c r="BO297" s="26" t="n">
        <v>0</v>
      </c>
      <c r="BP297" s="26" t="n">
        <v>0</v>
      </c>
      <c r="BQ297" s="26" t="n">
        <v>0</v>
      </c>
      <c r="BR297" s="26" t="n">
        <v>5</v>
      </c>
      <c r="BS297" s="26" t="n">
        <v>3</v>
      </c>
      <c r="BT297" s="26" t="n">
        <v>5</v>
      </c>
      <c r="BU297" s="26" t="n">
        <v>5</v>
      </c>
      <c r="BV297" s="26" t="n">
        <v>4</v>
      </c>
      <c r="BW297" s="26" t="n">
        <v>5</v>
      </c>
      <c r="BX297" s="26" t="n">
        <v>5</v>
      </c>
      <c r="BY297" s="26" t="n">
        <v>5</v>
      </c>
      <c r="BZ297" s="26" t="n">
        <v>3</v>
      </c>
      <c r="CA297" s="26" t="n">
        <v>3</v>
      </c>
      <c r="CB297" s="26" t="n">
        <v>3</v>
      </c>
      <c r="CC297" s="26" t="n">
        <v>5</v>
      </c>
      <c r="CD297" s="26" t="n">
        <v>4</v>
      </c>
      <c r="CE297" s="26" t="n">
        <v>3</v>
      </c>
      <c r="CF297" s="26" t="n">
        <v>4</v>
      </c>
      <c r="CG297" s="26" t="n">
        <v>4</v>
      </c>
      <c r="CH297" s="26" t="n">
        <v>3</v>
      </c>
      <c r="CI297" s="26" t="n">
        <v>4</v>
      </c>
      <c r="CJ297" s="26" t="n">
        <v>3</v>
      </c>
      <c r="CK297" s="26" t="n">
        <v>7</v>
      </c>
      <c r="CL297" s="24" t="s">
        <v>690</v>
      </c>
      <c r="CM297" s="24" t="n">
        <v>38</v>
      </c>
      <c r="CN297" s="27" t="n">
        <v>85.5</v>
      </c>
      <c r="CO297" s="27" t="n">
        <v>83.4</v>
      </c>
      <c r="CP297" s="27" t="n">
        <v>28.7</v>
      </c>
      <c r="CQ297" s="24" t="n">
        <v>61.84</v>
      </c>
      <c r="CR297" s="24" t="n">
        <v>0</v>
      </c>
      <c r="CS297" s="24" t="n">
        <v>0</v>
      </c>
      <c r="CT297" s="24" t="n">
        <v>0</v>
      </c>
      <c r="CU297" s="24" t="n">
        <v>37.42</v>
      </c>
      <c r="CV297" s="24" t="n">
        <v>0</v>
      </c>
      <c r="CW297" s="24" t="n">
        <v>0.73</v>
      </c>
      <c r="CX297" s="24" t="n">
        <v>0</v>
      </c>
      <c r="CY297" s="24" t="n">
        <v>0</v>
      </c>
      <c r="CZ297" s="24" t="n">
        <v>0.74</v>
      </c>
      <c r="DA297" s="24" t="n">
        <v>0</v>
      </c>
      <c r="DB297" s="24" t="n">
        <v>7.34</v>
      </c>
      <c r="DC297" s="24" t="n">
        <v>25.37</v>
      </c>
      <c r="DD297" s="24" t="n">
        <v>15.03</v>
      </c>
      <c r="DE297" s="24" t="n">
        <v>30.09</v>
      </c>
      <c r="DF297" s="24" t="n">
        <v>0</v>
      </c>
      <c r="DG297" s="24" t="n">
        <v>0</v>
      </c>
      <c r="DH297" s="24" t="n">
        <v>0</v>
      </c>
      <c r="DU297" s="24" t="n">
        <v>1.7</v>
      </c>
      <c r="DV297" s="24" t="n">
        <v>0</v>
      </c>
      <c r="EG297" s="28"/>
      <c r="EY297" s="24" t="n">
        <v>1</v>
      </c>
      <c r="EZ297" s="24" t="n">
        <v>50</v>
      </c>
      <c r="FA297" s="24" t="n">
        <v>4</v>
      </c>
      <c r="FB297" s="24" t="n">
        <v>0.46</v>
      </c>
      <c r="FC297" s="24" t="n">
        <v>6</v>
      </c>
      <c r="FD297" s="24" t="n">
        <v>40</v>
      </c>
      <c r="FE297" s="24" t="n">
        <v>10</v>
      </c>
      <c r="FF297" s="24" t="n">
        <f aca="false">0.17*2+0.06+0.07</f>
        <v>0.47</v>
      </c>
      <c r="FG297" s="24" t="n">
        <v>1</v>
      </c>
      <c r="FH297" s="24" t="n">
        <v>40</v>
      </c>
      <c r="FI297" s="24" t="n">
        <v>10</v>
      </c>
      <c r="FJ297" s="24" t="n">
        <f aca="false">0.17*2+0.07*2+0.03</f>
        <v>0.51</v>
      </c>
      <c r="FK297" s="24" t="n">
        <v>6</v>
      </c>
      <c r="FL297" s="24" t="n">
        <v>60</v>
      </c>
      <c r="FM297" s="24" t="n">
        <v>6</v>
      </c>
      <c r="FN297" s="24" t="n">
        <f aca="false">4.4*2+0.39*2+0.26</f>
        <v>9.84</v>
      </c>
      <c r="FO297" s="24" t="n">
        <v>3</v>
      </c>
      <c r="GJ297" s="27" t="n">
        <v>1.55</v>
      </c>
      <c r="GK297" s="27" t="n">
        <v>1</v>
      </c>
      <c r="GL297" s="27" t="n">
        <v>1</v>
      </c>
      <c r="GM297" s="27"/>
      <c r="GN297" s="27" t="n">
        <f aca="false">1.65*2</f>
        <v>3.3</v>
      </c>
      <c r="GO297" s="27" t="n">
        <v>2</v>
      </c>
      <c r="GP297" s="27"/>
      <c r="GQ297" s="27" t="n">
        <v>0.54</v>
      </c>
      <c r="GR297" s="27"/>
      <c r="GS297" s="27"/>
      <c r="GT297" s="27"/>
      <c r="GU297" s="27" t="n">
        <v>5.74</v>
      </c>
      <c r="GV297" s="27" t="n">
        <v>3.64</v>
      </c>
      <c r="GW297" s="27"/>
      <c r="GX297" s="27"/>
      <c r="GY297" s="27" t="n">
        <v>0</v>
      </c>
      <c r="GZ297" s="27" t="n">
        <v>0</v>
      </c>
      <c r="HA297" s="27" t="n">
        <v>0</v>
      </c>
      <c r="HB297" s="24" t="n">
        <v>0</v>
      </c>
      <c r="HC297" s="24" t="s">
        <v>691</v>
      </c>
      <c r="HD297" s="24" t="n">
        <v>63.5</v>
      </c>
      <c r="HE297" s="27" t="n">
        <v>98.9</v>
      </c>
      <c r="HF297" s="27" t="n">
        <v>83.4</v>
      </c>
      <c r="HG297" s="27" t="n">
        <v>51</v>
      </c>
      <c r="HH297" s="24" t="n">
        <v>53.65</v>
      </c>
      <c r="HI297" s="24" t="n">
        <v>0</v>
      </c>
      <c r="HJ297" s="24" t="n">
        <v>11.99</v>
      </c>
      <c r="HK297" s="24" t="n">
        <v>24.1</v>
      </c>
      <c r="HL297" s="24" t="n">
        <v>10.26</v>
      </c>
      <c r="HM297" s="24" t="n">
        <v>0</v>
      </c>
      <c r="HN297" s="24" t="n">
        <v>0</v>
      </c>
      <c r="HO297" s="24" t="n">
        <v>0</v>
      </c>
      <c r="HP297" s="24" t="n">
        <v>0</v>
      </c>
      <c r="HQ297" s="24" t="n">
        <v>0</v>
      </c>
      <c r="HR297" s="24" t="n">
        <v>0</v>
      </c>
      <c r="HS297" s="24" t="n">
        <v>9.1</v>
      </c>
      <c r="HT297" s="24" t="n">
        <v>26.31</v>
      </c>
      <c r="HU297" s="24" t="n">
        <v>5.53</v>
      </c>
      <c r="HV297" s="24" t="n">
        <v>0.94</v>
      </c>
      <c r="HW297" s="24" t="n">
        <v>0</v>
      </c>
      <c r="HX297" s="24" t="n">
        <v>0</v>
      </c>
      <c r="HY297" s="24" t="n">
        <v>0</v>
      </c>
      <c r="IL297" s="24" t="n">
        <v>6.1</v>
      </c>
      <c r="IM297" s="24" t="n">
        <v>0</v>
      </c>
      <c r="IX297" s="28"/>
      <c r="JP297" s="24" t="n">
        <v>1</v>
      </c>
      <c r="JQ297" s="24" t="n">
        <v>50</v>
      </c>
      <c r="JR297" s="24" t="n">
        <v>1</v>
      </c>
      <c r="JS297" s="24" t="n">
        <v>0.39</v>
      </c>
      <c r="JT297" s="24" t="n">
        <v>3</v>
      </c>
      <c r="JU297" s="24" t="n">
        <v>50</v>
      </c>
      <c r="JV297" s="24" t="n">
        <v>2</v>
      </c>
      <c r="JW297" s="24" t="n">
        <f aca="false">0.19+0.23</f>
        <v>0.42</v>
      </c>
      <c r="JX297" s="24" t="n">
        <v>4</v>
      </c>
      <c r="JY297" s="24" t="n">
        <v>60</v>
      </c>
      <c r="JZ297" s="24" t="n">
        <v>12</v>
      </c>
      <c r="KA297" s="24" t="n">
        <f aca="false">0.78*2</f>
        <v>1.56</v>
      </c>
      <c r="KB297" s="24" t="n">
        <v>6</v>
      </c>
      <c r="LA297" s="27" t="n">
        <v>5.39</v>
      </c>
      <c r="LB297" s="27" t="n">
        <v>1</v>
      </c>
      <c r="LC297" s="27" t="n">
        <v>1</v>
      </c>
      <c r="LD297" s="27"/>
      <c r="LE297" s="27" t="n">
        <f aca="false">2.04*3+0.36*2</f>
        <v>6.84</v>
      </c>
      <c r="LF297" s="27" t="n">
        <v>2</v>
      </c>
      <c r="LG297" s="27"/>
      <c r="LH297" s="27" t="n">
        <f aca="false">0.72*2+0.36</f>
        <v>1.8</v>
      </c>
      <c r="LI297" s="27" t="n">
        <v>3</v>
      </c>
      <c r="LJ297" s="27"/>
      <c r="LK297" s="27" t="n">
        <v>0.5</v>
      </c>
      <c r="LL297" s="27" t="n">
        <v>0.94</v>
      </c>
      <c r="LM297" s="27" t="n">
        <v>0.94</v>
      </c>
      <c r="LN297" s="27"/>
      <c r="LO297" s="27"/>
      <c r="LP297" s="27" t="n">
        <v>0</v>
      </c>
      <c r="LQ297" s="27" t="n">
        <v>0</v>
      </c>
      <c r="LR297" s="27" t="n">
        <v>0</v>
      </c>
      <c r="LS297" s="24" t="n">
        <v>0</v>
      </c>
      <c r="LT297" s="24" t="s">
        <v>692</v>
      </c>
      <c r="LU297" s="24" t="n">
        <v>30.5</v>
      </c>
      <c r="LV297" s="27" t="n">
        <v>69.11</v>
      </c>
      <c r="LW297" s="27" t="n">
        <v>83.4</v>
      </c>
      <c r="LX297" s="27" t="n">
        <v>18.1</v>
      </c>
      <c r="LY297" s="24" t="n">
        <v>79.03</v>
      </c>
      <c r="LZ297" s="24" t="n">
        <v>0.45</v>
      </c>
      <c r="MA297" s="24" t="n">
        <v>0</v>
      </c>
      <c r="MB297" s="24" t="n">
        <v>0</v>
      </c>
      <c r="MC297" s="24" t="n">
        <v>20.52</v>
      </c>
      <c r="MD297" s="24" t="n">
        <v>0</v>
      </c>
      <c r="ME297" s="24" t="n">
        <v>0</v>
      </c>
      <c r="MF297" s="24" t="n">
        <v>0</v>
      </c>
      <c r="MG297" s="24" t="n">
        <v>0</v>
      </c>
      <c r="MH297" s="24" t="n">
        <v>0</v>
      </c>
      <c r="MI297" s="24" t="n">
        <v>0</v>
      </c>
      <c r="MJ297" s="24" t="n">
        <v>0</v>
      </c>
      <c r="MK297" s="24" t="n">
        <v>12.58</v>
      </c>
      <c r="ML297" s="24" t="n">
        <v>17.94</v>
      </c>
      <c r="MM297" s="24" t="n">
        <v>18.04</v>
      </c>
      <c r="MN297" s="24" t="n">
        <v>0</v>
      </c>
      <c r="MO297" s="24" t="n">
        <v>0</v>
      </c>
      <c r="MP297" s="24" t="n">
        <v>0</v>
      </c>
      <c r="NC297" s="24" t="n">
        <v>8.1</v>
      </c>
      <c r="ND297" s="24" t="n">
        <v>1</v>
      </c>
      <c r="NE297" s="24" t="n">
        <v>35</v>
      </c>
      <c r="NF297" s="24" t="n">
        <v>4</v>
      </c>
      <c r="NG297" s="24" t="n">
        <f aca="false">2.2+0.39</f>
        <v>2.59</v>
      </c>
      <c r="NH297" s="24" t="n">
        <v>3</v>
      </c>
      <c r="NO297" s="28"/>
      <c r="OG297" s="24" t="n">
        <v>1</v>
      </c>
      <c r="OH297" s="24" t="n">
        <v>60</v>
      </c>
      <c r="OI297" s="24" t="n">
        <v>1</v>
      </c>
      <c r="OJ297" s="24" t="n">
        <v>0.73</v>
      </c>
      <c r="OK297" s="24" t="n">
        <v>3</v>
      </c>
      <c r="PR297" s="27" t="n">
        <v>3.89</v>
      </c>
      <c r="PS297" s="27" t="n">
        <v>1</v>
      </c>
      <c r="PT297" s="27" t="n">
        <v>1</v>
      </c>
      <c r="PU297" s="27"/>
      <c r="PV297" s="27" t="n">
        <f aca="false">0.14*2+0.21*2</f>
        <v>0.7</v>
      </c>
      <c r="PW297" s="27" t="n">
        <v>2</v>
      </c>
      <c r="PX297" s="27"/>
      <c r="PY297" s="27" t="n">
        <f aca="false">1.65*2</f>
        <v>3.3</v>
      </c>
      <c r="PZ297" s="27"/>
      <c r="QA297" s="27"/>
      <c r="QB297" s="27"/>
      <c r="QC297" s="27" t="n">
        <v>0</v>
      </c>
      <c r="QD297" s="27" t="n">
        <v>0</v>
      </c>
      <c r="QE297" s="27"/>
      <c r="QF297" s="27"/>
      <c r="QG297" s="27" t="n">
        <v>0</v>
      </c>
      <c r="QH297" s="27" t="n">
        <v>0</v>
      </c>
      <c r="QI297" s="27" t="n">
        <v>0</v>
      </c>
      <c r="QJ297" s="24" t="n">
        <v>0</v>
      </c>
      <c r="QK297" s="24" t="s">
        <v>697</v>
      </c>
      <c r="QL297" s="24" t="n">
        <v>42.5</v>
      </c>
      <c r="QM297" s="27" t="n">
        <v>92.2</v>
      </c>
      <c r="QN297" s="27" t="n">
        <v>83.4</v>
      </c>
      <c r="QO297" s="27" t="n">
        <v>33.5</v>
      </c>
      <c r="QP297" s="24" t="n">
        <v>25.89</v>
      </c>
      <c r="QQ297" s="24" t="n">
        <v>0</v>
      </c>
      <c r="QR297" s="24" t="n">
        <v>0</v>
      </c>
      <c r="QS297" s="24" t="n">
        <v>0</v>
      </c>
      <c r="QT297" s="24" t="n">
        <v>0</v>
      </c>
      <c r="QU297" s="24" t="n">
        <v>0</v>
      </c>
      <c r="QV297" s="24" t="n">
        <v>74.11</v>
      </c>
      <c r="QW297" s="24" t="n">
        <v>25.43</v>
      </c>
      <c r="QX297" s="24" t="n">
        <v>9.72</v>
      </c>
      <c r="QY297" s="24" t="n">
        <v>2.94</v>
      </c>
      <c r="QZ297" s="24" t="n">
        <v>0</v>
      </c>
      <c r="RA297" s="24" t="n">
        <v>11.38</v>
      </c>
      <c r="RB297" s="24" t="n">
        <v>16.89</v>
      </c>
      <c r="RC297" s="24" t="n">
        <v>27.26</v>
      </c>
      <c r="RD297" s="24" t="n">
        <v>0</v>
      </c>
      <c r="RE297" s="24" t="n">
        <v>0</v>
      </c>
      <c r="RF297" s="24" t="n">
        <v>0</v>
      </c>
      <c r="RG297" s="24" t="n">
        <v>0</v>
      </c>
      <c r="RT297" s="24" t="n">
        <v>3.6</v>
      </c>
      <c r="RU297" s="24" t="n">
        <v>1</v>
      </c>
      <c r="RV297" s="24" t="n">
        <v>35</v>
      </c>
      <c r="RW297" s="24" t="n">
        <v>6</v>
      </c>
      <c r="RX297" s="24" t="n">
        <f aca="false">0.13*4</f>
        <v>0.52</v>
      </c>
      <c r="RY297" s="24" t="n">
        <v>3</v>
      </c>
      <c r="RZ297" s="24" t="n">
        <v>25</v>
      </c>
      <c r="SA297" s="24" t="n">
        <v>2</v>
      </c>
      <c r="SB297" s="24" t="n">
        <f aca="false">0.13*2</f>
        <v>0.26</v>
      </c>
      <c r="SC297" s="24" t="n">
        <v>4</v>
      </c>
      <c r="SF297" s="28"/>
      <c r="SX297" s="24" t="n">
        <v>0</v>
      </c>
      <c r="UI297" s="27" t="n">
        <v>3.01</v>
      </c>
      <c r="UJ297" s="27" t="n">
        <v>1</v>
      </c>
      <c r="UK297" s="27" t="n">
        <v>1</v>
      </c>
      <c r="UL297" s="27"/>
      <c r="UM297" s="27" t="n">
        <f aca="false">1.65*5+0.13*2+0.36+0.18</f>
        <v>9.05</v>
      </c>
      <c r="UN297" s="27"/>
      <c r="UO297" s="27"/>
      <c r="UP297" s="27"/>
      <c r="UQ297" s="27"/>
      <c r="UR297" s="27"/>
      <c r="US297" s="27"/>
      <c r="UT297" s="27" t="n">
        <v>2.16</v>
      </c>
      <c r="UU297" s="27" t="n">
        <v>0.52</v>
      </c>
      <c r="UV297" s="27"/>
      <c r="UW297" s="27"/>
      <c r="UX297" s="27" t="n">
        <v>0</v>
      </c>
      <c r="UY297" s="27" t="n">
        <v>0</v>
      </c>
      <c r="UZ297" s="27" t="n">
        <v>0</v>
      </c>
      <c r="VA297" s="24" t="n">
        <v>0</v>
      </c>
      <c r="VB297" s="24" t="s">
        <v>698</v>
      </c>
      <c r="VC297" s="24" t="n">
        <v>37</v>
      </c>
      <c r="VD297" s="27" t="n">
        <v>86.3</v>
      </c>
      <c r="VE297" s="27" t="n">
        <v>83.4</v>
      </c>
      <c r="VF297" s="27" t="n">
        <v>31.3</v>
      </c>
      <c r="VG297" s="24" t="n">
        <v>24.09</v>
      </c>
      <c r="VH297" s="24" t="n">
        <v>0</v>
      </c>
      <c r="VI297" s="24" t="n">
        <v>0</v>
      </c>
      <c r="VJ297" s="24" t="n">
        <v>0</v>
      </c>
      <c r="VK297" s="24" t="n">
        <v>0</v>
      </c>
      <c r="VL297" s="24" t="n">
        <v>0</v>
      </c>
      <c r="VM297" s="24" t="n">
        <v>75.91</v>
      </c>
      <c r="VN297" s="24" t="n">
        <v>21.83</v>
      </c>
      <c r="VO297" s="24" t="n">
        <v>8.63</v>
      </c>
      <c r="VP297" s="24" t="n">
        <v>2.94</v>
      </c>
      <c r="VQ297" s="24" t="n">
        <v>0</v>
      </c>
      <c r="VR297" s="24" t="n">
        <v>13.66</v>
      </c>
      <c r="VS297" s="24" t="n">
        <v>10.54</v>
      </c>
      <c r="VT297" s="24" t="n">
        <v>28.39</v>
      </c>
      <c r="VU297" s="24" t="n">
        <v>0</v>
      </c>
      <c r="VV297" s="24" t="n">
        <v>0</v>
      </c>
      <c r="VW297" s="24" t="n">
        <v>0</v>
      </c>
      <c r="VX297" s="24" t="n">
        <v>0</v>
      </c>
      <c r="WK297" s="24" t="n">
        <v>2.7</v>
      </c>
      <c r="WL297" s="24" t="n">
        <v>1</v>
      </c>
      <c r="WM297" s="24" t="n">
        <v>52</v>
      </c>
      <c r="WN297" s="24" t="n">
        <v>1</v>
      </c>
      <c r="WO297" s="24" t="n">
        <v>0.39</v>
      </c>
      <c r="WP297" s="24" t="n">
        <v>2</v>
      </c>
      <c r="WQ297" s="24" t="n">
        <v>35</v>
      </c>
      <c r="WR297" s="24" t="n">
        <v>4</v>
      </c>
      <c r="WS297" s="24" t="n">
        <v>0.26</v>
      </c>
      <c r="WT297" s="24" t="n">
        <v>3</v>
      </c>
      <c r="WW297" s="28"/>
      <c r="XO297" s="24" t="n">
        <v>0</v>
      </c>
      <c r="YZ297" s="27" t="n">
        <v>2.83</v>
      </c>
      <c r="ZA297" s="27" t="n">
        <v>1</v>
      </c>
      <c r="ZB297" s="27" t="n">
        <v>1</v>
      </c>
      <c r="ZC297" s="27"/>
      <c r="ZD297" s="27" t="n">
        <f aca="false">1.65*5</f>
        <v>8.25</v>
      </c>
      <c r="ZE297" s="27"/>
      <c r="ZF297" s="27"/>
      <c r="ZG297" s="27"/>
      <c r="ZH297" s="27"/>
      <c r="ZI297" s="27"/>
      <c r="ZJ297" s="27"/>
      <c r="ZK297" s="27" t="n">
        <v>0</v>
      </c>
      <c r="ZL297" s="27" t="n">
        <v>0</v>
      </c>
      <c r="ZM297" s="27"/>
      <c r="ZN297" s="27"/>
      <c r="ZO297" s="27" t="n">
        <v>0</v>
      </c>
      <c r="ZP297" s="27" t="n">
        <v>0</v>
      </c>
      <c r="ZQ297" s="27" t="n">
        <v>0</v>
      </c>
      <c r="ZR297" s="24" t="n">
        <v>0</v>
      </c>
      <c r="ZS297" s="24" t="s">
        <v>702</v>
      </c>
      <c r="ZT297" s="24" t="n">
        <v>43.5</v>
      </c>
      <c r="ZU297" s="27" t="n">
        <v>73.8</v>
      </c>
      <c r="ZV297" s="27" t="n">
        <v>83.4</v>
      </c>
      <c r="ZW297" s="27" t="n">
        <v>26.5</v>
      </c>
      <c r="ZX297" s="24" t="n">
        <v>20.2</v>
      </c>
      <c r="ZY297" s="24" t="n">
        <v>0</v>
      </c>
      <c r="ZZ297" s="24" t="n">
        <v>26.95</v>
      </c>
      <c r="AAA297" s="24" t="n">
        <v>0</v>
      </c>
      <c r="AAB297" s="24" t="n">
        <v>0.39</v>
      </c>
      <c r="AAC297" s="24" t="n">
        <v>0</v>
      </c>
      <c r="AAD297" s="24" t="n">
        <v>79.41</v>
      </c>
      <c r="AAE297" s="24" t="n">
        <v>26.95</v>
      </c>
      <c r="AAF297" s="24" t="n">
        <v>0</v>
      </c>
      <c r="AAG297" s="24" t="n">
        <v>0</v>
      </c>
      <c r="AAH297" s="24" t="n">
        <v>0</v>
      </c>
      <c r="AAI297" s="24" t="n">
        <v>35.2</v>
      </c>
      <c r="AAJ297" s="24" t="n">
        <v>15.96</v>
      </c>
      <c r="AAK297" s="24" t="n">
        <v>39.09</v>
      </c>
      <c r="AAL297" s="24" t="n">
        <v>0.32</v>
      </c>
      <c r="AAM297" s="24" t="n">
        <v>0</v>
      </c>
      <c r="AAN297" s="24" t="n">
        <v>0</v>
      </c>
      <c r="AAO297" s="24" t="n">
        <v>0</v>
      </c>
      <c r="ABB297" s="24" t="n">
        <v>14.4</v>
      </c>
      <c r="ABC297" s="24" t="n">
        <v>1</v>
      </c>
      <c r="ABD297" s="24" t="n">
        <v>30</v>
      </c>
      <c r="ABE297" s="24" t="n">
        <v>5</v>
      </c>
      <c r="ABF297" s="24" t="n">
        <f aca="false">2.94+0.6</f>
        <v>3.54</v>
      </c>
      <c r="ABG297" s="24" t="n">
        <v>3</v>
      </c>
      <c r="ABH297" s="24" t="n">
        <v>34</v>
      </c>
      <c r="ABI297" s="24" t="n">
        <v>1</v>
      </c>
      <c r="ABJ297" s="24" t="n">
        <v>1.65</v>
      </c>
      <c r="ABK297" s="24" t="n">
        <v>1</v>
      </c>
      <c r="ABL297" s="24" t="n">
        <v>52</v>
      </c>
      <c r="ABM297" s="24" t="n">
        <v>6</v>
      </c>
      <c r="ABN297" s="28" t="n">
        <f aca="false">0.7+0.77+0.08+0.05</f>
        <v>1.6</v>
      </c>
      <c r="ABO297" s="24" t="n">
        <v>2</v>
      </c>
      <c r="ABP297" s="24" t="n">
        <v>35</v>
      </c>
      <c r="ABQ297" s="24" t="n">
        <v>1</v>
      </c>
      <c r="ABR297" s="24" t="n">
        <v>0.19</v>
      </c>
      <c r="ABS297" s="24" t="n">
        <v>3</v>
      </c>
      <c r="ABT297" s="24" t="n">
        <v>23</v>
      </c>
      <c r="ABU297" s="24" t="n">
        <v>3</v>
      </c>
      <c r="ABV297" s="24" t="n">
        <f aca="false">0.39+0.77</f>
        <v>1.16</v>
      </c>
      <c r="ABW297" s="24" t="n">
        <v>3</v>
      </c>
      <c r="ACF297" s="24" t="n">
        <v>0</v>
      </c>
      <c r="ADQ297" s="27" t="n">
        <v>1.22</v>
      </c>
      <c r="ADR297" s="27" t="n">
        <v>1</v>
      </c>
      <c r="ADS297" s="27" t="n">
        <v>1</v>
      </c>
      <c r="ADT297" s="27"/>
      <c r="ADU297" s="27" t="n">
        <f aca="false">0.97*2+1.07*2</f>
        <v>4.08</v>
      </c>
      <c r="ADV297" s="27"/>
      <c r="ADW297" s="27"/>
      <c r="ADX297" s="27"/>
      <c r="ADY297" s="27"/>
      <c r="ADZ297" s="27"/>
      <c r="AEA297" s="27"/>
      <c r="AEB297" s="27" t="n">
        <v>0</v>
      </c>
      <c r="AEC297" s="27" t="n">
        <v>0</v>
      </c>
      <c r="AED297" s="27"/>
      <c r="AEE297" s="27"/>
      <c r="AEF297" s="27" t="n">
        <v>0</v>
      </c>
      <c r="AEG297" s="27" t="n">
        <v>0</v>
      </c>
      <c r="AEH297" s="27" t="n">
        <v>1.22</v>
      </c>
      <c r="AEI297" s="24" t="n">
        <v>0</v>
      </c>
      <c r="AEJ297" s="24" t="s">
        <v>693</v>
      </c>
      <c r="AEK297" s="24" t="n">
        <v>33.5</v>
      </c>
      <c r="AEL297" s="27" t="n">
        <v>92.3</v>
      </c>
      <c r="AEM297" s="27" t="n">
        <v>83.4</v>
      </c>
      <c r="AEN297" s="27" t="n">
        <v>19.8</v>
      </c>
      <c r="AEO297" s="24" t="n">
        <v>72.02</v>
      </c>
      <c r="AEP297" s="24" t="n">
        <v>2.2</v>
      </c>
      <c r="AEQ297" s="24" t="n">
        <v>7.75</v>
      </c>
      <c r="AER297" s="24" t="n">
        <v>0</v>
      </c>
      <c r="AES297" s="24" t="n">
        <v>5.49</v>
      </c>
      <c r="AET297" s="24" t="n">
        <v>0</v>
      </c>
      <c r="AEU297" s="24" t="n">
        <v>6.84</v>
      </c>
      <c r="AEV297" s="24" t="n">
        <v>0</v>
      </c>
      <c r="AEW297" s="24" t="n">
        <v>0</v>
      </c>
      <c r="AEX297" s="24" t="n">
        <v>0</v>
      </c>
      <c r="AEY297" s="24" t="n">
        <v>0</v>
      </c>
      <c r="AEZ297" s="24" t="n">
        <v>7.13</v>
      </c>
      <c r="AFA297" s="24" t="n">
        <v>54.84</v>
      </c>
      <c r="AFB297" s="24" t="n">
        <v>10.13</v>
      </c>
      <c r="AFC297" s="24" t="n">
        <v>3.36</v>
      </c>
      <c r="AFD297" s="24" t="n">
        <v>5.7</v>
      </c>
      <c r="AFE297" s="24" t="n">
        <v>0</v>
      </c>
      <c r="AFF297" s="24" t="n">
        <v>0</v>
      </c>
      <c r="AFO297" s="24" t="n">
        <v>2</v>
      </c>
      <c r="AFS297" s="24" t="n">
        <v>3.4</v>
      </c>
      <c r="AFT297" s="24" t="n">
        <v>1</v>
      </c>
      <c r="AFU297" s="24" t="n">
        <v>34</v>
      </c>
      <c r="AFV297" s="24" t="n">
        <v>1</v>
      </c>
      <c r="AFW297" s="24" t="n">
        <v>1.28</v>
      </c>
      <c r="AFX297" s="24" t="n">
        <v>1</v>
      </c>
      <c r="AFY297" s="24" t="n">
        <v>52</v>
      </c>
      <c r="AFZ297" s="24" t="n">
        <v>1</v>
      </c>
      <c r="AGA297" s="24" t="n">
        <v>0.73</v>
      </c>
      <c r="AGB297" s="24" t="n">
        <v>2</v>
      </c>
      <c r="AGC297" s="24" t="n">
        <v>30</v>
      </c>
      <c r="AGD297" s="24" t="n">
        <v>1</v>
      </c>
      <c r="AGE297" s="28" t="n">
        <v>0.13</v>
      </c>
      <c r="AGF297" s="24" t="n">
        <v>3</v>
      </c>
      <c r="AGW297" s="24" t="n">
        <v>1</v>
      </c>
      <c r="AGX297" s="24" t="n">
        <v>40</v>
      </c>
      <c r="AGY297" s="24" t="n">
        <v>1</v>
      </c>
      <c r="AGZ297" s="24" t="n">
        <v>1.83</v>
      </c>
      <c r="AHA297" s="24" t="n">
        <v>6</v>
      </c>
      <c r="AHB297" s="24" t="n">
        <v>40</v>
      </c>
      <c r="AHC297" s="24" t="n">
        <v>1</v>
      </c>
      <c r="AHD297" s="24" t="n">
        <v>1.65</v>
      </c>
      <c r="AHE297" s="24" t="n">
        <v>3</v>
      </c>
      <c r="AHF297" s="24" t="n">
        <v>40</v>
      </c>
      <c r="AHG297" s="24" t="n">
        <v>1</v>
      </c>
      <c r="AHH297" s="24" t="n">
        <v>1.83</v>
      </c>
      <c r="AHI297" s="24" t="n">
        <v>4</v>
      </c>
      <c r="AHJ297" s="24" t="n">
        <v>40</v>
      </c>
      <c r="AHK297" s="24" t="n">
        <v>4</v>
      </c>
      <c r="AHL297" s="24" t="n">
        <v>0.26</v>
      </c>
      <c r="AHM297" s="24" t="n">
        <v>1</v>
      </c>
      <c r="AIH297" s="27" t="n">
        <v>3.89</v>
      </c>
      <c r="AII297" s="27" t="n">
        <v>1</v>
      </c>
      <c r="AIJ297" s="27" t="n">
        <v>1</v>
      </c>
      <c r="AIK297" s="27"/>
      <c r="AIL297" s="27" t="n">
        <f aca="false">0.36*2</f>
        <v>0.72</v>
      </c>
      <c r="AIM297" s="27" t="n">
        <v>2</v>
      </c>
      <c r="AIN297" s="27"/>
      <c r="AIO297" s="27" t="n">
        <f aca="false">2.04*2</f>
        <v>4.08</v>
      </c>
      <c r="AIP297" s="27"/>
      <c r="AIQ297" s="27"/>
      <c r="AIR297" s="27"/>
      <c r="AIS297" s="27" t="n">
        <v>3.27</v>
      </c>
      <c r="AIT297" s="27" t="n">
        <v>2.46</v>
      </c>
      <c r="AIU297" s="27"/>
      <c r="AIV297" s="27"/>
      <c r="AIW297" s="27" t="n">
        <v>2.88</v>
      </c>
      <c r="AIX297" s="27" t="n">
        <v>4.14</v>
      </c>
      <c r="AIY297" s="27" t="n">
        <v>0</v>
      </c>
      <c r="AIZ297" s="24" t="n">
        <v>0</v>
      </c>
      <c r="AJA297" s="24" t="s">
        <v>699</v>
      </c>
      <c r="AJB297" s="24" t="n">
        <v>44.5</v>
      </c>
      <c r="AJC297" s="27" t="n">
        <v>101.7</v>
      </c>
      <c r="AJD297" s="27" t="n">
        <v>83.4</v>
      </c>
      <c r="AJE297" s="27" t="n">
        <v>22.5</v>
      </c>
      <c r="AJF297" s="24" t="n">
        <v>75.78</v>
      </c>
      <c r="AJG297" s="24" t="n">
        <v>0</v>
      </c>
      <c r="AJH297" s="24" t="n">
        <v>2.04</v>
      </c>
      <c r="AJI297" s="24" t="n">
        <v>0</v>
      </c>
      <c r="AJJ297" s="24" t="n">
        <v>8.57</v>
      </c>
      <c r="AJK297" s="24" t="n">
        <v>0</v>
      </c>
      <c r="AJL297" s="24" t="n">
        <v>2.21</v>
      </c>
      <c r="AJM297" s="24" t="n">
        <v>0</v>
      </c>
      <c r="AJN297" s="24" t="n">
        <v>1.1</v>
      </c>
      <c r="AJO297" s="24" t="n">
        <v>0</v>
      </c>
      <c r="AJP297" s="24" t="n">
        <v>0</v>
      </c>
      <c r="AJQ297" s="24" t="n">
        <v>1.61</v>
      </c>
      <c r="AJR297" s="24" t="n">
        <v>54.76</v>
      </c>
      <c r="AJS297" s="24" t="n">
        <v>16</v>
      </c>
      <c r="AJT297" s="24" t="n">
        <v>6.05</v>
      </c>
      <c r="AJU297" s="24" t="n">
        <v>10.83</v>
      </c>
      <c r="AJV297" s="24" t="n">
        <v>10.1</v>
      </c>
      <c r="AJW297" s="24" t="n">
        <v>1</v>
      </c>
      <c r="AJX297" s="24" t="n">
        <v>2</v>
      </c>
      <c r="AJZ297" s="24" t="n">
        <v>3</v>
      </c>
      <c r="AKA297" s="24" t="n">
        <v>5</v>
      </c>
      <c r="AKC297" s="24" t="n">
        <v>1</v>
      </c>
      <c r="AKD297" s="24" t="n">
        <v>3</v>
      </c>
      <c r="AKF297" s="24" t="n">
        <v>1</v>
      </c>
      <c r="AKJ297" s="24" t="n">
        <v>3</v>
      </c>
      <c r="AKK297" s="24" t="n">
        <v>1</v>
      </c>
      <c r="AKL297" s="24" t="n">
        <v>52</v>
      </c>
      <c r="AKM297" s="24" t="n">
        <v>1</v>
      </c>
      <c r="AKN297" s="24" t="n">
        <v>0.73</v>
      </c>
      <c r="AKO297" s="24" t="n">
        <v>2</v>
      </c>
      <c r="AKP297" s="24" t="n">
        <v>34</v>
      </c>
      <c r="AKQ297" s="24" t="n">
        <v>1</v>
      </c>
      <c r="AKR297" s="24" t="n">
        <v>1.28</v>
      </c>
      <c r="AKS297" s="24" t="n">
        <v>1</v>
      </c>
      <c r="AKV297" s="28"/>
      <c r="ALN297" s="24" t="n">
        <v>1</v>
      </c>
      <c r="ALO297" s="24" t="n">
        <v>40</v>
      </c>
      <c r="ALP297" s="24" t="n">
        <v>1</v>
      </c>
      <c r="ALQ297" s="24" t="n">
        <v>1.83</v>
      </c>
      <c r="ALR297" s="24" t="n">
        <v>6</v>
      </c>
      <c r="ALS297" s="24" t="n">
        <v>40</v>
      </c>
      <c r="ALT297" s="24" t="n">
        <v>1</v>
      </c>
      <c r="ALU297" s="24" t="n">
        <v>1.65</v>
      </c>
      <c r="ALV297" s="24" t="n">
        <v>3</v>
      </c>
      <c r="ALW297" s="24" t="n">
        <v>40</v>
      </c>
      <c r="ALX297" s="24" t="n">
        <v>3</v>
      </c>
      <c r="ALY297" s="24" t="n">
        <f aca="false">0.26+1.83</f>
        <v>2.09</v>
      </c>
      <c r="ALZ297" s="24" t="n">
        <v>4</v>
      </c>
    </row>
    <row r="298" customFormat="false" ht="13.8" hidden="false" customHeight="false" outlineLevel="0" collapsed="false">
      <c r="A298" s="1" t="s">
        <v>868</v>
      </c>
      <c r="B298" s="12" t="n">
        <v>42908</v>
      </c>
      <c r="C298" s="0" t="n">
        <v>1</v>
      </c>
      <c r="D298" s="13" t="n">
        <v>41080</v>
      </c>
      <c r="E298" s="12" t="n">
        <v>31267</v>
      </c>
      <c r="F298" s="14" t="n">
        <f aca="false">(B298-E298)/365.25</f>
        <v>31.8713210130048</v>
      </c>
      <c r="G298" s="14" t="n">
        <f aca="false">(B298-D298)/365.25</f>
        <v>5.00479123887748</v>
      </c>
      <c r="H298" s="19" t="s">
        <v>306</v>
      </c>
      <c r="I298" s="15" t="s">
        <v>832</v>
      </c>
      <c r="J298" s="15" t="s">
        <v>183</v>
      </c>
      <c r="K298" s="15" t="n">
        <v>8</v>
      </c>
      <c r="L298" s="19"/>
      <c r="M298" s="0" t="n">
        <v>1.65</v>
      </c>
      <c r="N298" s="16" t="n">
        <f aca="false">L298/(M298*M298)</f>
        <v>0</v>
      </c>
      <c r="O298" s="19" t="n">
        <v>1</v>
      </c>
      <c r="P298" s="19" t="n">
        <v>1</v>
      </c>
      <c r="Q298" s="19" t="s">
        <v>869</v>
      </c>
      <c r="R298" s="26" t="n">
        <v>0</v>
      </c>
      <c r="S298" s="26" t="n">
        <v>0</v>
      </c>
      <c r="T298" s="26" t="n">
        <v>0</v>
      </c>
      <c r="U298" s="19" t="n">
        <v>0</v>
      </c>
      <c r="V298" s="19" t="n">
        <v>0</v>
      </c>
      <c r="W298" s="19" t="n">
        <v>1</v>
      </c>
      <c r="X298" s="19" t="n">
        <v>0</v>
      </c>
      <c r="Y298" s="19" t="n">
        <v>0</v>
      </c>
      <c r="Z298" s="19" t="n">
        <v>0</v>
      </c>
      <c r="AA298" s="19" t="n">
        <v>0</v>
      </c>
      <c r="AB298" s="19" t="n">
        <v>0</v>
      </c>
      <c r="AC298" s="19" t="n">
        <v>1</v>
      </c>
      <c r="AD298" s="19" t="n">
        <v>15</v>
      </c>
      <c r="AE298" s="19" t="n">
        <v>0</v>
      </c>
      <c r="AF298" s="19" t="n">
        <v>0</v>
      </c>
      <c r="AG298" s="19" t="n">
        <v>0</v>
      </c>
      <c r="AH298" s="19" t="n">
        <v>0</v>
      </c>
      <c r="AI298" s="19" t="n">
        <v>0</v>
      </c>
      <c r="AJ298" s="19" t="n">
        <v>0</v>
      </c>
      <c r="AK298" s="19" t="n">
        <v>0</v>
      </c>
      <c r="AL298" s="19" t="n">
        <v>0</v>
      </c>
      <c r="AM298" s="19" t="n">
        <v>0</v>
      </c>
      <c r="AN298" s="19" t="n">
        <v>1</v>
      </c>
      <c r="AO298" s="19" t="n">
        <v>1</v>
      </c>
      <c r="AP298" s="19" t="n">
        <v>1</v>
      </c>
      <c r="AQ298" s="19" t="n">
        <v>8</v>
      </c>
      <c r="AR298" s="19" t="n">
        <v>0</v>
      </c>
      <c r="AS298" s="19" t="n">
        <v>0</v>
      </c>
      <c r="AT298" s="19" t="n">
        <v>0</v>
      </c>
      <c r="AU298" s="19" t="n">
        <v>0</v>
      </c>
      <c r="AV298" s="19" t="n">
        <v>0</v>
      </c>
      <c r="AW298" s="19" t="n">
        <v>0</v>
      </c>
      <c r="AX298" s="19" t="n">
        <v>0</v>
      </c>
      <c r="AY298" s="19" t="n">
        <v>0</v>
      </c>
      <c r="AZ298" s="19" t="n">
        <v>0</v>
      </c>
      <c r="BA298" s="19" t="n">
        <v>0</v>
      </c>
      <c r="BB298" s="19" t="n">
        <v>0</v>
      </c>
      <c r="BC298" s="19" t="n">
        <v>0</v>
      </c>
      <c r="BD298" s="19" t="n">
        <v>0</v>
      </c>
      <c r="BE298" s="19" t="n">
        <v>0</v>
      </c>
      <c r="BF298" s="19" t="n">
        <v>1</v>
      </c>
      <c r="BG298" s="19" t="n">
        <v>1</v>
      </c>
      <c r="BH298" s="19" t="n">
        <v>1</v>
      </c>
      <c r="BI298" s="19" t="n">
        <v>5</v>
      </c>
      <c r="BJ298" s="19" t="n">
        <v>0</v>
      </c>
      <c r="BK298" s="19" t="n">
        <v>0</v>
      </c>
      <c r="BL298" s="19" t="n">
        <v>0</v>
      </c>
      <c r="BM298" s="19" t="n">
        <v>0</v>
      </c>
      <c r="BN298" s="19" t="n">
        <v>0</v>
      </c>
      <c r="BO298" s="19" t="n">
        <v>0</v>
      </c>
      <c r="BP298" s="19" t="n">
        <v>0</v>
      </c>
      <c r="BQ298" s="19" t="n">
        <v>0</v>
      </c>
      <c r="BR298" s="19" t="n">
        <v>3</v>
      </c>
      <c r="BS298" s="19" t="n">
        <v>2</v>
      </c>
      <c r="BT298" s="19" t="n">
        <v>3</v>
      </c>
      <c r="BU298" s="19" t="n">
        <v>5</v>
      </c>
      <c r="BV298" s="19" t="n">
        <v>3</v>
      </c>
      <c r="BW298" s="19" t="n">
        <v>4</v>
      </c>
      <c r="BX298" s="19" t="n">
        <v>3</v>
      </c>
      <c r="BY298" s="19" t="n">
        <v>3</v>
      </c>
      <c r="BZ298" s="19" t="n">
        <v>3</v>
      </c>
      <c r="CA298" s="19" t="n">
        <v>4</v>
      </c>
      <c r="CB298" s="19" t="n">
        <v>4</v>
      </c>
      <c r="CC298" s="19" t="n">
        <v>5</v>
      </c>
      <c r="CD298" s="19" t="n">
        <v>3</v>
      </c>
      <c r="CE298" s="19" t="n">
        <v>3</v>
      </c>
      <c r="CF298" s="19" t="n">
        <v>3</v>
      </c>
      <c r="CG298" s="19" t="n">
        <v>4</v>
      </c>
      <c r="CH298" s="19" t="n">
        <v>4</v>
      </c>
      <c r="CI298" s="19" t="n">
        <v>4</v>
      </c>
      <c r="CJ298" s="19" t="n">
        <v>3</v>
      </c>
      <c r="CK298" s="19" t="n">
        <v>5</v>
      </c>
      <c r="CL298" s="0" t="s">
        <v>833</v>
      </c>
      <c r="CM298" s="0" t="n">
        <v>31</v>
      </c>
      <c r="CN298" s="16" t="n">
        <v>82.6</v>
      </c>
      <c r="CO298" s="16" t="n">
        <v>83.4</v>
      </c>
      <c r="CP298" s="16" t="n">
        <v>5.7</v>
      </c>
      <c r="CQ298" s="0" t="n">
        <v>99.97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0</v>
      </c>
      <c r="CZ298" s="0" t="n">
        <v>0</v>
      </c>
      <c r="DA298" s="0" t="n">
        <v>0</v>
      </c>
      <c r="DB298" s="0" t="n">
        <v>7.3</v>
      </c>
      <c r="DC298" s="0" t="n">
        <v>53.74</v>
      </c>
      <c r="DD298" s="0" t="n">
        <v>0</v>
      </c>
      <c r="DE298" s="0" t="n">
        <v>0</v>
      </c>
      <c r="DF298" s="0" t="n">
        <v>0</v>
      </c>
      <c r="DG298" s="0" t="n">
        <v>17.6</v>
      </c>
      <c r="DH298" s="0" t="n">
        <v>1</v>
      </c>
      <c r="DI298" s="0" t="n">
        <v>4.6</v>
      </c>
      <c r="DK298" s="0" t="n">
        <v>2</v>
      </c>
      <c r="DU298" s="0" t="n">
        <v>2.4</v>
      </c>
      <c r="DV298" s="0" t="n">
        <v>0</v>
      </c>
      <c r="EG298" s="18"/>
      <c r="EY298" s="0" t="n">
        <v>1</v>
      </c>
      <c r="EZ298" s="0" t="n">
        <v>60</v>
      </c>
      <c r="FA298" s="0" t="n">
        <f aca="false">4+6+1+3+1+3</f>
        <v>18</v>
      </c>
      <c r="FB298" s="0" t="n">
        <f aca="false">0.73+2.2+0.13+0.39+0.78+0.52</f>
        <v>4.75</v>
      </c>
      <c r="FC298" s="0" t="n">
        <v>3</v>
      </c>
      <c r="FD298" s="0" t="n">
        <v>50</v>
      </c>
      <c r="FE298" s="0" t="n">
        <f aca="false">14</f>
        <v>14</v>
      </c>
      <c r="FF298" s="0" t="n">
        <f aca="false">4.4+2.94+0.52</f>
        <v>7.86</v>
      </c>
      <c r="FG298" s="0" t="n">
        <v>3</v>
      </c>
      <c r="GJ298" s="16" t="n">
        <v>0</v>
      </c>
      <c r="GK298" s="16" t="n">
        <v>0</v>
      </c>
      <c r="GL298" s="16"/>
      <c r="GM298" s="16"/>
      <c r="GN298" s="16"/>
      <c r="GO298" s="16"/>
      <c r="GP298" s="16"/>
      <c r="GQ298" s="16"/>
      <c r="GR298" s="16"/>
      <c r="GS298" s="16"/>
      <c r="GT298" s="16"/>
      <c r="GU298" s="16" t="n">
        <v>5.21</v>
      </c>
      <c r="GV298" s="16" t="n">
        <v>2.59</v>
      </c>
      <c r="GW298" s="16"/>
      <c r="GX298" s="16"/>
      <c r="GY298" s="16" t="n">
        <v>0</v>
      </c>
      <c r="GZ298" s="16" t="n">
        <v>0</v>
      </c>
      <c r="HA298" s="16" t="n">
        <v>0</v>
      </c>
      <c r="HB298" s="0" t="n">
        <v>0</v>
      </c>
      <c r="HC298" s="0" t="s">
        <v>834</v>
      </c>
      <c r="HD298" s="0" t="n">
        <v>30.5</v>
      </c>
      <c r="HE298" s="16" t="n">
        <v>73.4</v>
      </c>
      <c r="HF298" s="16" t="n">
        <v>83.4</v>
      </c>
      <c r="HG298" s="16" t="n">
        <v>5.7</v>
      </c>
      <c r="HH298" s="0" t="n">
        <v>100</v>
      </c>
      <c r="HI298" s="0" t="n">
        <v>0</v>
      </c>
      <c r="HJ298" s="0" t="n">
        <v>0</v>
      </c>
      <c r="HK298" s="0" t="n">
        <v>0</v>
      </c>
      <c r="HL298" s="0" t="n">
        <v>0</v>
      </c>
      <c r="HM298" s="0" t="n">
        <v>0</v>
      </c>
      <c r="HN298" s="0" t="n">
        <v>0</v>
      </c>
      <c r="HO298" s="0" t="n">
        <v>0</v>
      </c>
      <c r="HP298" s="0" t="n">
        <v>0</v>
      </c>
      <c r="HQ298" s="0" t="n">
        <v>0</v>
      </c>
      <c r="HR298" s="0" t="n">
        <v>0</v>
      </c>
      <c r="HS298" s="0" t="n">
        <v>7.69</v>
      </c>
      <c r="HT298" s="0" t="n">
        <v>47.61</v>
      </c>
      <c r="HU298" s="0" t="n">
        <v>0</v>
      </c>
      <c r="HV298" s="0" t="n">
        <v>0</v>
      </c>
      <c r="HW298" s="0" t="n">
        <v>0</v>
      </c>
      <c r="HX298" s="0" t="n">
        <v>16.4</v>
      </c>
      <c r="HY298" s="0" t="n">
        <v>1</v>
      </c>
      <c r="HZ298" s="0" t="n">
        <v>4.6</v>
      </c>
      <c r="IB298" s="0" t="n">
        <v>2</v>
      </c>
      <c r="IL298" s="0" t="n">
        <v>1.4</v>
      </c>
      <c r="IM298" s="0" t="n">
        <v>0</v>
      </c>
      <c r="IX298" s="18"/>
      <c r="JP298" s="0" t="n">
        <v>1</v>
      </c>
      <c r="JQ298" s="0" t="n">
        <v>60</v>
      </c>
      <c r="JR298" s="0" t="n">
        <v>7</v>
      </c>
      <c r="JS298" s="0" t="n">
        <f aca="false">0.73+2.2+0.39</f>
        <v>3.32</v>
      </c>
      <c r="JT298" s="0" t="n">
        <v>3</v>
      </c>
      <c r="JU298" s="0" t="n">
        <v>50</v>
      </c>
      <c r="JV298" s="0" t="n">
        <v>10</v>
      </c>
      <c r="JW298" s="0" t="n">
        <f aca="false">4.4+2.94</f>
        <v>7.34</v>
      </c>
      <c r="LA298" s="16" t="n">
        <v>0</v>
      </c>
      <c r="LB298" s="16" t="n">
        <v>0</v>
      </c>
      <c r="LC298" s="16"/>
      <c r="LD298" s="16"/>
      <c r="LE298" s="16"/>
      <c r="LF298" s="16"/>
      <c r="LG298" s="16"/>
      <c r="LH298" s="16"/>
      <c r="LI298" s="16"/>
      <c r="LJ298" s="16"/>
      <c r="LK298" s="16"/>
      <c r="LL298" s="16" t="n">
        <v>6.95</v>
      </c>
      <c r="LM298" s="16" t="n">
        <v>10.27</v>
      </c>
      <c r="LN298" s="16"/>
      <c r="LO298" s="16"/>
      <c r="LP298" s="16" t="n">
        <v>0</v>
      </c>
      <c r="LQ298" s="16" t="n">
        <v>0</v>
      </c>
      <c r="LR298" s="16" t="n">
        <v>0</v>
      </c>
      <c r="LS298" s="0" t="n">
        <v>0</v>
      </c>
      <c r="LT298" s="0" t="s">
        <v>835</v>
      </c>
      <c r="LU298" s="0" t="n">
        <v>19</v>
      </c>
      <c r="LV298" s="16" t="n">
        <v>73.2</v>
      </c>
      <c r="LW298" s="16" t="n">
        <v>83.4</v>
      </c>
      <c r="LX298" s="16" t="n">
        <v>11.1</v>
      </c>
      <c r="LY298" s="0" t="n">
        <v>92.58</v>
      </c>
      <c r="LZ298" s="0" t="n">
        <v>0</v>
      </c>
      <c r="MA298" s="0" t="n">
        <v>1.25</v>
      </c>
      <c r="MB298" s="0" t="n">
        <v>0</v>
      </c>
      <c r="MC298" s="0" t="n">
        <v>5.34</v>
      </c>
      <c r="MD298" s="0" t="n">
        <v>0</v>
      </c>
      <c r="ME298" s="0" t="n">
        <v>0</v>
      </c>
      <c r="MF298" s="0" t="n">
        <v>0</v>
      </c>
      <c r="MG298" s="0" t="n">
        <v>0</v>
      </c>
      <c r="MH298" s="0" t="n">
        <v>0</v>
      </c>
      <c r="MI298" s="0" t="n">
        <v>0</v>
      </c>
      <c r="MJ298" s="0" t="n">
        <v>4.77</v>
      </c>
      <c r="MK298" s="0" t="n">
        <v>22.03</v>
      </c>
      <c r="ML298" s="0" t="n">
        <v>27.08</v>
      </c>
      <c r="MM298" s="0" t="n">
        <v>1.58</v>
      </c>
      <c r="MN298" s="0" t="n">
        <v>0.83</v>
      </c>
      <c r="MO298" s="0" t="n">
        <v>0</v>
      </c>
      <c r="MP298" s="0" t="n">
        <v>0</v>
      </c>
      <c r="NC298" s="0" t="n">
        <v>0.5</v>
      </c>
      <c r="ND298" s="0" t="n">
        <v>1</v>
      </c>
      <c r="NE298" s="0" t="n">
        <v>35</v>
      </c>
      <c r="NF298" s="0" t="n">
        <v>4</v>
      </c>
      <c r="NG298" s="0" t="n">
        <v>0.1</v>
      </c>
      <c r="NH298" s="0" t="n">
        <v>3</v>
      </c>
      <c r="NO298" s="18"/>
      <c r="OG298" s="0" t="n">
        <v>1</v>
      </c>
      <c r="OH298" s="0" t="n">
        <v>40</v>
      </c>
      <c r="OI298" s="0" t="n">
        <v>1</v>
      </c>
      <c r="OJ298" s="0" t="n">
        <v>1.25</v>
      </c>
      <c r="OK298" s="0" t="n">
        <v>3</v>
      </c>
      <c r="OL298" s="0" t="n">
        <v>50</v>
      </c>
      <c r="OM298" s="0" t="n">
        <v>1</v>
      </c>
      <c r="ON298" s="0" t="n">
        <v>0.05</v>
      </c>
      <c r="OO298" s="0" t="n">
        <v>3</v>
      </c>
      <c r="OP298" s="0" t="n">
        <v>60</v>
      </c>
      <c r="OQ298" s="0" t="n">
        <f aca="false">18+9</f>
        <v>27</v>
      </c>
      <c r="OR298" s="0" t="n">
        <f aca="false">2.27+1.14</f>
        <v>3.41</v>
      </c>
      <c r="OS298" s="0" t="n">
        <v>3</v>
      </c>
      <c r="PR298" s="16" t="n">
        <v>3.7</v>
      </c>
      <c r="PS298" s="16" t="n">
        <v>1</v>
      </c>
      <c r="PT298" s="16" t="n">
        <v>1</v>
      </c>
      <c r="PU298" s="16"/>
      <c r="PV298" s="16" t="n">
        <f aca="false">4+0.13+0.01+0.73+1.65+0.02</f>
        <v>6.54</v>
      </c>
      <c r="PW298" s="16" t="n">
        <v>2</v>
      </c>
      <c r="PX298" s="16"/>
      <c r="PY298" s="16" t="n">
        <f aca="false">0.18*2</f>
        <v>0.36</v>
      </c>
      <c r="PZ298" s="16"/>
      <c r="QA298" s="16"/>
      <c r="QB298" s="16"/>
      <c r="QC298" s="16" t="n">
        <v>3.32</v>
      </c>
      <c r="QD298" s="16" t="n">
        <v>3.31</v>
      </c>
      <c r="QE298" s="16"/>
      <c r="QF298" s="16"/>
      <c r="QG298" s="16" t="n">
        <v>0</v>
      </c>
      <c r="QH298" s="16" t="n">
        <v>0</v>
      </c>
      <c r="QI298" s="16" t="n">
        <v>0.22</v>
      </c>
      <c r="QJ298" s="0" t="n">
        <v>0</v>
      </c>
      <c r="QK298" s="0" t="s">
        <v>836</v>
      </c>
      <c r="QL298" s="0" t="n">
        <v>26.5</v>
      </c>
      <c r="QM298" s="16" t="n">
        <v>70.7</v>
      </c>
      <c r="QN298" s="16" t="n">
        <v>83.4</v>
      </c>
      <c r="QO298" s="16" t="n">
        <v>8.8</v>
      </c>
      <c r="QP298" s="0" t="n">
        <v>94.65</v>
      </c>
      <c r="QQ298" s="0" t="n">
        <v>0</v>
      </c>
      <c r="QR298" s="0" t="n">
        <v>0.21</v>
      </c>
      <c r="QS298" s="0" t="n">
        <v>0</v>
      </c>
      <c r="QT298" s="0" t="n">
        <v>4.31</v>
      </c>
      <c r="QU298" s="0" t="n">
        <v>0</v>
      </c>
      <c r="QV298" s="0" t="n">
        <v>0</v>
      </c>
      <c r="QW298" s="0" t="n">
        <v>0</v>
      </c>
      <c r="QX298" s="0" t="n">
        <v>0</v>
      </c>
      <c r="QY298" s="0" t="n">
        <v>0</v>
      </c>
      <c r="QZ298" s="0" t="n">
        <v>0</v>
      </c>
      <c r="RA298" s="0" t="n">
        <v>1.21</v>
      </c>
      <c r="RB298" s="0" t="n">
        <v>19.41</v>
      </c>
      <c r="RC298" s="0" t="n">
        <v>20.37</v>
      </c>
      <c r="RD298" s="0" t="n">
        <v>0.21</v>
      </c>
      <c r="RE298" s="0" t="n">
        <v>0.83</v>
      </c>
      <c r="RF298" s="0" t="n">
        <v>12.2</v>
      </c>
      <c r="RG298" s="0" t="n">
        <v>1</v>
      </c>
      <c r="RH298" s="0" t="n">
        <v>5</v>
      </c>
      <c r="RJ298" s="0" t="n">
        <v>2</v>
      </c>
      <c r="RT298" s="0" t="n">
        <v>0</v>
      </c>
      <c r="RU298" s="0" t="n">
        <v>0</v>
      </c>
      <c r="SF298" s="18"/>
      <c r="SX298" s="0" t="n">
        <v>1</v>
      </c>
      <c r="SY298" s="0" t="n">
        <v>40</v>
      </c>
      <c r="SZ298" s="0" t="n">
        <v>1</v>
      </c>
      <c r="TA298" s="0" t="n">
        <v>0.21</v>
      </c>
      <c r="TB298" s="0" t="n">
        <v>3</v>
      </c>
      <c r="TC298" s="0" t="n">
        <v>80</v>
      </c>
      <c r="TD298" s="0" t="n">
        <v>4</v>
      </c>
      <c r="TE298" s="0" t="n">
        <v>0.5</v>
      </c>
      <c r="TF298" s="0" t="n">
        <v>2</v>
      </c>
      <c r="TG298" s="0" t="n">
        <v>60</v>
      </c>
      <c r="TH298" s="0" t="n">
        <f aca="false">18+9</f>
        <v>27</v>
      </c>
      <c r="TI298" s="0" t="n">
        <f aca="false">2.27+1.14</f>
        <v>3.41</v>
      </c>
      <c r="TJ298" s="0" t="n">
        <v>2</v>
      </c>
      <c r="UI298" s="16" t="n">
        <v>3.54</v>
      </c>
      <c r="UJ298" s="16" t="n">
        <v>1</v>
      </c>
      <c r="UK298" s="16" t="n">
        <v>1</v>
      </c>
      <c r="UL298" s="16"/>
      <c r="UM298" s="16" t="n">
        <f aca="false">4+0.73*2+1.65</f>
        <v>7.11</v>
      </c>
      <c r="UN298" s="16"/>
      <c r="UO298" s="16"/>
      <c r="UP298" s="16"/>
      <c r="UQ298" s="16"/>
      <c r="UR298" s="16"/>
      <c r="US298" s="16"/>
      <c r="UT298" s="16" t="n">
        <v>1.47</v>
      </c>
      <c r="UU298" s="16" t="n">
        <v>1.47</v>
      </c>
      <c r="UV298" s="16"/>
      <c r="UW298" s="16"/>
      <c r="UX298" s="16" t="n">
        <v>0</v>
      </c>
      <c r="UY298" s="16" t="n">
        <v>0</v>
      </c>
      <c r="UZ298" s="16" t="n">
        <v>0.22</v>
      </c>
      <c r="VA298" s="0" t="n">
        <v>0</v>
      </c>
      <c r="VB298" s="0" t="s">
        <v>841</v>
      </c>
      <c r="VC298" s="0" t="n">
        <v>18.5</v>
      </c>
      <c r="VD298" s="16" t="n">
        <v>91.6</v>
      </c>
      <c r="VE298" s="16" t="n">
        <v>83.4</v>
      </c>
      <c r="VF298" s="16" t="n">
        <v>7.5</v>
      </c>
      <c r="VG298" s="0" t="n">
        <v>96.33</v>
      </c>
      <c r="VH298" s="0" t="n">
        <v>0</v>
      </c>
      <c r="VI298" s="0" t="n">
        <v>0</v>
      </c>
      <c r="VJ298" s="0" t="n">
        <v>0</v>
      </c>
      <c r="VK298" s="0" t="n">
        <v>3.67</v>
      </c>
      <c r="VL298" s="0" t="n">
        <v>0</v>
      </c>
      <c r="VM298" s="0" t="n">
        <v>0</v>
      </c>
      <c r="VN298" s="0" t="n">
        <v>0</v>
      </c>
      <c r="VO298" s="0" t="n">
        <v>0</v>
      </c>
      <c r="VP298" s="0" t="n">
        <v>0</v>
      </c>
      <c r="VQ298" s="0" t="n">
        <v>0</v>
      </c>
      <c r="VR298" s="0" t="n">
        <v>3.67</v>
      </c>
      <c r="VS298" s="0" t="n">
        <v>45.98</v>
      </c>
      <c r="VT298" s="0" t="n">
        <v>17.9</v>
      </c>
      <c r="VU298" s="0" t="n">
        <v>0</v>
      </c>
      <c r="VV298" s="0" t="n">
        <v>0</v>
      </c>
      <c r="VW298" s="0" t="n">
        <v>0</v>
      </c>
      <c r="VX298" s="0" t="n">
        <v>0</v>
      </c>
      <c r="WK298" s="0" t="n">
        <v>0</v>
      </c>
      <c r="WL298" s="0" t="n">
        <v>0</v>
      </c>
      <c r="WW298" s="18"/>
      <c r="XO298" s="0" t="n">
        <v>0</v>
      </c>
      <c r="XS298" s="0" t="n">
        <v>1</v>
      </c>
      <c r="XT298" s="0" t="n">
        <v>50</v>
      </c>
      <c r="XU298" s="0" t="n">
        <v>1</v>
      </c>
      <c r="XV298" s="0" t="n">
        <v>0.04</v>
      </c>
      <c r="XW298" s="0" t="n">
        <v>3</v>
      </c>
      <c r="YZ298" s="16" t="n">
        <v>1.44</v>
      </c>
      <c r="ZA298" s="16" t="n">
        <v>1</v>
      </c>
      <c r="ZB298" s="16" t="n">
        <v>1</v>
      </c>
      <c r="ZC298" s="16"/>
      <c r="ZD298" s="16" t="n">
        <f aca="false">1.65+0.18*2+9.17</f>
        <v>11.18</v>
      </c>
      <c r="ZE298" s="16"/>
      <c r="ZF298" s="16"/>
      <c r="ZG298" s="16"/>
      <c r="ZH298" s="16"/>
      <c r="ZI298" s="16"/>
      <c r="ZJ298" s="16"/>
      <c r="ZK298" s="16" t="n">
        <v>5.88</v>
      </c>
      <c r="ZL298" s="16" t="n">
        <v>13.5</v>
      </c>
      <c r="ZM298" s="16"/>
      <c r="ZN298" s="16"/>
      <c r="ZO298" s="16" t="n">
        <v>3.6</v>
      </c>
      <c r="ZP298" s="16" t="n">
        <v>1.1</v>
      </c>
      <c r="ZQ298" s="16" t="n">
        <v>0</v>
      </c>
      <c r="ZR298" s="0" t="n">
        <v>0</v>
      </c>
      <c r="ZS298" s="0" t="s">
        <v>837</v>
      </c>
      <c r="ZT298" s="0" t="n">
        <v>30.5</v>
      </c>
      <c r="ZU298" s="16" t="n">
        <v>92</v>
      </c>
      <c r="ZV298" s="16" t="n">
        <v>83.4</v>
      </c>
      <c r="ZW298" s="16" t="n">
        <v>5.9</v>
      </c>
      <c r="ZX298" s="0" t="n">
        <v>98.99</v>
      </c>
      <c r="ZY298" s="0" t="n">
        <v>1.01</v>
      </c>
      <c r="ZZ298" s="0" t="n">
        <v>0</v>
      </c>
      <c r="AAA298" s="0" t="n">
        <v>0</v>
      </c>
      <c r="AAB298" s="0" t="n">
        <v>0</v>
      </c>
      <c r="AAC298" s="0" t="n">
        <v>0</v>
      </c>
      <c r="AAD298" s="0" t="n">
        <v>0</v>
      </c>
      <c r="AAE298" s="0" t="n">
        <v>0</v>
      </c>
      <c r="AAF298" s="0" t="n">
        <v>0</v>
      </c>
      <c r="AAG298" s="0" t="n">
        <v>0</v>
      </c>
      <c r="AAH298" s="0" t="n">
        <v>0</v>
      </c>
      <c r="AAI298" s="0" t="n">
        <v>2.66</v>
      </c>
      <c r="AAJ298" s="0" t="n">
        <v>46.99</v>
      </c>
      <c r="AAK298" s="0" t="n">
        <v>16.89</v>
      </c>
      <c r="AAL298" s="0" t="n">
        <v>0</v>
      </c>
      <c r="AAM298" s="0" t="n">
        <v>0</v>
      </c>
      <c r="AAN298" s="0" t="n">
        <v>0</v>
      </c>
      <c r="AAO298" s="0" t="n">
        <v>0</v>
      </c>
      <c r="ABB298" s="0" t="n">
        <v>0</v>
      </c>
      <c r="ABC298" s="0" t="n">
        <v>0</v>
      </c>
      <c r="ABN298" s="18"/>
      <c r="ACF298" s="0" t="n">
        <v>0</v>
      </c>
      <c r="ADQ298" s="16" t="n">
        <v>8</v>
      </c>
      <c r="ADR298" s="16" t="n">
        <v>1</v>
      </c>
      <c r="ADS298" s="16" t="n">
        <v>1</v>
      </c>
      <c r="ADT298" s="16"/>
      <c r="ADU298" s="16" t="n">
        <f aca="false">1.65+0.18*2+9.17</f>
        <v>11.18</v>
      </c>
      <c r="ADV298" s="16"/>
      <c r="ADW298" s="16"/>
      <c r="ADX298" s="16"/>
      <c r="ADY298" s="16"/>
      <c r="ADZ298" s="16"/>
      <c r="AEA298" s="16"/>
      <c r="AEB298" s="16" t="n">
        <v>6.16</v>
      </c>
      <c r="AEC298" s="16" t="n">
        <v>16.16</v>
      </c>
      <c r="AED298" s="16"/>
      <c r="AEE298" s="16"/>
      <c r="AEF298" s="16" t="n">
        <v>10</v>
      </c>
      <c r="AEG298" s="16" t="n">
        <v>1.1</v>
      </c>
      <c r="AEH298" s="16" t="n">
        <v>0</v>
      </c>
      <c r="AEI298" s="0" t="n">
        <v>1</v>
      </c>
      <c r="AEJ298" s="0" t="s">
        <v>838</v>
      </c>
      <c r="AEK298" s="0" t="n">
        <v>47.5</v>
      </c>
      <c r="AEL298" s="16" t="n">
        <v>86.8</v>
      </c>
      <c r="AEM298" s="16" t="n">
        <v>83.4</v>
      </c>
      <c r="AEN298" s="16" t="n">
        <v>26.7</v>
      </c>
      <c r="AEO298" s="0" t="n">
        <v>65.11</v>
      </c>
      <c r="AEP298" s="0" t="n">
        <v>0</v>
      </c>
      <c r="AEQ298" s="0" t="n">
        <v>2.75</v>
      </c>
      <c r="AER298" s="0" t="n">
        <v>0</v>
      </c>
      <c r="AES298" s="0" t="n">
        <v>32.14</v>
      </c>
      <c r="AET298" s="0" t="n">
        <v>0</v>
      </c>
      <c r="AEU298" s="0" t="n">
        <v>0</v>
      </c>
      <c r="AEV298" s="0" t="n">
        <v>0</v>
      </c>
      <c r="AEW298" s="0" t="n">
        <v>0</v>
      </c>
      <c r="AEX298" s="0" t="n">
        <v>0</v>
      </c>
      <c r="AEY298" s="0" t="n">
        <v>0</v>
      </c>
      <c r="AEZ298" s="0" t="n">
        <v>0</v>
      </c>
      <c r="AFA298" s="0" t="n">
        <v>24.37</v>
      </c>
      <c r="AFB298" s="0" t="n">
        <v>6.53</v>
      </c>
      <c r="AFC298" s="0" t="n">
        <v>31.2</v>
      </c>
      <c r="AFD298" s="0" t="n">
        <v>0</v>
      </c>
      <c r="AFE298" s="0" t="n">
        <v>13</v>
      </c>
      <c r="AFF298" s="0" t="n">
        <v>1</v>
      </c>
      <c r="AFG298" s="0" t="n">
        <v>7</v>
      </c>
      <c r="AFI298" s="0" t="n">
        <v>2</v>
      </c>
      <c r="AFS298" s="0" t="n">
        <v>0</v>
      </c>
      <c r="AFT298" s="0" t="n">
        <v>0</v>
      </c>
      <c r="AGE298" s="18"/>
      <c r="AGW298" s="0" t="n">
        <v>0</v>
      </c>
      <c r="AIH298" s="16" t="n">
        <v>2.27</v>
      </c>
      <c r="AII298" s="16" t="n">
        <v>1</v>
      </c>
      <c r="AIJ298" s="16" t="n">
        <v>1</v>
      </c>
      <c r="AIK298" s="16"/>
      <c r="AIL298" s="16" t="n">
        <f aca="false">3.3*3+0.36*4</f>
        <v>11.34</v>
      </c>
      <c r="AIM298" s="16"/>
      <c r="AIN298" s="16"/>
      <c r="AIO298" s="16"/>
      <c r="AIP298" s="16"/>
      <c r="AIQ298" s="16"/>
      <c r="AIR298" s="16"/>
      <c r="AIS298" s="16" t="n">
        <v>5.24</v>
      </c>
      <c r="AIT298" s="16" t="n">
        <v>7.31</v>
      </c>
      <c r="AIU298" s="16"/>
      <c r="AIV298" s="16"/>
      <c r="AIW298" s="16" t="n">
        <v>0</v>
      </c>
      <c r="AIX298" s="16" t="n">
        <v>0</v>
      </c>
      <c r="AIY298" s="16" t="n">
        <v>0</v>
      </c>
      <c r="AIZ298" s="0" t="n">
        <v>0</v>
      </c>
      <c r="AJA298" s="0" t="s">
        <v>839</v>
      </c>
      <c r="AJB298" s="0" t="n">
        <v>48</v>
      </c>
      <c r="AJC298" s="16" t="n">
        <v>84.6</v>
      </c>
      <c r="AJD298" s="16" t="n">
        <v>83.4</v>
      </c>
      <c r="AJE298" s="16" t="n">
        <v>5.9</v>
      </c>
      <c r="AJF298" s="0" t="n">
        <v>36.31</v>
      </c>
      <c r="AJG298" s="0" t="n">
        <v>0</v>
      </c>
      <c r="AJH298" s="0" t="n">
        <v>0</v>
      </c>
      <c r="AJI298" s="0" t="n">
        <v>0</v>
      </c>
      <c r="AJJ298" s="0" t="n">
        <v>63.69</v>
      </c>
      <c r="AJK298" s="0" t="n">
        <v>0</v>
      </c>
      <c r="AJL298" s="0" t="n">
        <v>0</v>
      </c>
      <c r="AJM298" s="0" t="n">
        <v>0</v>
      </c>
      <c r="AJN298" s="0" t="n">
        <v>0</v>
      </c>
      <c r="AJO298" s="0" t="n">
        <v>0</v>
      </c>
      <c r="AJP298" s="0" t="n">
        <v>0</v>
      </c>
      <c r="AJQ298" s="0" t="n">
        <v>2.53</v>
      </c>
      <c r="AJR298" s="0" t="n">
        <v>8.33</v>
      </c>
      <c r="AJS298" s="0" t="n">
        <v>27.3</v>
      </c>
      <c r="AJT298" s="0" t="n">
        <v>39.37</v>
      </c>
      <c r="AJU298" s="0" t="n">
        <v>0</v>
      </c>
      <c r="AJV298" s="0" t="n">
        <v>0</v>
      </c>
      <c r="AJW298" s="0" t="n">
        <v>0</v>
      </c>
      <c r="AKJ298" s="0" t="n">
        <v>0</v>
      </c>
      <c r="AKK298" s="0" t="n">
        <v>0</v>
      </c>
      <c r="AKV298" s="18"/>
      <c r="ALN298" s="0" t="n">
        <v>0</v>
      </c>
    </row>
    <row r="299" customFormat="false" ht="13.8" hidden="false" customHeight="false" outlineLevel="0" collapsed="false">
      <c r="A299" s="1" t="s">
        <v>870</v>
      </c>
      <c r="B299" s="12" t="n">
        <v>43000</v>
      </c>
      <c r="C299" s="0" t="n">
        <v>2</v>
      </c>
      <c r="D299" s="13" t="n">
        <v>35002</v>
      </c>
      <c r="E299" s="12" t="n">
        <v>27611</v>
      </c>
      <c r="F299" s="14" t="n">
        <f aca="false">(B299-E299)/365.25</f>
        <v>42.1327857631759</v>
      </c>
      <c r="G299" s="14" t="n">
        <f aca="false">(B299-D299)/365.25</f>
        <v>21.8973305954825</v>
      </c>
      <c r="H299" s="19" t="s">
        <v>306</v>
      </c>
      <c r="I299" s="15" t="s">
        <v>832</v>
      </c>
      <c r="J299" s="15" t="s">
        <v>183</v>
      </c>
      <c r="K299" s="15" t="n">
        <v>8</v>
      </c>
      <c r="L299" s="19" t="n">
        <v>82</v>
      </c>
      <c r="M299" s="0" t="n">
        <v>1.81</v>
      </c>
      <c r="N299" s="16" t="n">
        <f aca="false">L299/(M299*M299)</f>
        <v>25.0297609963066</v>
      </c>
      <c r="O299" s="19" t="n">
        <v>0</v>
      </c>
      <c r="P299" s="19" t="n">
        <v>0</v>
      </c>
      <c r="Q299" s="19" t="n">
        <v>0</v>
      </c>
      <c r="R299" s="26" t="n">
        <v>0</v>
      </c>
      <c r="S299" s="26" t="n">
        <v>0</v>
      </c>
      <c r="T299" s="26" t="n">
        <v>0</v>
      </c>
      <c r="U299" s="19" t="n">
        <v>0</v>
      </c>
      <c r="V299" s="19" t="n">
        <v>0</v>
      </c>
      <c r="W299" s="19" t="n">
        <v>0</v>
      </c>
      <c r="X299" s="19" t="n">
        <v>0</v>
      </c>
      <c r="Y299" s="19" t="n">
        <v>1</v>
      </c>
      <c r="Z299" s="19" t="n">
        <v>1</v>
      </c>
      <c r="AA299" s="19" t="n">
        <v>60</v>
      </c>
      <c r="AB299" s="19" t="s">
        <v>871</v>
      </c>
      <c r="AC299" s="19" t="n">
        <v>1</v>
      </c>
      <c r="AD299" s="19" t="n">
        <v>20</v>
      </c>
      <c r="AE299" s="19" t="n">
        <v>0</v>
      </c>
      <c r="AF299" s="19" t="n">
        <v>0</v>
      </c>
      <c r="AG299" s="19" t="n">
        <v>0</v>
      </c>
      <c r="AH299" s="19" t="n">
        <v>0</v>
      </c>
      <c r="AI299" s="19" t="n">
        <v>0</v>
      </c>
      <c r="AJ299" s="19" t="n">
        <v>0</v>
      </c>
      <c r="AK299" s="19" t="n">
        <v>0</v>
      </c>
      <c r="AL299" s="19" t="n">
        <v>0</v>
      </c>
      <c r="AM299" s="19" t="n">
        <v>0</v>
      </c>
      <c r="AN299" s="19" t="n">
        <v>0</v>
      </c>
      <c r="AO299" s="19" t="n">
        <v>0</v>
      </c>
      <c r="AP299" s="19" t="n">
        <v>0</v>
      </c>
      <c r="AQ299" s="19" t="n">
        <v>0</v>
      </c>
      <c r="AR299" s="19" t="n">
        <v>0</v>
      </c>
      <c r="AS299" s="19" t="n">
        <v>0</v>
      </c>
      <c r="AT299" s="19" t="n">
        <v>0</v>
      </c>
      <c r="AU299" s="19" t="n">
        <v>0</v>
      </c>
      <c r="AV299" s="19" t="n">
        <v>0</v>
      </c>
      <c r="AW299" s="19" t="n">
        <v>0</v>
      </c>
      <c r="AX299" s="19" t="n">
        <v>0</v>
      </c>
      <c r="AY299" s="19" t="n">
        <v>0</v>
      </c>
      <c r="AZ299" s="19" t="n">
        <v>0</v>
      </c>
      <c r="BA299" s="19" t="n">
        <v>0</v>
      </c>
      <c r="BB299" s="19" t="n">
        <v>1</v>
      </c>
      <c r="BC299" s="19" t="n">
        <v>1</v>
      </c>
      <c r="BD299" s="19" t="n">
        <v>0</v>
      </c>
      <c r="BE299" s="19" t="n">
        <v>0</v>
      </c>
      <c r="BF299" s="19" t="n">
        <v>0</v>
      </c>
      <c r="BG299" s="19" t="n">
        <v>0</v>
      </c>
      <c r="BH299" s="19" t="n">
        <v>0</v>
      </c>
      <c r="BI299" s="19" t="n">
        <v>0</v>
      </c>
      <c r="BJ299" s="19" t="n">
        <v>1</v>
      </c>
      <c r="BK299" s="19" t="n">
        <v>1</v>
      </c>
      <c r="BL299" s="19" t="n">
        <v>0</v>
      </c>
      <c r="BM299" s="19" t="n">
        <v>0</v>
      </c>
      <c r="BN299" s="19" t="n">
        <v>0</v>
      </c>
      <c r="BO299" s="19" t="n">
        <v>0</v>
      </c>
      <c r="BP299" s="19" t="n">
        <v>0</v>
      </c>
      <c r="BQ299" s="19" t="n">
        <v>0</v>
      </c>
      <c r="BR299" s="19" t="n">
        <v>3</v>
      </c>
      <c r="BS299" s="19" t="n">
        <v>3</v>
      </c>
      <c r="BT299" s="19"/>
      <c r="BU299" s="19" t="n">
        <v>5</v>
      </c>
      <c r="BV299" s="19" t="n">
        <v>5</v>
      </c>
      <c r="BW299" s="19" t="n">
        <v>4</v>
      </c>
      <c r="BX299" s="19" t="n">
        <v>4</v>
      </c>
      <c r="BY299" s="19" t="n">
        <v>5</v>
      </c>
      <c r="BZ299" s="19" t="n">
        <v>4</v>
      </c>
      <c r="CA299" s="19" t="n">
        <v>4</v>
      </c>
      <c r="CB299" s="19" t="n">
        <v>3</v>
      </c>
      <c r="CC299" s="19" t="n">
        <v>4</v>
      </c>
      <c r="CD299" s="19" t="n">
        <v>3</v>
      </c>
      <c r="CE299" s="19" t="n">
        <v>4</v>
      </c>
      <c r="CF299" s="19" t="n">
        <v>3</v>
      </c>
      <c r="CG299" s="19" t="n">
        <v>4</v>
      </c>
      <c r="CH299" s="19" t="n">
        <v>3</v>
      </c>
      <c r="CI299" s="19" t="n">
        <v>4</v>
      </c>
      <c r="CJ299" s="19" t="n">
        <v>3</v>
      </c>
      <c r="CK299" s="19" t="n">
        <v>8</v>
      </c>
      <c r="CL299" s="0" t="s">
        <v>833</v>
      </c>
      <c r="CM299" s="0" t="n">
        <v>31</v>
      </c>
      <c r="CN299" s="16" t="n">
        <v>82.6</v>
      </c>
      <c r="CO299" s="16" t="n">
        <v>83.4</v>
      </c>
      <c r="CP299" s="16" t="n">
        <v>5.7</v>
      </c>
      <c r="CQ299" s="0" t="n">
        <v>99.97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0</v>
      </c>
      <c r="DB299" s="0" t="n">
        <v>7.3</v>
      </c>
      <c r="DC299" s="0" t="n">
        <v>53.74</v>
      </c>
      <c r="DD299" s="0" t="n">
        <v>0</v>
      </c>
      <c r="DE299" s="0" t="n">
        <v>0</v>
      </c>
      <c r="DF299" s="0" t="n">
        <v>0</v>
      </c>
      <c r="DG299" s="0" t="n">
        <v>17.6</v>
      </c>
      <c r="DH299" s="0" t="n">
        <v>1</v>
      </c>
      <c r="DI299" s="0" t="n">
        <v>4.6</v>
      </c>
      <c r="DK299" s="0" t="n">
        <v>2</v>
      </c>
      <c r="DU299" s="0" t="n">
        <v>2.4</v>
      </c>
      <c r="DV299" s="0" t="n">
        <v>0</v>
      </c>
      <c r="EG299" s="18"/>
      <c r="EY299" s="0" t="n">
        <v>1</v>
      </c>
      <c r="EZ299" s="0" t="n">
        <v>60</v>
      </c>
      <c r="FA299" s="0" t="n">
        <f aca="false">4+6+1+3+1+3</f>
        <v>18</v>
      </c>
      <c r="FB299" s="0" t="n">
        <f aca="false">0.73+2.2+0.13+0.39+0.78+0.52</f>
        <v>4.75</v>
      </c>
      <c r="FC299" s="0" t="n">
        <v>3</v>
      </c>
      <c r="FD299" s="0" t="n">
        <v>50</v>
      </c>
      <c r="FE299" s="0" t="n">
        <f aca="false">14</f>
        <v>14</v>
      </c>
      <c r="FF299" s="0" t="n">
        <f aca="false">4.4+2.94+0.52</f>
        <v>7.86</v>
      </c>
      <c r="FG299" s="0" t="n">
        <v>3</v>
      </c>
      <c r="GJ299" s="16" t="n">
        <v>0</v>
      </c>
      <c r="GK299" s="16" t="n">
        <v>0</v>
      </c>
      <c r="GL299" s="16"/>
      <c r="GM299" s="16"/>
      <c r="GN299" s="16"/>
      <c r="GO299" s="16"/>
      <c r="GP299" s="16"/>
      <c r="GQ299" s="16"/>
      <c r="GR299" s="16"/>
      <c r="GS299" s="16"/>
      <c r="GT299" s="16"/>
      <c r="GU299" s="16" t="n">
        <v>5.21</v>
      </c>
      <c r="GV299" s="16" t="n">
        <v>2.59</v>
      </c>
      <c r="GW299" s="16"/>
      <c r="GX299" s="16"/>
      <c r="GY299" s="16" t="n">
        <v>0</v>
      </c>
      <c r="GZ299" s="16" t="n">
        <v>0</v>
      </c>
      <c r="HA299" s="16" t="n">
        <v>0</v>
      </c>
      <c r="HB299" s="0" t="n">
        <v>0</v>
      </c>
      <c r="HC299" s="0" t="s">
        <v>834</v>
      </c>
      <c r="HD299" s="0" t="n">
        <v>30.5</v>
      </c>
      <c r="HE299" s="16" t="n">
        <v>73.4</v>
      </c>
      <c r="HF299" s="16" t="n">
        <v>83.4</v>
      </c>
      <c r="HG299" s="16" t="n">
        <v>5.7</v>
      </c>
      <c r="HH299" s="0" t="n">
        <v>100</v>
      </c>
      <c r="HI299" s="0" t="n">
        <v>0</v>
      </c>
      <c r="HJ299" s="0" t="n">
        <v>0</v>
      </c>
      <c r="HK299" s="0" t="n">
        <v>0</v>
      </c>
      <c r="HL299" s="0" t="n">
        <v>0</v>
      </c>
      <c r="HM299" s="0" t="n">
        <v>0</v>
      </c>
      <c r="HN299" s="0" t="n">
        <v>0</v>
      </c>
      <c r="HO299" s="0" t="n">
        <v>0</v>
      </c>
      <c r="HP299" s="0" t="n">
        <v>0</v>
      </c>
      <c r="HQ299" s="0" t="n">
        <v>0</v>
      </c>
      <c r="HR299" s="0" t="n">
        <v>0</v>
      </c>
      <c r="HS299" s="0" t="n">
        <v>7.69</v>
      </c>
      <c r="HT299" s="0" t="n">
        <v>47.61</v>
      </c>
      <c r="HU299" s="0" t="n">
        <v>0</v>
      </c>
      <c r="HV299" s="0" t="n">
        <v>0</v>
      </c>
      <c r="HW299" s="0" t="n">
        <v>0</v>
      </c>
      <c r="HX299" s="0" t="n">
        <v>16.4</v>
      </c>
      <c r="HY299" s="0" t="n">
        <v>1</v>
      </c>
      <c r="HZ299" s="0" t="n">
        <v>4.6</v>
      </c>
      <c r="IB299" s="0" t="n">
        <v>2</v>
      </c>
      <c r="IL299" s="0" t="n">
        <v>1.4</v>
      </c>
      <c r="IM299" s="0" t="n">
        <v>0</v>
      </c>
      <c r="IX299" s="18"/>
      <c r="JP299" s="0" t="n">
        <v>1</v>
      </c>
      <c r="JQ299" s="0" t="n">
        <v>60</v>
      </c>
      <c r="JR299" s="0" t="n">
        <v>7</v>
      </c>
      <c r="JS299" s="0" t="n">
        <f aca="false">0.73+2.2+0.39</f>
        <v>3.32</v>
      </c>
      <c r="JT299" s="0" t="n">
        <v>3</v>
      </c>
      <c r="JU299" s="0" t="n">
        <v>50</v>
      </c>
      <c r="JV299" s="0" t="n">
        <v>10</v>
      </c>
      <c r="JW299" s="0" t="n">
        <f aca="false">4.4+2.94</f>
        <v>7.34</v>
      </c>
      <c r="LA299" s="16" t="n">
        <v>0</v>
      </c>
      <c r="LB299" s="16" t="n">
        <v>0</v>
      </c>
      <c r="LC299" s="16"/>
      <c r="LD299" s="16"/>
      <c r="LE299" s="16"/>
      <c r="LF299" s="16"/>
      <c r="LG299" s="16"/>
      <c r="LH299" s="16"/>
      <c r="LI299" s="16"/>
      <c r="LJ299" s="16"/>
      <c r="LK299" s="16"/>
      <c r="LL299" s="16" t="n">
        <v>6.95</v>
      </c>
      <c r="LM299" s="16" t="n">
        <v>10.27</v>
      </c>
      <c r="LN299" s="16"/>
      <c r="LO299" s="16"/>
      <c r="LP299" s="16" t="n">
        <v>0</v>
      </c>
      <c r="LQ299" s="16" t="n">
        <v>0</v>
      </c>
      <c r="LR299" s="16" t="n">
        <v>0</v>
      </c>
      <c r="LS299" s="0" t="n">
        <v>0</v>
      </c>
      <c r="LT299" s="0" t="n">
        <v>94</v>
      </c>
      <c r="LU299" s="0" t="n">
        <v>24.5</v>
      </c>
      <c r="LV299" s="16" t="n">
        <v>88.7</v>
      </c>
      <c r="LW299" s="16" t="n">
        <v>83.4</v>
      </c>
      <c r="LX299" s="16" t="n">
        <v>23.1</v>
      </c>
      <c r="LY299" s="0" t="n">
        <v>69.95</v>
      </c>
      <c r="LZ299" s="0" t="n">
        <v>0</v>
      </c>
      <c r="MA299" s="0" t="n">
        <v>7.16</v>
      </c>
      <c r="MB299" s="0" t="n">
        <v>0</v>
      </c>
      <c r="MC299" s="0" t="n">
        <v>0</v>
      </c>
      <c r="MD299" s="0" t="n">
        <v>0</v>
      </c>
      <c r="ME299" s="0" t="n">
        <v>0</v>
      </c>
      <c r="MF299" s="0" t="n">
        <v>0</v>
      </c>
      <c r="MG299" s="0" t="n">
        <v>0</v>
      </c>
      <c r="MH299" s="0" t="n">
        <v>0</v>
      </c>
      <c r="MI299" s="0" t="n">
        <v>0</v>
      </c>
      <c r="MJ299" s="0" t="n">
        <v>0</v>
      </c>
      <c r="MK299" s="0" t="n">
        <v>34.04</v>
      </c>
      <c r="ML299" s="0" t="n">
        <v>20.5</v>
      </c>
      <c r="MM299" s="0" t="n">
        <v>0</v>
      </c>
      <c r="MN299" s="0" t="n">
        <v>22.9</v>
      </c>
      <c r="MO299" s="0" t="n">
        <v>0</v>
      </c>
      <c r="MP299" s="0" t="n">
        <v>0</v>
      </c>
      <c r="NC299" s="0" t="n">
        <v>0</v>
      </c>
      <c r="ND299" s="0" t="n">
        <v>0</v>
      </c>
      <c r="NO299" s="18"/>
      <c r="OG299" s="0" t="n">
        <v>0</v>
      </c>
      <c r="PR299" s="16" t="n">
        <v>0</v>
      </c>
      <c r="PS299" s="16" t="n">
        <v>0</v>
      </c>
      <c r="PT299" s="16"/>
      <c r="PU299" s="16"/>
      <c r="PV299" s="16"/>
      <c r="PW299" s="16"/>
      <c r="PX299" s="16"/>
      <c r="PY299" s="16"/>
      <c r="PZ299" s="16"/>
      <c r="QA299" s="16"/>
      <c r="QB299" s="16"/>
      <c r="QC299" s="16" t="n">
        <v>0</v>
      </c>
      <c r="QD299" s="16" t="n">
        <v>0</v>
      </c>
      <c r="QE299" s="16"/>
      <c r="QF299" s="16"/>
      <c r="QG299" s="16" t="n">
        <v>0</v>
      </c>
      <c r="QH299" s="16" t="n">
        <v>0</v>
      </c>
      <c r="QI299" s="16" t="n">
        <v>1.44</v>
      </c>
      <c r="QJ299" s="0" t="n">
        <v>0</v>
      </c>
      <c r="QK299" s="0" t="s">
        <v>835</v>
      </c>
      <c r="QL299" s="0" t="n">
        <v>19</v>
      </c>
      <c r="QM299" s="16" t="n">
        <v>73.2</v>
      </c>
      <c r="QN299" s="16" t="n">
        <v>83.4</v>
      </c>
      <c r="QO299" s="16" t="n">
        <v>11.1</v>
      </c>
      <c r="QP299" s="0" t="n">
        <v>92.58</v>
      </c>
      <c r="QQ299" s="0" t="n">
        <v>0</v>
      </c>
      <c r="QR299" s="0" t="n">
        <v>1.25</v>
      </c>
      <c r="QS299" s="0" t="n">
        <v>0</v>
      </c>
      <c r="QT299" s="0" t="n">
        <v>5.34</v>
      </c>
      <c r="QU299" s="0" t="n">
        <v>0</v>
      </c>
      <c r="QV299" s="0" t="n">
        <v>0</v>
      </c>
      <c r="QW299" s="0" t="n">
        <v>0</v>
      </c>
      <c r="QX299" s="0" t="n">
        <v>0</v>
      </c>
      <c r="QY299" s="0" t="n">
        <v>0</v>
      </c>
      <c r="QZ299" s="0" t="n">
        <v>0</v>
      </c>
      <c r="RA299" s="0" t="n">
        <v>4.77</v>
      </c>
      <c r="RB299" s="0" t="n">
        <v>22.03</v>
      </c>
      <c r="RC299" s="0" t="n">
        <v>27.08</v>
      </c>
      <c r="RD299" s="0" t="n">
        <v>1.58</v>
      </c>
      <c r="RE299" s="0" t="n">
        <v>0.83</v>
      </c>
      <c r="RF299" s="0" t="n">
        <v>0</v>
      </c>
      <c r="RG299" s="0" t="n">
        <v>0</v>
      </c>
      <c r="RT299" s="0" t="n">
        <v>0.5</v>
      </c>
      <c r="RU299" s="0" t="n">
        <v>1</v>
      </c>
      <c r="RV299" s="0" t="n">
        <v>35</v>
      </c>
      <c r="RW299" s="0" t="n">
        <v>4</v>
      </c>
      <c r="RX299" s="0" t="n">
        <v>0.1</v>
      </c>
      <c r="RY299" s="0" t="n">
        <v>3</v>
      </c>
      <c r="SF299" s="18"/>
      <c r="SX299" s="0" t="n">
        <v>1</v>
      </c>
      <c r="SY299" s="0" t="n">
        <v>40</v>
      </c>
      <c r="SZ299" s="0" t="n">
        <v>1</v>
      </c>
      <c r="TA299" s="0" t="n">
        <v>1.25</v>
      </c>
      <c r="TB299" s="0" t="n">
        <v>3</v>
      </c>
      <c r="TC299" s="0" t="n">
        <v>50</v>
      </c>
      <c r="TD299" s="0" t="n">
        <v>1</v>
      </c>
      <c r="TE299" s="0" t="n">
        <v>0.05</v>
      </c>
      <c r="TF299" s="0" t="n">
        <v>3</v>
      </c>
      <c r="TG299" s="0" t="n">
        <v>60</v>
      </c>
      <c r="TH299" s="0" t="n">
        <f aca="false">18+9</f>
        <v>27</v>
      </c>
      <c r="TI299" s="0" t="n">
        <f aca="false">2.27+1.14</f>
        <v>3.41</v>
      </c>
      <c r="TJ299" s="0" t="n">
        <v>3</v>
      </c>
      <c r="UI299" s="16" t="n">
        <v>3.7</v>
      </c>
      <c r="UJ299" s="16" t="n">
        <v>1</v>
      </c>
      <c r="UK299" s="16" t="n">
        <v>1</v>
      </c>
      <c r="UL299" s="16"/>
      <c r="UM299" s="16" t="n">
        <f aca="false">4+0.13+0.01+0.73+1.65+0.02</f>
        <v>6.54</v>
      </c>
      <c r="UN299" s="16" t="n">
        <v>2</v>
      </c>
      <c r="UO299" s="16"/>
      <c r="UP299" s="16" t="n">
        <f aca="false">0.18*2</f>
        <v>0.36</v>
      </c>
      <c r="UQ299" s="16"/>
      <c r="UR299" s="16"/>
      <c r="US299" s="16"/>
      <c r="UT299" s="16" t="n">
        <v>3.32</v>
      </c>
      <c r="UU299" s="16" t="n">
        <v>3.31</v>
      </c>
      <c r="UV299" s="16"/>
      <c r="UW299" s="16"/>
      <c r="UX299" s="16" t="n">
        <v>0</v>
      </c>
      <c r="UY299" s="16" t="n">
        <v>0</v>
      </c>
      <c r="UZ299" s="16" t="n">
        <v>0.22</v>
      </c>
      <c r="VA299" s="0" t="n">
        <v>0</v>
      </c>
      <c r="VB299" s="0" t="s">
        <v>836</v>
      </c>
      <c r="VC299" s="0" t="n">
        <v>26.5</v>
      </c>
      <c r="VD299" s="16" t="n">
        <v>70.7</v>
      </c>
      <c r="VE299" s="16" t="n">
        <v>83.4</v>
      </c>
      <c r="VF299" s="16" t="n">
        <v>8.8</v>
      </c>
      <c r="VG299" s="0" t="n">
        <v>94.65</v>
      </c>
      <c r="VH299" s="0" t="n">
        <v>0</v>
      </c>
      <c r="VI299" s="0" t="n">
        <v>0.21</v>
      </c>
      <c r="VJ299" s="0" t="n">
        <v>0</v>
      </c>
      <c r="VK299" s="0" t="n">
        <v>4.31</v>
      </c>
      <c r="VL299" s="0" t="n">
        <v>0</v>
      </c>
      <c r="VM299" s="0" t="n">
        <v>0</v>
      </c>
      <c r="VN299" s="0" t="n">
        <v>0</v>
      </c>
      <c r="VO299" s="0" t="n">
        <v>0</v>
      </c>
      <c r="VP299" s="0" t="n">
        <v>0</v>
      </c>
      <c r="VQ299" s="0" t="n">
        <v>0</v>
      </c>
      <c r="VR299" s="0" t="n">
        <v>1.21</v>
      </c>
      <c r="VS299" s="0" t="n">
        <v>19.41</v>
      </c>
      <c r="VT299" s="0" t="n">
        <v>20.37</v>
      </c>
      <c r="VU299" s="0" t="n">
        <v>0.21</v>
      </c>
      <c r="VV299" s="0" t="n">
        <v>0.83</v>
      </c>
      <c r="VW299" s="0" t="n">
        <v>12.2</v>
      </c>
      <c r="VX299" s="0" t="n">
        <v>1</v>
      </c>
      <c r="VY299" s="0" t="n">
        <v>5</v>
      </c>
      <c r="WA299" s="0" t="n">
        <v>2</v>
      </c>
      <c r="WK299" s="0" t="n">
        <v>0</v>
      </c>
      <c r="WL299" s="0" t="n">
        <v>0</v>
      </c>
      <c r="WW299" s="18"/>
      <c r="XO299" s="0" t="n">
        <v>1</v>
      </c>
      <c r="XP299" s="0" t="n">
        <v>40</v>
      </c>
      <c r="XQ299" s="0" t="n">
        <v>1</v>
      </c>
      <c r="XR299" s="0" t="n">
        <v>0.21</v>
      </c>
      <c r="XS299" s="0" t="n">
        <v>3</v>
      </c>
      <c r="XT299" s="0" t="n">
        <v>80</v>
      </c>
      <c r="XU299" s="0" t="n">
        <v>4</v>
      </c>
      <c r="XV299" s="0" t="n">
        <v>0.5</v>
      </c>
      <c r="XW299" s="0" t="n">
        <v>2</v>
      </c>
      <c r="XX299" s="0" t="n">
        <v>60</v>
      </c>
      <c r="XY299" s="0" t="n">
        <f aca="false">18+9</f>
        <v>27</v>
      </c>
      <c r="XZ299" s="0" t="n">
        <f aca="false">2.27+1.14</f>
        <v>3.41</v>
      </c>
      <c r="YA299" s="0" t="n">
        <v>2</v>
      </c>
      <c r="YZ299" s="16" t="n">
        <v>3.54</v>
      </c>
      <c r="ZA299" s="16" t="n">
        <v>1</v>
      </c>
      <c r="ZB299" s="16" t="n">
        <v>1</v>
      </c>
      <c r="ZC299" s="16"/>
      <c r="ZD299" s="16" t="n">
        <f aca="false">4+0.73*2+1.65</f>
        <v>7.11</v>
      </c>
      <c r="ZE299" s="16"/>
      <c r="ZF299" s="16"/>
      <c r="ZG299" s="16"/>
      <c r="ZH299" s="16"/>
      <c r="ZI299" s="16"/>
      <c r="ZJ299" s="16"/>
      <c r="ZK299" s="16" t="n">
        <v>1.47</v>
      </c>
      <c r="ZL299" s="16" t="n">
        <v>1.47</v>
      </c>
      <c r="ZM299" s="16"/>
      <c r="ZN299" s="16"/>
      <c r="ZO299" s="16" t="n">
        <v>0</v>
      </c>
      <c r="ZP299" s="16" t="n">
        <v>0</v>
      </c>
      <c r="ZQ299" s="16" t="n">
        <v>0.22</v>
      </c>
      <c r="ZR299" s="0" t="n">
        <v>0</v>
      </c>
      <c r="ZS299" s="0" t="s">
        <v>841</v>
      </c>
      <c r="ZT299" s="0" t="n">
        <v>18.5</v>
      </c>
      <c r="ZU299" s="16" t="n">
        <v>91.6</v>
      </c>
      <c r="ZV299" s="16" t="n">
        <v>83.4</v>
      </c>
      <c r="ZW299" s="16" t="n">
        <v>7.5</v>
      </c>
      <c r="ZX299" s="0" t="n">
        <v>96.33</v>
      </c>
      <c r="ZY299" s="0" t="n">
        <v>0</v>
      </c>
      <c r="ZZ299" s="0" t="n">
        <v>0</v>
      </c>
      <c r="AAA299" s="0" t="n">
        <v>0</v>
      </c>
      <c r="AAB299" s="0" t="n">
        <v>3.67</v>
      </c>
      <c r="AAC299" s="0" t="n">
        <v>0</v>
      </c>
      <c r="AAD299" s="0" t="n">
        <v>0</v>
      </c>
      <c r="AAE299" s="0" t="n">
        <v>0</v>
      </c>
      <c r="AAF299" s="0" t="n">
        <v>0</v>
      </c>
      <c r="AAG299" s="0" t="n">
        <v>0</v>
      </c>
      <c r="AAH299" s="0" t="n">
        <v>0</v>
      </c>
      <c r="AAI299" s="0" t="n">
        <v>3.67</v>
      </c>
      <c r="AAJ299" s="0" t="n">
        <v>45.98</v>
      </c>
      <c r="AAK299" s="0" t="n">
        <v>17.9</v>
      </c>
      <c r="AAL299" s="0" t="n">
        <v>0</v>
      </c>
      <c r="AAM299" s="0" t="n">
        <v>0</v>
      </c>
      <c r="AAN299" s="0" t="n">
        <v>0</v>
      </c>
      <c r="AAO299" s="0" t="n">
        <v>0</v>
      </c>
      <c r="ABB299" s="0" t="n">
        <v>0</v>
      </c>
      <c r="ABC299" s="0" t="n">
        <v>0</v>
      </c>
      <c r="ABN299" s="18"/>
      <c r="ACF299" s="0" t="n">
        <v>0</v>
      </c>
      <c r="ACJ299" s="0" t="n">
        <v>1</v>
      </c>
      <c r="ACK299" s="0" t="n">
        <v>50</v>
      </c>
      <c r="ACL299" s="0" t="n">
        <v>1</v>
      </c>
      <c r="ACM299" s="0" t="n">
        <v>0.04</v>
      </c>
      <c r="ACN299" s="0" t="n">
        <v>3</v>
      </c>
      <c r="ADQ299" s="16" t="n">
        <v>1.44</v>
      </c>
      <c r="ADR299" s="16" t="n">
        <v>1</v>
      </c>
      <c r="ADS299" s="16" t="n">
        <v>1</v>
      </c>
      <c r="ADT299" s="16"/>
      <c r="ADU299" s="16" t="n">
        <f aca="false">1.65+0.18*2+9.17</f>
        <v>11.18</v>
      </c>
      <c r="ADV299" s="16"/>
      <c r="ADW299" s="16"/>
      <c r="ADX299" s="16"/>
      <c r="ADY299" s="16"/>
      <c r="ADZ299" s="16"/>
      <c r="AEA299" s="16"/>
      <c r="AEB299" s="16" t="n">
        <v>5.88</v>
      </c>
      <c r="AEC299" s="16" t="n">
        <v>13.5</v>
      </c>
      <c r="AED299" s="16"/>
      <c r="AEE299" s="16"/>
      <c r="AEF299" s="16" t="n">
        <v>3.6</v>
      </c>
      <c r="AEG299" s="16" t="n">
        <v>1.1</v>
      </c>
      <c r="AEH299" s="16" t="n">
        <v>0</v>
      </c>
      <c r="AEI299" s="0" t="n">
        <v>0</v>
      </c>
      <c r="AEJ299" s="0" t="s">
        <v>837</v>
      </c>
      <c r="AEK299" s="0" t="n">
        <v>30.5</v>
      </c>
      <c r="AEL299" s="16" t="n">
        <v>92</v>
      </c>
      <c r="AEM299" s="16" t="n">
        <v>83.4</v>
      </c>
      <c r="AEN299" s="16" t="n">
        <v>5.9</v>
      </c>
      <c r="AEO299" s="0" t="n">
        <v>98.99</v>
      </c>
      <c r="AEP299" s="0" t="n">
        <v>1.01</v>
      </c>
      <c r="AEQ299" s="0" t="n">
        <v>0</v>
      </c>
      <c r="AER299" s="0" t="n">
        <v>0</v>
      </c>
      <c r="AES299" s="0" t="n">
        <v>0</v>
      </c>
      <c r="AET299" s="0" t="n">
        <v>0</v>
      </c>
      <c r="AEU299" s="0" t="n">
        <v>0</v>
      </c>
      <c r="AEV299" s="0" t="n">
        <v>0</v>
      </c>
      <c r="AEW299" s="0" t="n">
        <v>0</v>
      </c>
      <c r="AEX299" s="0" t="n">
        <v>0</v>
      </c>
      <c r="AEY299" s="0" t="n">
        <v>0</v>
      </c>
      <c r="AEZ299" s="0" t="n">
        <v>2.66</v>
      </c>
      <c r="AFA299" s="0" t="n">
        <v>46.99</v>
      </c>
      <c r="AFB299" s="0" t="n">
        <v>16.89</v>
      </c>
      <c r="AFC299" s="0" t="n">
        <v>0</v>
      </c>
      <c r="AFD299" s="0" t="n">
        <v>0</v>
      </c>
      <c r="AFE299" s="0" t="n">
        <v>0</v>
      </c>
      <c r="AFF299" s="0" t="n">
        <v>0</v>
      </c>
      <c r="AFS299" s="0" t="n">
        <v>0</v>
      </c>
      <c r="AFT299" s="0" t="n">
        <v>0</v>
      </c>
      <c r="AGE299" s="18"/>
      <c r="AGW299" s="0" t="n">
        <v>0</v>
      </c>
      <c r="AIH299" s="16" t="n">
        <v>8</v>
      </c>
      <c r="AII299" s="16" t="n">
        <v>1</v>
      </c>
      <c r="AIJ299" s="16" t="n">
        <v>1</v>
      </c>
      <c r="AIK299" s="16"/>
      <c r="AIL299" s="16" t="n">
        <f aca="false">1.65+0.18*2+9.17</f>
        <v>11.18</v>
      </c>
      <c r="AIM299" s="16"/>
      <c r="AIN299" s="16"/>
      <c r="AIO299" s="16"/>
      <c r="AIP299" s="16"/>
      <c r="AIQ299" s="16"/>
      <c r="AIR299" s="16"/>
      <c r="AIS299" s="16" t="n">
        <v>6.16</v>
      </c>
      <c r="AIT299" s="16" t="n">
        <v>16.16</v>
      </c>
      <c r="AIU299" s="16"/>
      <c r="AIV299" s="16"/>
      <c r="AIW299" s="16" t="n">
        <v>10</v>
      </c>
      <c r="AIX299" s="16" t="n">
        <v>1.1</v>
      </c>
      <c r="AIY299" s="16" t="n">
        <v>0</v>
      </c>
      <c r="AIZ299" s="0" t="n">
        <v>1</v>
      </c>
      <c r="AJA299" s="0" t="s">
        <v>838</v>
      </c>
      <c r="AJB299" s="0" t="n">
        <v>47.5</v>
      </c>
      <c r="AJC299" s="16" t="n">
        <v>86.8</v>
      </c>
      <c r="AJD299" s="16" t="n">
        <v>83.4</v>
      </c>
      <c r="AJE299" s="16" t="n">
        <v>26.7</v>
      </c>
      <c r="AJF299" s="0" t="n">
        <v>65.11</v>
      </c>
      <c r="AJG299" s="0" t="n">
        <v>0</v>
      </c>
      <c r="AJH299" s="0" t="n">
        <v>2.75</v>
      </c>
      <c r="AJI299" s="0" t="n">
        <v>0</v>
      </c>
      <c r="AJJ299" s="0" t="n">
        <v>32.14</v>
      </c>
      <c r="AJK299" s="0" t="n">
        <v>0</v>
      </c>
      <c r="AJL299" s="0" t="n">
        <v>0</v>
      </c>
      <c r="AJM299" s="0" t="n">
        <v>0</v>
      </c>
      <c r="AJN299" s="0" t="n">
        <v>0</v>
      </c>
      <c r="AJO299" s="0" t="n">
        <v>0</v>
      </c>
      <c r="AJP299" s="0" t="n">
        <v>0</v>
      </c>
      <c r="AJQ299" s="0" t="n">
        <v>0</v>
      </c>
      <c r="AJR299" s="0" t="n">
        <v>24.37</v>
      </c>
      <c r="AJS299" s="0" t="n">
        <v>6.53</v>
      </c>
      <c r="AJT299" s="0" t="n">
        <v>31.2</v>
      </c>
      <c r="AJU299" s="0" t="n">
        <v>0</v>
      </c>
      <c r="AJV299" s="0" t="n">
        <v>13</v>
      </c>
      <c r="AJW299" s="0" t="n">
        <v>1</v>
      </c>
      <c r="AJX299" s="0" t="n">
        <v>7</v>
      </c>
      <c r="AJZ299" s="0" t="n">
        <v>2</v>
      </c>
      <c r="AKJ299" s="0" t="n">
        <v>0</v>
      </c>
      <c r="AKK299" s="0" t="n">
        <v>0</v>
      </c>
      <c r="AKV299" s="18"/>
      <c r="ALN299" s="0" t="n">
        <v>0</v>
      </c>
    </row>
    <row r="300" customFormat="false" ht="13.8" hidden="false" customHeight="false" outlineLevel="0" collapsed="false">
      <c r="A300" s="1" t="s">
        <v>872</v>
      </c>
      <c r="B300" s="12" t="n">
        <v>42909</v>
      </c>
      <c r="C300" s="0" t="n">
        <v>1</v>
      </c>
      <c r="D300" s="13" t="n">
        <v>40672</v>
      </c>
      <c r="E300" s="12" t="n">
        <v>29149</v>
      </c>
      <c r="F300" s="14" t="n">
        <f aca="false">(B300-E300)/365.25</f>
        <v>37.6728268309377</v>
      </c>
      <c r="G300" s="14" t="n">
        <f aca="false">(B300-D300)/365.25</f>
        <v>6.12457221081451</v>
      </c>
      <c r="H300" s="19" t="s">
        <v>306</v>
      </c>
      <c r="I300" s="15" t="s">
        <v>832</v>
      </c>
      <c r="J300" s="15" t="s">
        <v>183</v>
      </c>
      <c r="K300" s="15" t="n">
        <v>8</v>
      </c>
      <c r="L300" s="19" t="n">
        <v>63</v>
      </c>
      <c r="M300" s="0" t="n">
        <v>1.67</v>
      </c>
      <c r="N300" s="16" t="n">
        <f aca="false">L300/(M300*M300)</f>
        <v>22.5895514360501</v>
      </c>
      <c r="O300" s="19" t="n">
        <v>0</v>
      </c>
      <c r="P300" s="19" t="n">
        <v>0</v>
      </c>
      <c r="Q300" s="19" t="n">
        <v>0</v>
      </c>
      <c r="R300" s="26" t="n">
        <v>0</v>
      </c>
      <c r="S300" s="26" t="n">
        <v>0</v>
      </c>
      <c r="T300" s="26" t="n">
        <v>0</v>
      </c>
      <c r="U300" s="19" t="n">
        <v>0</v>
      </c>
      <c r="V300" s="19" t="n">
        <v>0</v>
      </c>
      <c r="W300" s="19" t="n">
        <v>1</v>
      </c>
      <c r="X300" s="19" t="n">
        <v>0</v>
      </c>
      <c r="Y300" s="19" t="n">
        <v>0</v>
      </c>
      <c r="Z300" s="19" t="n">
        <v>0</v>
      </c>
      <c r="AA300" s="19" t="n">
        <v>0</v>
      </c>
      <c r="AB300" s="19" t="n">
        <v>0</v>
      </c>
      <c r="AC300" s="19" t="n">
        <v>0</v>
      </c>
      <c r="AD300" s="19" t="n">
        <v>0</v>
      </c>
      <c r="AE300" s="19" t="n">
        <v>1</v>
      </c>
      <c r="AF300" s="19" t="n">
        <v>1</v>
      </c>
      <c r="AG300" s="19" t="n">
        <v>1</v>
      </c>
      <c r="AH300" s="19" t="n">
        <v>6</v>
      </c>
      <c r="AI300" s="19" t="n">
        <v>1</v>
      </c>
      <c r="AJ300" s="19" t="n">
        <v>1</v>
      </c>
      <c r="AK300" s="19" t="n">
        <v>1</v>
      </c>
      <c r="AL300" s="19" t="n">
        <v>7</v>
      </c>
      <c r="AM300" s="19" t="n">
        <v>0</v>
      </c>
      <c r="AN300" s="19" t="n">
        <v>0</v>
      </c>
      <c r="AO300" s="19" t="n">
        <v>0</v>
      </c>
      <c r="AP300" s="19" t="n">
        <v>0</v>
      </c>
      <c r="AQ300" s="19" t="n">
        <v>0</v>
      </c>
      <c r="AR300" s="19" t="n">
        <v>0</v>
      </c>
      <c r="AS300" s="19" t="n">
        <v>1</v>
      </c>
      <c r="AT300" s="19" t="n">
        <v>1</v>
      </c>
      <c r="AU300" s="19" t="n">
        <v>1</v>
      </c>
      <c r="AV300" s="19" t="n">
        <v>5</v>
      </c>
      <c r="AW300" s="19" t="n">
        <v>0</v>
      </c>
      <c r="AX300" s="19" t="n">
        <v>0</v>
      </c>
      <c r="AY300" s="19" t="n">
        <v>0</v>
      </c>
      <c r="AZ300" s="19" t="n">
        <v>0</v>
      </c>
      <c r="BA300" s="19" t="n">
        <v>0</v>
      </c>
      <c r="BB300" s="19" t="n">
        <v>0</v>
      </c>
      <c r="BC300" s="19" t="n">
        <v>0</v>
      </c>
      <c r="BD300" s="19" t="n">
        <v>0</v>
      </c>
      <c r="BE300" s="19" t="n">
        <v>0</v>
      </c>
      <c r="BF300" s="19" t="n">
        <v>0</v>
      </c>
      <c r="BG300" s="19" t="n">
        <v>0</v>
      </c>
      <c r="BH300" s="19" t="n">
        <v>0</v>
      </c>
      <c r="BI300" s="19" t="n">
        <v>0</v>
      </c>
      <c r="BJ300" s="19" t="n">
        <v>0</v>
      </c>
      <c r="BK300" s="19" t="n">
        <v>0</v>
      </c>
      <c r="BL300" s="19" t="n">
        <v>0</v>
      </c>
      <c r="BM300" s="19" t="n">
        <v>0</v>
      </c>
      <c r="BN300" s="19" t="n">
        <v>0</v>
      </c>
      <c r="BO300" s="19" t="n">
        <v>0</v>
      </c>
      <c r="BP300" s="19" t="n">
        <v>0</v>
      </c>
      <c r="BQ300" s="19" t="n">
        <v>0</v>
      </c>
      <c r="BR300" s="19" t="n">
        <v>2</v>
      </c>
      <c r="BS300" s="19" t="n">
        <v>2</v>
      </c>
      <c r="BT300" s="19" t="n">
        <v>4</v>
      </c>
      <c r="BU300" s="19" t="n">
        <v>4</v>
      </c>
      <c r="BV300" s="19" t="n">
        <v>2</v>
      </c>
      <c r="BW300" s="19" t="n">
        <v>2</v>
      </c>
      <c r="BX300" s="19" t="n">
        <v>2</v>
      </c>
      <c r="BY300" s="19" t="n">
        <v>3</v>
      </c>
      <c r="BZ300" s="19" t="n">
        <v>2</v>
      </c>
      <c r="CA300" s="19" t="n">
        <v>1</v>
      </c>
      <c r="CB300" s="19" t="n">
        <v>3</v>
      </c>
      <c r="CC300" s="19" t="n">
        <v>4</v>
      </c>
      <c r="CD300" s="19" t="n">
        <v>3</v>
      </c>
      <c r="CE300" s="19" t="n">
        <v>4</v>
      </c>
      <c r="CF300" s="19" t="n">
        <v>4</v>
      </c>
      <c r="CG300" s="19" t="n">
        <v>4</v>
      </c>
      <c r="CH300" s="19" t="n">
        <v>2</v>
      </c>
      <c r="CI300" s="19" t="n">
        <v>3</v>
      </c>
      <c r="CJ300" s="19" t="n">
        <v>3</v>
      </c>
      <c r="CK300" s="19"/>
      <c r="CL300" s="0" t="n">
        <v>92</v>
      </c>
      <c r="CM300" s="0" t="n">
        <v>38.5</v>
      </c>
      <c r="CN300" s="16" t="n">
        <v>77.5</v>
      </c>
      <c r="CO300" s="16" t="n">
        <v>83.4</v>
      </c>
      <c r="CP300" s="16" t="n">
        <v>19.1</v>
      </c>
      <c r="CQ300" s="0" t="n">
        <v>78.18</v>
      </c>
      <c r="CR300" s="0" t="n">
        <v>0</v>
      </c>
      <c r="CS300" s="0" t="n">
        <v>2.48</v>
      </c>
      <c r="CT300" s="0" t="n">
        <v>0</v>
      </c>
      <c r="CU300" s="0" t="n">
        <v>19.34</v>
      </c>
      <c r="CV300" s="0" t="n">
        <v>0</v>
      </c>
      <c r="CW300" s="0" t="n">
        <v>0</v>
      </c>
      <c r="CX300" s="0" t="n">
        <v>0</v>
      </c>
      <c r="CY300" s="0" t="n">
        <v>0</v>
      </c>
      <c r="CZ300" s="0" t="n">
        <v>0</v>
      </c>
      <c r="DA300" s="0" t="n">
        <v>0</v>
      </c>
      <c r="DB300" s="0" t="n">
        <v>0</v>
      </c>
      <c r="DC300" s="0" t="n">
        <v>4.11</v>
      </c>
      <c r="DD300" s="0" t="n">
        <v>21.82</v>
      </c>
      <c r="DE300" s="0" t="n">
        <v>10.65</v>
      </c>
      <c r="DF300" s="0" t="n">
        <v>0</v>
      </c>
      <c r="DG300" s="0" t="n">
        <v>16.9</v>
      </c>
      <c r="DH300" s="0" t="n">
        <v>1</v>
      </c>
      <c r="DI300" s="0" t="n">
        <v>6</v>
      </c>
      <c r="DK300" s="0" t="n">
        <v>1</v>
      </c>
      <c r="DU300" s="0" t="n">
        <v>0</v>
      </c>
      <c r="DV300" s="0" t="n">
        <v>0</v>
      </c>
      <c r="EG300" s="18"/>
      <c r="EY300" s="0" t="n">
        <v>0</v>
      </c>
      <c r="GJ300" s="16" t="n">
        <v>0</v>
      </c>
      <c r="GK300" s="16" t="n">
        <v>0</v>
      </c>
      <c r="GL300" s="16"/>
      <c r="GM300" s="16"/>
      <c r="GN300" s="16"/>
      <c r="GO300" s="16"/>
      <c r="GP300" s="16"/>
      <c r="GQ300" s="16"/>
      <c r="GR300" s="16"/>
      <c r="GS300" s="16"/>
      <c r="GT300" s="16"/>
      <c r="GU300" s="16" t="n">
        <v>2.48</v>
      </c>
      <c r="GV300" s="16" t="n">
        <v>2.48</v>
      </c>
      <c r="GW300" s="16"/>
      <c r="GX300" s="16"/>
      <c r="GY300" s="16" t="n">
        <v>0</v>
      </c>
      <c r="GZ300" s="16" t="n">
        <v>0</v>
      </c>
      <c r="HA300" s="16" t="n">
        <v>0</v>
      </c>
      <c r="HB300" s="0" t="n">
        <v>0</v>
      </c>
      <c r="HC300" s="0" t="s">
        <v>833</v>
      </c>
      <c r="HD300" s="0" t="n">
        <v>31</v>
      </c>
      <c r="HE300" s="16" t="n">
        <v>82.6</v>
      </c>
      <c r="HF300" s="16" t="n">
        <v>83.4</v>
      </c>
      <c r="HG300" s="16" t="n">
        <v>5.7</v>
      </c>
      <c r="HH300" s="0" t="n">
        <v>99.97</v>
      </c>
      <c r="HI300" s="0" t="n">
        <v>0</v>
      </c>
      <c r="HJ300" s="0" t="n">
        <v>0</v>
      </c>
      <c r="HK300" s="0" t="n">
        <v>0</v>
      </c>
      <c r="HL300" s="0" t="n">
        <v>0</v>
      </c>
      <c r="HM300" s="0" t="n">
        <v>0</v>
      </c>
      <c r="HN300" s="0" t="n">
        <v>0</v>
      </c>
      <c r="HO300" s="0" t="n">
        <v>0</v>
      </c>
      <c r="HP300" s="0" t="n">
        <v>0</v>
      </c>
      <c r="HQ300" s="0" t="n">
        <v>0</v>
      </c>
      <c r="HR300" s="0" t="n">
        <v>0</v>
      </c>
      <c r="HS300" s="0" t="n">
        <v>7.3</v>
      </c>
      <c r="HT300" s="0" t="n">
        <v>53.74</v>
      </c>
      <c r="HU300" s="0" t="n">
        <v>0</v>
      </c>
      <c r="HV300" s="0" t="n">
        <v>0</v>
      </c>
      <c r="HW300" s="0" t="n">
        <v>0</v>
      </c>
      <c r="HX300" s="0" t="n">
        <v>17.6</v>
      </c>
      <c r="HY300" s="0" t="n">
        <v>1</v>
      </c>
      <c r="HZ300" s="0" t="n">
        <v>4.6</v>
      </c>
      <c r="IB300" s="0" t="n">
        <v>2</v>
      </c>
      <c r="IL300" s="0" t="n">
        <v>2.4</v>
      </c>
      <c r="IM300" s="0" t="n">
        <v>0</v>
      </c>
      <c r="IX300" s="18"/>
      <c r="JP300" s="0" t="n">
        <v>1</v>
      </c>
      <c r="JQ300" s="0" t="n">
        <v>60</v>
      </c>
      <c r="JR300" s="0" t="n">
        <f aca="false">4+6+1+3+1+3</f>
        <v>18</v>
      </c>
      <c r="JS300" s="0" t="n">
        <f aca="false">0.73+2.2+0.13+0.39+0.78+0.52</f>
        <v>4.75</v>
      </c>
      <c r="JT300" s="0" t="n">
        <v>3</v>
      </c>
      <c r="JU300" s="0" t="n">
        <v>50</v>
      </c>
      <c r="JV300" s="0" t="n">
        <f aca="false">14</f>
        <v>14</v>
      </c>
      <c r="JW300" s="0" t="n">
        <f aca="false">4.4+2.94+0.52</f>
        <v>7.86</v>
      </c>
      <c r="JX300" s="0" t="n">
        <v>3</v>
      </c>
      <c r="LA300" s="16" t="n">
        <v>0</v>
      </c>
      <c r="LB300" s="16" t="n">
        <v>0</v>
      </c>
      <c r="LC300" s="16"/>
      <c r="LD300" s="16"/>
      <c r="LE300" s="16"/>
      <c r="LF300" s="16"/>
      <c r="LG300" s="16"/>
      <c r="LH300" s="16"/>
      <c r="LI300" s="16"/>
      <c r="LJ300" s="16"/>
      <c r="LK300" s="16"/>
      <c r="LL300" s="16" t="n">
        <v>5.21</v>
      </c>
      <c r="LM300" s="16" t="n">
        <v>2.59</v>
      </c>
      <c r="LN300" s="16"/>
      <c r="LO300" s="16"/>
      <c r="LP300" s="16" t="n">
        <v>0</v>
      </c>
      <c r="LQ300" s="16" t="n">
        <v>0</v>
      </c>
      <c r="LR300" s="16" t="n">
        <v>0</v>
      </c>
      <c r="LS300" s="0" t="n">
        <v>0</v>
      </c>
      <c r="LT300" s="0" t="s">
        <v>834</v>
      </c>
      <c r="LU300" s="0" t="n">
        <v>30.5</v>
      </c>
      <c r="LV300" s="16" t="n">
        <v>73.4</v>
      </c>
      <c r="LW300" s="16" t="n">
        <v>83.4</v>
      </c>
      <c r="LX300" s="16" t="n">
        <v>5.7</v>
      </c>
      <c r="LY300" s="0" t="n">
        <v>100</v>
      </c>
      <c r="LZ300" s="0" t="n">
        <v>0</v>
      </c>
      <c r="MA300" s="0" t="n">
        <v>0</v>
      </c>
      <c r="MB300" s="0" t="n">
        <v>0</v>
      </c>
      <c r="MC300" s="0" t="n">
        <v>0</v>
      </c>
      <c r="MD300" s="0" t="n">
        <v>0</v>
      </c>
      <c r="ME300" s="0" t="n">
        <v>0</v>
      </c>
      <c r="MF300" s="0" t="n">
        <v>0</v>
      </c>
      <c r="MG300" s="0" t="n">
        <v>0</v>
      </c>
      <c r="MH300" s="0" t="n">
        <v>0</v>
      </c>
      <c r="MI300" s="0" t="n">
        <v>0</v>
      </c>
      <c r="MJ300" s="0" t="n">
        <v>7.69</v>
      </c>
      <c r="MK300" s="0" t="n">
        <v>47.61</v>
      </c>
      <c r="ML300" s="0" t="n">
        <v>0</v>
      </c>
      <c r="MM300" s="0" t="n">
        <v>0</v>
      </c>
      <c r="MN300" s="0" t="n">
        <v>0</v>
      </c>
      <c r="MO300" s="0" t="n">
        <v>16.4</v>
      </c>
      <c r="MP300" s="0" t="n">
        <v>1</v>
      </c>
      <c r="MQ300" s="0" t="n">
        <v>4.6</v>
      </c>
      <c r="MS300" s="0" t="n">
        <v>2</v>
      </c>
      <c r="NC300" s="0" t="n">
        <v>1.4</v>
      </c>
      <c r="ND300" s="0" t="n">
        <v>0</v>
      </c>
      <c r="NO300" s="18"/>
      <c r="OG300" s="0" t="n">
        <v>1</v>
      </c>
      <c r="OH300" s="0" t="n">
        <v>60</v>
      </c>
      <c r="OI300" s="0" t="n">
        <v>7</v>
      </c>
      <c r="OJ300" s="0" t="n">
        <f aca="false">0.73+2.2+0.39</f>
        <v>3.32</v>
      </c>
      <c r="OK300" s="0" t="n">
        <v>3</v>
      </c>
      <c r="OL300" s="0" t="n">
        <v>50</v>
      </c>
      <c r="OM300" s="0" t="n">
        <v>10</v>
      </c>
      <c r="ON300" s="0" t="n">
        <f aca="false">4.4+2.94</f>
        <v>7.34</v>
      </c>
      <c r="PR300" s="16" t="n">
        <v>0</v>
      </c>
      <c r="PS300" s="16" t="n">
        <v>0</v>
      </c>
      <c r="PT300" s="16"/>
      <c r="PU300" s="16"/>
      <c r="PV300" s="16"/>
      <c r="PW300" s="16"/>
      <c r="PX300" s="16"/>
      <c r="PY300" s="16"/>
      <c r="PZ300" s="16"/>
      <c r="QA300" s="16"/>
      <c r="QB300" s="16"/>
      <c r="QC300" s="16" t="n">
        <v>6.95</v>
      </c>
      <c r="QD300" s="16" t="n">
        <v>10.27</v>
      </c>
      <c r="QE300" s="16"/>
      <c r="QF300" s="16"/>
      <c r="QG300" s="16" t="n">
        <v>0</v>
      </c>
      <c r="QH300" s="16" t="n">
        <v>0</v>
      </c>
      <c r="QI300" s="16" t="n">
        <v>0</v>
      </c>
      <c r="QJ300" s="0" t="n">
        <v>0</v>
      </c>
      <c r="QK300" s="0" t="n">
        <v>94</v>
      </c>
      <c r="QL300" s="0" t="n">
        <v>24.5</v>
      </c>
      <c r="QM300" s="16" t="n">
        <v>88.7</v>
      </c>
      <c r="QN300" s="16" t="n">
        <v>83.4</v>
      </c>
      <c r="QO300" s="16" t="n">
        <v>23.1</v>
      </c>
      <c r="QP300" s="0" t="n">
        <v>69.95</v>
      </c>
      <c r="QQ300" s="0" t="n">
        <v>0</v>
      </c>
      <c r="QR300" s="0" t="n">
        <v>7.16</v>
      </c>
      <c r="QS300" s="0" t="n">
        <v>0</v>
      </c>
      <c r="QT300" s="0" t="n">
        <v>0</v>
      </c>
      <c r="QU300" s="0" t="n">
        <v>0</v>
      </c>
      <c r="QV300" s="0" t="n">
        <v>0</v>
      </c>
      <c r="QW300" s="0" t="n">
        <v>0</v>
      </c>
      <c r="QX300" s="0" t="n">
        <v>0</v>
      </c>
      <c r="QY300" s="0" t="n">
        <v>0</v>
      </c>
      <c r="QZ300" s="0" t="n">
        <v>0</v>
      </c>
      <c r="RA300" s="0" t="n">
        <v>0</v>
      </c>
      <c r="RB300" s="0" t="n">
        <v>34.04</v>
      </c>
      <c r="RC300" s="0" t="n">
        <v>20.5</v>
      </c>
      <c r="RD300" s="0" t="n">
        <v>0</v>
      </c>
      <c r="RE300" s="0" t="n">
        <v>22.9</v>
      </c>
      <c r="RF300" s="0" t="n">
        <v>0</v>
      </c>
      <c r="RG300" s="0" t="n">
        <v>0</v>
      </c>
      <c r="RT300" s="0" t="n">
        <v>0</v>
      </c>
      <c r="RU300" s="0" t="n">
        <v>0</v>
      </c>
      <c r="SF300" s="18"/>
      <c r="SX300" s="0" t="n">
        <v>0</v>
      </c>
      <c r="UI300" s="16" t="n">
        <v>0</v>
      </c>
      <c r="UJ300" s="16" t="n">
        <v>0</v>
      </c>
      <c r="UK300" s="16"/>
      <c r="UL300" s="16"/>
      <c r="UM300" s="16"/>
      <c r="UN300" s="16"/>
      <c r="UO300" s="16"/>
      <c r="UP300" s="16"/>
      <c r="UQ300" s="16"/>
      <c r="UR300" s="16"/>
      <c r="US300" s="16"/>
      <c r="UT300" s="16" t="n">
        <v>0</v>
      </c>
      <c r="UU300" s="16" t="n">
        <v>0</v>
      </c>
      <c r="UV300" s="16"/>
      <c r="UW300" s="16"/>
      <c r="UX300" s="16" t="n">
        <v>0</v>
      </c>
      <c r="UY300" s="16" t="n">
        <v>0</v>
      </c>
      <c r="UZ300" s="16" t="n">
        <v>1.44</v>
      </c>
      <c r="VA300" s="0" t="n">
        <v>0</v>
      </c>
      <c r="VB300" s="0" t="s">
        <v>835</v>
      </c>
      <c r="VC300" s="0" t="n">
        <v>19</v>
      </c>
      <c r="VD300" s="16" t="n">
        <v>73.2</v>
      </c>
      <c r="VE300" s="16" t="n">
        <v>83.4</v>
      </c>
      <c r="VF300" s="16" t="n">
        <v>11.1</v>
      </c>
      <c r="VG300" s="0" t="n">
        <v>92.58</v>
      </c>
      <c r="VH300" s="0" t="n">
        <v>0</v>
      </c>
      <c r="VI300" s="0" t="n">
        <v>1.25</v>
      </c>
      <c r="VJ300" s="0" t="n">
        <v>0</v>
      </c>
      <c r="VK300" s="0" t="n">
        <v>5.34</v>
      </c>
      <c r="VL300" s="0" t="n">
        <v>0</v>
      </c>
      <c r="VM300" s="0" t="n">
        <v>0</v>
      </c>
      <c r="VN300" s="0" t="n">
        <v>0</v>
      </c>
      <c r="VO300" s="0" t="n">
        <v>0</v>
      </c>
      <c r="VP300" s="0" t="n">
        <v>0</v>
      </c>
      <c r="VQ300" s="0" t="n">
        <v>0</v>
      </c>
      <c r="VR300" s="0" t="n">
        <v>4.77</v>
      </c>
      <c r="VS300" s="0" t="n">
        <v>22.03</v>
      </c>
      <c r="VT300" s="0" t="n">
        <v>27.08</v>
      </c>
      <c r="VU300" s="0" t="n">
        <v>1.58</v>
      </c>
      <c r="VV300" s="0" t="n">
        <v>0.83</v>
      </c>
      <c r="VW300" s="0" t="n">
        <v>0</v>
      </c>
      <c r="VX300" s="0" t="n">
        <v>0</v>
      </c>
      <c r="WK300" s="0" t="n">
        <v>0.5</v>
      </c>
      <c r="WL300" s="0" t="n">
        <v>1</v>
      </c>
      <c r="WM300" s="0" t="n">
        <v>35</v>
      </c>
      <c r="WN300" s="0" t="n">
        <v>4</v>
      </c>
      <c r="WO300" s="0" t="n">
        <v>0.1</v>
      </c>
      <c r="WP300" s="0" t="n">
        <v>3</v>
      </c>
      <c r="WW300" s="18"/>
      <c r="XO300" s="0" t="n">
        <v>1</v>
      </c>
      <c r="XP300" s="0" t="n">
        <v>40</v>
      </c>
      <c r="XQ300" s="0" t="n">
        <v>1</v>
      </c>
      <c r="XR300" s="0" t="n">
        <v>1.25</v>
      </c>
      <c r="XS300" s="0" t="n">
        <v>3</v>
      </c>
      <c r="XT300" s="0" t="n">
        <v>50</v>
      </c>
      <c r="XU300" s="0" t="n">
        <v>1</v>
      </c>
      <c r="XV300" s="0" t="n">
        <v>0.05</v>
      </c>
      <c r="XW300" s="0" t="n">
        <v>3</v>
      </c>
      <c r="XX300" s="0" t="n">
        <v>60</v>
      </c>
      <c r="XY300" s="0" t="n">
        <f aca="false">18+9</f>
        <v>27</v>
      </c>
      <c r="XZ300" s="0" t="n">
        <f aca="false">2.27+1.14</f>
        <v>3.41</v>
      </c>
      <c r="YA300" s="0" t="n">
        <v>3</v>
      </c>
      <c r="YZ300" s="16" t="n">
        <v>3.7</v>
      </c>
      <c r="ZA300" s="16" t="n">
        <v>1</v>
      </c>
      <c r="ZB300" s="16" t="n">
        <v>1</v>
      </c>
      <c r="ZC300" s="16"/>
      <c r="ZD300" s="16" t="n">
        <f aca="false">4+0.13+0.01+0.73+1.65+0.02</f>
        <v>6.54</v>
      </c>
      <c r="ZE300" s="16" t="n">
        <v>2</v>
      </c>
      <c r="ZF300" s="16"/>
      <c r="ZG300" s="16" t="n">
        <f aca="false">0.18*2</f>
        <v>0.36</v>
      </c>
      <c r="ZH300" s="16"/>
      <c r="ZI300" s="16"/>
      <c r="ZJ300" s="16"/>
      <c r="ZK300" s="16" t="n">
        <v>3.32</v>
      </c>
      <c r="ZL300" s="16" t="n">
        <v>3.31</v>
      </c>
      <c r="ZM300" s="16"/>
      <c r="ZN300" s="16"/>
      <c r="ZO300" s="16" t="n">
        <v>0</v>
      </c>
      <c r="ZP300" s="16" t="n">
        <v>0</v>
      </c>
      <c r="ZQ300" s="16" t="n">
        <v>0.22</v>
      </c>
      <c r="ZR300" s="0" t="n">
        <v>0</v>
      </c>
      <c r="ZS300" s="0" t="s">
        <v>836</v>
      </c>
      <c r="ZT300" s="0" t="n">
        <v>26.5</v>
      </c>
      <c r="ZU300" s="16" t="n">
        <v>70.7</v>
      </c>
      <c r="ZV300" s="16" t="n">
        <v>83.4</v>
      </c>
      <c r="ZW300" s="16" t="n">
        <v>8.8</v>
      </c>
      <c r="ZX300" s="0" t="n">
        <v>94.65</v>
      </c>
      <c r="ZY300" s="0" t="n">
        <v>0</v>
      </c>
      <c r="ZZ300" s="0" t="n">
        <v>0.21</v>
      </c>
      <c r="AAA300" s="0" t="n">
        <v>0</v>
      </c>
      <c r="AAB300" s="0" t="n">
        <v>4.31</v>
      </c>
      <c r="AAC300" s="0" t="n">
        <v>0</v>
      </c>
      <c r="AAD300" s="0" t="n">
        <v>0</v>
      </c>
      <c r="AAE300" s="0" t="n">
        <v>0</v>
      </c>
      <c r="AAF300" s="0" t="n">
        <v>0</v>
      </c>
      <c r="AAG300" s="0" t="n">
        <v>0</v>
      </c>
      <c r="AAH300" s="0" t="n">
        <v>0</v>
      </c>
      <c r="AAI300" s="0" t="n">
        <v>1.21</v>
      </c>
      <c r="AAJ300" s="0" t="n">
        <v>19.41</v>
      </c>
      <c r="AAK300" s="0" t="n">
        <v>20.37</v>
      </c>
      <c r="AAL300" s="0" t="n">
        <v>0.21</v>
      </c>
      <c r="AAM300" s="0" t="n">
        <v>0.83</v>
      </c>
      <c r="AAN300" s="0" t="n">
        <v>12.2</v>
      </c>
      <c r="AAO300" s="0" t="n">
        <v>1</v>
      </c>
      <c r="AAP300" s="0" t="n">
        <v>5</v>
      </c>
      <c r="AAR300" s="0" t="n">
        <v>2</v>
      </c>
      <c r="ABB300" s="0" t="n">
        <v>0</v>
      </c>
      <c r="ABC300" s="0" t="n">
        <v>0</v>
      </c>
      <c r="ABN300" s="18"/>
      <c r="ACF300" s="0" t="n">
        <v>1</v>
      </c>
      <c r="ACG300" s="0" t="n">
        <v>40</v>
      </c>
      <c r="ACH300" s="0" t="n">
        <v>1</v>
      </c>
      <c r="ACI300" s="0" t="n">
        <v>0.21</v>
      </c>
      <c r="ACJ300" s="0" t="n">
        <v>3</v>
      </c>
      <c r="ACK300" s="0" t="n">
        <v>80</v>
      </c>
      <c r="ACL300" s="0" t="n">
        <v>4</v>
      </c>
      <c r="ACM300" s="0" t="n">
        <v>0.5</v>
      </c>
      <c r="ACN300" s="0" t="n">
        <v>2</v>
      </c>
      <c r="ACO300" s="0" t="n">
        <v>60</v>
      </c>
      <c r="ACP300" s="0" t="n">
        <f aca="false">18+9</f>
        <v>27</v>
      </c>
      <c r="ACQ300" s="0" t="n">
        <f aca="false">2.27+1.14</f>
        <v>3.41</v>
      </c>
      <c r="ACR300" s="0" t="n">
        <v>2</v>
      </c>
      <c r="ADQ300" s="16" t="n">
        <v>3.54</v>
      </c>
      <c r="ADR300" s="16" t="n">
        <v>1</v>
      </c>
      <c r="ADS300" s="16" t="n">
        <v>1</v>
      </c>
      <c r="ADT300" s="16"/>
      <c r="ADU300" s="16" t="n">
        <f aca="false">4+0.73*2+1.65</f>
        <v>7.11</v>
      </c>
      <c r="ADV300" s="16"/>
      <c r="ADW300" s="16"/>
      <c r="ADX300" s="16"/>
      <c r="ADY300" s="16"/>
      <c r="ADZ300" s="16"/>
      <c r="AEA300" s="16"/>
      <c r="AEB300" s="16" t="n">
        <v>1.47</v>
      </c>
      <c r="AEC300" s="16" t="n">
        <v>1.47</v>
      </c>
      <c r="AED300" s="16"/>
      <c r="AEE300" s="16"/>
      <c r="AEF300" s="16" t="n">
        <v>0</v>
      </c>
      <c r="AEG300" s="16" t="n">
        <v>0</v>
      </c>
      <c r="AEH300" s="16" t="n">
        <v>0.22</v>
      </c>
      <c r="AEI300" s="0" t="n">
        <v>0</v>
      </c>
      <c r="AEJ300" s="0" t="s">
        <v>841</v>
      </c>
      <c r="AEK300" s="0" t="n">
        <v>18.5</v>
      </c>
      <c r="AEL300" s="16" t="n">
        <v>91.6</v>
      </c>
      <c r="AEM300" s="16" t="n">
        <v>83.4</v>
      </c>
      <c r="AEN300" s="16" t="n">
        <v>7.5</v>
      </c>
      <c r="AEO300" s="0" t="n">
        <v>96.33</v>
      </c>
      <c r="AEP300" s="0" t="n">
        <v>0</v>
      </c>
      <c r="AEQ300" s="0" t="n">
        <v>0</v>
      </c>
      <c r="AER300" s="0" t="n">
        <v>0</v>
      </c>
      <c r="AES300" s="0" t="n">
        <v>3.67</v>
      </c>
      <c r="AET300" s="0" t="n">
        <v>0</v>
      </c>
      <c r="AEU300" s="0" t="n">
        <v>0</v>
      </c>
      <c r="AEV300" s="0" t="n">
        <v>0</v>
      </c>
      <c r="AEW300" s="0" t="n">
        <v>0</v>
      </c>
      <c r="AEX300" s="0" t="n">
        <v>0</v>
      </c>
      <c r="AEY300" s="0" t="n">
        <v>0</v>
      </c>
      <c r="AEZ300" s="0" t="n">
        <v>3.67</v>
      </c>
      <c r="AFA300" s="0" t="n">
        <v>45.98</v>
      </c>
      <c r="AFB300" s="0" t="n">
        <v>17.9</v>
      </c>
      <c r="AFC300" s="0" t="n">
        <v>0</v>
      </c>
      <c r="AFD300" s="0" t="n">
        <v>0</v>
      </c>
      <c r="AFE300" s="0" t="n">
        <v>0</v>
      </c>
      <c r="AFF300" s="0" t="n">
        <v>0</v>
      </c>
      <c r="AFS300" s="0" t="n">
        <v>0</v>
      </c>
      <c r="AFT300" s="0" t="n">
        <v>0</v>
      </c>
      <c r="AGE300" s="18"/>
      <c r="AGW300" s="0" t="n">
        <v>0</v>
      </c>
      <c r="AHA300" s="0" t="n">
        <v>1</v>
      </c>
      <c r="AHB300" s="0" t="n">
        <v>50</v>
      </c>
      <c r="AHC300" s="0" t="n">
        <v>1</v>
      </c>
      <c r="AHD300" s="0" t="n">
        <v>0.04</v>
      </c>
      <c r="AHE300" s="0" t="n">
        <v>3</v>
      </c>
      <c r="AIH300" s="16" t="n">
        <v>1.44</v>
      </c>
      <c r="AII300" s="16" t="n">
        <v>1</v>
      </c>
      <c r="AIJ300" s="16" t="n">
        <v>1</v>
      </c>
      <c r="AIK300" s="16"/>
      <c r="AIL300" s="16" t="n">
        <f aca="false">1.65+0.18*2+9.17</f>
        <v>11.18</v>
      </c>
      <c r="AIM300" s="16"/>
      <c r="AIN300" s="16"/>
      <c r="AIO300" s="16"/>
      <c r="AIP300" s="16"/>
      <c r="AIQ300" s="16"/>
      <c r="AIR300" s="16"/>
      <c r="AIS300" s="16" t="n">
        <v>5.88</v>
      </c>
      <c r="AIT300" s="16" t="n">
        <v>13.5</v>
      </c>
      <c r="AIU300" s="16"/>
      <c r="AIV300" s="16"/>
      <c r="AIW300" s="16" t="n">
        <v>3.6</v>
      </c>
      <c r="AIX300" s="16" t="n">
        <v>1.1</v>
      </c>
      <c r="AIY300" s="16" t="n">
        <v>0</v>
      </c>
      <c r="AIZ300" s="0" t="n">
        <v>0</v>
      </c>
      <c r="AJA300" s="0" t="s">
        <v>837</v>
      </c>
      <c r="AJB300" s="0" t="n">
        <v>30.5</v>
      </c>
      <c r="AJC300" s="16" t="n">
        <v>92</v>
      </c>
      <c r="AJD300" s="16" t="n">
        <v>83.4</v>
      </c>
      <c r="AJE300" s="16" t="n">
        <v>5.9</v>
      </c>
      <c r="AJF300" s="0" t="n">
        <v>98.99</v>
      </c>
      <c r="AJG300" s="0" t="n">
        <v>1.01</v>
      </c>
      <c r="AJH300" s="0" t="n">
        <v>0</v>
      </c>
      <c r="AJI300" s="0" t="n">
        <v>0</v>
      </c>
      <c r="AJJ300" s="0" t="n">
        <v>0</v>
      </c>
      <c r="AJK300" s="0" t="n">
        <v>0</v>
      </c>
      <c r="AJL300" s="0" t="n">
        <v>0</v>
      </c>
      <c r="AJM300" s="0" t="n">
        <v>0</v>
      </c>
      <c r="AJN300" s="0" t="n">
        <v>0</v>
      </c>
      <c r="AJO300" s="0" t="n">
        <v>0</v>
      </c>
      <c r="AJP300" s="0" t="n">
        <v>0</v>
      </c>
      <c r="AJQ300" s="0" t="n">
        <v>2.66</v>
      </c>
      <c r="AJR300" s="0" t="n">
        <v>46.99</v>
      </c>
      <c r="AJS300" s="0" t="n">
        <v>16.89</v>
      </c>
      <c r="AJT300" s="0" t="n">
        <v>0</v>
      </c>
      <c r="AJU300" s="0" t="n">
        <v>0</v>
      </c>
      <c r="AJV300" s="0" t="n">
        <v>0</v>
      </c>
      <c r="AJW300" s="0" t="n">
        <v>0</v>
      </c>
      <c r="AKJ300" s="0" t="n">
        <v>0</v>
      </c>
      <c r="AKK300" s="0" t="n">
        <v>0</v>
      </c>
      <c r="AKV300" s="18"/>
      <c r="ALN300" s="0" t="n">
        <v>0</v>
      </c>
    </row>
    <row r="301" customFormat="false" ht="13.8" hidden="false" customHeight="false" outlineLevel="0" collapsed="false">
      <c r="A301" s="1" t="s">
        <v>873</v>
      </c>
      <c r="B301" s="12" t="n">
        <v>42909</v>
      </c>
      <c r="C301" s="0" t="n">
        <v>2</v>
      </c>
      <c r="D301" s="13" t="n">
        <v>42776</v>
      </c>
      <c r="E301" s="12" t="n">
        <v>27093</v>
      </c>
      <c r="F301" s="14" t="n">
        <f aca="false">(B301-E301)/365.25</f>
        <v>43.3018480492813</v>
      </c>
      <c r="G301" s="14" t="n">
        <f aca="false">(B301-D301)/365.25</f>
        <v>0.364134154688569</v>
      </c>
      <c r="H301" s="19" t="s">
        <v>306</v>
      </c>
      <c r="I301" s="15" t="s">
        <v>832</v>
      </c>
      <c r="J301" s="15" t="s">
        <v>183</v>
      </c>
      <c r="K301" s="15" t="n">
        <v>8</v>
      </c>
      <c r="L301" s="19" t="n">
        <v>95</v>
      </c>
      <c r="M301" s="0" t="n">
        <v>1.73</v>
      </c>
      <c r="N301" s="16" t="n">
        <f aca="false">L301/(M301*M301)</f>
        <v>31.7417889003976</v>
      </c>
      <c r="O301" s="19" t="n">
        <v>0</v>
      </c>
      <c r="P301" s="19" t="n">
        <v>0</v>
      </c>
      <c r="Q301" s="19" t="n">
        <v>0</v>
      </c>
      <c r="R301" s="26" t="n">
        <v>0</v>
      </c>
      <c r="S301" s="26" t="n">
        <v>0</v>
      </c>
      <c r="T301" s="26" t="n">
        <v>0</v>
      </c>
      <c r="U301" s="19" t="n">
        <v>0</v>
      </c>
      <c r="V301" s="19" t="n">
        <v>0</v>
      </c>
      <c r="W301" s="19" t="n">
        <v>0</v>
      </c>
      <c r="X301" s="19" t="n">
        <v>0</v>
      </c>
      <c r="Y301" s="19" t="n">
        <v>1</v>
      </c>
      <c r="Z301" s="19" t="n">
        <v>2</v>
      </c>
      <c r="AA301" s="19" t="n">
        <v>60</v>
      </c>
      <c r="AB301" s="19" t="s">
        <v>874</v>
      </c>
      <c r="AC301" s="19" t="n">
        <v>1</v>
      </c>
      <c r="AD301" s="19" t="n">
        <v>15</v>
      </c>
      <c r="AE301" s="19" t="n">
        <v>0</v>
      </c>
      <c r="AF301" s="19" t="n">
        <v>0</v>
      </c>
      <c r="AG301" s="19" t="n">
        <v>0</v>
      </c>
      <c r="AH301" s="19" t="n">
        <v>0</v>
      </c>
      <c r="AI301" s="19" t="n">
        <v>0</v>
      </c>
      <c r="AJ301" s="19" t="n">
        <v>0</v>
      </c>
      <c r="AK301" s="19" t="n">
        <v>0</v>
      </c>
      <c r="AL301" s="19" t="n">
        <v>0</v>
      </c>
      <c r="AM301" s="19" t="n">
        <v>0</v>
      </c>
      <c r="AN301" s="19" t="n">
        <v>0</v>
      </c>
      <c r="AO301" s="19" t="n">
        <v>0</v>
      </c>
      <c r="AP301" s="19" t="n">
        <v>0</v>
      </c>
      <c r="AQ301" s="19" t="n">
        <v>0</v>
      </c>
      <c r="AR301" s="19" t="n">
        <v>0</v>
      </c>
      <c r="AS301" s="19" t="n">
        <v>0</v>
      </c>
      <c r="AT301" s="19" t="n">
        <v>0</v>
      </c>
      <c r="AU301" s="19" t="n">
        <v>0</v>
      </c>
      <c r="AV301" s="19" t="n">
        <v>0</v>
      </c>
      <c r="AW301" s="19" t="n">
        <v>0</v>
      </c>
      <c r="AX301" s="19" t="n">
        <v>0</v>
      </c>
      <c r="AY301" s="19" t="n">
        <v>0</v>
      </c>
      <c r="AZ301" s="19" t="n">
        <v>0</v>
      </c>
      <c r="BA301" s="19" t="n">
        <v>0</v>
      </c>
      <c r="BB301" s="19" t="n">
        <v>0</v>
      </c>
      <c r="BC301" s="19" t="n">
        <v>0</v>
      </c>
      <c r="BD301" s="19" t="n">
        <v>0</v>
      </c>
      <c r="BE301" s="19" t="n">
        <v>0</v>
      </c>
      <c r="BF301" s="19" t="n">
        <v>0</v>
      </c>
      <c r="BG301" s="19" t="n">
        <v>0</v>
      </c>
      <c r="BH301" s="19" t="n">
        <v>0</v>
      </c>
      <c r="BI301" s="19" t="n">
        <v>0</v>
      </c>
      <c r="BJ301" s="19" t="n">
        <v>0</v>
      </c>
      <c r="BK301" s="19" t="n">
        <v>0</v>
      </c>
      <c r="BL301" s="19" t="n">
        <v>0</v>
      </c>
      <c r="BM301" s="19" t="n">
        <v>0</v>
      </c>
      <c r="BN301" s="19" t="n">
        <v>0</v>
      </c>
      <c r="BO301" s="19" t="n">
        <v>0</v>
      </c>
      <c r="BP301" s="19" t="n">
        <v>0</v>
      </c>
      <c r="BQ301" s="19" t="n">
        <v>0</v>
      </c>
      <c r="BR301" s="19" t="n">
        <v>2</v>
      </c>
      <c r="BS301" s="19" t="n">
        <v>1</v>
      </c>
      <c r="BT301" s="19" t="n">
        <v>2</v>
      </c>
      <c r="BU301" s="19" t="n">
        <v>5</v>
      </c>
      <c r="BV301" s="19" t="n">
        <v>3</v>
      </c>
      <c r="BW301" s="19" t="n">
        <v>1</v>
      </c>
      <c r="BX301" s="19" t="n">
        <v>2</v>
      </c>
      <c r="BY301" s="19" t="n">
        <v>3</v>
      </c>
      <c r="BZ301" s="19" t="n">
        <v>3</v>
      </c>
      <c r="CA301" s="19" t="n">
        <v>4</v>
      </c>
      <c r="CB301" s="19" t="n">
        <v>4</v>
      </c>
      <c r="CC301" s="19" t="n">
        <v>5</v>
      </c>
      <c r="CD301" s="19" t="n">
        <v>3</v>
      </c>
      <c r="CE301" s="19" t="n">
        <v>4</v>
      </c>
      <c r="CF301" s="19" t="n">
        <v>3</v>
      </c>
      <c r="CG301" s="19" t="n">
        <v>4</v>
      </c>
      <c r="CH301" s="19" t="n">
        <v>3</v>
      </c>
      <c r="CI301" s="19" t="n">
        <v>4</v>
      </c>
      <c r="CJ301" s="19" t="n">
        <v>4</v>
      </c>
      <c r="CK301" s="19" t="n">
        <v>10</v>
      </c>
      <c r="CL301" s="0" t="n">
        <v>92</v>
      </c>
      <c r="CM301" s="0" t="n">
        <v>38.5</v>
      </c>
      <c r="CN301" s="16" t="n">
        <v>77.5</v>
      </c>
      <c r="CO301" s="16" t="n">
        <v>83.4</v>
      </c>
      <c r="CP301" s="16" t="n">
        <v>19.1</v>
      </c>
      <c r="CQ301" s="0" t="n">
        <v>78.18</v>
      </c>
      <c r="CR301" s="0" t="n">
        <v>0</v>
      </c>
      <c r="CS301" s="0" t="n">
        <v>2.48</v>
      </c>
      <c r="CT301" s="0" t="n">
        <v>0</v>
      </c>
      <c r="CU301" s="0" t="n">
        <v>19.34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4.11</v>
      </c>
      <c r="DD301" s="0" t="n">
        <v>21.82</v>
      </c>
      <c r="DE301" s="0" t="n">
        <v>10.65</v>
      </c>
      <c r="DF301" s="0" t="n">
        <v>0</v>
      </c>
      <c r="DG301" s="0" t="n">
        <v>16.9</v>
      </c>
      <c r="DH301" s="0" t="n">
        <v>1</v>
      </c>
      <c r="DI301" s="0" t="n">
        <v>6</v>
      </c>
      <c r="DK301" s="0" t="n">
        <v>1</v>
      </c>
      <c r="DU301" s="0" t="n">
        <v>0</v>
      </c>
      <c r="DV301" s="0" t="n">
        <v>0</v>
      </c>
      <c r="EG301" s="18"/>
      <c r="EY301" s="0" t="n">
        <v>0</v>
      </c>
      <c r="GJ301" s="16" t="n">
        <v>0</v>
      </c>
      <c r="GK301" s="16" t="n">
        <v>0</v>
      </c>
      <c r="GL301" s="16"/>
      <c r="GM301" s="16"/>
      <c r="GN301" s="16"/>
      <c r="GO301" s="16"/>
      <c r="GP301" s="16"/>
      <c r="GQ301" s="16"/>
      <c r="GR301" s="16"/>
      <c r="GS301" s="16"/>
      <c r="GT301" s="16"/>
      <c r="GU301" s="16" t="n">
        <v>2.48</v>
      </c>
      <c r="GV301" s="16" t="n">
        <v>2.48</v>
      </c>
      <c r="GW301" s="16"/>
      <c r="GX301" s="16"/>
      <c r="GY301" s="16" t="n">
        <v>0</v>
      </c>
      <c r="GZ301" s="16" t="n">
        <v>0</v>
      </c>
      <c r="HA301" s="16" t="n">
        <v>0</v>
      </c>
      <c r="HB301" s="0" t="n">
        <v>0</v>
      </c>
      <c r="HC301" s="0" t="s">
        <v>833</v>
      </c>
      <c r="HD301" s="0" t="n">
        <v>31</v>
      </c>
      <c r="HE301" s="16" t="n">
        <v>82.6</v>
      </c>
      <c r="HF301" s="16" t="n">
        <v>83.4</v>
      </c>
      <c r="HG301" s="16" t="n">
        <v>5.7</v>
      </c>
      <c r="HH301" s="0" t="n">
        <v>99.97</v>
      </c>
      <c r="HI301" s="0" t="n">
        <v>0</v>
      </c>
      <c r="HJ301" s="0" t="n">
        <v>0</v>
      </c>
      <c r="HK301" s="0" t="n">
        <v>0</v>
      </c>
      <c r="HL301" s="0" t="n">
        <v>0</v>
      </c>
      <c r="HM301" s="0" t="n">
        <v>0</v>
      </c>
      <c r="HN301" s="0" t="n">
        <v>0</v>
      </c>
      <c r="HO301" s="0" t="n">
        <v>0</v>
      </c>
      <c r="HP301" s="0" t="n">
        <v>0</v>
      </c>
      <c r="HQ301" s="0" t="n">
        <v>0</v>
      </c>
      <c r="HR301" s="0" t="n">
        <v>0</v>
      </c>
      <c r="HS301" s="0" t="n">
        <v>7.3</v>
      </c>
      <c r="HT301" s="0" t="n">
        <v>53.74</v>
      </c>
      <c r="HU301" s="0" t="n">
        <v>0</v>
      </c>
      <c r="HV301" s="0" t="n">
        <v>0</v>
      </c>
      <c r="HW301" s="0" t="n">
        <v>0</v>
      </c>
      <c r="HX301" s="0" t="n">
        <v>17.6</v>
      </c>
      <c r="HY301" s="0" t="n">
        <v>1</v>
      </c>
      <c r="HZ301" s="0" t="n">
        <v>4.6</v>
      </c>
      <c r="IB301" s="0" t="n">
        <v>2</v>
      </c>
      <c r="IL301" s="0" t="n">
        <v>2.4</v>
      </c>
      <c r="IM301" s="0" t="n">
        <v>0</v>
      </c>
      <c r="IX301" s="18"/>
      <c r="JP301" s="0" t="n">
        <v>1</v>
      </c>
      <c r="JQ301" s="0" t="n">
        <v>60</v>
      </c>
      <c r="JR301" s="0" t="n">
        <f aca="false">4+6+1+3+1+3</f>
        <v>18</v>
      </c>
      <c r="JS301" s="0" t="n">
        <f aca="false">0.73+2.2+0.13+0.39+0.78+0.52</f>
        <v>4.75</v>
      </c>
      <c r="JT301" s="0" t="n">
        <v>3</v>
      </c>
      <c r="JU301" s="0" t="n">
        <v>50</v>
      </c>
      <c r="JV301" s="0" t="n">
        <f aca="false">14</f>
        <v>14</v>
      </c>
      <c r="JW301" s="0" t="n">
        <f aca="false">4.4+2.94+0.52</f>
        <v>7.86</v>
      </c>
      <c r="JX301" s="0" t="n">
        <v>3</v>
      </c>
      <c r="LA301" s="16" t="n">
        <v>0</v>
      </c>
      <c r="LB301" s="16" t="n">
        <v>0</v>
      </c>
      <c r="LC301" s="16"/>
      <c r="LD301" s="16"/>
      <c r="LE301" s="16"/>
      <c r="LF301" s="16"/>
      <c r="LG301" s="16"/>
      <c r="LH301" s="16"/>
      <c r="LI301" s="16"/>
      <c r="LJ301" s="16"/>
      <c r="LK301" s="16"/>
      <c r="LL301" s="16" t="n">
        <v>5.21</v>
      </c>
      <c r="LM301" s="16" t="n">
        <v>2.59</v>
      </c>
      <c r="LN301" s="16"/>
      <c r="LO301" s="16"/>
      <c r="LP301" s="16" t="n">
        <v>0</v>
      </c>
      <c r="LQ301" s="16" t="n">
        <v>0</v>
      </c>
      <c r="LR301" s="16" t="n">
        <v>0</v>
      </c>
      <c r="LS301" s="0" t="n">
        <v>0</v>
      </c>
      <c r="LT301" s="0" t="s">
        <v>834</v>
      </c>
      <c r="LU301" s="0" t="n">
        <v>30.5</v>
      </c>
      <c r="LV301" s="16" t="n">
        <v>73.4</v>
      </c>
      <c r="LW301" s="16" t="n">
        <v>83.4</v>
      </c>
      <c r="LX301" s="16" t="n">
        <v>5.7</v>
      </c>
      <c r="LY301" s="0" t="n">
        <v>100</v>
      </c>
      <c r="LZ301" s="0" t="n">
        <v>0</v>
      </c>
      <c r="MA301" s="0" t="n">
        <v>0</v>
      </c>
      <c r="MB301" s="0" t="n">
        <v>0</v>
      </c>
      <c r="MC301" s="0" t="n">
        <v>0</v>
      </c>
      <c r="MD301" s="0" t="n">
        <v>0</v>
      </c>
      <c r="ME301" s="0" t="n">
        <v>0</v>
      </c>
      <c r="MF301" s="0" t="n">
        <v>0</v>
      </c>
      <c r="MG301" s="0" t="n">
        <v>0</v>
      </c>
      <c r="MH301" s="0" t="n">
        <v>0</v>
      </c>
      <c r="MI301" s="0" t="n">
        <v>0</v>
      </c>
      <c r="MJ301" s="0" t="n">
        <v>7.69</v>
      </c>
      <c r="MK301" s="0" t="n">
        <v>47.61</v>
      </c>
      <c r="ML301" s="0" t="n">
        <v>0</v>
      </c>
      <c r="MM301" s="0" t="n">
        <v>0</v>
      </c>
      <c r="MN301" s="0" t="n">
        <v>0</v>
      </c>
      <c r="MO301" s="0" t="n">
        <v>16.4</v>
      </c>
      <c r="MP301" s="0" t="n">
        <v>1</v>
      </c>
      <c r="MQ301" s="0" t="n">
        <v>4.6</v>
      </c>
      <c r="MS301" s="0" t="n">
        <v>2</v>
      </c>
      <c r="NC301" s="0" t="n">
        <v>1.4</v>
      </c>
      <c r="ND301" s="0" t="n">
        <v>0</v>
      </c>
      <c r="NO301" s="18"/>
      <c r="OG301" s="0" t="n">
        <v>1</v>
      </c>
      <c r="OH301" s="0" t="n">
        <v>60</v>
      </c>
      <c r="OI301" s="0" t="n">
        <v>7</v>
      </c>
      <c r="OJ301" s="0" t="n">
        <f aca="false">0.73+2.2+0.39</f>
        <v>3.32</v>
      </c>
      <c r="OK301" s="0" t="n">
        <v>3</v>
      </c>
      <c r="OL301" s="0" t="n">
        <v>50</v>
      </c>
      <c r="OM301" s="0" t="n">
        <v>10</v>
      </c>
      <c r="ON301" s="0" t="n">
        <f aca="false">4.4+2.94</f>
        <v>7.34</v>
      </c>
      <c r="PR301" s="16" t="n">
        <v>0</v>
      </c>
      <c r="PS301" s="16" t="n">
        <v>0</v>
      </c>
      <c r="PT301" s="16"/>
      <c r="PU301" s="16"/>
      <c r="PV301" s="16"/>
      <c r="PW301" s="16"/>
      <c r="PX301" s="16"/>
      <c r="PY301" s="16"/>
      <c r="PZ301" s="16"/>
      <c r="QA301" s="16"/>
      <c r="QB301" s="16"/>
      <c r="QC301" s="16" t="n">
        <v>6.95</v>
      </c>
      <c r="QD301" s="16" t="n">
        <v>10.27</v>
      </c>
      <c r="QE301" s="16"/>
      <c r="QF301" s="16"/>
      <c r="QG301" s="16" t="n">
        <v>0</v>
      </c>
      <c r="QH301" s="16" t="n">
        <v>0</v>
      </c>
      <c r="QI301" s="16" t="n">
        <v>0</v>
      </c>
      <c r="QJ301" s="0" t="n">
        <v>0</v>
      </c>
      <c r="QK301" s="0" t="s">
        <v>835</v>
      </c>
      <c r="QL301" s="0" t="n">
        <v>19</v>
      </c>
      <c r="QM301" s="16" t="n">
        <v>73.2</v>
      </c>
      <c r="QN301" s="16" t="n">
        <v>83.4</v>
      </c>
      <c r="QO301" s="16" t="n">
        <v>11.1</v>
      </c>
      <c r="QP301" s="0" t="n">
        <v>92.58</v>
      </c>
      <c r="QQ301" s="0" t="n">
        <v>0</v>
      </c>
      <c r="QR301" s="0" t="n">
        <v>1.25</v>
      </c>
      <c r="QS301" s="0" t="n">
        <v>0</v>
      </c>
      <c r="QT301" s="0" t="n">
        <v>5.34</v>
      </c>
      <c r="QU301" s="0" t="n">
        <v>0</v>
      </c>
      <c r="QV301" s="0" t="n">
        <v>0</v>
      </c>
      <c r="QW301" s="0" t="n">
        <v>0</v>
      </c>
      <c r="QX301" s="0" t="n">
        <v>0</v>
      </c>
      <c r="QY301" s="0" t="n">
        <v>0</v>
      </c>
      <c r="QZ301" s="0" t="n">
        <v>0</v>
      </c>
      <c r="RA301" s="0" t="n">
        <v>4.77</v>
      </c>
      <c r="RB301" s="0" t="n">
        <v>22.03</v>
      </c>
      <c r="RC301" s="0" t="n">
        <v>27.08</v>
      </c>
      <c r="RD301" s="0" t="n">
        <v>1.58</v>
      </c>
      <c r="RE301" s="0" t="n">
        <v>0.83</v>
      </c>
      <c r="RF301" s="0" t="n">
        <v>0</v>
      </c>
      <c r="RG301" s="0" t="n">
        <v>0</v>
      </c>
      <c r="RT301" s="0" t="n">
        <v>0.5</v>
      </c>
      <c r="RU301" s="0" t="n">
        <v>1</v>
      </c>
      <c r="RV301" s="0" t="n">
        <v>35</v>
      </c>
      <c r="RW301" s="0" t="n">
        <v>4</v>
      </c>
      <c r="RX301" s="0" t="n">
        <v>0.1</v>
      </c>
      <c r="RY301" s="0" t="n">
        <v>3</v>
      </c>
      <c r="SF301" s="18"/>
      <c r="SX301" s="0" t="n">
        <v>1</v>
      </c>
      <c r="SY301" s="0" t="n">
        <v>40</v>
      </c>
      <c r="SZ301" s="0" t="n">
        <v>1</v>
      </c>
      <c r="TA301" s="0" t="n">
        <v>1.25</v>
      </c>
      <c r="TB301" s="0" t="n">
        <v>3</v>
      </c>
      <c r="TC301" s="0" t="n">
        <v>50</v>
      </c>
      <c r="TD301" s="0" t="n">
        <v>1</v>
      </c>
      <c r="TE301" s="0" t="n">
        <v>0.05</v>
      </c>
      <c r="TF301" s="0" t="n">
        <v>3</v>
      </c>
      <c r="TG301" s="0" t="n">
        <v>60</v>
      </c>
      <c r="TH301" s="0" t="n">
        <f aca="false">18+9</f>
        <v>27</v>
      </c>
      <c r="TI301" s="0" t="n">
        <f aca="false">2.27+1.14</f>
        <v>3.41</v>
      </c>
      <c r="TJ301" s="0" t="n">
        <v>3</v>
      </c>
      <c r="UI301" s="16" t="n">
        <v>3.7</v>
      </c>
      <c r="UJ301" s="16" t="n">
        <v>1</v>
      </c>
      <c r="UK301" s="16" t="n">
        <v>1</v>
      </c>
      <c r="UL301" s="16"/>
      <c r="UM301" s="16" t="n">
        <f aca="false">4+0.13+0.01+0.73+1.65+0.02</f>
        <v>6.54</v>
      </c>
      <c r="UN301" s="16" t="n">
        <v>2</v>
      </c>
      <c r="UO301" s="16"/>
      <c r="UP301" s="16" t="n">
        <f aca="false">0.18*2</f>
        <v>0.36</v>
      </c>
      <c r="UQ301" s="16"/>
      <c r="UR301" s="16"/>
      <c r="US301" s="16"/>
      <c r="UT301" s="16" t="n">
        <v>3.32</v>
      </c>
      <c r="UU301" s="16" t="n">
        <v>3.31</v>
      </c>
      <c r="UV301" s="16"/>
      <c r="UW301" s="16"/>
      <c r="UX301" s="16" t="n">
        <v>0</v>
      </c>
      <c r="UY301" s="16" t="n">
        <v>0</v>
      </c>
      <c r="UZ301" s="16" t="n">
        <v>0.22</v>
      </c>
      <c r="VA301" s="0" t="n">
        <v>0</v>
      </c>
      <c r="VB301" s="0" t="s">
        <v>836</v>
      </c>
      <c r="VC301" s="0" t="n">
        <v>26.5</v>
      </c>
      <c r="VD301" s="16" t="n">
        <v>70.7</v>
      </c>
      <c r="VE301" s="16" t="n">
        <v>83.4</v>
      </c>
      <c r="VF301" s="16" t="n">
        <v>8.8</v>
      </c>
      <c r="VG301" s="0" t="n">
        <v>94.65</v>
      </c>
      <c r="VH301" s="0" t="n">
        <v>0</v>
      </c>
      <c r="VI301" s="0" t="n">
        <v>0.21</v>
      </c>
      <c r="VJ301" s="0" t="n">
        <v>0</v>
      </c>
      <c r="VK301" s="0" t="n">
        <v>4.31</v>
      </c>
      <c r="VL301" s="0" t="n">
        <v>0</v>
      </c>
      <c r="VM301" s="0" t="n">
        <v>0</v>
      </c>
      <c r="VN301" s="0" t="n">
        <v>0</v>
      </c>
      <c r="VO301" s="0" t="n">
        <v>0</v>
      </c>
      <c r="VP301" s="0" t="n">
        <v>0</v>
      </c>
      <c r="VQ301" s="0" t="n">
        <v>0</v>
      </c>
      <c r="VR301" s="0" t="n">
        <v>1.21</v>
      </c>
      <c r="VS301" s="0" t="n">
        <v>19.41</v>
      </c>
      <c r="VT301" s="0" t="n">
        <v>20.37</v>
      </c>
      <c r="VU301" s="0" t="n">
        <v>0.21</v>
      </c>
      <c r="VV301" s="0" t="n">
        <v>0.83</v>
      </c>
      <c r="VW301" s="0" t="n">
        <v>12.2</v>
      </c>
      <c r="VX301" s="0" t="n">
        <v>1</v>
      </c>
      <c r="VY301" s="0" t="n">
        <v>5</v>
      </c>
      <c r="WA301" s="0" t="n">
        <v>2</v>
      </c>
      <c r="WK301" s="0" t="n">
        <v>0</v>
      </c>
      <c r="WL301" s="0" t="n">
        <v>0</v>
      </c>
      <c r="WW301" s="18"/>
      <c r="XO301" s="0" t="n">
        <v>1</v>
      </c>
      <c r="XP301" s="0" t="n">
        <v>40</v>
      </c>
      <c r="XQ301" s="0" t="n">
        <v>1</v>
      </c>
      <c r="XR301" s="0" t="n">
        <v>0.21</v>
      </c>
      <c r="XS301" s="0" t="n">
        <v>3</v>
      </c>
      <c r="XT301" s="0" t="n">
        <v>80</v>
      </c>
      <c r="XU301" s="0" t="n">
        <v>4</v>
      </c>
      <c r="XV301" s="0" t="n">
        <v>0.5</v>
      </c>
      <c r="XW301" s="0" t="n">
        <v>2</v>
      </c>
      <c r="XX301" s="0" t="n">
        <v>60</v>
      </c>
      <c r="XY301" s="0" t="n">
        <f aca="false">18+9</f>
        <v>27</v>
      </c>
      <c r="XZ301" s="0" t="n">
        <f aca="false">2.27+1.14</f>
        <v>3.41</v>
      </c>
      <c r="YA301" s="0" t="n">
        <v>2</v>
      </c>
      <c r="YZ301" s="16" t="n">
        <v>3.54</v>
      </c>
      <c r="ZA301" s="16" t="n">
        <v>1</v>
      </c>
      <c r="ZB301" s="16" t="n">
        <v>1</v>
      </c>
      <c r="ZC301" s="16"/>
      <c r="ZD301" s="16" t="n">
        <f aca="false">4+0.73*2+1.65</f>
        <v>7.11</v>
      </c>
      <c r="ZE301" s="16"/>
      <c r="ZF301" s="16"/>
      <c r="ZG301" s="16"/>
      <c r="ZH301" s="16"/>
      <c r="ZI301" s="16"/>
      <c r="ZJ301" s="16"/>
      <c r="ZK301" s="16" t="n">
        <v>1.47</v>
      </c>
      <c r="ZL301" s="16" t="n">
        <v>1.47</v>
      </c>
      <c r="ZM301" s="16"/>
      <c r="ZN301" s="16"/>
      <c r="ZO301" s="16" t="n">
        <v>0</v>
      </c>
      <c r="ZP301" s="16" t="n">
        <v>0</v>
      </c>
      <c r="ZQ301" s="16" t="n">
        <v>0.22</v>
      </c>
      <c r="ZR301" s="0" t="n">
        <v>0</v>
      </c>
      <c r="ZS301" s="0" t="s">
        <v>841</v>
      </c>
      <c r="ZT301" s="0" t="n">
        <v>18.5</v>
      </c>
      <c r="ZU301" s="16" t="n">
        <v>91.6</v>
      </c>
      <c r="ZV301" s="16" t="n">
        <v>83.4</v>
      </c>
      <c r="ZW301" s="16" t="n">
        <v>7.5</v>
      </c>
      <c r="ZX301" s="0" t="n">
        <v>96.33</v>
      </c>
      <c r="ZY301" s="0" t="n">
        <v>0</v>
      </c>
      <c r="ZZ301" s="0" t="n">
        <v>0</v>
      </c>
      <c r="AAA301" s="0" t="n">
        <v>0</v>
      </c>
      <c r="AAB301" s="0" t="n">
        <v>3.67</v>
      </c>
      <c r="AAC301" s="0" t="n">
        <v>0</v>
      </c>
      <c r="AAD301" s="0" t="n">
        <v>0</v>
      </c>
      <c r="AAE301" s="0" t="n">
        <v>0</v>
      </c>
      <c r="AAF301" s="0" t="n">
        <v>0</v>
      </c>
      <c r="AAG301" s="0" t="n">
        <v>0</v>
      </c>
      <c r="AAH301" s="0" t="n">
        <v>0</v>
      </c>
      <c r="AAI301" s="0" t="n">
        <v>3.67</v>
      </c>
      <c r="AAJ301" s="0" t="n">
        <v>45.98</v>
      </c>
      <c r="AAK301" s="0" t="n">
        <v>17.9</v>
      </c>
      <c r="AAL301" s="0" t="n">
        <v>0</v>
      </c>
      <c r="AAM301" s="0" t="n">
        <v>0</v>
      </c>
      <c r="AAN301" s="0" t="n">
        <v>0</v>
      </c>
      <c r="AAO301" s="0" t="n">
        <v>0</v>
      </c>
      <c r="ABB301" s="0" t="n">
        <v>0</v>
      </c>
      <c r="ABC301" s="0" t="n">
        <v>0</v>
      </c>
      <c r="ABN301" s="18"/>
      <c r="ACF301" s="0" t="n">
        <v>0</v>
      </c>
      <c r="ACJ301" s="0" t="n">
        <v>1</v>
      </c>
      <c r="ACK301" s="0" t="n">
        <v>50</v>
      </c>
      <c r="ACL301" s="0" t="n">
        <v>1</v>
      </c>
      <c r="ACM301" s="0" t="n">
        <v>0.04</v>
      </c>
      <c r="ACN301" s="0" t="n">
        <v>3</v>
      </c>
      <c r="ADQ301" s="16" t="n">
        <v>1.44</v>
      </c>
      <c r="ADR301" s="16" t="n">
        <v>1</v>
      </c>
      <c r="ADS301" s="16" t="n">
        <v>1</v>
      </c>
      <c r="ADT301" s="16"/>
      <c r="ADU301" s="16" t="n">
        <f aca="false">1.65+0.18*2+9.17</f>
        <v>11.18</v>
      </c>
      <c r="ADV301" s="16"/>
      <c r="ADW301" s="16"/>
      <c r="ADX301" s="16"/>
      <c r="ADY301" s="16"/>
      <c r="ADZ301" s="16"/>
      <c r="AEA301" s="16"/>
      <c r="AEB301" s="16" t="n">
        <v>5.88</v>
      </c>
      <c r="AEC301" s="16" t="n">
        <v>13.5</v>
      </c>
      <c r="AED301" s="16"/>
      <c r="AEE301" s="16"/>
      <c r="AEF301" s="16" t="n">
        <v>3.6</v>
      </c>
      <c r="AEG301" s="16" t="n">
        <v>1.1</v>
      </c>
      <c r="AEH301" s="16" t="n">
        <v>0</v>
      </c>
      <c r="AEI301" s="0" t="n">
        <v>0</v>
      </c>
      <c r="AEJ301" s="0" t="s">
        <v>837</v>
      </c>
      <c r="AEK301" s="0" t="n">
        <v>30.5</v>
      </c>
      <c r="AEL301" s="16" t="n">
        <v>92</v>
      </c>
      <c r="AEM301" s="16" t="n">
        <v>83.4</v>
      </c>
      <c r="AEN301" s="16" t="n">
        <v>5.9</v>
      </c>
      <c r="AEO301" s="0" t="n">
        <v>98.99</v>
      </c>
      <c r="AEP301" s="0" t="n">
        <v>1.01</v>
      </c>
      <c r="AEQ301" s="0" t="n">
        <v>0</v>
      </c>
      <c r="AER301" s="0" t="n">
        <v>0</v>
      </c>
      <c r="AES301" s="0" t="n">
        <v>0</v>
      </c>
      <c r="AET301" s="0" t="n">
        <v>0</v>
      </c>
      <c r="AEU301" s="0" t="n">
        <v>0</v>
      </c>
      <c r="AEV301" s="0" t="n">
        <v>0</v>
      </c>
      <c r="AEW301" s="0" t="n">
        <v>0</v>
      </c>
      <c r="AEX301" s="0" t="n">
        <v>0</v>
      </c>
      <c r="AEY301" s="0" t="n">
        <v>0</v>
      </c>
      <c r="AEZ301" s="0" t="n">
        <v>2.66</v>
      </c>
      <c r="AFA301" s="0" t="n">
        <v>46.99</v>
      </c>
      <c r="AFB301" s="0" t="n">
        <v>16.89</v>
      </c>
      <c r="AFC301" s="0" t="n">
        <v>0</v>
      </c>
      <c r="AFD301" s="0" t="n">
        <v>0</v>
      </c>
      <c r="AFE301" s="0" t="n">
        <v>0</v>
      </c>
      <c r="AFF301" s="0" t="n">
        <v>0</v>
      </c>
      <c r="AFS301" s="0" t="n">
        <v>0</v>
      </c>
      <c r="AFT301" s="0" t="n">
        <v>0</v>
      </c>
      <c r="AGE301" s="18"/>
      <c r="AGW301" s="0" t="n">
        <v>0</v>
      </c>
      <c r="AIH301" s="16" t="n">
        <v>8</v>
      </c>
      <c r="AII301" s="16" t="n">
        <v>1</v>
      </c>
      <c r="AIJ301" s="16" t="n">
        <v>1</v>
      </c>
      <c r="AIK301" s="16"/>
      <c r="AIL301" s="16" t="n">
        <f aca="false">1.65+0.18*2+9.17</f>
        <v>11.18</v>
      </c>
      <c r="AIM301" s="16"/>
      <c r="AIN301" s="16"/>
      <c r="AIO301" s="16"/>
      <c r="AIP301" s="16"/>
      <c r="AIQ301" s="16"/>
      <c r="AIR301" s="16"/>
      <c r="AIS301" s="16" t="n">
        <v>6.16</v>
      </c>
      <c r="AIT301" s="16" t="n">
        <v>16.16</v>
      </c>
      <c r="AIU301" s="16"/>
      <c r="AIV301" s="16"/>
      <c r="AIW301" s="16" t="n">
        <v>10</v>
      </c>
      <c r="AIX301" s="16" t="n">
        <v>1.1</v>
      </c>
      <c r="AIY301" s="16" t="n">
        <v>0</v>
      </c>
      <c r="AIZ301" s="0" t="n">
        <v>1</v>
      </c>
      <c r="AJA301" s="15"/>
      <c r="AJB301" s="15"/>
      <c r="AJD301" s="34"/>
      <c r="AJE301" s="34"/>
      <c r="AJH301" s="34"/>
      <c r="AJI301" s="15"/>
      <c r="AJJ301" s="15"/>
      <c r="AJL301" s="34"/>
      <c r="AJM301" s="34"/>
      <c r="AJP301" s="34"/>
      <c r="AJQ301" s="15"/>
      <c r="AJR301" s="15"/>
      <c r="AJT301" s="34"/>
      <c r="AJU301" s="34"/>
      <c r="AJX301" s="34"/>
      <c r="AJY301" s="15"/>
      <c r="AJZ301" s="15"/>
      <c r="AKB301" s="34"/>
      <c r="AKC301" s="34"/>
      <c r="AKF301" s="34"/>
      <c r="AKG301" s="15"/>
      <c r="AKH301" s="15"/>
      <c r="AKJ301" s="34"/>
      <c r="AKK301" s="34"/>
      <c r="AKN301" s="34"/>
      <c r="AKO301" s="15"/>
      <c r="AKP301" s="15"/>
      <c r="AKR301" s="34"/>
      <c r="AKS301" s="34"/>
      <c r="AKV301" s="34"/>
      <c r="AKW301" s="15"/>
      <c r="AKX301" s="15"/>
      <c r="AKZ301" s="34"/>
      <c r="ALA301" s="34"/>
      <c r="ALD301" s="34"/>
      <c r="ALE301" s="15"/>
      <c r="ALF301" s="15"/>
      <c r="ALH301" s="34"/>
      <c r="ALI301" s="34"/>
      <c r="ALL301" s="34"/>
      <c r="ALM301" s="15"/>
      <c r="ALN301" s="15"/>
      <c r="ALP301" s="34"/>
      <c r="ALQ301" s="34"/>
      <c r="ALT301" s="34"/>
      <c r="ALU301" s="15"/>
      <c r="ALV301" s="15"/>
      <c r="ALX301" s="34"/>
      <c r="ALY301" s="34"/>
      <c r="AMB301" s="34"/>
      <c r="AMC301" s="15"/>
      <c r="AMD301" s="15"/>
      <c r="AMF301" s="34"/>
      <c r="AMG301" s="34"/>
      <c r="AMJ301" s="34"/>
    </row>
    <row r="302" customFormat="false" ht="13.8" hidden="false" customHeight="false" outlineLevel="0" collapsed="false">
      <c r="A302" s="1" t="s">
        <v>875</v>
      </c>
      <c r="B302" s="12" t="n">
        <v>42908</v>
      </c>
      <c r="C302" s="0" t="n">
        <v>1</v>
      </c>
      <c r="D302" s="13" t="n">
        <v>42793</v>
      </c>
      <c r="E302" s="12" t="n">
        <v>32408</v>
      </c>
      <c r="F302" s="14" t="n">
        <f aca="false">(B302-E302)/365.25</f>
        <v>28.7474332648871</v>
      </c>
      <c r="G302" s="14" t="n">
        <f aca="false">(B302-D302)/365.25</f>
        <v>0.314852840520192</v>
      </c>
      <c r="H302" s="19" t="s">
        <v>306</v>
      </c>
      <c r="I302" s="15" t="s">
        <v>832</v>
      </c>
      <c r="J302" s="15" t="s">
        <v>183</v>
      </c>
      <c r="K302" s="15" t="n">
        <v>8</v>
      </c>
      <c r="L302" s="19" t="n">
        <v>80</v>
      </c>
      <c r="N302" s="16" t="e">
        <f aca="false">L302/(M302*M302)</f>
        <v>#DIV/0!</v>
      </c>
      <c r="O302" s="19" t="n">
        <v>0</v>
      </c>
      <c r="P302" s="19" t="n">
        <v>0</v>
      </c>
      <c r="Q302" s="19" t="n">
        <v>0</v>
      </c>
      <c r="R302" s="26" t="n">
        <v>0</v>
      </c>
      <c r="S302" s="26" t="n">
        <v>0</v>
      </c>
      <c r="T302" s="26" t="n">
        <v>0</v>
      </c>
      <c r="U302" s="19" t="n">
        <v>0</v>
      </c>
      <c r="V302" s="19" t="n">
        <v>0</v>
      </c>
      <c r="W302" s="19" t="n">
        <v>0</v>
      </c>
      <c r="X302" s="19" t="n">
        <v>0</v>
      </c>
      <c r="Y302" s="19" t="n">
        <v>0</v>
      </c>
      <c r="Z302" s="19" t="n">
        <v>0</v>
      </c>
      <c r="AA302" s="19" t="n">
        <v>0</v>
      </c>
      <c r="AB302" s="19" t="n">
        <v>0</v>
      </c>
      <c r="AC302" s="19" t="n">
        <v>1</v>
      </c>
      <c r="AD302" s="19" t="n">
        <v>10</v>
      </c>
      <c r="AE302" s="19" t="n">
        <v>0</v>
      </c>
      <c r="AF302" s="19" t="n">
        <v>0</v>
      </c>
      <c r="AG302" s="19" t="n">
        <v>0</v>
      </c>
      <c r="AH302" s="19" t="n">
        <v>0</v>
      </c>
      <c r="AI302" s="19" t="n">
        <v>0</v>
      </c>
      <c r="AJ302" s="19" t="n">
        <v>0</v>
      </c>
      <c r="AK302" s="19" t="n">
        <v>0</v>
      </c>
      <c r="AL302" s="19" t="n">
        <v>0</v>
      </c>
      <c r="AM302" s="19" t="n">
        <v>0</v>
      </c>
      <c r="AN302" s="19" t="n">
        <v>0</v>
      </c>
      <c r="AO302" s="19" t="n">
        <v>0</v>
      </c>
      <c r="AP302" s="19" t="n">
        <v>0</v>
      </c>
      <c r="AQ302" s="19" t="n">
        <v>0</v>
      </c>
      <c r="AR302" s="19" t="n">
        <v>0</v>
      </c>
      <c r="AS302" s="19" t="n">
        <v>0</v>
      </c>
      <c r="AT302" s="19" t="n">
        <v>0</v>
      </c>
      <c r="AU302" s="19" t="n">
        <v>0</v>
      </c>
      <c r="AV302" s="19" t="n">
        <v>0</v>
      </c>
      <c r="AW302" s="19" t="n">
        <v>0</v>
      </c>
      <c r="AX302" s="19" t="n">
        <v>0</v>
      </c>
      <c r="AY302" s="19" t="n">
        <v>0</v>
      </c>
      <c r="AZ302" s="19" t="n">
        <v>0</v>
      </c>
      <c r="BA302" s="19" t="n">
        <v>0</v>
      </c>
      <c r="BB302" s="19" t="n">
        <v>0</v>
      </c>
      <c r="BC302" s="19" t="n">
        <v>0</v>
      </c>
      <c r="BD302" s="19" t="n">
        <v>0</v>
      </c>
      <c r="BE302" s="19" t="n">
        <v>0</v>
      </c>
      <c r="BF302" s="19" t="n">
        <v>0</v>
      </c>
      <c r="BG302" s="19" t="n">
        <v>0</v>
      </c>
      <c r="BH302" s="19" t="n">
        <v>0</v>
      </c>
      <c r="BI302" s="19" t="n">
        <v>0</v>
      </c>
      <c r="BJ302" s="19" t="n">
        <v>0</v>
      </c>
      <c r="BK302" s="19" t="n">
        <v>0</v>
      </c>
      <c r="BL302" s="19" t="n">
        <v>0</v>
      </c>
      <c r="BM302" s="19" t="n">
        <v>0</v>
      </c>
      <c r="BN302" s="19" t="n">
        <v>0</v>
      </c>
      <c r="BO302" s="19" t="n">
        <v>0</v>
      </c>
      <c r="BP302" s="19" t="n">
        <v>0</v>
      </c>
      <c r="BQ302" s="19" t="n">
        <v>0</v>
      </c>
      <c r="BR302" s="19" t="n">
        <v>1</v>
      </c>
      <c r="BS302" s="19" t="n">
        <v>1</v>
      </c>
      <c r="BT302" s="19" t="n">
        <v>1</v>
      </c>
      <c r="BU302" s="19" t="n">
        <v>5</v>
      </c>
      <c r="BV302" s="19" t="n">
        <v>1</v>
      </c>
      <c r="BW302" s="19" t="n">
        <v>1</v>
      </c>
      <c r="BX302" s="19" t="n">
        <v>1</v>
      </c>
      <c r="BY302" s="19" t="n">
        <v>2</v>
      </c>
      <c r="BZ302" s="19" t="n">
        <v>5</v>
      </c>
      <c r="CA302" s="19" t="n">
        <v>5</v>
      </c>
      <c r="CB302" s="19" t="n">
        <v>5</v>
      </c>
      <c r="CC302" s="19" t="n">
        <v>5</v>
      </c>
      <c r="CD302" s="19" t="n">
        <v>4</v>
      </c>
      <c r="CE302" s="19" t="n">
        <v>5</v>
      </c>
      <c r="CF302" s="19" t="n">
        <v>5</v>
      </c>
      <c r="CG302" s="19" t="n">
        <v>4</v>
      </c>
      <c r="CH302" s="19" t="n">
        <v>5</v>
      </c>
      <c r="CI302" s="19" t="n">
        <v>5</v>
      </c>
      <c r="CJ302" s="19" t="n">
        <v>5</v>
      </c>
      <c r="CK302" s="19" t="n">
        <v>10</v>
      </c>
      <c r="CL302" s="0" t="s">
        <v>833</v>
      </c>
      <c r="CM302" s="0" t="n">
        <v>31</v>
      </c>
      <c r="CN302" s="16" t="n">
        <v>82.6</v>
      </c>
      <c r="CO302" s="16" t="n">
        <v>83.4</v>
      </c>
      <c r="CP302" s="16" t="n">
        <v>5.7</v>
      </c>
      <c r="CQ302" s="0" t="n">
        <v>99.97</v>
      </c>
      <c r="CR302" s="0" t="n">
        <v>0</v>
      </c>
      <c r="CS302" s="0" t="n">
        <v>0</v>
      </c>
      <c r="CT302" s="0" t="n">
        <v>0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0</v>
      </c>
      <c r="DA302" s="0" t="n">
        <v>0</v>
      </c>
      <c r="DB302" s="0" t="n">
        <v>7.3</v>
      </c>
      <c r="DC302" s="0" t="n">
        <v>53.74</v>
      </c>
      <c r="DD302" s="0" t="n">
        <v>0</v>
      </c>
      <c r="DE302" s="0" t="n">
        <v>0</v>
      </c>
      <c r="DF302" s="0" t="n">
        <v>0</v>
      </c>
      <c r="DG302" s="0" t="n">
        <v>17.6</v>
      </c>
      <c r="DH302" s="0" t="n">
        <v>1</v>
      </c>
      <c r="DI302" s="0" t="n">
        <v>4.6</v>
      </c>
      <c r="DK302" s="0" t="n">
        <v>2</v>
      </c>
      <c r="DU302" s="0" t="n">
        <v>2.4</v>
      </c>
      <c r="DV302" s="0" t="n">
        <v>0</v>
      </c>
      <c r="EG302" s="18"/>
      <c r="EY302" s="0" t="n">
        <v>1</v>
      </c>
      <c r="EZ302" s="0" t="n">
        <v>60</v>
      </c>
      <c r="FA302" s="0" t="n">
        <f aca="false">4+6+1+3+1+3</f>
        <v>18</v>
      </c>
      <c r="FB302" s="0" t="n">
        <f aca="false">0.73+2.2+0.13+0.39+0.78+0.52</f>
        <v>4.75</v>
      </c>
      <c r="FC302" s="0" t="n">
        <v>3</v>
      </c>
      <c r="FD302" s="0" t="n">
        <v>50</v>
      </c>
      <c r="FE302" s="0" t="n">
        <f aca="false">14</f>
        <v>14</v>
      </c>
      <c r="FF302" s="0" t="n">
        <f aca="false">4.4+2.94+0.52</f>
        <v>7.86</v>
      </c>
      <c r="FG302" s="0" t="n">
        <v>3</v>
      </c>
      <c r="GJ302" s="16" t="n">
        <v>0</v>
      </c>
      <c r="GK302" s="16" t="n">
        <v>0</v>
      </c>
      <c r="GL302" s="16"/>
      <c r="GM302" s="16"/>
      <c r="GN302" s="16"/>
      <c r="GO302" s="16"/>
      <c r="GP302" s="16"/>
      <c r="GQ302" s="16"/>
      <c r="GR302" s="16"/>
      <c r="GS302" s="16"/>
      <c r="GT302" s="16"/>
      <c r="GU302" s="16" t="n">
        <v>5.21</v>
      </c>
      <c r="GV302" s="16" t="n">
        <v>2.59</v>
      </c>
      <c r="GW302" s="16"/>
      <c r="GX302" s="16"/>
      <c r="GY302" s="16" t="n">
        <v>0</v>
      </c>
      <c r="GZ302" s="16" t="n">
        <v>0</v>
      </c>
      <c r="HA302" s="16" t="n">
        <v>0</v>
      </c>
      <c r="HB302" s="0" t="n">
        <v>0</v>
      </c>
      <c r="HC302" s="0" t="s">
        <v>834</v>
      </c>
      <c r="HD302" s="0" t="n">
        <v>30.5</v>
      </c>
      <c r="HE302" s="16" t="n">
        <v>73.4</v>
      </c>
      <c r="HF302" s="16" t="n">
        <v>83.4</v>
      </c>
      <c r="HG302" s="16" t="n">
        <v>5.7</v>
      </c>
      <c r="HH302" s="0" t="n">
        <v>100</v>
      </c>
      <c r="HI302" s="0" t="n">
        <v>0</v>
      </c>
      <c r="HJ302" s="0" t="n">
        <v>0</v>
      </c>
      <c r="HK302" s="0" t="n">
        <v>0</v>
      </c>
      <c r="HL302" s="0" t="n">
        <v>0</v>
      </c>
      <c r="HM302" s="0" t="n">
        <v>0</v>
      </c>
      <c r="HN302" s="0" t="n">
        <v>0</v>
      </c>
      <c r="HO302" s="0" t="n">
        <v>0</v>
      </c>
      <c r="HP302" s="0" t="n">
        <v>0</v>
      </c>
      <c r="HQ302" s="0" t="n">
        <v>0</v>
      </c>
      <c r="HR302" s="0" t="n">
        <v>0</v>
      </c>
      <c r="HS302" s="0" t="n">
        <v>7.69</v>
      </c>
      <c r="HT302" s="0" t="n">
        <v>47.61</v>
      </c>
      <c r="HU302" s="0" t="n">
        <v>0</v>
      </c>
      <c r="HV302" s="0" t="n">
        <v>0</v>
      </c>
      <c r="HW302" s="0" t="n">
        <v>0</v>
      </c>
      <c r="HX302" s="0" t="n">
        <v>16.4</v>
      </c>
      <c r="HY302" s="0" t="n">
        <v>1</v>
      </c>
      <c r="HZ302" s="0" t="n">
        <v>4.6</v>
      </c>
      <c r="IB302" s="0" t="n">
        <v>2</v>
      </c>
      <c r="IL302" s="0" t="n">
        <v>1.4</v>
      </c>
      <c r="IM302" s="0" t="n">
        <v>0</v>
      </c>
      <c r="IX302" s="18"/>
      <c r="JP302" s="0" t="n">
        <v>1</v>
      </c>
      <c r="JQ302" s="0" t="n">
        <v>60</v>
      </c>
      <c r="JR302" s="0" t="n">
        <v>7</v>
      </c>
      <c r="JS302" s="0" t="n">
        <f aca="false">0.73+2.2+0.39</f>
        <v>3.32</v>
      </c>
      <c r="JT302" s="0" t="n">
        <v>3</v>
      </c>
      <c r="JU302" s="0" t="n">
        <v>50</v>
      </c>
      <c r="JV302" s="0" t="n">
        <v>10</v>
      </c>
      <c r="JW302" s="0" t="n">
        <f aca="false">4.4+2.94</f>
        <v>7.34</v>
      </c>
      <c r="LA302" s="16" t="n">
        <v>0</v>
      </c>
      <c r="LB302" s="16" t="n">
        <v>0</v>
      </c>
      <c r="LC302" s="16"/>
      <c r="LD302" s="16"/>
      <c r="LE302" s="16"/>
      <c r="LF302" s="16"/>
      <c r="LG302" s="16"/>
      <c r="LH302" s="16"/>
      <c r="LI302" s="16"/>
      <c r="LJ302" s="16"/>
      <c r="LK302" s="16"/>
      <c r="LL302" s="16" t="n">
        <v>6.95</v>
      </c>
      <c r="LM302" s="16" t="n">
        <v>10.27</v>
      </c>
      <c r="LN302" s="16"/>
      <c r="LO302" s="16"/>
      <c r="LP302" s="16" t="n">
        <v>0</v>
      </c>
      <c r="LQ302" s="16" t="n">
        <v>0</v>
      </c>
      <c r="LR302" s="16" t="n">
        <v>0</v>
      </c>
      <c r="LS302" s="0" t="n">
        <v>0</v>
      </c>
      <c r="LT302" s="0" t="s">
        <v>835</v>
      </c>
      <c r="LU302" s="0" t="n">
        <v>19</v>
      </c>
      <c r="LV302" s="16" t="n">
        <v>73.2</v>
      </c>
      <c r="LW302" s="16" t="n">
        <v>83.4</v>
      </c>
      <c r="LX302" s="16" t="n">
        <v>11.1</v>
      </c>
      <c r="LY302" s="0" t="n">
        <v>92.58</v>
      </c>
      <c r="LZ302" s="0" t="n">
        <v>0</v>
      </c>
      <c r="MA302" s="0" t="n">
        <v>1.25</v>
      </c>
      <c r="MB302" s="0" t="n">
        <v>0</v>
      </c>
      <c r="MC302" s="0" t="n">
        <v>5.34</v>
      </c>
      <c r="MD302" s="0" t="n">
        <v>0</v>
      </c>
      <c r="ME302" s="0" t="n">
        <v>0</v>
      </c>
      <c r="MF302" s="0" t="n">
        <v>0</v>
      </c>
      <c r="MG302" s="0" t="n">
        <v>0</v>
      </c>
      <c r="MH302" s="0" t="n">
        <v>0</v>
      </c>
      <c r="MI302" s="0" t="n">
        <v>0</v>
      </c>
      <c r="MJ302" s="0" t="n">
        <v>4.77</v>
      </c>
      <c r="MK302" s="0" t="n">
        <v>22.03</v>
      </c>
      <c r="ML302" s="0" t="n">
        <v>27.08</v>
      </c>
      <c r="MM302" s="0" t="n">
        <v>1.58</v>
      </c>
      <c r="MN302" s="0" t="n">
        <v>0.83</v>
      </c>
      <c r="MO302" s="0" t="n">
        <v>0</v>
      </c>
      <c r="MP302" s="0" t="n">
        <v>0</v>
      </c>
      <c r="NC302" s="0" t="n">
        <v>0.5</v>
      </c>
      <c r="ND302" s="0" t="n">
        <v>1</v>
      </c>
      <c r="NE302" s="0" t="n">
        <v>35</v>
      </c>
      <c r="NF302" s="0" t="n">
        <v>4</v>
      </c>
      <c r="NG302" s="0" t="n">
        <v>0.1</v>
      </c>
      <c r="NH302" s="0" t="n">
        <v>3</v>
      </c>
      <c r="NO302" s="18"/>
      <c r="OG302" s="0" t="n">
        <v>1</v>
      </c>
      <c r="OH302" s="0" t="n">
        <v>40</v>
      </c>
      <c r="OI302" s="0" t="n">
        <v>1</v>
      </c>
      <c r="OJ302" s="0" t="n">
        <v>1.25</v>
      </c>
      <c r="OK302" s="0" t="n">
        <v>3</v>
      </c>
      <c r="OL302" s="0" t="n">
        <v>50</v>
      </c>
      <c r="OM302" s="0" t="n">
        <v>1</v>
      </c>
      <c r="ON302" s="0" t="n">
        <v>0.05</v>
      </c>
      <c r="OO302" s="0" t="n">
        <v>3</v>
      </c>
      <c r="OP302" s="0" t="n">
        <v>60</v>
      </c>
      <c r="OQ302" s="0" t="n">
        <f aca="false">18+9</f>
        <v>27</v>
      </c>
      <c r="OR302" s="0" t="n">
        <f aca="false">2.27+1.14</f>
        <v>3.41</v>
      </c>
      <c r="OS302" s="0" t="n">
        <v>3</v>
      </c>
      <c r="PR302" s="16" t="n">
        <v>3.7</v>
      </c>
      <c r="PS302" s="16" t="n">
        <v>1</v>
      </c>
      <c r="PT302" s="16" t="n">
        <v>1</v>
      </c>
      <c r="PU302" s="16"/>
      <c r="PV302" s="16" t="n">
        <f aca="false">4+0.13+0.01+0.73+1.65+0.02</f>
        <v>6.54</v>
      </c>
      <c r="PW302" s="16" t="n">
        <v>2</v>
      </c>
      <c r="PX302" s="16"/>
      <c r="PY302" s="16" t="n">
        <f aca="false">0.18*2</f>
        <v>0.36</v>
      </c>
      <c r="PZ302" s="16"/>
      <c r="QA302" s="16"/>
      <c r="QB302" s="16"/>
      <c r="QC302" s="16" t="n">
        <v>3.32</v>
      </c>
      <c r="QD302" s="16" t="n">
        <v>3.31</v>
      </c>
      <c r="QE302" s="16"/>
      <c r="QF302" s="16"/>
      <c r="QG302" s="16" t="n">
        <v>0</v>
      </c>
      <c r="QH302" s="16" t="n">
        <v>0</v>
      </c>
      <c r="QI302" s="16" t="n">
        <v>0.22</v>
      </c>
      <c r="QJ302" s="0" t="n">
        <v>0</v>
      </c>
      <c r="QK302" s="0" t="s">
        <v>841</v>
      </c>
      <c r="QL302" s="0" t="n">
        <v>18.5</v>
      </c>
      <c r="QM302" s="16" t="n">
        <v>91.6</v>
      </c>
      <c r="QN302" s="16" t="n">
        <v>83.4</v>
      </c>
      <c r="QO302" s="16" t="n">
        <v>7.5</v>
      </c>
      <c r="QP302" s="0" t="n">
        <v>96.33</v>
      </c>
      <c r="QQ302" s="0" t="n">
        <v>0</v>
      </c>
      <c r="QR302" s="0" t="n">
        <v>0</v>
      </c>
      <c r="QS302" s="0" t="n">
        <v>0</v>
      </c>
      <c r="QT302" s="0" t="n">
        <v>3.67</v>
      </c>
      <c r="QU302" s="0" t="n">
        <v>0</v>
      </c>
      <c r="QV302" s="0" t="n">
        <v>0</v>
      </c>
      <c r="QW302" s="0" t="n">
        <v>0</v>
      </c>
      <c r="QX302" s="0" t="n">
        <v>0</v>
      </c>
      <c r="QY302" s="0" t="n">
        <v>0</v>
      </c>
      <c r="QZ302" s="0" t="n">
        <v>0</v>
      </c>
      <c r="RA302" s="0" t="n">
        <v>3.67</v>
      </c>
      <c r="RB302" s="0" t="n">
        <v>45.98</v>
      </c>
      <c r="RC302" s="0" t="n">
        <v>17.9</v>
      </c>
      <c r="RD302" s="0" t="n">
        <v>0</v>
      </c>
      <c r="RE302" s="0" t="n">
        <v>0</v>
      </c>
      <c r="RF302" s="0" t="n">
        <v>0</v>
      </c>
      <c r="RG302" s="0" t="n">
        <v>0</v>
      </c>
      <c r="RT302" s="0" t="n">
        <v>0</v>
      </c>
      <c r="RU302" s="0" t="n">
        <v>0</v>
      </c>
      <c r="SF302" s="18"/>
      <c r="SX302" s="0" t="n">
        <v>0</v>
      </c>
      <c r="TB302" s="0" t="n">
        <v>1</v>
      </c>
      <c r="TC302" s="0" t="n">
        <v>50</v>
      </c>
      <c r="TD302" s="0" t="n">
        <v>1</v>
      </c>
      <c r="TE302" s="0" t="n">
        <v>0.04</v>
      </c>
      <c r="TF302" s="0" t="n">
        <v>3</v>
      </c>
      <c r="UI302" s="16" t="n">
        <v>1.44</v>
      </c>
      <c r="UJ302" s="16" t="n">
        <v>1</v>
      </c>
      <c r="UK302" s="16" t="n">
        <v>1</v>
      </c>
      <c r="UL302" s="16"/>
      <c r="UM302" s="16" t="n">
        <f aca="false">1.65+0.18*2+9.17</f>
        <v>11.18</v>
      </c>
      <c r="UN302" s="16"/>
      <c r="UO302" s="16"/>
      <c r="UP302" s="16"/>
      <c r="UQ302" s="16"/>
      <c r="UR302" s="16"/>
      <c r="US302" s="16"/>
      <c r="UT302" s="16" t="n">
        <v>5.88</v>
      </c>
      <c r="UU302" s="16" t="n">
        <v>13.5</v>
      </c>
      <c r="UV302" s="16"/>
      <c r="UW302" s="16"/>
      <c r="UX302" s="16" t="n">
        <v>3.6</v>
      </c>
      <c r="UY302" s="16" t="n">
        <v>1.1</v>
      </c>
      <c r="UZ302" s="16" t="n">
        <v>0</v>
      </c>
      <c r="VA302" s="0" t="n">
        <v>0</v>
      </c>
      <c r="VB302" s="0" t="s">
        <v>837</v>
      </c>
      <c r="VC302" s="0" t="n">
        <v>30.5</v>
      </c>
      <c r="VD302" s="16" t="n">
        <v>92</v>
      </c>
      <c r="VE302" s="16" t="n">
        <v>83.4</v>
      </c>
      <c r="VF302" s="16" t="n">
        <v>5.9</v>
      </c>
      <c r="VG302" s="0" t="n">
        <v>98.99</v>
      </c>
      <c r="VH302" s="0" t="n">
        <v>1.01</v>
      </c>
      <c r="VI302" s="0" t="n">
        <v>0</v>
      </c>
      <c r="VJ302" s="0" t="n">
        <v>0</v>
      </c>
      <c r="VK302" s="0" t="n">
        <v>0</v>
      </c>
      <c r="VL302" s="0" t="n">
        <v>0</v>
      </c>
      <c r="VM302" s="0" t="n">
        <v>0</v>
      </c>
      <c r="VN302" s="0" t="n">
        <v>0</v>
      </c>
      <c r="VO302" s="0" t="n">
        <v>0</v>
      </c>
      <c r="VP302" s="0" t="n">
        <v>0</v>
      </c>
      <c r="VQ302" s="0" t="n">
        <v>0</v>
      </c>
      <c r="VR302" s="0" t="n">
        <v>2.66</v>
      </c>
      <c r="VS302" s="0" t="n">
        <v>46.99</v>
      </c>
      <c r="VT302" s="0" t="n">
        <v>16.89</v>
      </c>
      <c r="VU302" s="0" t="n">
        <v>0</v>
      </c>
      <c r="VV302" s="0" t="n">
        <v>0</v>
      </c>
      <c r="VW302" s="0" t="n">
        <v>0</v>
      </c>
      <c r="VX302" s="0" t="n">
        <v>0</v>
      </c>
      <c r="WK302" s="0" t="n">
        <v>0</v>
      </c>
      <c r="WL302" s="0" t="n">
        <v>0</v>
      </c>
      <c r="WW302" s="18"/>
      <c r="XO302" s="0" t="n">
        <v>0</v>
      </c>
      <c r="YZ302" s="16" t="n">
        <v>8</v>
      </c>
      <c r="ZA302" s="16" t="n">
        <v>1</v>
      </c>
      <c r="ZB302" s="16" t="n">
        <v>1</v>
      </c>
      <c r="ZC302" s="16"/>
      <c r="ZD302" s="16" t="n">
        <f aca="false">1.65+0.18*2+9.17</f>
        <v>11.18</v>
      </c>
      <c r="ZE302" s="16"/>
      <c r="ZF302" s="16"/>
      <c r="ZG302" s="16"/>
      <c r="ZH302" s="16"/>
      <c r="ZI302" s="16"/>
      <c r="ZJ302" s="16"/>
      <c r="ZK302" s="16" t="n">
        <v>6.16</v>
      </c>
      <c r="ZL302" s="16" t="n">
        <v>16.16</v>
      </c>
      <c r="ZM302" s="16"/>
      <c r="ZN302" s="16"/>
      <c r="ZO302" s="16" t="n">
        <v>10</v>
      </c>
      <c r="ZP302" s="16" t="n">
        <v>1.1</v>
      </c>
      <c r="ZQ302" s="16" t="n">
        <v>0</v>
      </c>
      <c r="ZR302" s="0" t="n">
        <v>1</v>
      </c>
      <c r="ZS302" s="0" t="s">
        <v>838</v>
      </c>
      <c r="ZT302" s="0" t="n">
        <v>47.5</v>
      </c>
      <c r="ZU302" s="16" t="n">
        <v>86.8</v>
      </c>
      <c r="ZV302" s="16" t="n">
        <v>83.4</v>
      </c>
      <c r="ZW302" s="16" t="n">
        <v>26.7</v>
      </c>
      <c r="ZX302" s="0" t="n">
        <v>65.11</v>
      </c>
      <c r="ZY302" s="0" t="n">
        <v>0</v>
      </c>
      <c r="ZZ302" s="0" t="n">
        <v>2.75</v>
      </c>
      <c r="AAA302" s="0" t="n">
        <v>0</v>
      </c>
      <c r="AAB302" s="0" t="n">
        <v>32.14</v>
      </c>
      <c r="AAC302" s="0" t="n">
        <v>0</v>
      </c>
      <c r="AAD302" s="0" t="n">
        <v>0</v>
      </c>
      <c r="AAE302" s="0" t="n">
        <v>0</v>
      </c>
      <c r="AAF302" s="0" t="n">
        <v>0</v>
      </c>
      <c r="AAG302" s="0" t="n">
        <v>0</v>
      </c>
      <c r="AAH302" s="0" t="n">
        <v>0</v>
      </c>
      <c r="AAI302" s="0" t="n">
        <v>0</v>
      </c>
      <c r="AAJ302" s="0" t="n">
        <v>24.37</v>
      </c>
      <c r="AAK302" s="0" t="n">
        <v>6.53</v>
      </c>
      <c r="AAL302" s="0" t="n">
        <v>31.2</v>
      </c>
      <c r="AAM302" s="0" t="n">
        <v>0</v>
      </c>
      <c r="AAN302" s="0" t="n">
        <v>13</v>
      </c>
      <c r="AAO302" s="0" t="n">
        <v>1</v>
      </c>
      <c r="AAP302" s="0" t="n">
        <v>7</v>
      </c>
      <c r="AAR302" s="0" t="n">
        <v>2</v>
      </c>
      <c r="ABB302" s="0" t="n">
        <v>0</v>
      </c>
      <c r="ABC302" s="0" t="n">
        <v>0</v>
      </c>
      <c r="ABN302" s="18"/>
      <c r="ACF302" s="0" t="n">
        <v>0</v>
      </c>
      <c r="ADQ302" s="16" t="n">
        <v>2.27</v>
      </c>
      <c r="ADR302" s="16" t="n">
        <v>1</v>
      </c>
      <c r="ADS302" s="16" t="n">
        <v>1</v>
      </c>
      <c r="ADT302" s="16"/>
      <c r="ADU302" s="16" t="n">
        <f aca="false">3.3*3+0.36*4</f>
        <v>11.34</v>
      </c>
      <c r="ADV302" s="16"/>
      <c r="ADW302" s="16"/>
      <c r="ADX302" s="16"/>
      <c r="ADY302" s="16"/>
      <c r="ADZ302" s="16"/>
      <c r="AEA302" s="16"/>
      <c r="AEB302" s="16" t="n">
        <v>5.24</v>
      </c>
      <c r="AEC302" s="16" t="n">
        <v>7.31</v>
      </c>
      <c r="AED302" s="16"/>
      <c r="AEE302" s="16"/>
      <c r="AEF302" s="16" t="n">
        <v>0</v>
      </c>
      <c r="AEG302" s="16" t="n">
        <v>0</v>
      </c>
      <c r="AEH302" s="16" t="n">
        <v>0</v>
      </c>
      <c r="AEI302" s="0" t="n">
        <v>0</v>
      </c>
      <c r="AEJ302" s="0" t="s">
        <v>839</v>
      </c>
      <c r="AEK302" s="0" t="n">
        <v>48</v>
      </c>
      <c r="AEL302" s="16" t="n">
        <v>84.6</v>
      </c>
      <c r="AEM302" s="16" t="n">
        <v>83.4</v>
      </c>
      <c r="AEN302" s="16" t="n">
        <v>5.9</v>
      </c>
      <c r="AEO302" s="0" t="n">
        <v>36.31</v>
      </c>
      <c r="AEP302" s="0" t="n">
        <v>0</v>
      </c>
      <c r="AEQ302" s="0" t="n">
        <v>0</v>
      </c>
      <c r="AER302" s="0" t="n">
        <v>0</v>
      </c>
      <c r="AES302" s="0" t="n">
        <v>63.69</v>
      </c>
      <c r="AET302" s="0" t="n">
        <v>0</v>
      </c>
      <c r="AEU302" s="0" t="n">
        <v>0</v>
      </c>
      <c r="AEV302" s="0" t="n">
        <v>0</v>
      </c>
      <c r="AEW302" s="0" t="n">
        <v>0</v>
      </c>
      <c r="AEX302" s="0" t="n">
        <v>0</v>
      </c>
      <c r="AEY302" s="0" t="n">
        <v>0</v>
      </c>
      <c r="AEZ302" s="0" t="n">
        <v>2.53</v>
      </c>
      <c r="AFA302" s="0" t="n">
        <v>8.33</v>
      </c>
      <c r="AFB302" s="0" t="n">
        <v>27.3</v>
      </c>
      <c r="AFC302" s="0" t="n">
        <v>39.37</v>
      </c>
      <c r="AFD302" s="0" t="n">
        <v>0</v>
      </c>
      <c r="AFE302" s="0" t="n">
        <v>0</v>
      </c>
      <c r="AFF302" s="0" t="n">
        <v>0</v>
      </c>
      <c r="AFS302" s="0" t="n">
        <v>0</v>
      </c>
      <c r="AFT302" s="0" t="n">
        <v>0</v>
      </c>
      <c r="AGE302" s="18"/>
      <c r="AGW302" s="0" t="n">
        <v>0</v>
      </c>
      <c r="AIH302" s="16" t="n">
        <v>8</v>
      </c>
      <c r="AII302" s="16" t="n">
        <v>1</v>
      </c>
      <c r="AIJ302" s="16" t="n">
        <v>1</v>
      </c>
      <c r="AIK302" s="16"/>
      <c r="AIL302" s="16" t="n">
        <f aca="false">3.3*2+4.95+0.36*5</f>
        <v>13.35</v>
      </c>
      <c r="AIM302" s="16"/>
      <c r="AIN302" s="16"/>
      <c r="AIO302" s="16"/>
      <c r="AIP302" s="16"/>
      <c r="AIQ302" s="16"/>
      <c r="AIR302" s="16"/>
      <c r="AIS302" s="16" t="n">
        <v>6.16</v>
      </c>
      <c r="AIT302" s="16" t="n">
        <v>12.89</v>
      </c>
      <c r="AIU302" s="16"/>
      <c r="AIV302" s="16"/>
      <c r="AIW302" s="16" t="n">
        <v>0</v>
      </c>
      <c r="AIX302" s="16" t="n">
        <v>0</v>
      </c>
      <c r="AIY302" s="16" t="n">
        <v>0</v>
      </c>
      <c r="AIZ302" s="0" t="n">
        <v>0</v>
      </c>
      <c r="AJA302" s="15"/>
      <c r="AJB302" s="15"/>
      <c r="AJD302" s="34"/>
      <c r="AJE302" s="34"/>
      <c r="AJH302" s="34"/>
      <c r="AJI302" s="15"/>
      <c r="AJJ302" s="15"/>
      <c r="AJL302" s="34"/>
      <c r="AJM302" s="34"/>
      <c r="AJP302" s="34"/>
      <c r="AJQ302" s="15"/>
      <c r="AJR302" s="15"/>
      <c r="AJT302" s="34"/>
      <c r="AJU302" s="34"/>
      <c r="AJX302" s="34"/>
      <c r="AJY302" s="15"/>
      <c r="AJZ302" s="15"/>
      <c r="AKB302" s="34"/>
      <c r="AKC302" s="34"/>
      <c r="AKF302" s="34"/>
      <c r="AKG302" s="15"/>
      <c r="AKH302" s="15"/>
      <c r="AKJ302" s="34"/>
      <c r="AKK302" s="34"/>
      <c r="AKN302" s="34"/>
      <c r="AKO302" s="15"/>
      <c r="AKP302" s="15"/>
      <c r="AKR302" s="34"/>
      <c r="AKS302" s="34"/>
      <c r="AKV302" s="34"/>
      <c r="AKW302" s="15"/>
      <c r="AKX302" s="15"/>
      <c r="AKZ302" s="34"/>
      <c r="ALA302" s="34"/>
      <c r="ALD302" s="34"/>
      <c r="ALE302" s="15"/>
      <c r="ALF302" s="15"/>
      <c r="ALH302" s="34"/>
      <c r="ALI302" s="34"/>
      <c r="ALL302" s="34"/>
      <c r="ALM302" s="15"/>
      <c r="ALN302" s="15"/>
      <c r="ALP302" s="34"/>
      <c r="ALQ302" s="34"/>
      <c r="ALT302" s="34"/>
      <c r="ALU302" s="15"/>
      <c r="ALV302" s="15"/>
      <c r="ALX302" s="34"/>
      <c r="ALY302" s="34"/>
      <c r="AMB302" s="34"/>
      <c r="AMC302" s="15"/>
      <c r="AMD302" s="15"/>
      <c r="AMF302" s="34"/>
      <c r="AMG302" s="34"/>
      <c r="AMJ302" s="34"/>
    </row>
    <row r="303" customFormat="false" ht="13.8" hidden="false" customHeight="false" outlineLevel="0" collapsed="false">
      <c r="A303" s="1" t="s">
        <v>876</v>
      </c>
      <c r="B303" s="12" t="n">
        <v>42908</v>
      </c>
      <c r="C303" s="0" t="n">
        <v>1</v>
      </c>
      <c r="D303" s="13" t="n">
        <v>42797</v>
      </c>
      <c r="E303" s="12" t="n">
        <v>34733</v>
      </c>
      <c r="F303" s="14" t="n">
        <f aca="false">(B303-E303)/365.25</f>
        <v>22.3819301848049</v>
      </c>
      <c r="G303" s="14" t="n">
        <f aca="false">(B303-D303)/365.25</f>
        <v>0.303901437371663</v>
      </c>
      <c r="H303" s="19" t="s">
        <v>306</v>
      </c>
      <c r="I303" s="15" t="s">
        <v>832</v>
      </c>
      <c r="J303" s="15" t="s">
        <v>183</v>
      </c>
      <c r="K303" s="15" t="n">
        <v>8</v>
      </c>
      <c r="L303" s="19" t="n">
        <v>78</v>
      </c>
      <c r="M303" s="0" t="n">
        <v>1.62</v>
      </c>
      <c r="N303" s="16" t="n">
        <f aca="false">L303/(M303*M303)</f>
        <v>29.7210791037951</v>
      </c>
      <c r="O303" s="19" t="n">
        <v>0</v>
      </c>
      <c r="P303" s="19" t="n">
        <v>0</v>
      </c>
      <c r="Q303" s="19" t="n">
        <v>0</v>
      </c>
      <c r="R303" s="26" t="n">
        <v>0</v>
      </c>
      <c r="S303" s="26" t="n">
        <v>0</v>
      </c>
      <c r="T303" s="26" t="n">
        <v>0</v>
      </c>
      <c r="U303" s="19"/>
      <c r="V303" s="19"/>
      <c r="W303" s="19" t="n">
        <v>0</v>
      </c>
      <c r="X303" s="19" t="n">
        <v>0</v>
      </c>
      <c r="Y303" s="19" t="n">
        <v>0</v>
      </c>
      <c r="Z303" s="19" t="n">
        <v>0</v>
      </c>
      <c r="AA303" s="19" t="n">
        <v>0</v>
      </c>
      <c r="AB303" s="19" t="n">
        <v>0</v>
      </c>
      <c r="AC303" s="19" t="n">
        <v>0</v>
      </c>
      <c r="AD303" s="19" t="n">
        <v>0</v>
      </c>
      <c r="AE303" s="19" t="n">
        <v>1</v>
      </c>
      <c r="AF303" s="19" t="n">
        <v>0</v>
      </c>
      <c r="AG303" s="19" t="n">
        <v>1</v>
      </c>
      <c r="AH303" s="19" t="n">
        <v>3</v>
      </c>
      <c r="AI303" s="19" t="n">
        <v>0</v>
      </c>
      <c r="AJ303" s="19" t="n">
        <v>0</v>
      </c>
      <c r="AK303" s="19" t="n">
        <v>0</v>
      </c>
      <c r="AL303" s="19" t="n">
        <v>0</v>
      </c>
      <c r="AM303" s="19" t="n">
        <v>0</v>
      </c>
      <c r="AN303" s="19" t="n">
        <v>0</v>
      </c>
      <c r="AO303" s="19" t="n">
        <v>0</v>
      </c>
      <c r="AP303" s="19" t="n">
        <v>0</v>
      </c>
      <c r="AQ303" s="19" t="n">
        <v>0</v>
      </c>
      <c r="AR303" s="19" t="n">
        <v>0</v>
      </c>
      <c r="AS303" s="19" t="n">
        <v>0</v>
      </c>
      <c r="AT303" s="19" t="n">
        <v>0</v>
      </c>
      <c r="AU303" s="19" t="n">
        <v>0</v>
      </c>
      <c r="AV303" s="19" t="n">
        <v>0</v>
      </c>
      <c r="AW303" s="19" t="n">
        <v>0</v>
      </c>
      <c r="AX303" s="19" t="n">
        <v>0</v>
      </c>
      <c r="AY303" s="19" t="n">
        <v>0</v>
      </c>
      <c r="AZ303" s="19" t="n">
        <v>0</v>
      </c>
      <c r="BA303" s="19" t="n">
        <v>0</v>
      </c>
      <c r="BB303" s="19" t="n">
        <v>1</v>
      </c>
      <c r="BC303" s="19" t="n">
        <v>0</v>
      </c>
      <c r="BD303" s="19" t="n">
        <v>1</v>
      </c>
      <c r="BE303" s="19" t="n">
        <v>3</v>
      </c>
      <c r="BF303" s="19" t="n">
        <v>0</v>
      </c>
      <c r="BG303" s="19" t="n">
        <v>0</v>
      </c>
      <c r="BH303" s="19" t="n">
        <v>0</v>
      </c>
      <c r="BI303" s="19" t="n">
        <v>0</v>
      </c>
      <c r="BJ303" s="19" t="n">
        <v>0</v>
      </c>
      <c r="BK303" s="19" t="n">
        <v>0</v>
      </c>
      <c r="BL303" s="19" t="n">
        <v>0</v>
      </c>
      <c r="BM303" s="19" t="n">
        <v>0</v>
      </c>
      <c r="BN303" s="19" t="n">
        <v>0</v>
      </c>
      <c r="BO303" s="19" t="n">
        <v>0</v>
      </c>
      <c r="BP303" s="19" t="n">
        <v>0</v>
      </c>
      <c r="BQ303" s="19" t="n">
        <v>0</v>
      </c>
      <c r="BR303" s="19" t="n">
        <v>2</v>
      </c>
      <c r="BS303" s="19" t="n">
        <v>2</v>
      </c>
      <c r="BT303" s="19" t="n">
        <v>3</v>
      </c>
      <c r="BU303" s="19" t="n">
        <v>4</v>
      </c>
      <c r="BV303" s="19" t="n">
        <v>1</v>
      </c>
      <c r="BW303" s="19" t="n">
        <v>1</v>
      </c>
      <c r="BX303" s="19" t="n">
        <v>3</v>
      </c>
      <c r="BY303" s="19" t="n">
        <v>3</v>
      </c>
      <c r="BZ303" s="19" t="n">
        <v>4</v>
      </c>
      <c r="CA303" s="19" t="n">
        <v>5</v>
      </c>
      <c r="CB303" s="19" t="n">
        <v>4</v>
      </c>
      <c r="CC303" s="19" t="n">
        <v>4</v>
      </c>
      <c r="CD303" s="19" t="n">
        <v>5</v>
      </c>
      <c r="CE303" s="19" t="n">
        <v>4</v>
      </c>
      <c r="CF303" s="19" t="n">
        <v>5</v>
      </c>
      <c r="CG303" s="19" t="n">
        <v>4</v>
      </c>
      <c r="CH303" s="19" t="n">
        <v>4</v>
      </c>
      <c r="CI303" s="19" t="n">
        <v>4</v>
      </c>
      <c r="CJ303" s="19" t="n">
        <v>4</v>
      </c>
      <c r="CK303" s="19" t="n">
        <v>10</v>
      </c>
      <c r="CL303" s="0" t="s">
        <v>833</v>
      </c>
      <c r="CM303" s="0" t="n">
        <v>31</v>
      </c>
      <c r="CN303" s="16" t="n">
        <v>82.6</v>
      </c>
      <c r="CO303" s="16" t="n">
        <v>83.4</v>
      </c>
      <c r="CP303" s="16" t="n">
        <v>5.7</v>
      </c>
      <c r="CQ303" s="0" t="n">
        <v>99.97</v>
      </c>
      <c r="CR303" s="0" t="n">
        <v>0</v>
      </c>
      <c r="CS303" s="0" t="n">
        <v>0</v>
      </c>
      <c r="CT303" s="0" t="n">
        <v>0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v>0</v>
      </c>
      <c r="DA303" s="0" t="n">
        <v>0</v>
      </c>
      <c r="DB303" s="0" t="n">
        <v>7.3</v>
      </c>
      <c r="DC303" s="0" t="n">
        <v>53.74</v>
      </c>
      <c r="DD303" s="0" t="n">
        <v>0</v>
      </c>
      <c r="DE303" s="0" t="n">
        <v>0</v>
      </c>
      <c r="DF303" s="0" t="n">
        <v>0</v>
      </c>
      <c r="DG303" s="0" t="n">
        <v>17.6</v>
      </c>
      <c r="DH303" s="0" t="n">
        <v>1</v>
      </c>
      <c r="DI303" s="0" t="n">
        <v>4.6</v>
      </c>
      <c r="DK303" s="0" t="n">
        <v>2</v>
      </c>
      <c r="DU303" s="0" t="n">
        <v>2.4</v>
      </c>
      <c r="DV303" s="0" t="n">
        <v>0</v>
      </c>
      <c r="EG303" s="18"/>
      <c r="EY303" s="0" t="n">
        <v>1</v>
      </c>
      <c r="EZ303" s="0" t="n">
        <v>60</v>
      </c>
      <c r="FA303" s="0" t="n">
        <f aca="false">4+6+1+3+1+3</f>
        <v>18</v>
      </c>
      <c r="FB303" s="0" t="n">
        <f aca="false">0.73+2.2+0.13+0.39+0.78+0.52</f>
        <v>4.75</v>
      </c>
      <c r="FC303" s="0" t="n">
        <v>3</v>
      </c>
      <c r="FD303" s="0" t="n">
        <v>50</v>
      </c>
      <c r="FE303" s="0" t="n">
        <f aca="false">14</f>
        <v>14</v>
      </c>
      <c r="FF303" s="0" t="n">
        <f aca="false">4.4+2.94+0.52</f>
        <v>7.86</v>
      </c>
      <c r="FG303" s="0" t="n">
        <v>3</v>
      </c>
      <c r="GJ303" s="16" t="n">
        <v>0</v>
      </c>
      <c r="GK303" s="16" t="n">
        <v>0</v>
      </c>
      <c r="GL303" s="16"/>
      <c r="GM303" s="16"/>
      <c r="GN303" s="16"/>
      <c r="GO303" s="16"/>
      <c r="GP303" s="16"/>
      <c r="GQ303" s="16"/>
      <c r="GR303" s="16"/>
      <c r="GS303" s="16"/>
      <c r="GT303" s="16"/>
      <c r="GU303" s="16" t="n">
        <v>5.21</v>
      </c>
      <c r="GV303" s="16" t="n">
        <v>2.59</v>
      </c>
      <c r="GW303" s="16"/>
      <c r="GX303" s="16"/>
      <c r="GY303" s="16" t="n">
        <v>0</v>
      </c>
      <c r="GZ303" s="16" t="n">
        <v>0</v>
      </c>
      <c r="HA303" s="16" t="n">
        <v>0</v>
      </c>
      <c r="HB303" s="0" t="n">
        <v>0</v>
      </c>
      <c r="HC303" s="0" t="s">
        <v>834</v>
      </c>
      <c r="HD303" s="0" t="n">
        <v>30.5</v>
      </c>
      <c r="HE303" s="16" t="n">
        <v>73.4</v>
      </c>
      <c r="HF303" s="16" t="n">
        <v>83.4</v>
      </c>
      <c r="HG303" s="16" t="n">
        <v>5.7</v>
      </c>
      <c r="HH303" s="0" t="n">
        <v>100</v>
      </c>
      <c r="HI303" s="0" t="n">
        <v>0</v>
      </c>
      <c r="HJ303" s="0" t="n">
        <v>0</v>
      </c>
      <c r="HK303" s="0" t="n">
        <v>0</v>
      </c>
      <c r="HL303" s="0" t="n">
        <v>0</v>
      </c>
      <c r="HM303" s="0" t="n">
        <v>0</v>
      </c>
      <c r="HN303" s="0" t="n">
        <v>0</v>
      </c>
      <c r="HO303" s="0" t="n">
        <v>0</v>
      </c>
      <c r="HP303" s="0" t="n">
        <v>0</v>
      </c>
      <c r="HQ303" s="0" t="n">
        <v>0</v>
      </c>
      <c r="HR303" s="0" t="n">
        <v>0</v>
      </c>
      <c r="HS303" s="0" t="n">
        <v>7.69</v>
      </c>
      <c r="HT303" s="0" t="n">
        <v>47.61</v>
      </c>
      <c r="HU303" s="0" t="n">
        <v>0</v>
      </c>
      <c r="HV303" s="0" t="n">
        <v>0</v>
      </c>
      <c r="HW303" s="0" t="n">
        <v>0</v>
      </c>
      <c r="HX303" s="0" t="n">
        <v>16.4</v>
      </c>
      <c r="HY303" s="0" t="n">
        <v>1</v>
      </c>
      <c r="HZ303" s="0" t="n">
        <v>4.6</v>
      </c>
      <c r="IB303" s="0" t="n">
        <v>2</v>
      </c>
      <c r="IL303" s="0" t="n">
        <v>1.4</v>
      </c>
      <c r="IM303" s="0" t="n">
        <v>0</v>
      </c>
      <c r="IX303" s="18"/>
      <c r="JP303" s="0" t="n">
        <v>1</v>
      </c>
      <c r="JQ303" s="0" t="n">
        <v>60</v>
      </c>
      <c r="JR303" s="0" t="n">
        <v>7</v>
      </c>
      <c r="JS303" s="0" t="n">
        <f aca="false">0.73+2.2+0.39</f>
        <v>3.32</v>
      </c>
      <c r="JT303" s="0" t="n">
        <v>3</v>
      </c>
      <c r="JU303" s="0" t="n">
        <v>50</v>
      </c>
      <c r="JV303" s="0" t="n">
        <v>10</v>
      </c>
      <c r="JW303" s="0" t="n">
        <f aca="false">4.4+2.94</f>
        <v>7.34</v>
      </c>
      <c r="LA303" s="16" t="n">
        <v>0</v>
      </c>
      <c r="LB303" s="16" t="n">
        <v>0</v>
      </c>
      <c r="LC303" s="16"/>
      <c r="LD303" s="16"/>
      <c r="LE303" s="16"/>
      <c r="LF303" s="16"/>
      <c r="LG303" s="16"/>
      <c r="LH303" s="16"/>
      <c r="LI303" s="16"/>
      <c r="LJ303" s="16"/>
      <c r="LK303" s="16"/>
      <c r="LL303" s="16" t="n">
        <v>6.95</v>
      </c>
      <c r="LM303" s="16" t="n">
        <v>10.27</v>
      </c>
      <c r="LN303" s="16"/>
      <c r="LO303" s="16"/>
      <c r="LP303" s="16" t="n">
        <v>0</v>
      </c>
      <c r="LQ303" s="16" t="n">
        <v>0</v>
      </c>
      <c r="LR303" s="16" t="n">
        <v>0</v>
      </c>
      <c r="LS303" s="0" t="n">
        <v>0</v>
      </c>
      <c r="LT303" s="0" t="n">
        <v>94</v>
      </c>
      <c r="LU303" s="0" t="n">
        <v>24.5</v>
      </c>
      <c r="LV303" s="16" t="n">
        <v>88.7</v>
      </c>
      <c r="LW303" s="16" t="n">
        <v>83.4</v>
      </c>
      <c r="LX303" s="16" t="n">
        <v>23.1</v>
      </c>
      <c r="LY303" s="0" t="n">
        <v>69.95</v>
      </c>
      <c r="LZ303" s="0" t="n">
        <v>0</v>
      </c>
      <c r="MA303" s="0" t="n">
        <v>7.16</v>
      </c>
      <c r="MB303" s="0" t="n">
        <v>0</v>
      </c>
      <c r="MC303" s="0" t="n">
        <v>0</v>
      </c>
      <c r="MD303" s="0" t="n">
        <v>0</v>
      </c>
      <c r="ME303" s="0" t="n">
        <v>0</v>
      </c>
      <c r="MF303" s="0" t="n">
        <v>0</v>
      </c>
      <c r="MG303" s="0" t="n">
        <v>0</v>
      </c>
      <c r="MH303" s="0" t="n">
        <v>0</v>
      </c>
      <c r="MI303" s="0" t="n">
        <v>0</v>
      </c>
      <c r="MJ303" s="0" t="n">
        <v>0</v>
      </c>
      <c r="MK303" s="0" t="n">
        <v>34.04</v>
      </c>
      <c r="ML303" s="0" t="n">
        <v>20.5</v>
      </c>
      <c r="MM303" s="0" t="n">
        <v>0</v>
      </c>
      <c r="MN303" s="0" t="n">
        <v>22.9</v>
      </c>
      <c r="MO303" s="0" t="n">
        <v>0</v>
      </c>
      <c r="MP303" s="0" t="n">
        <v>0</v>
      </c>
      <c r="NC303" s="0" t="n">
        <v>0</v>
      </c>
      <c r="ND303" s="0" t="n">
        <v>0</v>
      </c>
      <c r="NO303" s="18"/>
      <c r="OG303" s="0" t="n">
        <v>0</v>
      </c>
      <c r="PR303" s="16" t="n">
        <v>0</v>
      </c>
      <c r="PS303" s="16" t="n">
        <v>0</v>
      </c>
      <c r="PT303" s="16"/>
      <c r="PU303" s="16"/>
      <c r="PV303" s="16"/>
      <c r="PW303" s="16"/>
      <c r="PX303" s="16"/>
      <c r="PY303" s="16"/>
      <c r="PZ303" s="16"/>
      <c r="QA303" s="16"/>
      <c r="QB303" s="16"/>
      <c r="QC303" s="16" t="n">
        <v>0</v>
      </c>
      <c r="QD303" s="16" t="n">
        <v>0</v>
      </c>
      <c r="QE303" s="16"/>
      <c r="QF303" s="16"/>
      <c r="QG303" s="16" t="n">
        <v>0</v>
      </c>
      <c r="QH303" s="16" t="n">
        <v>0</v>
      </c>
      <c r="QI303" s="16" t="n">
        <v>1.44</v>
      </c>
      <c r="QJ303" s="0" t="n">
        <v>0</v>
      </c>
      <c r="QK303" s="0" t="s">
        <v>836</v>
      </c>
      <c r="QL303" s="0" t="n">
        <v>26.5</v>
      </c>
      <c r="QM303" s="16" t="n">
        <v>70.7</v>
      </c>
      <c r="QN303" s="16" t="n">
        <v>83.4</v>
      </c>
      <c r="QO303" s="16" t="n">
        <v>8.8</v>
      </c>
      <c r="QP303" s="0" t="n">
        <v>94.65</v>
      </c>
      <c r="QQ303" s="0" t="n">
        <v>0</v>
      </c>
      <c r="QR303" s="0" t="n">
        <v>0.21</v>
      </c>
      <c r="QS303" s="0" t="n">
        <v>0</v>
      </c>
      <c r="QT303" s="0" t="n">
        <v>4.31</v>
      </c>
      <c r="QU303" s="0" t="n">
        <v>0</v>
      </c>
      <c r="QV303" s="0" t="n">
        <v>0</v>
      </c>
      <c r="QW303" s="0" t="n">
        <v>0</v>
      </c>
      <c r="QX303" s="0" t="n">
        <v>0</v>
      </c>
      <c r="QY303" s="0" t="n">
        <v>0</v>
      </c>
      <c r="QZ303" s="0" t="n">
        <v>0</v>
      </c>
      <c r="RA303" s="0" t="n">
        <v>1.21</v>
      </c>
      <c r="RB303" s="0" t="n">
        <v>19.41</v>
      </c>
      <c r="RC303" s="0" t="n">
        <v>20.37</v>
      </c>
      <c r="RD303" s="0" t="n">
        <v>0.21</v>
      </c>
      <c r="RE303" s="0" t="n">
        <v>0.83</v>
      </c>
      <c r="RF303" s="0" t="n">
        <v>12.2</v>
      </c>
      <c r="RG303" s="0" t="n">
        <v>1</v>
      </c>
      <c r="RH303" s="0" t="n">
        <v>5</v>
      </c>
      <c r="RJ303" s="0" t="n">
        <v>2</v>
      </c>
      <c r="RT303" s="0" t="n">
        <v>0</v>
      </c>
      <c r="RU303" s="0" t="n">
        <v>0</v>
      </c>
      <c r="SF303" s="18"/>
      <c r="SX303" s="0" t="n">
        <v>1</v>
      </c>
      <c r="SY303" s="0" t="n">
        <v>40</v>
      </c>
      <c r="SZ303" s="0" t="n">
        <v>1</v>
      </c>
      <c r="TA303" s="0" t="n">
        <v>0.21</v>
      </c>
      <c r="TB303" s="0" t="n">
        <v>3</v>
      </c>
      <c r="TC303" s="0" t="n">
        <v>80</v>
      </c>
      <c r="TD303" s="0" t="n">
        <v>4</v>
      </c>
      <c r="TE303" s="0" t="n">
        <v>0.5</v>
      </c>
      <c r="TF303" s="0" t="n">
        <v>2</v>
      </c>
      <c r="TG303" s="0" t="n">
        <v>60</v>
      </c>
      <c r="TH303" s="0" t="n">
        <f aca="false">18+9</f>
        <v>27</v>
      </c>
      <c r="TI303" s="0" t="n">
        <f aca="false">2.27+1.14</f>
        <v>3.41</v>
      </c>
      <c r="TJ303" s="0" t="n">
        <v>2</v>
      </c>
      <c r="UI303" s="16" t="n">
        <v>3.54</v>
      </c>
      <c r="UJ303" s="16" t="n">
        <v>1</v>
      </c>
      <c r="UK303" s="16" t="n">
        <v>1</v>
      </c>
      <c r="UL303" s="16"/>
      <c r="UM303" s="16" t="n">
        <f aca="false">4+0.73*2+1.65</f>
        <v>7.11</v>
      </c>
      <c r="UN303" s="16"/>
      <c r="UO303" s="16"/>
      <c r="UP303" s="16"/>
      <c r="UQ303" s="16"/>
      <c r="UR303" s="16"/>
      <c r="US303" s="16"/>
      <c r="UT303" s="16" t="n">
        <v>1.47</v>
      </c>
      <c r="UU303" s="16" t="n">
        <v>1.47</v>
      </c>
      <c r="UV303" s="16"/>
      <c r="UW303" s="16"/>
      <c r="UX303" s="16" t="n">
        <v>0</v>
      </c>
      <c r="UY303" s="16" t="n">
        <v>0</v>
      </c>
      <c r="UZ303" s="16" t="n">
        <v>0.22</v>
      </c>
      <c r="VA303" s="0" t="n">
        <v>0</v>
      </c>
      <c r="VB303" s="0" t="s">
        <v>841</v>
      </c>
      <c r="VC303" s="0" t="n">
        <v>18.5</v>
      </c>
      <c r="VD303" s="16" t="n">
        <v>91.6</v>
      </c>
      <c r="VE303" s="16" t="n">
        <v>83.4</v>
      </c>
      <c r="VF303" s="16" t="n">
        <v>7.5</v>
      </c>
      <c r="VG303" s="0" t="n">
        <v>96.33</v>
      </c>
      <c r="VH303" s="0" t="n">
        <v>0</v>
      </c>
      <c r="VI303" s="0" t="n">
        <v>0</v>
      </c>
      <c r="VJ303" s="0" t="n">
        <v>0</v>
      </c>
      <c r="VK303" s="0" t="n">
        <v>3.67</v>
      </c>
      <c r="VL303" s="0" t="n">
        <v>0</v>
      </c>
      <c r="VM303" s="0" t="n">
        <v>0</v>
      </c>
      <c r="VN303" s="0" t="n">
        <v>0</v>
      </c>
      <c r="VO303" s="0" t="n">
        <v>0</v>
      </c>
      <c r="VP303" s="0" t="n">
        <v>0</v>
      </c>
      <c r="VQ303" s="0" t="n">
        <v>0</v>
      </c>
      <c r="VR303" s="0" t="n">
        <v>3.67</v>
      </c>
      <c r="VS303" s="0" t="n">
        <v>45.98</v>
      </c>
      <c r="VT303" s="0" t="n">
        <v>17.9</v>
      </c>
      <c r="VU303" s="0" t="n">
        <v>0</v>
      </c>
      <c r="VV303" s="0" t="n">
        <v>0</v>
      </c>
      <c r="VW303" s="0" t="n">
        <v>0</v>
      </c>
      <c r="VX303" s="0" t="n">
        <v>0</v>
      </c>
      <c r="WK303" s="0" t="n">
        <v>0</v>
      </c>
      <c r="WL303" s="0" t="n">
        <v>0</v>
      </c>
      <c r="WW303" s="18"/>
      <c r="XO303" s="0" t="n">
        <v>0</v>
      </c>
      <c r="XS303" s="0" t="n">
        <v>1</v>
      </c>
      <c r="XT303" s="0" t="n">
        <v>50</v>
      </c>
      <c r="XU303" s="0" t="n">
        <v>1</v>
      </c>
      <c r="XV303" s="0" t="n">
        <v>0.04</v>
      </c>
      <c r="XW303" s="0" t="n">
        <v>3</v>
      </c>
      <c r="YZ303" s="16" t="n">
        <v>1.44</v>
      </c>
      <c r="ZA303" s="16" t="n">
        <v>1</v>
      </c>
      <c r="ZB303" s="16" t="n">
        <v>1</v>
      </c>
      <c r="ZC303" s="16"/>
      <c r="ZD303" s="16" t="n">
        <f aca="false">1.65+0.18*2+9.17</f>
        <v>11.18</v>
      </c>
      <c r="ZE303" s="16"/>
      <c r="ZF303" s="16"/>
      <c r="ZG303" s="16"/>
      <c r="ZH303" s="16"/>
      <c r="ZI303" s="16"/>
      <c r="ZJ303" s="16"/>
      <c r="ZK303" s="16" t="n">
        <v>5.88</v>
      </c>
      <c r="ZL303" s="16" t="n">
        <v>13.5</v>
      </c>
      <c r="ZM303" s="16"/>
      <c r="ZN303" s="16"/>
      <c r="ZO303" s="16" t="n">
        <v>3.6</v>
      </c>
      <c r="ZP303" s="16" t="n">
        <v>1.1</v>
      </c>
      <c r="ZQ303" s="16" t="n">
        <v>0</v>
      </c>
      <c r="ZR303" s="0" t="n">
        <v>0</v>
      </c>
      <c r="ZS303" s="0" t="s">
        <v>837</v>
      </c>
      <c r="ZT303" s="0" t="n">
        <v>30.5</v>
      </c>
      <c r="ZU303" s="16" t="n">
        <v>92</v>
      </c>
      <c r="ZV303" s="16" t="n">
        <v>83.4</v>
      </c>
      <c r="ZW303" s="16" t="n">
        <v>5.9</v>
      </c>
      <c r="ZX303" s="0" t="n">
        <v>98.99</v>
      </c>
      <c r="ZY303" s="0" t="n">
        <v>1.01</v>
      </c>
      <c r="ZZ303" s="0" t="n">
        <v>0</v>
      </c>
      <c r="AAA303" s="0" t="n">
        <v>0</v>
      </c>
      <c r="AAB303" s="0" t="n">
        <v>0</v>
      </c>
      <c r="AAC303" s="0" t="n">
        <v>0</v>
      </c>
      <c r="AAD303" s="0" t="n">
        <v>0</v>
      </c>
      <c r="AAE303" s="0" t="n">
        <v>0</v>
      </c>
      <c r="AAF303" s="0" t="n">
        <v>0</v>
      </c>
      <c r="AAG303" s="0" t="n">
        <v>0</v>
      </c>
      <c r="AAH303" s="0" t="n">
        <v>0</v>
      </c>
      <c r="AAI303" s="0" t="n">
        <v>2.66</v>
      </c>
      <c r="AAJ303" s="0" t="n">
        <v>46.99</v>
      </c>
      <c r="AAK303" s="0" t="n">
        <v>16.89</v>
      </c>
      <c r="AAL303" s="0" t="n">
        <v>0</v>
      </c>
      <c r="AAM303" s="0" t="n">
        <v>0</v>
      </c>
      <c r="AAN303" s="0" t="n">
        <v>0</v>
      </c>
      <c r="AAO303" s="0" t="n">
        <v>0</v>
      </c>
      <c r="ABB303" s="0" t="n">
        <v>0</v>
      </c>
      <c r="ABC303" s="0" t="n">
        <v>0</v>
      </c>
      <c r="ABN303" s="18"/>
      <c r="ACF303" s="0" t="n">
        <v>0</v>
      </c>
      <c r="ADQ303" s="16" t="n">
        <v>8</v>
      </c>
      <c r="ADR303" s="16" t="n">
        <v>1</v>
      </c>
      <c r="ADS303" s="16" t="n">
        <v>1</v>
      </c>
      <c r="ADT303" s="16"/>
      <c r="ADU303" s="16" t="n">
        <f aca="false">1.65+0.18*2+9.17</f>
        <v>11.18</v>
      </c>
      <c r="ADV303" s="16"/>
      <c r="ADW303" s="16"/>
      <c r="ADX303" s="16"/>
      <c r="ADY303" s="16"/>
      <c r="ADZ303" s="16"/>
      <c r="AEA303" s="16"/>
      <c r="AEB303" s="16" t="n">
        <v>6.16</v>
      </c>
      <c r="AEC303" s="16" t="n">
        <v>16.16</v>
      </c>
      <c r="AED303" s="16"/>
      <c r="AEE303" s="16"/>
      <c r="AEF303" s="16" t="n">
        <v>10</v>
      </c>
      <c r="AEG303" s="16" t="n">
        <v>1.1</v>
      </c>
      <c r="AEH303" s="16" t="n">
        <v>0</v>
      </c>
      <c r="AEI303" s="0" t="n">
        <v>1</v>
      </c>
      <c r="AEJ303" s="34"/>
      <c r="AEK303" s="15"/>
      <c r="AEL303" s="15"/>
      <c r="AEN303" s="34"/>
      <c r="AEO303" s="34"/>
      <c r="AER303" s="34"/>
      <c r="AES303" s="15"/>
      <c r="AET303" s="15"/>
      <c r="AEV303" s="34"/>
      <c r="AEW303" s="34"/>
      <c r="AEZ303" s="34"/>
      <c r="AFA303" s="15"/>
      <c r="AFB303" s="15"/>
      <c r="AFD303" s="34"/>
      <c r="AFE303" s="34"/>
      <c r="AFH303" s="34"/>
      <c r="AFI303" s="15"/>
      <c r="AFJ303" s="15"/>
      <c r="AFL303" s="34"/>
      <c r="AFM303" s="34"/>
      <c r="AFP303" s="34"/>
      <c r="AFQ303" s="15"/>
      <c r="AFR303" s="15"/>
      <c r="AFT303" s="34"/>
      <c r="AFU303" s="34"/>
      <c r="AFX303" s="34"/>
      <c r="AFY303" s="15"/>
      <c r="AFZ303" s="15"/>
      <c r="AGB303" s="34"/>
      <c r="AGC303" s="34"/>
      <c r="AGF303" s="34"/>
      <c r="AGG303" s="15"/>
      <c r="AGH303" s="15"/>
      <c r="AGJ303" s="34"/>
      <c r="AGK303" s="34"/>
      <c r="AGN303" s="34"/>
      <c r="AGO303" s="15"/>
      <c r="AGP303" s="15"/>
      <c r="AGR303" s="34"/>
      <c r="AGS303" s="34"/>
      <c r="AGV303" s="34"/>
      <c r="AGW303" s="15"/>
      <c r="AGX303" s="15"/>
      <c r="AGZ303" s="34"/>
      <c r="AHA303" s="34"/>
      <c r="AHD303" s="34"/>
      <c r="AHE303" s="15"/>
      <c r="AHF303" s="15"/>
      <c r="AHH303" s="34"/>
      <c r="AHI303" s="34"/>
      <c r="AHL303" s="34"/>
      <c r="AHM303" s="15"/>
      <c r="AHN303" s="15"/>
      <c r="AHP303" s="34"/>
      <c r="AHQ303" s="34"/>
      <c r="AHT303" s="34"/>
      <c r="AHU303" s="15"/>
      <c r="AHV303" s="15"/>
      <c r="AHX303" s="34"/>
      <c r="AHY303" s="34"/>
      <c r="AIB303" s="34"/>
      <c r="AIC303" s="15"/>
      <c r="AID303" s="15"/>
      <c r="AIF303" s="34"/>
      <c r="AIG303" s="34"/>
      <c r="AIJ303" s="34"/>
      <c r="AIK303" s="15"/>
      <c r="AIL303" s="15"/>
      <c r="AIN303" s="34"/>
      <c r="AIO303" s="34"/>
      <c r="AIR303" s="34"/>
      <c r="AIS303" s="15"/>
      <c r="AIT303" s="15"/>
      <c r="AIV303" s="34"/>
      <c r="AIW303" s="34"/>
      <c r="AIZ303" s="34"/>
      <c r="AJA303" s="15"/>
      <c r="AJB303" s="15"/>
      <c r="AJD303" s="34"/>
      <c r="AJE303" s="34"/>
      <c r="AJH303" s="34"/>
      <c r="AJI303" s="15"/>
      <c r="AJJ303" s="15"/>
      <c r="AJL303" s="34"/>
      <c r="AJM303" s="34"/>
      <c r="AJP303" s="34"/>
      <c r="AJQ303" s="15"/>
      <c r="AJR303" s="15"/>
      <c r="AJT303" s="34"/>
      <c r="AJU303" s="34"/>
      <c r="AJX303" s="34"/>
      <c r="AJY303" s="15"/>
      <c r="AJZ303" s="15"/>
      <c r="AKB303" s="34"/>
      <c r="AKC303" s="34"/>
      <c r="AKF303" s="34"/>
      <c r="AKG303" s="15"/>
      <c r="AKH303" s="15"/>
      <c r="AKJ303" s="34"/>
      <c r="AKK303" s="34"/>
      <c r="AKN303" s="34"/>
      <c r="AKO303" s="15"/>
      <c r="AKP303" s="15"/>
      <c r="AKR303" s="34"/>
      <c r="AKS303" s="34"/>
      <c r="AKV303" s="34"/>
      <c r="AKW303" s="15"/>
      <c r="AKX303" s="15"/>
      <c r="AKZ303" s="34"/>
      <c r="ALA303" s="34"/>
      <c r="ALD303" s="34"/>
      <c r="ALE303" s="15"/>
      <c r="ALF303" s="15"/>
      <c r="ALH303" s="34"/>
      <c r="ALI303" s="34"/>
      <c r="ALL303" s="34"/>
      <c r="ALM303" s="15"/>
      <c r="ALN303" s="15"/>
      <c r="ALP303" s="34"/>
      <c r="ALQ303" s="34"/>
      <c r="ALT303" s="34"/>
      <c r="ALU303" s="15"/>
      <c r="ALV303" s="15"/>
      <c r="ALX303" s="34"/>
      <c r="ALY303" s="34"/>
      <c r="AMB303" s="34"/>
      <c r="AMC303" s="15"/>
      <c r="AMD303" s="15"/>
      <c r="AMF303" s="34"/>
      <c r="AMG303" s="34"/>
      <c r="AMJ303" s="34"/>
    </row>
    <row r="304" customFormat="false" ht="13.8" hidden="false" customHeight="false" outlineLevel="0" collapsed="false">
      <c r="A304" s="1" t="s">
        <v>877</v>
      </c>
      <c r="B304" s="12" t="n">
        <v>42908</v>
      </c>
      <c r="C304" s="0" t="n">
        <v>2</v>
      </c>
      <c r="D304" s="13" t="n">
        <v>42793</v>
      </c>
      <c r="E304" s="12" t="n">
        <v>33560</v>
      </c>
      <c r="F304" s="14" t="n">
        <f aca="false">(B304-E304)/365.25</f>
        <v>25.5934291581109</v>
      </c>
      <c r="G304" s="14" t="n">
        <f aca="false">(B304-D304)/365.25</f>
        <v>0.314852840520192</v>
      </c>
      <c r="H304" s="19" t="s">
        <v>306</v>
      </c>
      <c r="I304" s="15" t="s">
        <v>832</v>
      </c>
      <c r="J304" s="15" t="s">
        <v>183</v>
      </c>
      <c r="K304" s="15" t="n">
        <v>8</v>
      </c>
      <c r="L304" s="19" t="n">
        <v>66</v>
      </c>
      <c r="M304" s="0" t="n">
        <v>1.7</v>
      </c>
      <c r="N304" s="16" t="n">
        <f aca="false">L304/(M304*M304)</f>
        <v>22.8373702422145</v>
      </c>
      <c r="O304" s="19" t="n">
        <v>0</v>
      </c>
      <c r="P304" s="19" t="n">
        <v>0</v>
      </c>
      <c r="Q304" s="19" t="n">
        <v>0</v>
      </c>
      <c r="R304" s="26" t="n">
        <v>0</v>
      </c>
      <c r="S304" s="26" t="n">
        <v>0</v>
      </c>
      <c r="T304" s="26" t="n">
        <v>0</v>
      </c>
      <c r="U304" s="19" t="n">
        <v>1</v>
      </c>
      <c r="V304" s="19" t="n">
        <v>4</v>
      </c>
      <c r="W304" s="19" t="n">
        <v>0</v>
      </c>
      <c r="X304" s="19" t="n">
        <v>0</v>
      </c>
      <c r="Y304" s="19" t="n">
        <v>0</v>
      </c>
      <c r="Z304" s="19" t="n">
        <v>0</v>
      </c>
      <c r="AA304" s="19" t="n">
        <v>0</v>
      </c>
      <c r="AB304" s="19" t="n">
        <v>0</v>
      </c>
      <c r="AC304" s="19" t="n">
        <v>1</v>
      </c>
      <c r="AD304" s="19" t="n">
        <v>10</v>
      </c>
      <c r="AE304" s="19" t="n">
        <v>0</v>
      </c>
      <c r="AF304" s="19" t="n">
        <v>0</v>
      </c>
      <c r="AG304" s="19" t="n">
        <v>0</v>
      </c>
      <c r="AH304" s="19" t="n">
        <v>0</v>
      </c>
      <c r="AI304" s="19" t="n">
        <v>0</v>
      </c>
      <c r="AJ304" s="19" t="n">
        <v>0</v>
      </c>
      <c r="AK304" s="19" t="n">
        <v>0</v>
      </c>
      <c r="AL304" s="19" t="n">
        <v>0</v>
      </c>
      <c r="AM304" s="19" t="n">
        <v>0</v>
      </c>
      <c r="AN304" s="19" t="n">
        <v>0</v>
      </c>
      <c r="AO304" s="19" t="n">
        <v>0</v>
      </c>
      <c r="AP304" s="19" t="n">
        <v>0</v>
      </c>
      <c r="AQ304" s="19" t="n">
        <v>0</v>
      </c>
      <c r="AR304" s="19" t="n">
        <v>0</v>
      </c>
      <c r="AS304" s="19" t="n">
        <v>0</v>
      </c>
      <c r="AT304" s="19" t="n">
        <v>0</v>
      </c>
      <c r="AU304" s="19" t="n">
        <v>0</v>
      </c>
      <c r="AV304" s="19" t="n">
        <v>0</v>
      </c>
      <c r="AW304" s="19" t="n">
        <v>0</v>
      </c>
      <c r="AX304" s="19" t="n">
        <v>0</v>
      </c>
      <c r="AY304" s="19" t="n">
        <v>0</v>
      </c>
      <c r="AZ304" s="19" t="n">
        <v>0</v>
      </c>
      <c r="BA304" s="19" t="n">
        <v>0</v>
      </c>
      <c r="BB304" s="19" t="n">
        <v>0</v>
      </c>
      <c r="BC304" s="19" t="n">
        <v>0</v>
      </c>
      <c r="BD304" s="19" t="n">
        <v>0</v>
      </c>
      <c r="BE304" s="19" t="n">
        <v>0</v>
      </c>
      <c r="BF304" s="19" t="n">
        <v>0</v>
      </c>
      <c r="BG304" s="19" t="n">
        <v>0</v>
      </c>
      <c r="BH304" s="19" t="n">
        <v>0</v>
      </c>
      <c r="BI304" s="19" t="n">
        <v>0</v>
      </c>
      <c r="BJ304" s="19" t="n">
        <v>0</v>
      </c>
      <c r="BK304" s="19" t="n">
        <v>0</v>
      </c>
      <c r="BL304" s="19" t="n">
        <v>0</v>
      </c>
      <c r="BM304" s="19" t="n">
        <v>0</v>
      </c>
      <c r="BN304" s="19" t="n">
        <v>0</v>
      </c>
      <c r="BO304" s="19" t="n">
        <v>0</v>
      </c>
      <c r="BP304" s="19" t="n">
        <v>0</v>
      </c>
      <c r="BQ304" s="19" t="n">
        <v>0</v>
      </c>
      <c r="BR304" s="19" t="n">
        <v>2</v>
      </c>
      <c r="BS304" s="19" t="n">
        <v>2</v>
      </c>
      <c r="BT304" s="19" t="n">
        <v>3</v>
      </c>
      <c r="BU304" s="19" t="n">
        <v>4</v>
      </c>
      <c r="BV304" s="19" t="n">
        <v>3</v>
      </c>
      <c r="BW304" s="19" t="n">
        <v>2</v>
      </c>
      <c r="BX304" s="19" t="n">
        <v>2</v>
      </c>
      <c r="BY304" s="19" t="n">
        <v>4</v>
      </c>
      <c r="BZ304" s="19" t="n">
        <v>4</v>
      </c>
      <c r="CA304" s="19" t="n">
        <v>3</v>
      </c>
      <c r="CB304" s="19" t="n">
        <v>4</v>
      </c>
      <c r="CC304" s="19" t="n">
        <v>5</v>
      </c>
      <c r="CD304" s="19" t="n">
        <v>4</v>
      </c>
      <c r="CE304" s="19" t="n">
        <v>4</v>
      </c>
      <c r="CF304" s="19" t="n">
        <v>4</v>
      </c>
      <c r="CG304" s="19" t="n">
        <v>4</v>
      </c>
      <c r="CH304" s="19" t="n">
        <v>4</v>
      </c>
      <c r="CI304" s="19" t="n">
        <v>4</v>
      </c>
      <c r="CJ304" s="19" t="n">
        <v>4</v>
      </c>
      <c r="CK304" s="19" t="n">
        <v>8</v>
      </c>
      <c r="CL304" s="0" t="n">
        <v>92</v>
      </c>
      <c r="CM304" s="0" t="n">
        <v>38.5</v>
      </c>
      <c r="CN304" s="16" t="n">
        <v>77.5</v>
      </c>
      <c r="CO304" s="16" t="n">
        <v>83.4</v>
      </c>
      <c r="CP304" s="16" t="n">
        <v>19.1</v>
      </c>
      <c r="CQ304" s="0" t="n">
        <v>78.18</v>
      </c>
      <c r="CR304" s="0" t="n">
        <v>0</v>
      </c>
      <c r="CS304" s="0" t="n">
        <v>2.48</v>
      </c>
      <c r="CT304" s="0" t="n">
        <v>0</v>
      </c>
      <c r="CU304" s="0" t="n">
        <v>19.34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0</v>
      </c>
      <c r="DA304" s="0" t="n">
        <v>0</v>
      </c>
      <c r="DB304" s="0" t="n">
        <v>0</v>
      </c>
      <c r="DC304" s="0" t="n">
        <v>4.11</v>
      </c>
      <c r="DD304" s="0" t="n">
        <v>21.82</v>
      </c>
      <c r="DE304" s="0" t="n">
        <v>10.65</v>
      </c>
      <c r="DF304" s="0" t="n">
        <v>0</v>
      </c>
      <c r="DG304" s="0" t="n">
        <v>16.9</v>
      </c>
      <c r="DH304" s="0" t="n">
        <v>1</v>
      </c>
      <c r="DI304" s="0" t="n">
        <v>6</v>
      </c>
      <c r="DK304" s="0" t="n">
        <v>1</v>
      </c>
      <c r="DU304" s="0" t="n">
        <v>0</v>
      </c>
      <c r="DV304" s="0" t="n">
        <v>0</v>
      </c>
      <c r="EG304" s="18"/>
      <c r="EY304" s="0" t="n">
        <v>0</v>
      </c>
      <c r="GJ304" s="16" t="n">
        <v>0</v>
      </c>
      <c r="GK304" s="16" t="n">
        <v>0</v>
      </c>
      <c r="GL304" s="16"/>
      <c r="GM304" s="16"/>
      <c r="GN304" s="16"/>
      <c r="GO304" s="16"/>
      <c r="GP304" s="16"/>
      <c r="GQ304" s="16"/>
      <c r="GR304" s="16"/>
      <c r="GS304" s="16"/>
      <c r="GT304" s="16"/>
      <c r="GU304" s="16" t="n">
        <v>2.48</v>
      </c>
      <c r="GV304" s="16" t="n">
        <v>2.48</v>
      </c>
      <c r="GW304" s="16"/>
      <c r="GX304" s="16"/>
      <c r="GY304" s="16" t="n">
        <v>0</v>
      </c>
      <c r="GZ304" s="16" t="n">
        <v>0</v>
      </c>
      <c r="HA304" s="16" t="n">
        <v>0</v>
      </c>
      <c r="HB304" s="0" t="n">
        <v>0</v>
      </c>
      <c r="HC304" s="0" t="s">
        <v>833</v>
      </c>
      <c r="HD304" s="0" t="n">
        <v>31</v>
      </c>
      <c r="HE304" s="16" t="n">
        <v>82.6</v>
      </c>
      <c r="HF304" s="16" t="n">
        <v>83.4</v>
      </c>
      <c r="HG304" s="16" t="n">
        <v>5.7</v>
      </c>
      <c r="HH304" s="0" t="n">
        <v>99.97</v>
      </c>
      <c r="HI304" s="0" t="n">
        <v>0</v>
      </c>
      <c r="HJ304" s="0" t="n">
        <v>0</v>
      </c>
      <c r="HK304" s="0" t="n">
        <v>0</v>
      </c>
      <c r="HL304" s="0" t="n">
        <v>0</v>
      </c>
      <c r="HM304" s="0" t="n">
        <v>0</v>
      </c>
      <c r="HN304" s="0" t="n">
        <v>0</v>
      </c>
      <c r="HO304" s="0" t="n">
        <v>0</v>
      </c>
      <c r="HP304" s="0" t="n">
        <v>0</v>
      </c>
      <c r="HQ304" s="0" t="n">
        <v>0</v>
      </c>
      <c r="HR304" s="0" t="n">
        <v>0</v>
      </c>
      <c r="HS304" s="0" t="n">
        <v>7.3</v>
      </c>
      <c r="HT304" s="0" t="n">
        <v>53.74</v>
      </c>
      <c r="HU304" s="0" t="n">
        <v>0</v>
      </c>
      <c r="HV304" s="0" t="n">
        <v>0</v>
      </c>
      <c r="HW304" s="0" t="n">
        <v>0</v>
      </c>
      <c r="HX304" s="0" t="n">
        <v>17.6</v>
      </c>
      <c r="HY304" s="0" t="n">
        <v>1</v>
      </c>
      <c r="HZ304" s="0" t="n">
        <v>4.6</v>
      </c>
      <c r="IB304" s="0" t="n">
        <v>2</v>
      </c>
      <c r="IL304" s="0" t="n">
        <v>2.4</v>
      </c>
      <c r="IM304" s="0" t="n">
        <v>0</v>
      </c>
      <c r="IX304" s="18"/>
      <c r="JP304" s="0" t="n">
        <v>1</v>
      </c>
      <c r="JQ304" s="0" t="n">
        <v>60</v>
      </c>
      <c r="JR304" s="0" t="n">
        <f aca="false">4+6+1+3+1+3</f>
        <v>18</v>
      </c>
      <c r="JS304" s="0" t="n">
        <f aca="false">0.73+2.2+0.13+0.39+0.78+0.52</f>
        <v>4.75</v>
      </c>
      <c r="JT304" s="0" t="n">
        <v>3</v>
      </c>
      <c r="JU304" s="0" t="n">
        <v>50</v>
      </c>
      <c r="JV304" s="0" t="n">
        <f aca="false">14</f>
        <v>14</v>
      </c>
      <c r="JW304" s="0" t="n">
        <f aca="false">4.4+2.94+0.52</f>
        <v>7.86</v>
      </c>
      <c r="JX304" s="0" t="n">
        <v>3</v>
      </c>
      <c r="LA304" s="16" t="n">
        <v>0</v>
      </c>
      <c r="LB304" s="16" t="n">
        <v>0</v>
      </c>
      <c r="LC304" s="16"/>
      <c r="LD304" s="16"/>
      <c r="LE304" s="16"/>
      <c r="LF304" s="16"/>
      <c r="LG304" s="16"/>
      <c r="LH304" s="16"/>
      <c r="LI304" s="16"/>
      <c r="LJ304" s="16"/>
      <c r="LK304" s="16"/>
      <c r="LL304" s="16" t="n">
        <v>5.21</v>
      </c>
      <c r="LM304" s="16" t="n">
        <v>2.59</v>
      </c>
      <c r="LN304" s="16"/>
      <c r="LO304" s="16"/>
      <c r="LP304" s="16" t="n">
        <v>0</v>
      </c>
      <c r="LQ304" s="16" t="n">
        <v>0</v>
      </c>
      <c r="LR304" s="16" t="n">
        <v>0</v>
      </c>
      <c r="LS304" s="0" t="n">
        <v>0</v>
      </c>
      <c r="LT304" s="0" t="s">
        <v>834</v>
      </c>
      <c r="LU304" s="0" t="n">
        <v>30.5</v>
      </c>
      <c r="LV304" s="16" t="n">
        <v>73.4</v>
      </c>
      <c r="LW304" s="16" t="n">
        <v>83.4</v>
      </c>
      <c r="LX304" s="16" t="n">
        <v>5.7</v>
      </c>
      <c r="LY304" s="0" t="n">
        <v>100</v>
      </c>
      <c r="LZ304" s="0" t="n">
        <v>0</v>
      </c>
      <c r="MA304" s="0" t="n">
        <v>0</v>
      </c>
      <c r="MB304" s="0" t="n">
        <v>0</v>
      </c>
      <c r="MC304" s="0" t="n">
        <v>0</v>
      </c>
      <c r="MD304" s="0" t="n">
        <v>0</v>
      </c>
      <c r="ME304" s="0" t="n">
        <v>0</v>
      </c>
      <c r="MF304" s="0" t="n">
        <v>0</v>
      </c>
      <c r="MG304" s="0" t="n">
        <v>0</v>
      </c>
      <c r="MH304" s="0" t="n">
        <v>0</v>
      </c>
      <c r="MI304" s="0" t="n">
        <v>0</v>
      </c>
      <c r="MJ304" s="0" t="n">
        <v>7.69</v>
      </c>
      <c r="MK304" s="0" t="n">
        <v>47.61</v>
      </c>
      <c r="ML304" s="0" t="n">
        <v>0</v>
      </c>
      <c r="MM304" s="0" t="n">
        <v>0</v>
      </c>
      <c r="MN304" s="0" t="n">
        <v>0</v>
      </c>
      <c r="MO304" s="0" t="n">
        <v>16.4</v>
      </c>
      <c r="MP304" s="0" t="n">
        <v>1</v>
      </c>
      <c r="MQ304" s="0" t="n">
        <v>4.6</v>
      </c>
      <c r="MS304" s="0" t="n">
        <v>2</v>
      </c>
      <c r="NC304" s="0" t="n">
        <v>1.4</v>
      </c>
      <c r="ND304" s="0" t="n">
        <v>0</v>
      </c>
      <c r="NO304" s="18"/>
      <c r="OG304" s="0" t="n">
        <v>1</v>
      </c>
      <c r="OH304" s="0" t="n">
        <v>60</v>
      </c>
      <c r="OI304" s="0" t="n">
        <v>7</v>
      </c>
      <c r="OJ304" s="0" t="n">
        <f aca="false">0.73+2.2+0.39</f>
        <v>3.32</v>
      </c>
      <c r="OK304" s="0" t="n">
        <v>3</v>
      </c>
      <c r="OL304" s="0" t="n">
        <v>50</v>
      </c>
      <c r="OM304" s="0" t="n">
        <v>10</v>
      </c>
      <c r="ON304" s="0" t="n">
        <f aca="false">4.4+2.94</f>
        <v>7.34</v>
      </c>
      <c r="PR304" s="16" t="n">
        <v>0</v>
      </c>
      <c r="PS304" s="16" t="n">
        <v>0</v>
      </c>
      <c r="PT304" s="16"/>
      <c r="PU304" s="16"/>
      <c r="PV304" s="16"/>
      <c r="PW304" s="16"/>
      <c r="PX304" s="16"/>
      <c r="PY304" s="16"/>
      <c r="PZ304" s="16"/>
      <c r="QA304" s="16"/>
      <c r="QB304" s="16"/>
      <c r="QC304" s="16" t="n">
        <v>6.95</v>
      </c>
      <c r="QD304" s="16" t="n">
        <v>10.27</v>
      </c>
      <c r="QE304" s="16"/>
      <c r="QF304" s="16"/>
      <c r="QG304" s="16" t="n">
        <v>0</v>
      </c>
      <c r="QH304" s="16" t="n">
        <v>0</v>
      </c>
      <c r="QI304" s="16" t="n">
        <v>0</v>
      </c>
      <c r="QJ304" s="0" t="n">
        <v>0</v>
      </c>
      <c r="QK304" s="0" t="s">
        <v>835</v>
      </c>
      <c r="QL304" s="0" t="n">
        <v>19</v>
      </c>
      <c r="QM304" s="16" t="n">
        <v>73.2</v>
      </c>
      <c r="QN304" s="16" t="n">
        <v>83.4</v>
      </c>
      <c r="QO304" s="16" t="n">
        <v>11.1</v>
      </c>
      <c r="QP304" s="0" t="n">
        <v>92.58</v>
      </c>
      <c r="QQ304" s="0" t="n">
        <v>0</v>
      </c>
      <c r="QR304" s="0" t="n">
        <v>1.25</v>
      </c>
      <c r="QS304" s="0" t="n">
        <v>0</v>
      </c>
      <c r="QT304" s="0" t="n">
        <v>5.34</v>
      </c>
      <c r="QU304" s="0" t="n">
        <v>0</v>
      </c>
      <c r="QV304" s="0" t="n">
        <v>0</v>
      </c>
      <c r="QW304" s="0" t="n">
        <v>0</v>
      </c>
      <c r="QX304" s="0" t="n">
        <v>0</v>
      </c>
      <c r="QY304" s="0" t="n">
        <v>0</v>
      </c>
      <c r="QZ304" s="0" t="n">
        <v>0</v>
      </c>
      <c r="RA304" s="0" t="n">
        <v>4.77</v>
      </c>
      <c r="RB304" s="0" t="n">
        <v>22.03</v>
      </c>
      <c r="RC304" s="0" t="n">
        <v>27.08</v>
      </c>
      <c r="RD304" s="0" t="n">
        <v>1.58</v>
      </c>
      <c r="RE304" s="0" t="n">
        <v>0.83</v>
      </c>
      <c r="RF304" s="0" t="n">
        <v>0</v>
      </c>
      <c r="RG304" s="0" t="n">
        <v>0</v>
      </c>
      <c r="RT304" s="0" t="n">
        <v>0.5</v>
      </c>
      <c r="RU304" s="0" t="n">
        <v>1</v>
      </c>
      <c r="RV304" s="0" t="n">
        <v>35</v>
      </c>
      <c r="RW304" s="0" t="n">
        <v>4</v>
      </c>
      <c r="RX304" s="0" t="n">
        <v>0.1</v>
      </c>
      <c r="RY304" s="0" t="n">
        <v>3</v>
      </c>
      <c r="SF304" s="18"/>
      <c r="SX304" s="0" t="n">
        <v>1</v>
      </c>
      <c r="SY304" s="0" t="n">
        <v>40</v>
      </c>
      <c r="SZ304" s="0" t="n">
        <v>1</v>
      </c>
      <c r="TA304" s="0" t="n">
        <v>1.25</v>
      </c>
      <c r="TB304" s="0" t="n">
        <v>3</v>
      </c>
      <c r="TC304" s="0" t="n">
        <v>50</v>
      </c>
      <c r="TD304" s="0" t="n">
        <v>1</v>
      </c>
      <c r="TE304" s="0" t="n">
        <v>0.05</v>
      </c>
      <c r="TF304" s="0" t="n">
        <v>3</v>
      </c>
      <c r="TG304" s="0" t="n">
        <v>60</v>
      </c>
      <c r="TH304" s="0" t="n">
        <f aca="false">18+9</f>
        <v>27</v>
      </c>
      <c r="TI304" s="0" t="n">
        <f aca="false">2.27+1.14</f>
        <v>3.41</v>
      </c>
      <c r="TJ304" s="0" t="n">
        <v>3</v>
      </c>
      <c r="UI304" s="16" t="n">
        <v>3.7</v>
      </c>
      <c r="UJ304" s="16" t="n">
        <v>1</v>
      </c>
      <c r="UK304" s="16" t="n">
        <v>1</v>
      </c>
      <c r="UL304" s="16"/>
      <c r="UM304" s="16" t="n">
        <f aca="false">4+0.13+0.01+0.73+1.65+0.02</f>
        <v>6.54</v>
      </c>
      <c r="UN304" s="16" t="n">
        <v>2</v>
      </c>
      <c r="UO304" s="16"/>
      <c r="UP304" s="16" t="n">
        <f aca="false">0.18*2</f>
        <v>0.36</v>
      </c>
      <c r="UQ304" s="16"/>
      <c r="UR304" s="16"/>
      <c r="US304" s="16"/>
      <c r="UT304" s="16" t="n">
        <v>3.32</v>
      </c>
      <c r="UU304" s="16" t="n">
        <v>3.31</v>
      </c>
      <c r="UV304" s="16"/>
      <c r="UW304" s="16"/>
      <c r="UX304" s="16" t="n">
        <v>0</v>
      </c>
      <c r="UY304" s="16" t="n">
        <v>0</v>
      </c>
      <c r="UZ304" s="16" t="n">
        <v>0.22</v>
      </c>
      <c r="VA304" s="0" t="n">
        <v>0</v>
      </c>
      <c r="VB304" s="0" t="s">
        <v>841</v>
      </c>
      <c r="VC304" s="0" t="n">
        <v>18.5</v>
      </c>
      <c r="VD304" s="16" t="n">
        <v>91.6</v>
      </c>
      <c r="VE304" s="16" t="n">
        <v>83.4</v>
      </c>
      <c r="VF304" s="16" t="n">
        <v>7.5</v>
      </c>
      <c r="VG304" s="0" t="n">
        <v>96.33</v>
      </c>
      <c r="VH304" s="0" t="n">
        <v>0</v>
      </c>
      <c r="VI304" s="0" t="n">
        <v>0</v>
      </c>
      <c r="VJ304" s="0" t="n">
        <v>0</v>
      </c>
      <c r="VK304" s="0" t="n">
        <v>3.67</v>
      </c>
      <c r="VL304" s="0" t="n">
        <v>0</v>
      </c>
      <c r="VM304" s="0" t="n">
        <v>0</v>
      </c>
      <c r="VN304" s="0" t="n">
        <v>0</v>
      </c>
      <c r="VO304" s="0" t="n">
        <v>0</v>
      </c>
      <c r="VP304" s="0" t="n">
        <v>0</v>
      </c>
      <c r="VQ304" s="0" t="n">
        <v>0</v>
      </c>
      <c r="VR304" s="0" t="n">
        <v>3.67</v>
      </c>
      <c r="VS304" s="0" t="n">
        <v>45.98</v>
      </c>
      <c r="VT304" s="0" t="n">
        <v>17.9</v>
      </c>
      <c r="VU304" s="0" t="n">
        <v>0</v>
      </c>
      <c r="VV304" s="0" t="n">
        <v>0</v>
      </c>
      <c r="VW304" s="0" t="n">
        <v>0</v>
      </c>
      <c r="VX304" s="0" t="n">
        <v>0</v>
      </c>
      <c r="WK304" s="0" t="n">
        <v>0</v>
      </c>
      <c r="WL304" s="0" t="n">
        <v>0</v>
      </c>
      <c r="WW304" s="18"/>
      <c r="XO304" s="0" t="n">
        <v>0</v>
      </c>
      <c r="XS304" s="0" t="n">
        <v>1</v>
      </c>
      <c r="XT304" s="0" t="n">
        <v>50</v>
      </c>
      <c r="XU304" s="0" t="n">
        <v>1</v>
      </c>
      <c r="XV304" s="0" t="n">
        <v>0.04</v>
      </c>
      <c r="XW304" s="0" t="n">
        <v>3</v>
      </c>
      <c r="YZ304" s="16" t="n">
        <v>1.44</v>
      </c>
      <c r="ZA304" s="16" t="n">
        <v>1</v>
      </c>
      <c r="ZB304" s="16" t="n">
        <v>1</v>
      </c>
      <c r="ZC304" s="16"/>
      <c r="ZD304" s="16" t="n">
        <f aca="false">1.65+0.18*2+9.17</f>
        <v>11.18</v>
      </c>
      <c r="ZE304" s="16"/>
      <c r="ZF304" s="16"/>
      <c r="ZG304" s="16"/>
      <c r="ZH304" s="16"/>
      <c r="ZI304" s="16"/>
      <c r="ZJ304" s="16"/>
      <c r="ZK304" s="16" t="n">
        <v>5.88</v>
      </c>
      <c r="ZL304" s="16" t="n">
        <v>13.5</v>
      </c>
      <c r="ZM304" s="16"/>
      <c r="ZN304" s="16"/>
      <c r="ZO304" s="16" t="n">
        <v>3.6</v>
      </c>
      <c r="ZP304" s="16" t="n">
        <v>1.1</v>
      </c>
      <c r="ZQ304" s="16" t="n">
        <v>0</v>
      </c>
      <c r="ZR304" s="0" t="n">
        <v>0</v>
      </c>
      <c r="ZS304" s="0" t="s">
        <v>837</v>
      </c>
      <c r="ZT304" s="0" t="n">
        <v>30.5</v>
      </c>
      <c r="ZU304" s="16" t="n">
        <v>92</v>
      </c>
      <c r="ZV304" s="16" t="n">
        <v>83.4</v>
      </c>
      <c r="ZW304" s="16" t="n">
        <v>5.9</v>
      </c>
      <c r="ZX304" s="0" t="n">
        <v>98.99</v>
      </c>
      <c r="ZY304" s="0" t="n">
        <v>1.01</v>
      </c>
      <c r="ZZ304" s="0" t="n">
        <v>0</v>
      </c>
      <c r="AAA304" s="0" t="n">
        <v>0</v>
      </c>
      <c r="AAB304" s="0" t="n">
        <v>0</v>
      </c>
      <c r="AAC304" s="0" t="n">
        <v>0</v>
      </c>
      <c r="AAD304" s="0" t="n">
        <v>0</v>
      </c>
      <c r="AAE304" s="0" t="n">
        <v>0</v>
      </c>
      <c r="AAF304" s="0" t="n">
        <v>0</v>
      </c>
      <c r="AAG304" s="0" t="n">
        <v>0</v>
      </c>
      <c r="AAH304" s="0" t="n">
        <v>0</v>
      </c>
      <c r="AAI304" s="0" t="n">
        <v>2.66</v>
      </c>
      <c r="AAJ304" s="0" t="n">
        <v>46.99</v>
      </c>
      <c r="AAK304" s="0" t="n">
        <v>16.89</v>
      </c>
      <c r="AAL304" s="0" t="n">
        <v>0</v>
      </c>
      <c r="AAM304" s="0" t="n">
        <v>0</v>
      </c>
      <c r="AAN304" s="0" t="n">
        <v>0</v>
      </c>
      <c r="AAO304" s="0" t="n">
        <v>0</v>
      </c>
      <c r="ABB304" s="0" t="n">
        <v>0</v>
      </c>
      <c r="ABC304" s="0" t="n">
        <v>0</v>
      </c>
      <c r="ABN304" s="18"/>
      <c r="ACF304" s="0" t="n">
        <v>0</v>
      </c>
      <c r="ADQ304" s="16" t="n">
        <v>8</v>
      </c>
      <c r="ADR304" s="16" t="n">
        <v>1</v>
      </c>
      <c r="ADS304" s="16" t="n">
        <v>1</v>
      </c>
      <c r="ADT304" s="16"/>
      <c r="ADU304" s="16" t="n">
        <f aca="false">1.65+0.18*2+9.17</f>
        <v>11.18</v>
      </c>
      <c r="ADV304" s="16"/>
      <c r="ADW304" s="16"/>
      <c r="ADX304" s="16"/>
      <c r="ADY304" s="16"/>
      <c r="ADZ304" s="16"/>
      <c r="AEA304" s="16"/>
      <c r="AEB304" s="16" t="n">
        <v>6.16</v>
      </c>
      <c r="AEC304" s="16" t="n">
        <v>16.16</v>
      </c>
      <c r="AED304" s="16"/>
      <c r="AEE304" s="16"/>
      <c r="AEF304" s="16" t="n">
        <v>10</v>
      </c>
      <c r="AEG304" s="16" t="n">
        <v>1.1</v>
      </c>
      <c r="AEH304" s="16" t="n">
        <v>0</v>
      </c>
      <c r="AEI304" s="0" t="n">
        <v>1</v>
      </c>
      <c r="AEJ304" s="34"/>
      <c r="AEK304" s="15"/>
      <c r="AEL304" s="15"/>
      <c r="AEN304" s="34"/>
      <c r="AEO304" s="34"/>
      <c r="AER304" s="34"/>
      <c r="AES304" s="15"/>
      <c r="AET304" s="15"/>
      <c r="AEV304" s="34"/>
      <c r="AEW304" s="34"/>
      <c r="AEZ304" s="34"/>
      <c r="AFA304" s="15"/>
      <c r="AFB304" s="15"/>
      <c r="AFD304" s="34"/>
      <c r="AFE304" s="34"/>
      <c r="AFH304" s="34"/>
      <c r="AFI304" s="15"/>
      <c r="AFJ304" s="15"/>
      <c r="AFL304" s="34"/>
      <c r="AFM304" s="34"/>
      <c r="AFP304" s="34"/>
      <c r="AFQ304" s="15"/>
      <c r="AFR304" s="15"/>
      <c r="AFT304" s="34"/>
      <c r="AFU304" s="34"/>
      <c r="AFX304" s="34"/>
      <c r="AFY304" s="15"/>
      <c r="AFZ304" s="15"/>
      <c r="AGB304" s="34"/>
      <c r="AGC304" s="34"/>
      <c r="AGF304" s="34"/>
      <c r="AGG304" s="15"/>
      <c r="AGH304" s="15"/>
      <c r="AGJ304" s="34"/>
      <c r="AGK304" s="34"/>
      <c r="AGN304" s="34"/>
      <c r="AGO304" s="15"/>
      <c r="AGP304" s="15"/>
      <c r="AGR304" s="34"/>
      <c r="AGS304" s="34"/>
      <c r="AGV304" s="34"/>
      <c r="AGW304" s="15"/>
      <c r="AGX304" s="15"/>
      <c r="AGZ304" s="34"/>
      <c r="AHA304" s="34"/>
      <c r="AHD304" s="34"/>
      <c r="AHE304" s="15"/>
      <c r="AHF304" s="15"/>
      <c r="AHH304" s="34"/>
      <c r="AHI304" s="34"/>
      <c r="AHL304" s="34"/>
      <c r="AHM304" s="15"/>
      <c r="AHN304" s="15"/>
      <c r="AHP304" s="34"/>
      <c r="AHQ304" s="34"/>
      <c r="AHT304" s="34"/>
      <c r="AHU304" s="15"/>
      <c r="AHV304" s="15"/>
      <c r="AHX304" s="34"/>
      <c r="AHY304" s="34"/>
      <c r="AIB304" s="34"/>
      <c r="AIC304" s="15"/>
      <c r="AID304" s="15"/>
      <c r="AIF304" s="34"/>
      <c r="AIG304" s="34"/>
      <c r="AIJ304" s="34"/>
      <c r="AIK304" s="15"/>
      <c r="AIL304" s="15"/>
      <c r="AIN304" s="34"/>
      <c r="AIO304" s="34"/>
      <c r="AIR304" s="34"/>
      <c r="AIS304" s="15"/>
      <c r="AIT304" s="15"/>
      <c r="AIV304" s="34"/>
      <c r="AIW304" s="34"/>
      <c r="AIZ304" s="34"/>
      <c r="AJA304" s="15"/>
      <c r="AJB304" s="15"/>
      <c r="AJD304" s="34"/>
      <c r="AJE304" s="34"/>
      <c r="AJH304" s="34"/>
      <c r="AJI304" s="15"/>
      <c r="AJJ304" s="15"/>
      <c r="AJL304" s="34"/>
      <c r="AJM304" s="34"/>
      <c r="AJP304" s="34"/>
      <c r="AJQ304" s="15"/>
      <c r="AJR304" s="15"/>
      <c r="AJT304" s="34"/>
      <c r="AJU304" s="34"/>
      <c r="AJX304" s="34"/>
      <c r="AJY304" s="15"/>
      <c r="AJZ304" s="15"/>
      <c r="AKB304" s="34"/>
      <c r="AKC304" s="34"/>
      <c r="AKF304" s="34"/>
      <c r="AKG304" s="15"/>
      <c r="AKH304" s="15"/>
      <c r="AKJ304" s="34"/>
      <c r="AKK304" s="34"/>
      <c r="AKN304" s="34"/>
      <c r="AKO304" s="15"/>
      <c r="AKP304" s="15"/>
      <c r="AKR304" s="34"/>
      <c r="AKS304" s="34"/>
      <c r="AKV304" s="34"/>
      <c r="AKW304" s="15"/>
      <c r="AKX304" s="15"/>
      <c r="AKZ304" s="34"/>
      <c r="ALA304" s="34"/>
      <c r="ALD304" s="34"/>
      <c r="ALE304" s="15"/>
      <c r="ALF304" s="15"/>
      <c r="ALH304" s="34"/>
      <c r="ALI304" s="34"/>
      <c r="ALL304" s="34"/>
      <c r="ALM304" s="15"/>
      <c r="ALN304" s="15"/>
      <c r="ALP304" s="34"/>
      <c r="ALQ304" s="34"/>
      <c r="ALT304" s="34"/>
      <c r="ALU304" s="15"/>
      <c r="ALV304" s="15"/>
      <c r="ALX304" s="34"/>
      <c r="ALY304" s="34"/>
      <c r="AMB304" s="34"/>
      <c r="AMC304" s="15"/>
      <c r="AMD304" s="15"/>
      <c r="AMF304" s="34"/>
      <c r="AMG304" s="34"/>
      <c r="AMJ304" s="34"/>
    </row>
    <row r="305" customFormat="false" ht="13.8" hidden="false" customHeight="false" outlineLevel="0" collapsed="false">
      <c r="A305" s="1" t="s">
        <v>878</v>
      </c>
      <c r="B305" s="12" t="n">
        <v>42909</v>
      </c>
      <c r="C305" s="0" t="n">
        <v>1</v>
      </c>
      <c r="D305" s="13" t="n">
        <v>42801</v>
      </c>
      <c r="E305" s="12" t="n">
        <v>33637</v>
      </c>
      <c r="F305" s="14" t="n">
        <f aca="false">(B305-E305)/365.25</f>
        <v>25.3853524982888</v>
      </c>
      <c r="G305" s="14" t="n">
        <f aca="false">(B305-D305)/365.25</f>
        <v>0.295687885010267</v>
      </c>
      <c r="H305" s="19" t="s">
        <v>306</v>
      </c>
      <c r="I305" s="15" t="s">
        <v>832</v>
      </c>
      <c r="J305" s="15" t="s">
        <v>183</v>
      </c>
      <c r="K305" s="15" t="n">
        <v>8</v>
      </c>
      <c r="L305" s="19" t="n">
        <v>67</v>
      </c>
      <c r="M305" s="0" t="n">
        <v>1.74</v>
      </c>
      <c r="N305" s="16" t="n">
        <f aca="false">L305/(M305*M305)</f>
        <v>22.1297397278372</v>
      </c>
      <c r="O305" s="19" t="n">
        <v>0</v>
      </c>
      <c r="P305" s="19" t="n">
        <v>0</v>
      </c>
      <c r="Q305" s="19" t="n">
        <v>0</v>
      </c>
      <c r="R305" s="26" t="n">
        <v>0</v>
      </c>
      <c r="S305" s="26" t="n">
        <v>0</v>
      </c>
      <c r="T305" s="26" t="n">
        <v>0</v>
      </c>
      <c r="U305" s="19" t="n">
        <v>0</v>
      </c>
      <c r="V305" s="19" t="n">
        <v>0</v>
      </c>
      <c r="W305" s="19" t="n">
        <v>0</v>
      </c>
      <c r="X305" s="19" t="n">
        <v>0</v>
      </c>
      <c r="Y305" s="19" t="n">
        <v>1</v>
      </c>
      <c r="Z305" s="19" t="n">
        <v>1</v>
      </c>
      <c r="AA305" s="19" t="n">
        <v>60</v>
      </c>
      <c r="AB305" s="19" t="s">
        <v>879</v>
      </c>
      <c r="AC305" s="19" t="n">
        <v>0</v>
      </c>
      <c r="AD305" s="19" t="n">
        <v>0</v>
      </c>
      <c r="AE305" s="19" t="n">
        <v>0</v>
      </c>
      <c r="AF305" s="19" t="n">
        <v>0</v>
      </c>
      <c r="AG305" s="19" t="n">
        <v>0</v>
      </c>
      <c r="AH305" s="19" t="n">
        <v>0</v>
      </c>
      <c r="AI305" s="19" t="n">
        <v>0</v>
      </c>
      <c r="AJ305" s="19" t="n">
        <v>0</v>
      </c>
      <c r="AK305" s="19" t="n">
        <v>0</v>
      </c>
      <c r="AL305" s="19" t="n">
        <v>0</v>
      </c>
      <c r="AM305" s="19" t="n">
        <v>0</v>
      </c>
      <c r="AN305" s="19" t="n">
        <v>0</v>
      </c>
      <c r="AO305" s="19" t="n">
        <v>0</v>
      </c>
      <c r="AP305" s="19" t="n">
        <v>0</v>
      </c>
      <c r="AQ305" s="19" t="n">
        <v>0</v>
      </c>
      <c r="AR305" s="19" t="n">
        <v>0</v>
      </c>
      <c r="AS305" s="19" t="n">
        <v>0</v>
      </c>
      <c r="AT305" s="19" t="n">
        <v>0</v>
      </c>
      <c r="AU305" s="19" t="n">
        <v>0</v>
      </c>
      <c r="AV305" s="19" t="n">
        <v>0</v>
      </c>
      <c r="AW305" s="19" t="n">
        <v>0</v>
      </c>
      <c r="AX305" s="19" t="n">
        <v>0</v>
      </c>
      <c r="AY305" s="19" t="n">
        <v>0</v>
      </c>
      <c r="AZ305" s="19" t="n">
        <v>0</v>
      </c>
      <c r="BA305" s="19" t="n">
        <v>0</v>
      </c>
      <c r="BB305" s="19" t="n">
        <v>0</v>
      </c>
      <c r="BC305" s="19" t="n">
        <v>0</v>
      </c>
      <c r="BD305" s="19" t="n">
        <v>0</v>
      </c>
      <c r="BE305" s="19" t="n">
        <v>0</v>
      </c>
      <c r="BF305" s="19" t="n">
        <v>0</v>
      </c>
      <c r="BG305" s="19" t="n">
        <v>0</v>
      </c>
      <c r="BH305" s="19" t="n">
        <v>0</v>
      </c>
      <c r="BI305" s="19" t="n">
        <v>0</v>
      </c>
      <c r="BJ305" s="19" t="n">
        <v>0</v>
      </c>
      <c r="BK305" s="19" t="n">
        <v>0</v>
      </c>
      <c r="BL305" s="19" t="n">
        <v>0</v>
      </c>
      <c r="BM305" s="19" t="n">
        <v>0</v>
      </c>
      <c r="BN305" s="19" t="n">
        <v>0</v>
      </c>
      <c r="BO305" s="19" t="n">
        <v>0</v>
      </c>
      <c r="BP305" s="19" t="n">
        <v>0</v>
      </c>
      <c r="BQ305" s="19" t="n">
        <v>0</v>
      </c>
      <c r="BR305" s="19" t="n">
        <v>1</v>
      </c>
      <c r="BS305" s="19" t="n">
        <v>1</v>
      </c>
      <c r="BT305" s="19" t="n">
        <v>3</v>
      </c>
      <c r="BU305" s="19" t="n">
        <v>5</v>
      </c>
      <c r="BV305" s="19" t="n">
        <v>3</v>
      </c>
      <c r="BW305" s="19" t="n">
        <v>2</v>
      </c>
      <c r="BX305" s="19" t="n">
        <v>1</v>
      </c>
      <c r="BY305" s="19" t="n">
        <v>5</v>
      </c>
      <c r="BZ305" s="19" t="n">
        <v>5</v>
      </c>
      <c r="CA305" s="19" t="n">
        <v>5</v>
      </c>
      <c r="CB305" s="19" t="n">
        <v>5</v>
      </c>
      <c r="CC305" s="19" t="n">
        <v>5</v>
      </c>
      <c r="CD305" s="19" t="n">
        <v>5</v>
      </c>
      <c r="CE305" s="19" t="n">
        <v>5</v>
      </c>
      <c r="CF305" s="19" t="n">
        <v>4</v>
      </c>
      <c r="CG305" s="19" t="n">
        <v>5</v>
      </c>
      <c r="CH305" s="19" t="n">
        <v>5</v>
      </c>
      <c r="CI305" s="19" t="n">
        <v>5</v>
      </c>
      <c r="CJ305" s="19" t="n">
        <v>5</v>
      </c>
      <c r="CK305" s="19" t="n">
        <v>9</v>
      </c>
      <c r="CL305" s="0" t="s">
        <v>833</v>
      </c>
      <c r="CM305" s="0" t="n">
        <v>31</v>
      </c>
      <c r="CN305" s="16" t="n">
        <v>82.6</v>
      </c>
      <c r="CO305" s="16" t="n">
        <v>83.4</v>
      </c>
      <c r="CP305" s="16" t="n">
        <v>5.7</v>
      </c>
      <c r="CQ305" s="0" t="n">
        <v>99.97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0</v>
      </c>
      <c r="DA305" s="0" t="n">
        <v>0</v>
      </c>
      <c r="DB305" s="0" t="n">
        <v>7.3</v>
      </c>
      <c r="DC305" s="0" t="n">
        <v>53.74</v>
      </c>
      <c r="DD305" s="0" t="n">
        <v>0</v>
      </c>
      <c r="DE305" s="0" t="n">
        <v>0</v>
      </c>
      <c r="DF305" s="0" t="n">
        <v>0</v>
      </c>
      <c r="DG305" s="0" t="n">
        <v>17.6</v>
      </c>
      <c r="DH305" s="0" t="n">
        <v>1</v>
      </c>
      <c r="DI305" s="0" t="n">
        <v>4.6</v>
      </c>
      <c r="DK305" s="0" t="n">
        <v>2</v>
      </c>
      <c r="DU305" s="0" t="n">
        <v>2.4</v>
      </c>
      <c r="DV305" s="0" t="n">
        <v>0</v>
      </c>
      <c r="EG305" s="18"/>
      <c r="EY305" s="0" t="n">
        <v>1</v>
      </c>
      <c r="EZ305" s="0" t="n">
        <v>60</v>
      </c>
      <c r="FA305" s="0" t="n">
        <f aca="false">4+6+1+3+1+3</f>
        <v>18</v>
      </c>
      <c r="FB305" s="0" t="n">
        <f aca="false">0.73+2.2+0.13+0.39+0.78+0.52</f>
        <v>4.75</v>
      </c>
      <c r="FC305" s="0" t="n">
        <v>3</v>
      </c>
      <c r="FD305" s="0" t="n">
        <v>50</v>
      </c>
      <c r="FE305" s="0" t="n">
        <f aca="false">14</f>
        <v>14</v>
      </c>
      <c r="FF305" s="0" t="n">
        <f aca="false">4.4+2.94+0.52</f>
        <v>7.86</v>
      </c>
      <c r="FG305" s="0" t="n">
        <v>3</v>
      </c>
      <c r="GJ305" s="16" t="n">
        <v>0</v>
      </c>
      <c r="GK305" s="16" t="n">
        <v>0</v>
      </c>
      <c r="GL305" s="16"/>
      <c r="GM305" s="16"/>
      <c r="GN305" s="16"/>
      <c r="GO305" s="16"/>
      <c r="GP305" s="16"/>
      <c r="GQ305" s="16"/>
      <c r="GR305" s="16"/>
      <c r="GS305" s="16"/>
      <c r="GT305" s="16"/>
      <c r="GU305" s="16" t="n">
        <v>5.21</v>
      </c>
      <c r="GV305" s="16" t="n">
        <v>2.59</v>
      </c>
      <c r="GW305" s="16"/>
      <c r="GX305" s="16"/>
      <c r="GY305" s="16" t="n">
        <v>0</v>
      </c>
      <c r="GZ305" s="16" t="n">
        <v>0</v>
      </c>
      <c r="HA305" s="16" t="n">
        <v>0</v>
      </c>
      <c r="HB305" s="0" t="n">
        <v>0</v>
      </c>
      <c r="HC305" s="0" t="s">
        <v>834</v>
      </c>
      <c r="HD305" s="0" t="n">
        <v>30.5</v>
      </c>
      <c r="HE305" s="16" t="n">
        <v>73.4</v>
      </c>
      <c r="HF305" s="16" t="n">
        <v>83.4</v>
      </c>
      <c r="HG305" s="16" t="n">
        <v>5.7</v>
      </c>
      <c r="HH305" s="0" t="n">
        <v>100</v>
      </c>
      <c r="HI305" s="0" t="n">
        <v>0</v>
      </c>
      <c r="HJ305" s="0" t="n">
        <v>0</v>
      </c>
      <c r="HK305" s="0" t="n">
        <v>0</v>
      </c>
      <c r="HL305" s="0" t="n">
        <v>0</v>
      </c>
      <c r="HM305" s="0" t="n">
        <v>0</v>
      </c>
      <c r="HN305" s="0" t="n">
        <v>0</v>
      </c>
      <c r="HO305" s="0" t="n">
        <v>0</v>
      </c>
      <c r="HP305" s="0" t="n">
        <v>0</v>
      </c>
      <c r="HQ305" s="0" t="n">
        <v>0</v>
      </c>
      <c r="HR305" s="0" t="n">
        <v>0</v>
      </c>
      <c r="HS305" s="0" t="n">
        <v>7.69</v>
      </c>
      <c r="HT305" s="0" t="n">
        <v>47.61</v>
      </c>
      <c r="HU305" s="0" t="n">
        <v>0</v>
      </c>
      <c r="HV305" s="0" t="n">
        <v>0</v>
      </c>
      <c r="HW305" s="0" t="n">
        <v>0</v>
      </c>
      <c r="HX305" s="0" t="n">
        <v>16.4</v>
      </c>
      <c r="HY305" s="0" t="n">
        <v>1</v>
      </c>
      <c r="HZ305" s="0" t="n">
        <v>4.6</v>
      </c>
      <c r="IB305" s="0" t="n">
        <v>2</v>
      </c>
      <c r="IL305" s="0" t="n">
        <v>1.4</v>
      </c>
      <c r="IM305" s="0" t="n">
        <v>0</v>
      </c>
      <c r="IX305" s="18"/>
      <c r="JP305" s="0" t="n">
        <v>1</v>
      </c>
      <c r="JQ305" s="0" t="n">
        <v>60</v>
      </c>
      <c r="JR305" s="0" t="n">
        <v>7</v>
      </c>
      <c r="JS305" s="0" t="n">
        <f aca="false">0.73+2.2+0.39</f>
        <v>3.32</v>
      </c>
      <c r="JT305" s="0" t="n">
        <v>3</v>
      </c>
      <c r="JU305" s="0" t="n">
        <v>50</v>
      </c>
      <c r="JV305" s="0" t="n">
        <v>10</v>
      </c>
      <c r="JW305" s="0" t="n">
        <f aca="false">4.4+2.94</f>
        <v>7.34</v>
      </c>
      <c r="LA305" s="16" t="n">
        <v>0</v>
      </c>
      <c r="LB305" s="16" t="n">
        <v>0</v>
      </c>
      <c r="LC305" s="16"/>
      <c r="LD305" s="16"/>
      <c r="LE305" s="16"/>
      <c r="LF305" s="16"/>
      <c r="LG305" s="16"/>
      <c r="LH305" s="16"/>
      <c r="LI305" s="16"/>
      <c r="LJ305" s="16"/>
      <c r="LK305" s="16"/>
      <c r="LL305" s="16" t="n">
        <v>6.95</v>
      </c>
      <c r="LM305" s="16" t="n">
        <v>10.27</v>
      </c>
      <c r="LN305" s="16"/>
      <c r="LO305" s="16"/>
      <c r="LP305" s="16" t="n">
        <v>0</v>
      </c>
      <c r="LQ305" s="16" t="n">
        <v>0</v>
      </c>
      <c r="LR305" s="16" t="n">
        <v>0</v>
      </c>
      <c r="LS305" s="0" t="n">
        <v>0</v>
      </c>
      <c r="LT305" s="0" t="n">
        <v>94</v>
      </c>
      <c r="LU305" s="0" t="n">
        <v>24.5</v>
      </c>
      <c r="LV305" s="16" t="n">
        <v>88.7</v>
      </c>
      <c r="LW305" s="16" t="n">
        <v>83.4</v>
      </c>
      <c r="LX305" s="16" t="n">
        <v>23.1</v>
      </c>
      <c r="LY305" s="0" t="n">
        <v>69.95</v>
      </c>
      <c r="LZ305" s="0" t="n">
        <v>0</v>
      </c>
      <c r="MA305" s="0" t="n">
        <v>7.16</v>
      </c>
      <c r="MB305" s="0" t="n">
        <v>0</v>
      </c>
      <c r="MC305" s="0" t="n">
        <v>0</v>
      </c>
      <c r="MD305" s="0" t="n">
        <v>0</v>
      </c>
      <c r="ME305" s="0" t="n">
        <v>0</v>
      </c>
      <c r="MF305" s="0" t="n">
        <v>0</v>
      </c>
      <c r="MG305" s="0" t="n">
        <v>0</v>
      </c>
      <c r="MH305" s="0" t="n">
        <v>0</v>
      </c>
      <c r="MI305" s="0" t="n">
        <v>0</v>
      </c>
      <c r="MJ305" s="0" t="n">
        <v>0</v>
      </c>
      <c r="MK305" s="0" t="n">
        <v>34.04</v>
      </c>
      <c r="ML305" s="0" t="n">
        <v>20.5</v>
      </c>
      <c r="MM305" s="0" t="n">
        <v>0</v>
      </c>
      <c r="MN305" s="0" t="n">
        <v>22.9</v>
      </c>
      <c r="MO305" s="0" t="n">
        <v>0</v>
      </c>
      <c r="MP305" s="0" t="n">
        <v>0</v>
      </c>
      <c r="NC305" s="0" t="n">
        <v>0</v>
      </c>
      <c r="ND305" s="0" t="n">
        <v>0</v>
      </c>
      <c r="NO305" s="18"/>
      <c r="OG305" s="0" t="n">
        <v>0</v>
      </c>
      <c r="PR305" s="16" t="n">
        <v>0</v>
      </c>
      <c r="PS305" s="16" t="n">
        <v>0</v>
      </c>
      <c r="PT305" s="16"/>
      <c r="PU305" s="16"/>
      <c r="PV305" s="16"/>
      <c r="PW305" s="16"/>
      <c r="PX305" s="16"/>
      <c r="PY305" s="16"/>
      <c r="PZ305" s="16"/>
      <c r="QA305" s="16"/>
      <c r="QB305" s="16"/>
      <c r="QC305" s="16" t="n">
        <v>0</v>
      </c>
      <c r="QD305" s="16" t="n">
        <v>0</v>
      </c>
      <c r="QE305" s="16"/>
      <c r="QF305" s="16"/>
      <c r="QG305" s="16" t="n">
        <v>0</v>
      </c>
      <c r="QH305" s="16" t="n">
        <v>0</v>
      </c>
      <c r="QI305" s="16" t="n">
        <v>1.44</v>
      </c>
      <c r="QJ305" s="0" t="n">
        <v>0</v>
      </c>
      <c r="QK305" s="0" t="s">
        <v>841</v>
      </c>
      <c r="QL305" s="0" t="n">
        <v>18.5</v>
      </c>
      <c r="QM305" s="16" t="n">
        <v>91.6</v>
      </c>
      <c r="QN305" s="16" t="n">
        <v>83.4</v>
      </c>
      <c r="QO305" s="16" t="n">
        <v>7.5</v>
      </c>
      <c r="QP305" s="0" t="n">
        <v>96.33</v>
      </c>
      <c r="QQ305" s="0" t="n">
        <v>0</v>
      </c>
      <c r="QR305" s="0" t="n">
        <v>0</v>
      </c>
      <c r="QS305" s="0" t="n">
        <v>0</v>
      </c>
      <c r="QT305" s="0" t="n">
        <v>3.67</v>
      </c>
      <c r="QU305" s="0" t="n">
        <v>0</v>
      </c>
      <c r="QV305" s="0" t="n">
        <v>0</v>
      </c>
      <c r="QW305" s="0" t="n">
        <v>0</v>
      </c>
      <c r="QX305" s="0" t="n">
        <v>0</v>
      </c>
      <c r="QY305" s="0" t="n">
        <v>0</v>
      </c>
      <c r="QZ305" s="0" t="n">
        <v>0</v>
      </c>
      <c r="RA305" s="0" t="n">
        <v>3.67</v>
      </c>
      <c r="RB305" s="0" t="n">
        <v>45.98</v>
      </c>
      <c r="RC305" s="0" t="n">
        <v>17.9</v>
      </c>
      <c r="RD305" s="0" t="n">
        <v>0</v>
      </c>
      <c r="RE305" s="0" t="n">
        <v>0</v>
      </c>
      <c r="RF305" s="0" t="n">
        <v>0</v>
      </c>
      <c r="RG305" s="0" t="n">
        <v>0</v>
      </c>
      <c r="RT305" s="0" t="n">
        <v>0</v>
      </c>
      <c r="RU305" s="0" t="n">
        <v>0</v>
      </c>
      <c r="SF305" s="18"/>
      <c r="SX305" s="0" t="n">
        <v>0</v>
      </c>
      <c r="TB305" s="0" t="n">
        <v>1</v>
      </c>
      <c r="TC305" s="0" t="n">
        <v>50</v>
      </c>
      <c r="TD305" s="0" t="n">
        <v>1</v>
      </c>
      <c r="TE305" s="0" t="n">
        <v>0.04</v>
      </c>
      <c r="TF305" s="0" t="n">
        <v>3</v>
      </c>
      <c r="UI305" s="16" t="n">
        <v>1.44</v>
      </c>
      <c r="UJ305" s="16" t="n">
        <v>1</v>
      </c>
      <c r="UK305" s="16" t="n">
        <v>1</v>
      </c>
      <c r="UL305" s="16"/>
      <c r="UM305" s="16" t="n">
        <f aca="false">1.65+0.18*2+9.17</f>
        <v>11.18</v>
      </c>
      <c r="UN305" s="16"/>
      <c r="UO305" s="16"/>
      <c r="UP305" s="16"/>
      <c r="UQ305" s="16"/>
      <c r="UR305" s="16"/>
      <c r="US305" s="16"/>
      <c r="UT305" s="16" t="n">
        <v>5.88</v>
      </c>
      <c r="UU305" s="16" t="n">
        <v>13.5</v>
      </c>
      <c r="UV305" s="16"/>
      <c r="UW305" s="16"/>
      <c r="UX305" s="16" t="n">
        <v>3.6</v>
      </c>
      <c r="UY305" s="16" t="n">
        <v>1.1</v>
      </c>
      <c r="UZ305" s="16" t="n">
        <v>0</v>
      </c>
      <c r="VA305" s="0" t="n">
        <v>0</v>
      </c>
      <c r="VB305" s="0" t="s">
        <v>837</v>
      </c>
      <c r="VC305" s="0" t="n">
        <v>30.5</v>
      </c>
      <c r="VD305" s="16" t="n">
        <v>92</v>
      </c>
      <c r="VE305" s="16" t="n">
        <v>83.4</v>
      </c>
      <c r="VF305" s="16" t="n">
        <v>5.9</v>
      </c>
      <c r="VG305" s="0" t="n">
        <v>98.99</v>
      </c>
      <c r="VH305" s="0" t="n">
        <v>1.01</v>
      </c>
      <c r="VI305" s="0" t="n">
        <v>0</v>
      </c>
      <c r="VJ305" s="0" t="n">
        <v>0</v>
      </c>
      <c r="VK305" s="0" t="n">
        <v>0</v>
      </c>
      <c r="VL305" s="0" t="n">
        <v>0</v>
      </c>
      <c r="VM305" s="0" t="n">
        <v>0</v>
      </c>
      <c r="VN305" s="0" t="n">
        <v>0</v>
      </c>
      <c r="VO305" s="0" t="n">
        <v>0</v>
      </c>
      <c r="VP305" s="0" t="n">
        <v>0</v>
      </c>
      <c r="VQ305" s="0" t="n">
        <v>0</v>
      </c>
      <c r="VR305" s="0" t="n">
        <v>2.66</v>
      </c>
      <c r="VS305" s="0" t="n">
        <v>46.99</v>
      </c>
      <c r="VT305" s="0" t="n">
        <v>16.89</v>
      </c>
      <c r="VU305" s="0" t="n">
        <v>0</v>
      </c>
      <c r="VV305" s="0" t="n">
        <v>0</v>
      </c>
      <c r="VW305" s="0" t="n">
        <v>0</v>
      </c>
      <c r="VX305" s="0" t="n">
        <v>0</v>
      </c>
      <c r="WK305" s="0" t="n">
        <v>0</v>
      </c>
      <c r="WL305" s="0" t="n">
        <v>0</v>
      </c>
      <c r="WW305" s="18"/>
      <c r="XO305" s="0" t="n">
        <v>0</v>
      </c>
      <c r="YZ305" s="16" t="n">
        <v>8</v>
      </c>
      <c r="ZA305" s="16" t="n">
        <v>1</v>
      </c>
      <c r="ZB305" s="16" t="n">
        <v>1</v>
      </c>
      <c r="ZC305" s="16"/>
      <c r="ZD305" s="16" t="n">
        <f aca="false">1.65+0.18*2+9.17</f>
        <v>11.18</v>
      </c>
      <c r="ZE305" s="16"/>
      <c r="ZF305" s="16"/>
      <c r="ZG305" s="16"/>
      <c r="ZH305" s="16"/>
      <c r="ZI305" s="16"/>
      <c r="ZJ305" s="16"/>
      <c r="ZK305" s="16" t="n">
        <v>6.16</v>
      </c>
      <c r="ZL305" s="16" t="n">
        <v>16.16</v>
      </c>
      <c r="ZM305" s="16"/>
      <c r="ZN305" s="16"/>
      <c r="ZO305" s="16" t="n">
        <v>10</v>
      </c>
      <c r="ZP305" s="16" t="n">
        <v>1.1</v>
      </c>
      <c r="ZQ305" s="16" t="n">
        <v>0</v>
      </c>
      <c r="ZR305" s="0" t="n">
        <v>1</v>
      </c>
      <c r="ZT305" s="34"/>
      <c r="ZU305" s="15"/>
      <c r="ZV305" s="15"/>
      <c r="ZX305" s="34"/>
      <c r="ZY305" s="34"/>
      <c r="AAB305" s="34"/>
      <c r="AAC305" s="15"/>
      <c r="AAD305" s="15"/>
      <c r="AAF305" s="34"/>
      <c r="AAG305" s="34"/>
      <c r="AAJ305" s="34"/>
      <c r="AAK305" s="15"/>
      <c r="AAL305" s="15"/>
      <c r="AAN305" s="34"/>
      <c r="AAO305" s="34"/>
      <c r="AAR305" s="34"/>
      <c r="AAS305" s="15"/>
      <c r="AAT305" s="15"/>
      <c r="AAV305" s="34"/>
      <c r="AAW305" s="34"/>
      <c r="AAZ305" s="34"/>
      <c r="ABA305" s="15"/>
      <c r="ABB305" s="15"/>
      <c r="ABD305" s="34"/>
      <c r="ABE305" s="34"/>
      <c r="ABH305" s="34"/>
      <c r="ABI305" s="15"/>
      <c r="ABJ305" s="15"/>
      <c r="ABL305" s="34"/>
      <c r="ABM305" s="34"/>
      <c r="ABP305" s="34"/>
      <c r="ABQ305" s="15"/>
      <c r="ABR305" s="15"/>
      <c r="ABT305" s="34"/>
      <c r="ABU305" s="34"/>
      <c r="ABX305" s="34"/>
      <c r="ABY305" s="15"/>
      <c r="ABZ305" s="15"/>
      <c r="ACB305" s="34"/>
      <c r="ACC305" s="34"/>
      <c r="ACF305" s="34"/>
      <c r="ACG305" s="15"/>
      <c r="ACH305" s="15"/>
      <c r="ACJ305" s="34"/>
      <c r="ACK305" s="34"/>
      <c r="ACN305" s="34"/>
      <c r="ACO305" s="15"/>
      <c r="ACP305" s="15"/>
      <c r="ACR305" s="34"/>
      <c r="ACS305" s="34"/>
      <c r="ACV305" s="34"/>
      <c r="ACW305" s="15"/>
      <c r="ACX305" s="15"/>
      <c r="ACZ305" s="34"/>
      <c r="ADA305" s="34"/>
      <c r="ADD305" s="34"/>
      <c r="ADE305" s="15"/>
      <c r="ADF305" s="15"/>
      <c r="ADH305" s="34"/>
      <c r="ADI305" s="34"/>
      <c r="ADL305" s="34"/>
      <c r="ADM305" s="15"/>
      <c r="ADN305" s="15"/>
      <c r="ADP305" s="34"/>
      <c r="ADQ305" s="34"/>
      <c r="ADT305" s="34"/>
      <c r="ADU305" s="15"/>
      <c r="ADV305" s="15"/>
      <c r="ADX305" s="34"/>
      <c r="ADY305" s="34"/>
      <c r="AEB305" s="34"/>
      <c r="AEC305" s="15"/>
      <c r="AED305" s="15"/>
      <c r="AEF305" s="34"/>
      <c r="AEG305" s="34"/>
      <c r="AEJ305" s="34"/>
      <c r="AEK305" s="15"/>
      <c r="AEL305" s="15"/>
      <c r="AEN305" s="34"/>
      <c r="AEO305" s="34"/>
      <c r="AER305" s="34"/>
      <c r="AES305" s="15"/>
      <c r="AET305" s="15"/>
      <c r="AEV305" s="34"/>
      <c r="AEW305" s="34"/>
      <c r="AEZ305" s="34"/>
      <c r="AFA305" s="15"/>
      <c r="AFB305" s="15"/>
      <c r="AFD305" s="34"/>
      <c r="AFE305" s="34"/>
      <c r="AFH305" s="34"/>
      <c r="AFI305" s="15"/>
      <c r="AFJ305" s="15"/>
      <c r="AFL305" s="34"/>
      <c r="AFM305" s="34"/>
      <c r="AFP305" s="34"/>
      <c r="AFQ305" s="15"/>
      <c r="AFR305" s="15"/>
      <c r="AFT305" s="34"/>
      <c r="AFU305" s="34"/>
      <c r="AFX305" s="34"/>
      <c r="AFY305" s="15"/>
      <c r="AFZ305" s="15"/>
      <c r="AGB305" s="34"/>
      <c r="AGC305" s="34"/>
      <c r="AGF305" s="34"/>
      <c r="AGG305" s="15"/>
      <c r="AGH305" s="15"/>
      <c r="AGJ305" s="34"/>
      <c r="AGK305" s="34"/>
      <c r="AGN305" s="34"/>
      <c r="AGO305" s="15"/>
      <c r="AGP305" s="15"/>
      <c r="AGR305" s="34"/>
      <c r="AGS305" s="34"/>
      <c r="AGV305" s="34"/>
      <c r="AGW305" s="15"/>
      <c r="AGX305" s="15"/>
      <c r="AGZ305" s="34"/>
      <c r="AHA305" s="34"/>
      <c r="AHD305" s="34"/>
      <c r="AHE305" s="15"/>
      <c r="AHF305" s="15"/>
      <c r="AHH305" s="34"/>
      <c r="AHI305" s="34"/>
      <c r="AHL305" s="34"/>
      <c r="AHM305" s="15"/>
      <c r="AHN305" s="15"/>
      <c r="AHP305" s="34"/>
      <c r="AHQ305" s="34"/>
      <c r="AHT305" s="34"/>
      <c r="AHU305" s="15"/>
      <c r="AHV305" s="15"/>
      <c r="AHX305" s="34"/>
      <c r="AHY305" s="34"/>
      <c r="AIB305" s="34"/>
      <c r="AIC305" s="15"/>
      <c r="AID305" s="15"/>
      <c r="AIF305" s="34"/>
      <c r="AIG305" s="34"/>
      <c r="AIJ305" s="34"/>
      <c r="AIK305" s="15"/>
      <c r="AIL305" s="15"/>
      <c r="AIN305" s="34"/>
      <c r="AIO305" s="34"/>
      <c r="AIR305" s="34"/>
      <c r="AIS305" s="15"/>
      <c r="AIT305" s="15"/>
      <c r="AIV305" s="34"/>
      <c r="AIW305" s="34"/>
      <c r="AIZ305" s="34"/>
      <c r="AJA305" s="15"/>
      <c r="AJB305" s="15"/>
      <c r="AJD305" s="34"/>
      <c r="AJE305" s="34"/>
      <c r="AJH305" s="34"/>
      <c r="AJI305" s="15"/>
      <c r="AJJ305" s="15"/>
      <c r="AJL305" s="34"/>
      <c r="AJM305" s="34"/>
      <c r="AJP305" s="34"/>
      <c r="AJQ305" s="15"/>
      <c r="AJR305" s="15"/>
      <c r="AJT305" s="34"/>
      <c r="AJU305" s="34"/>
      <c r="AJX305" s="34"/>
      <c r="AJY305" s="15"/>
      <c r="AJZ305" s="15"/>
      <c r="AKB305" s="34"/>
      <c r="AKC305" s="34"/>
      <c r="AKF305" s="34"/>
      <c r="AKG305" s="15"/>
      <c r="AKH305" s="15"/>
      <c r="AKJ305" s="34"/>
      <c r="AKK305" s="34"/>
      <c r="AKN305" s="34"/>
      <c r="AKO305" s="15"/>
      <c r="AKP305" s="15"/>
      <c r="AKR305" s="34"/>
      <c r="AKS305" s="34"/>
      <c r="AKV305" s="34"/>
      <c r="AKW305" s="15"/>
      <c r="AKX305" s="15"/>
      <c r="AKZ305" s="34"/>
      <c r="ALA305" s="34"/>
      <c r="ALD305" s="34"/>
      <c r="ALE305" s="15"/>
      <c r="ALF305" s="15"/>
      <c r="ALH305" s="34"/>
      <c r="ALI305" s="34"/>
      <c r="ALL305" s="34"/>
      <c r="ALM305" s="15"/>
      <c r="ALN305" s="15"/>
      <c r="ALP305" s="34"/>
      <c r="ALQ305" s="34"/>
      <c r="ALT305" s="34"/>
      <c r="ALU305" s="15"/>
      <c r="ALV305" s="15"/>
      <c r="ALX305" s="34"/>
      <c r="ALY305" s="34"/>
      <c r="AMB305" s="34"/>
      <c r="AMC305" s="15"/>
      <c r="AMD305" s="15"/>
      <c r="AMF305" s="34"/>
      <c r="AMG305" s="34"/>
      <c r="AMJ305" s="34"/>
    </row>
    <row r="306" customFormat="false" ht="13.8" hidden="false" customHeight="false" outlineLevel="0" collapsed="false">
      <c r="A306" s="1" t="s">
        <v>880</v>
      </c>
      <c r="B306" s="12" t="n">
        <v>42908</v>
      </c>
      <c r="C306" s="0" t="n">
        <v>2</v>
      </c>
      <c r="D306" s="13" t="n">
        <v>42801</v>
      </c>
      <c r="E306" s="12" t="n">
        <v>35552</v>
      </c>
      <c r="F306" s="14" t="n">
        <f aca="false">(B306-E306)/365.25</f>
        <v>20.1396303901437</v>
      </c>
      <c r="G306" s="14" t="n">
        <f aca="false">(B306-D306)/365.25</f>
        <v>0.292950034223135</v>
      </c>
      <c r="H306" s="19" t="s">
        <v>306</v>
      </c>
      <c r="I306" s="15" t="s">
        <v>832</v>
      </c>
      <c r="J306" s="15" t="s">
        <v>183</v>
      </c>
      <c r="K306" s="15" t="n">
        <v>8</v>
      </c>
      <c r="L306" s="19" t="n">
        <v>60</v>
      </c>
      <c r="M306" s="0" t="n">
        <v>1.69</v>
      </c>
      <c r="N306" s="16" t="n">
        <f aca="false">L306/(M306*M306)</f>
        <v>21.0076677987465</v>
      </c>
      <c r="O306" s="19" t="n">
        <v>0</v>
      </c>
      <c r="P306" s="19" t="n">
        <v>0</v>
      </c>
      <c r="Q306" s="19" t="n">
        <v>0</v>
      </c>
      <c r="R306" s="26" t="n">
        <v>0</v>
      </c>
      <c r="S306" s="26" t="n">
        <v>0</v>
      </c>
      <c r="T306" s="26" t="n">
        <v>0</v>
      </c>
      <c r="U306" s="19" t="n">
        <v>0</v>
      </c>
      <c r="V306" s="19" t="n">
        <v>0</v>
      </c>
      <c r="W306" s="19" t="n">
        <v>1</v>
      </c>
      <c r="X306" s="19" t="n">
        <v>0</v>
      </c>
      <c r="Y306" s="19" t="n">
        <v>1</v>
      </c>
      <c r="Z306" s="19" t="n">
        <v>2</v>
      </c>
      <c r="AA306" s="19" t="n">
        <v>120</v>
      </c>
      <c r="AB306" s="19" t="s">
        <v>184</v>
      </c>
      <c r="AC306" s="19" t="n">
        <v>1</v>
      </c>
      <c r="AD306" s="19" t="n">
        <v>10</v>
      </c>
      <c r="AE306" s="19" t="n">
        <v>0</v>
      </c>
      <c r="AF306" s="19" t="n">
        <v>0</v>
      </c>
      <c r="AG306" s="19" t="n">
        <v>0</v>
      </c>
      <c r="AH306" s="19" t="n">
        <v>0</v>
      </c>
      <c r="AI306" s="19" t="n">
        <v>0</v>
      </c>
      <c r="AJ306" s="19" t="n">
        <v>0</v>
      </c>
      <c r="AK306" s="19" t="n">
        <v>0</v>
      </c>
      <c r="AL306" s="19" t="n">
        <v>0</v>
      </c>
      <c r="AM306" s="19" t="n">
        <v>0</v>
      </c>
      <c r="AN306" s="19" t="n">
        <v>0</v>
      </c>
      <c r="AO306" s="19" t="n">
        <v>0</v>
      </c>
      <c r="AP306" s="19" t="n">
        <v>0</v>
      </c>
      <c r="AQ306" s="19" t="n">
        <v>0</v>
      </c>
      <c r="AR306" s="19" t="n">
        <v>0</v>
      </c>
      <c r="AS306" s="19" t="n">
        <v>0</v>
      </c>
      <c r="AT306" s="19" t="n">
        <v>0</v>
      </c>
      <c r="AU306" s="19" t="n">
        <v>0</v>
      </c>
      <c r="AV306" s="19" t="n">
        <v>0</v>
      </c>
      <c r="AW306" s="19" t="n">
        <v>0</v>
      </c>
      <c r="AX306" s="19" t="n">
        <v>1</v>
      </c>
      <c r="AY306" s="19" t="n">
        <v>1</v>
      </c>
      <c r="AZ306" s="19" t="n">
        <v>1</v>
      </c>
      <c r="BA306" s="19" t="n">
        <v>7</v>
      </c>
      <c r="BB306" s="19" t="n">
        <v>0</v>
      </c>
      <c r="BC306" s="19" t="n">
        <v>0</v>
      </c>
      <c r="BD306" s="19" t="n">
        <v>0</v>
      </c>
      <c r="BE306" s="19" t="n">
        <v>0</v>
      </c>
      <c r="BF306" s="19" t="n">
        <v>0</v>
      </c>
      <c r="BG306" s="19" t="n">
        <v>0</v>
      </c>
      <c r="BH306" s="19" t="n">
        <v>0</v>
      </c>
      <c r="BI306" s="19" t="n">
        <v>0</v>
      </c>
      <c r="BJ306" s="19" t="n">
        <v>0</v>
      </c>
      <c r="BK306" s="19" t="n">
        <v>0</v>
      </c>
      <c r="BL306" s="19" t="n">
        <v>0</v>
      </c>
      <c r="BM306" s="19" t="n">
        <v>0</v>
      </c>
      <c r="BN306" s="19" t="n">
        <v>0</v>
      </c>
      <c r="BO306" s="19" t="n">
        <v>0</v>
      </c>
      <c r="BP306" s="19" t="n">
        <v>0</v>
      </c>
      <c r="BQ306" s="19" t="n">
        <v>0</v>
      </c>
      <c r="BR306" s="19" t="n">
        <v>1</v>
      </c>
      <c r="BS306" s="19" t="n">
        <v>1</v>
      </c>
      <c r="BT306" s="19" t="n">
        <v>2</v>
      </c>
      <c r="BU306" s="19" t="n">
        <v>5</v>
      </c>
      <c r="BV306" s="19" t="n">
        <v>1</v>
      </c>
      <c r="BW306" s="19" t="n">
        <v>1</v>
      </c>
      <c r="BX306" s="19" t="n">
        <v>1</v>
      </c>
      <c r="BY306" s="19" t="n">
        <v>3</v>
      </c>
      <c r="BZ306" s="19" t="n">
        <v>1</v>
      </c>
      <c r="CA306" s="19" t="n">
        <v>3</v>
      </c>
      <c r="CB306" s="19" t="n">
        <v>5</v>
      </c>
      <c r="CC306" s="19" t="n">
        <v>5</v>
      </c>
      <c r="CD306" s="19" t="n">
        <v>3</v>
      </c>
      <c r="CE306" s="19" t="n">
        <v>5</v>
      </c>
      <c r="CF306" s="19" t="n">
        <v>5</v>
      </c>
      <c r="CG306" s="19" t="n">
        <v>5</v>
      </c>
      <c r="CH306" s="19" t="n">
        <v>4</v>
      </c>
      <c r="CI306" s="19" t="n">
        <v>4</v>
      </c>
      <c r="CJ306" s="19" t="n">
        <v>4</v>
      </c>
      <c r="CK306" s="19" t="n">
        <v>9</v>
      </c>
      <c r="CL306" s="0" t="n">
        <v>92</v>
      </c>
      <c r="CM306" s="0" t="n">
        <v>38.5</v>
      </c>
      <c r="CN306" s="16" t="n">
        <v>77.5</v>
      </c>
      <c r="CO306" s="16" t="n">
        <v>83.4</v>
      </c>
      <c r="CP306" s="16" t="n">
        <v>19.1</v>
      </c>
      <c r="CQ306" s="0" t="n">
        <v>78.18</v>
      </c>
      <c r="CR306" s="0" t="n">
        <v>0</v>
      </c>
      <c r="CS306" s="0" t="n">
        <v>2.48</v>
      </c>
      <c r="CT306" s="0" t="n">
        <v>0</v>
      </c>
      <c r="CU306" s="0" t="n">
        <v>19.34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4.11</v>
      </c>
      <c r="DD306" s="0" t="n">
        <v>21.82</v>
      </c>
      <c r="DE306" s="0" t="n">
        <v>10.65</v>
      </c>
      <c r="DF306" s="0" t="n">
        <v>0</v>
      </c>
      <c r="DG306" s="0" t="n">
        <v>16.9</v>
      </c>
      <c r="DH306" s="0" t="n">
        <v>1</v>
      </c>
      <c r="DI306" s="0" t="n">
        <v>6</v>
      </c>
      <c r="DK306" s="0" t="n">
        <v>1</v>
      </c>
      <c r="DU306" s="0" t="n">
        <v>0</v>
      </c>
      <c r="DV306" s="0" t="n">
        <v>0</v>
      </c>
      <c r="EG306" s="18"/>
      <c r="EY306" s="0" t="n">
        <v>0</v>
      </c>
      <c r="GJ306" s="16" t="n">
        <v>0</v>
      </c>
      <c r="GK306" s="16" t="n">
        <v>0</v>
      </c>
      <c r="GL306" s="16"/>
      <c r="GM306" s="16"/>
      <c r="GN306" s="16"/>
      <c r="GO306" s="16"/>
      <c r="GP306" s="16"/>
      <c r="GQ306" s="16"/>
      <c r="GR306" s="16"/>
      <c r="GS306" s="16"/>
      <c r="GT306" s="16"/>
      <c r="GU306" s="16" t="n">
        <v>2.48</v>
      </c>
      <c r="GV306" s="16" t="n">
        <v>2.48</v>
      </c>
      <c r="GW306" s="16"/>
      <c r="GX306" s="16"/>
      <c r="GY306" s="16" t="n">
        <v>0</v>
      </c>
      <c r="GZ306" s="16" t="n">
        <v>0</v>
      </c>
      <c r="HA306" s="16" t="n">
        <v>0</v>
      </c>
      <c r="HB306" s="0" t="n">
        <v>0</v>
      </c>
      <c r="HC306" s="0" t="s">
        <v>833</v>
      </c>
      <c r="HD306" s="0" t="n">
        <v>31</v>
      </c>
      <c r="HE306" s="16" t="n">
        <v>82.6</v>
      </c>
      <c r="HF306" s="16" t="n">
        <v>83.4</v>
      </c>
      <c r="HG306" s="16" t="n">
        <v>5.7</v>
      </c>
      <c r="HH306" s="0" t="n">
        <v>99.97</v>
      </c>
      <c r="HI306" s="0" t="n">
        <v>0</v>
      </c>
      <c r="HJ306" s="0" t="n">
        <v>0</v>
      </c>
      <c r="HK306" s="0" t="n">
        <v>0</v>
      </c>
      <c r="HL306" s="0" t="n">
        <v>0</v>
      </c>
      <c r="HM306" s="0" t="n">
        <v>0</v>
      </c>
      <c r="HN306" s="0" t="n">
        <v>0</v>
      </c>
      <c r="HO306" s="0" t="n">
        <v>0</v>
      </c>
      <c r="HP306" s="0" t="n">
        <v>0</v>
      </c>
      <c r="HQ306" s="0" t="n">
        <v>0</v>
      </c>
      <c r="HR306" s="0" t="n">
        <v>0</v>
      </c>
      <c r="HS306" s="0" t="n">
        <v>7.3</v>
      </c>
      <c r="HT306" s="0" t="n">
        <v>53.74</v>
      </c>
      <c r="HU306" s="0" t="n">
        <v>0</v>
      </c>
      <c r="HV306" s="0" t="n">
        <v>0</v>
      </c>
      <c r="HW306" s="0" t="n">
        <v>0</v>
      </c>
      <c r="HX306" s="0" t="n">
        <v>17.6</v>
      </c>
      <c r="HY306" s="0" t="n">
        <v>1</v>
      </c>
      <c r="HZ306" s="0" t="n">
        <v>4.6</v>
      </c>
      <c r="IB306" s="0" t="n">
        <v>2</v>
      </c>
      <c r="IL306" s="0" t="n">
        <v>2.4</v>
      </c>
      <c r="IM306" s="0" t="n">
        <v>0</v>
      </c>
      <c r="IX306" s="18"/>
      <c r="JP306" s="0" t="n">
        <v>1</v>
      </c>
      <c r="JQ306" s="0" t="n">
        <v>60</v>
      </c>
      <c r="JR306" s="0" t="n">
        <f aca="false">4+6+1+3+1+3</f>
        <v>18</v>
      </c>
      <c r="JS306" s="0" t="n">
        <f aca="false">0.73+2.2+0.13+0.39+0.78+0.52</f>
        <v>4.75</v>
      </c>
      <c r="JT306" s="0" t="n">
        <v>3</v>
      </c>
      <c r="JU306" s="0" t="n">
        <v>50</v>
      </c>
      <c r="JV306" s="0" t="n">
        <f aca="false">14</f>
        <v>14</v>
      </c>
      <c r="JW306" s="0" t="n">
        <f aca="false">4.4+2.94+0.52</f>
        <v>7.86</v>
      </c>
      <c r="JX306" s="0" t="n">
        <v>3</v>
      </c>
      <c r="LA306" s="16" t="n">
        <v>0</v>
      </c>
      <c r="LB306" s="16" t="n">
        <v>0</v>
      </c>
      <c r="LC306" s="16"/>
      <c r="LD306" s="16"/>
      <c r="LE306" s="16"/>
      <c r="LF306" s="16"/>
      <c r="LG306" s="16"/>
      <c r="LH306" s="16"/>
      <c r="LI306" s="16"/>
      <c r="LJ306" s="16"/>
      <c r="LK306" s="16"/>
      <c r="LL306" s="16" t="n">
        <v>5.21</v>
      </c>
      <c r="LM306" s="16" t="n">
        <v>2.59</v>
      </c>
      <c r="LN306" s="16"/>
      <c r="LO306" s="16"/>
      <c r="LP306" s="16" t="n">
        <v>0</v>
      </c>
      <c r="LQ306" s="16" t="n">
        <v>0</v>
      </c>
      <c r="LR306" s="16" t="n">
        <v>0</v>
      </c>
      <c r="LS306" s="0" t="n">
        <v>0</v>
      </c>
      <c r="LT306" s="0" t="s">
        <v>834</v>
      </c>
      <c r="LU306" s="0" t="n">
        <v>30.5</v>
      </c>
      <c r="LV306" s="16" t="n">
        <v>73.4</v>
      </c>
      <c r="LW306" s="16" t="n">
        <v>83.4</v>
      </c>
      <c r="LX306" s="16" t="n">
        <v>5.7</v>
      </c>
      <c r="LY306" s="0" t="n">
        <v>100</v>
      </c>
      <c r="LZ306" s="0" t="n">
        <v>0</v>
      </c>
      <c r="MA306" s="0" t="n">
        <v>0</v>
      </c>
      <c r="MB306" s="0" t="n">
        <v>0</v>
      </c>
      <c r="MC306" s="0" t="n">
        <v>0</v>
      </c>
      <c r="MD306" s="0" t="n">
        <v>0</v>
      </c>
      <c r="ME306" s="0" t="n">
        <v>0</v>
      </c>
      <c r="MF306" s="0" t="n">
        <v>0</v>
      </c>
      <c r="MG306" s="0" t="n">
        <v>0</v>
      </c>
      <c r="MH306" s="0" t="n">
        <v>0</v>
      </c>
      <c r="MI306" s="0" t="n">
        <v>0</v>
      </c>
      <c r="MJ306" s="0" t="n">
        <v>7.69</v>
      </c>
      <c r="MK306" s="0" t="n">
        <v>47.61</v>
      </c>
      <c r="ML306" s="0" t="n">
        <v>0</v>
      </c>
      <c r="MM306" s="0" t="n">
        <v>0</v>
      </c>
      <c r="MN306" s="0" t="n">
        <v>0</v>
      </c>
      <c r="MO306" s="0" t="n">
        <v>16.4</v>
      </c>
      <c r="MP306" s="0" t="n">
        <v>1</v>
      </c>
      <c r="MQ306" s="0" t="n">
        <v>4.6</v>
      </c>
      <c r="MS306" s="0" t="n">
        <v>2</v>
      </c>
      <c r="NC306" s="0" t="n">
        <v>1.4</v>
      </c>
      <c r="ND306" s="0" t="n">
        <v>0</v>
      </c>
      <c r="NO306" s="18"/>
      <c r="OG306" s="0" t="n">
        <v>1</v>
      </c>
      <c r="OH306" s="0" t="n">
        <v>60</v>
      </c>
      <c r="OI306" s="0" t="n">
        <v>7</v>
      </c>
      <c r="OJ306" s="0" t="n">
        <f aca="false">0.73+2.2+0.39</f>
        <v>3.32</v>
      </c>
      <c r="OK306" s="0" t="n">
        <v>3</v>
      </c>
      <c r="OL306" s="0" t="n">
        <v>50</v>
      </c>
      <c r="OM306" s="0" t="n">
        <v>10</v>
      </c>
      <c r="ON306" s="0" t="n">
        <f aca="false">4.4+2.94</f>
        <v>7.34</v>
      </c>
      <c r="PR306" s="16" t="n">
        <v>0</v>
      </c>
      <c r="PS306" s="16" t="n">
        <v>0</v>
      </c>
      <c r="PT306" s="16"/>
      <c r="PU306" s="16"/>
      <c r="PV306" s="16"/>
      <c r="PW306" s="16"/>
      <c r="PX306" s="16"/>
      <c r="PY306" s="16"/>
      <c r="PZ306" s="16"/>
      <c r="QA306" s="16"/>
      <c r="QB306" s="16"/>
      <c r="QC306" s="16" t="n">
        <v>6.95</v>
      </c>
      <c r="QD306" s="16" t="n">
        <v>10.27</v>
      </c>
      <c r="QE306" s="16"/>
      <c r="QF306" s="16"/>
      <c r="QG306" s="16" t="n">
        <v>0</v>
      </c>
      <c r="QH306" s="16" t="n">
        <v>0</v>
      </c>
      <c r="QI306" s="16" t="n">
        <v>0</v>
      </c>
      <c r="QJ306" s="0" t="n">
        <v>0</v>
      </c>
      <c r="QK306" s="0" t="s">
        <v>836</v>
      </c>
      <c r="QL306" s="0" t="n">
        <v>26.5</v>
      </c>
      <c r="QM306" s="16" t="n">
        <v>70.7</v>
      </c>
      <c r="QN306" s="16" t="n">
        <v>83.4</v>
      </c>
      <c r="QO306" s="16" t="n">
        <v>8.8</v>
      </c>
      <c r="QP306" s="0" t="n">
        <v>94.65</v>
      </c>
      <c r="QQ306" s="0" t="n">
        <v>0</v>
      </c>
      <c r="QR306" s="0" t="n">
        <v>0.21</v>
      </c>
      <c r="QS306" s="0" t="n">
        <v>0</v>
      </c>
      <c r="QT306" s="0" t="n">
        <v>4.31</v>
      </c>
      <c r="QU306" s="0" t="n">
        <v>0</v>
      </c>
      <c r="QV306" s="0" t="n">
        <v>0</v>
      </c>
      <c r="QW306" s="0" t="n">
        <v>0</v>
      </c>
      <c r="QX306" s="0" t="n">
        <v>0</v>
      </c>
      <c r="QY306" s="0" t="n">
        <v>0</v>
      </c>
      <c r="QZ306" s="0" t="n">
        <v>0</v>
      </c>
      <c r="RA306" s="0" t="n">
        <v>1.21</v>
      </c>
      <c r="RB306" s="0" t="n">
        <v>19.41</v>
      </c>
      <c r="RC306" s="0" t="n">
        <v>20.37</v>
      </c>
      <c r="RD306" s="0" t="n">
        <v>0.21</v>
      </c>
      <c r="RE306" s="0" t="n">
        <v>0.83</v>
      </c>
      <c r="RF306" s="0" t="n">
        <v>12.2</v>
      </c>
      <c r="RG306" s="0" t="n">
        <v>1</v>
      </c>
      <c r="RH306" s="0" t="n">
        <v>5</v>
      </c>
      <c r="RJ306" s="0" t="n">
        <v>2</v>
      </c>
      <c r="RT306" s="0" t="n">
        <v>0</v>
      </c>
      <c r="RU306" s="0" t="n">
        <v>0</v>
      </c>
      <c r="SF306" s="18"/>
      <c r="SX306" s="0" t="n">
        <v>1</v>
      </c>
      <c r="SY306" s="0" t="n">
        <v>40</v>
      </c>
      <c r="SZ306" s="0" t="n">
        <v>1</v>
      </c>
      <c r="TA306" s="0" t="n">
        <v>0.21</v>
      </c>
      <c r="TB306" s="0" t="n">
        <v>3</v>
      </c>
      <c r="TC306" s="0" t="n">
        <v>80</v>
      </c>
      <c r="TD306" s="0" t="n">
        <v>4</v>
      </c>
      <c r="TE306" s="0" t="n">
        <v>0.5</v>
      </c>
      <c r="TF306" s="0" t="n">
        <v>2</v>
      </c>
      <c r="TG306" s="0" t="n">
        <v>60</v>
      </c>
      <c r="TH306" s="0" t="n">
        <f aca="false">18+9</f>
        <v>27</v>
      </c>
      <c r="TI306" s="0" t="n">
        <f aca="false">2.27+1.14</f>
        <v>3.41</v>
      </c>
      <c r="TJ306" s="0" t="n">
        <v>2</v>
      </c>
      <c r="UI306" s="16" t="n">
        <v>3.54</v>
      </c>
      <c r="UJ306" s="16" t="n">
        <v>1</v>
      </c>
      <c r="UK306" s="16" t="n">
        <v>1</v>
      </c>
      <c r="UL306" s="16"/>
      <c r="UM306" s="16" t="n">
        <f aca="false">4+0.73*2+1.65</f>
        <v>7.11</v>
      </c>
      <c r="UN306" s="16"/>
      <c r="UO306" s="16"/>
      <c r="UP306" s="16"/>
      <c r="UQ306" s="16"/>
      <c r="UR306" s="16"/>
      <c r="US306" s="16"/>
      <c r="UT306" s="16" t="n">
        <v>1.47</v>
      </c>
      <c r="UU306" s="16" t="n">
        <v>1.47</v>
      </c>
      <c r="UV306" s="16"/>
      <c r="UW306" s="16"/>
      <c r="UX306" s="16" t="n">
        <v>0</v>
      </c>
      <c r="UY306" s="16" t="n">
        <v>0</v>
      </c>
      <c r="UZ306" s="16" t="n">
        <v>0.22</v>
      </c>
      <c r="VA306" s="0" t="n">
        <v>0</v>
      </c>
      <c r="VB306" s="0" t="s">
        <v>841</v>
      </c>
      <c r="VC306" s="0" t="n">
        <v>18.5</v>
      </c>
      <c r="VD306" s="16" t="n">
        <v>91.6</v>
      </c>
      <c r="VE306" s="16" t="n">
        <v>83.4</v>
      </c>
      <c r="VF306" s="16" t="n">
        <v>7.5</v>
      </c>
      <c r="VG306" s="0" t="n">
        <v>96.33</v>
      </c>
      <c r="VH306" s="0" t="n">
        <v>0</v>
      </c>
      <c r="VI306" s="0" t="n">
        <v>0</v>
      </c>
      <c r="VJ306" s="0" t="n">
        <v>0</v>
      </c>
      <c r="VK306" s="0" t="n">
        <v>3.67</v>
      </c>
      <c r="VL306" s="0" t="n">
        <v>0</v>
      </c>
      <c r="VM306" s="0" t="n">
        <v>0</v>
      </c>
      <c r="VN306" s="0" t="n">
        <v>0</v>
      </c>
      <c r="VO306" s="0" t="n">
        <v>0</v>
      </c>
      <c r="VP306" s="0" t="n">
        <v>0</v>
      </c>
      <c r="VQ306" s="0" t="n">
        <v>0</v>
      </c>
      <c r="VR306" s="0" t="n">
        <v>3.67</v>
      </c>
      <c r="VS306" s="0" t="n">
        <v>45.98</v>
      </c>
      <c r="VT306" s="0" t="n">
        <v>17.9</v>
      </c>
      <c r="VU306" s="0" t="n">
        <v>0</v>
      </c>
      <c r="VV306" s="0" t="n">
        <v>0</v>
      </c>
      <c r="VW306" s="0" t="n">
        <v>0</v>
      </c>
      <c r="VX306" s="0" t="n">
        <v>0</v>
      </c>
      <c r="WK306" s="0" t="n">
        <v>0</v>
      </c>
      <c r="WL306" s="0" t="n">
        <v>0</v>
      </c>
      <c r="WW306" s="18"/>
      <c r="XO306" s="0" t="n">
        <v>0</v>
      </c>
      <c r="XS306" s="0" t="n">
        <v>1</v>
      </c>
      <c r="XT306" s="0" t="n">
        <v>50</v>
      </c>
      <c r="XU306" s="0" t="n">
        <v>1</v>
      </c>
      <c r="XV306" s="0" t="n">
        <v>0.04</v>
      </c>
      <c r="XW306" s="0" t="n">
        <v>3</v>
      </c>
      <c r="YZ306" s="16" t="n">
        <v>1.44</v>
      </c>
      <c r="ZA306" s="16" t="n">
        <v>1</v>
      </c>
      <c r="ZB306" s="16" t="n">
        <v>1</v>
      </c>
      <c r="ZC306" s="16"/>
      <c r="ZD306" s="16" t="n">
        <f aca="false">1.65+0.18*2+9.17</f>
        <v>11.18</v>
      </c>
      <c r="ZE306" s="16"/>
      <c r="ZF306" s="16"/>
      <c r="ZG306" s="16"/>
      <c r="ZH306" s="16"/>
      <c r="ZI306" s="16"/>
      <c r="ZJ306" s="16"/>
      <c r="ZK306" s="16" t="n">
        <v>5.88</v>
      </c>
      <c r="ZL306" s="16" t="n">
        <v>13.5</v>
      </c>
      <c r="ZM306" s="16"/>
      <c r="ZN306" s="16"/>
      <c r="ZO306" s="16" t="n">
        <v>3.6</v>
      </c>
      <c r="ZP306" s="16" t="n">
        <v>1.1</v>
      </c>
      <c r="ZQ306" s="16" t="n">
        <v>0</v>
      </c>
      <c r="ZR306" s="0" t="n">
        <v>0</v>
      </c>
      <c r="ZS306" s="0" t="s">
        <v>837</v>
      </c>
      <c r="ZT306" s="0" t="n">
        <v>30.5</v>
      </c>
      <c r="ZU306" s="16" t="n">
        <v>92</v>
      </c>
      <c r="ZV306" s="16" t="n">
        <v>83.4</v>
      </c>
      <c r="ZW306" s="16" t="n">
        <v>5.9</v>
      </c>
      <c r="ZX306" s="0" t="n">
        <v>98.99</v>
      </c>
      <c r="ZY306" s="0" t="n">
        <v>1.01</v>
      </c>
      <c r="ZZ306" s="0" t="n">
        <v>0</v>
      </c>
      <c r="AAA306" s="0" t="n">
        <v>0</v>
      </c>
      <c r="AAB306" s="0" t="n">
        <v>0</v>
      </c>
      <c r="AAC306" s="0" t="n">
        <v>0</v>
      </c>
      <c r="AAD306" s="0" t="n">
        <v>0</v>
      </c>
      <c r="AAE306" s="0" t="n">
        <v>0</v>
      </c>
      <c r="AAF306" s="0" t="n">
        <v>0</v>
      </c>
      <c r="AAG306" s="0" t="n">
        <v>0</v>
      </c>
      <c r="AAH306" s="0" t="n">
        <v>0</v>
      </c>
      <c r="AAI306" s="0" t="n">
        <v>2.66</v>
      </c>
      <c r="AAJ306" s="0" t="n">
        <v>46.99</v>
      </c>
      <c r="AAK306" s="0" t="n">
        <v>16.89</v>
      </c>
      <c r="AAL306" s="0" t="n">
        <v>0</v>
      </c>
      <c r="AAM306" s="0" t="n">
        <v>0</v>
      </c>
      <c r="AAN306" s="0" t="n">
        <v>0</v>
      </c>
      <c r="AAO306" s="0" t="n">
        <v>0</v>
      </c>
      <c r="ABB306" s="0" t="n">
        <v>0</v>
      </c>
      <c r="ABC306" s="0" t="n">
        <v>0</v>
      </c>
      <c r="ABN306" s="18"/>
      <c r="ACF306" s="0" t="n">
        <v>0</v>
      </c>
      <c r="ADQ306" s="16" t="n">
        <v>8</v>
      </c>
      <c r="ADR306" s="16" t="n">
        <v>1</v>
      </c>
      <c r="ADS306" s="16" t="n">
        <v>1</v>
      </c>
      <c r="ADT306" s="16"/>
      <c r="ADU306" s="16" t="n">
        <f aca="false">1.65+0.18*2+9.17</f>
        <v>11.18</v>
      </c>
      <c r="ADV306" s="16"/>
      <c r="ADW306" s="16"/>
      <c r="ADX306" s="16"/>
      <c r="ADY306" s="16"/>
      <c r="ADZ306" s="16"/>
      <c r="AEA306" s="16"/>
      <c r="AEB306" s="16" t="n">
        <v>6.16</v>
      </c>
      <c r="AEC306" s="16" t="n">
        <v>16.16</v>
      </c>
      <c r="AED306" s="16"/>
      <c r="AEE306" s="16"/>
      <c r="AEF306" s="16" t="n">
        <v>10</v>
      </c>
      <c r="AEG306" s="16" t="n">
        <v>1.1</v>
      </c>
      <c r="AEH306" s="16" t="n">
        <v>0</v>
      </c>
      <c r="AEI306" s="0" t="n">
        <v>1</v>
      </c>
      <c r="AEJ306" s="0" t="s">
        <v>838</v>
      </c>
      <c r="AEK306" s="0" t="n">
        <v>47.5</v>
      </c>
      <c r="AEL306" s="16" t="n">
        <v>86.8</v>
      </c>
      <c r="AEM306" s="16" t="n">
        <v>83.4</v>
      </c>
      <c r="AEN306" s="16" t="n">
        <v>26.7</v>
      </c>
      <c r="AEO306" s="0" t="n">
        <v>65.11</v>
      </c>
      <c r="AEP306" s="0" t="n">
        <v>0</v>
      </c>
      <c r="AEQ306" s="0" t="n">
        <v>2.75</v>
      </c>
      <c r="AER306" s="0" t="n">
        <v>0</v>
      </c>
      <c r="AES306" s="0" t="n">
        <v>32.14</v>
      </c>
      <c r="AET306" s="0" t="n">
        <v>0</v>
      </c>
      <c r="AEU306" s="0" t="n">
        <v>0</v>
      </c>
      <c r="AEV306" s="0" t="n">
        <v>0</v>
      </c>
      <c r="AEW306" s="0" t="n">
        <v>0</v>
      </c>
      <c r="AEX306" s="0" t="n">
        <v>0</v>
      </c>
      <c r="AEY306" s="0" t="n">
        <v>0</v>
      </c>
      <c r="AEZ306" s="0" t="n">
        <v>0</v>
      </c>
      <c r="AFA306" s="0" t="n">
        <v>24.37</v>
      </c>
      <c r="AFB306" s="0" t="n">
        <v>6.53</v>
      </c>
      <c r="AFC306" s="0" t="n">
        <v>31.2</v>
      </c>
      <c r="AFD306" s="0" t="n">
        <v>0</v>
      </c>
      <c r="AFE306" s="0" t="n">
        <v>13</v>
      </c>
      <c r="AFF306" s="0" t="n">
        <v>1</v>
      </c>
      <c r="AFG306" s="0" t="n">
        <v>7</v>
      </c>
      <c r="AFI306" s="0" t="n">
        <v>2</v>
      </c>
      <c r="AFS306" s="0" t="n">
        <v>0</v>
      </c>
      <c r="AFT306" s="0" t="n">
        <v>0</v>
      </c>
      <c r="AGE306" s="18"/>
      <c r="AGW306" s="0" t="n">
        <v>0</v>
      </c>
      <c r="AIH306" s="16" t="n">
        <v>2.27</v>
      </c>
      <c r="AII306" s="16" t="n">
        <v>1</v>
      </c>
      <c r="AIJ306" s="16" t="n">
        <v>1</v>
      </c>
      <c r="AIK306" s="16"/>
      <c r="AIL306" s="16" t="n">
        <f aca="false">3.3*3+0.36*4</f>
        <v>11.34</v>
      </c>
      <c r="AIM306" s="16"/>
      <c r="AIN306" s="16"/>
      <c r="AIO306" s="16"/>
      <c r="AIP306" s="16"/>
      <c r="AIQ306" s="16"/>
      <c r="AIR306" s="16"/>
      <c r="AIS306" s="16" t="n">
        <v>5.24</v>
      </c>
      <c r="AIT306" s="16" t="n">
        <v>7.31</v>
      </c>
      <c r="AIU306" s="16"/>
      <c r="AIV306" s="16"/>
      <c r="AIW306" s="16" t="n">
        <v>0</v>
      </c>
      <c r="AIX306" s="16" t="n">
        <v>0</v>
      </c>
      <c r="AIY306" s="16" t="n">
        <v>0</v>
      </c>
      <c r="AIZ306" s="0" t="n">
        <v>0</v>
      </c>
      <c r="AJA306" s="0" t="s">
        <v>839</v>
      </c>
      <c r="AJB306" s="0" t="n">
        <v>48</v>
      </c>
      <c r="AJC306" s="16" t="n">
        <v>84.6</v>
      </c>
      <c r="AJD306" s="16" t="n">
        <v>83.4</v>
      </c>
      <c r="AJE306" s="16" t="n">
        <v>5.9</v>
      </c>
      <c r="AJF306" s="0" t="n">
        <v>36.31</v>
      </c>
      <c r="AJG306" s="0" t="n">
        <v>0</v>
      </c>
      <c r="AJH306" s="0" t="n">
        <v>0</v>
      </c>
      <c r="AJI306" s="0" t="n">
        <v>0</v>
      </c>
      <c r="AJJ306" s="0" t="n">
        <v>63.69</v>
      </c>
      <c r="AJK306" s="0" t="n">
        <v>0</v>
      </c>
      <c r="AJL306" s="0" t="n">
        <v>0</v>
      </c>
      <c r="AJM306" s="0" t="n">
        <v>0</v>
      </c>
      <c r="AJN306" s="0" t="n">
        <v>0</v>
      </c>
      <c r="AJO306" s="0" t="n">
        <v>0</v>
      </c>
      <c r="AJP306" s="0" t="n">
        <v>0</v>
      </c>
      <c r="AJQ306" s="0" t="n">
        <v>2.53</v>
      </c>
      <c r="AJR306" s="0" t="n">
        <v>8.33</v>
      </c>
      <c r="AJS306" s="0" t="n">
        <v>27.3</v>
      </c>
      <c r="AJT306" s="0" t="n">
        <v>39.37</v>
      </c>
      <c r="AJU306" s="0" t="n">
        <v>0</v>
      </c>
      <c r="AJV306" s="0" t="n">
        <v>0</v>
      </c>
      <c r="AJW306" s="0" t="n">
        <v>0</v>
      </c>
      <c r="AKJ306" s="0" t="n">
        <v>0</v>
      </c>
      <c r="AKK306" s="0" t="n">
        <v>0</v>
      </c>
      <c r="AKV306" s="18"/>
      <c r="ALN306" s="0" t="n">
        <v>0</v>
      </c>
    </row>
    <row r="307" customFormat="false" ht="13.8" hidden="false" customHeight="false" outlineLevel="0" collapsed="false">
      <c r="A307" s="1" t="s">
        <v>881</v>
      </c>
      <c r="B307" s="12" t="n">
        <v>42909</v>
      </c>
      <c r="C307" s="0" t="n">
        <v>2</v>
      </c>
      <c r="D307" s="13" t="n">
        <v>42811</v>
      </c>
      <c r="E307" s="12" t="n">
        <v>28027</v>
      </c>
      <c r="F307" s="14" t="n">
        <f aca="false">(B307-E307)/365.25</f>
        <v>40.7446954140999</v>
      </c>
      <c r="G307" s="14" t="n">
        <f aca="false">(B307-D307)/365.25</f>
        <v>0.268309377138946</v>
      </c>
      <c r="H307" s="19" t="s">
        <v>306</v>
      </c>
      <c r="I307" s="15" t="s">
        <v>832</v>
      </c>
      <c r="J307" s="15" t="s">
        <v>183</v>
      </c>
      <c r="K307" s="15" t="n">
        <v>8</v>
      </c>
      <c r="L307" s="19" t="n">
        <v>64</v>
      </c>
      <c r="M307" s="0" t="n">
        <v>1.64</v>
      </c>
      <c r="N307" s="16" t="n">
        <f aca="false">L307/(M307*M307)</f>
        <v>23.7953599048186</v>
      </c>
      <c r="O307" s="19" t="n">
        <v>0</v>
      </c>
      <c r="P307" s="19" t="n">
        <v>0</v>
      </c>
      <c r="Q307" s="19" t="n">
        <v>0</v>
      </c>
      <c r="R307" s="26" t="n">
        <v>0</v>
      </c>
      <c r="S307" s="26" t="n">
        <v>0</v>
      </c>
      <c r="T307" s="26" t="n">
        <v>0</v>
      </c>
      <c r="U307" s="19" t="n">
        <v>0</v>
      </c>
      <c r="V307" s="19" t="n">
        <v>0</v>
      </c>
      <c r="W307" s="19" t="n">
        <v>0</v>
      </c>
      <c r="X307" s="19" t="n">
        <v>0</v>
      </c>
      <c r="Y307" s="19" t="n">
        <v>1</v>
      </c>
      <c r="Z307" s="19" t="n">
        <v>1</v>
      </c>
      <c r="AA307" s="19" t="n">
        <v>90</v>
      </c>
      <c r="AB307" s="19" t="s">
        <v>349</v>
      </c>
      <c r="AC307" s="19" t="n">
        <v>1</v>
      </c>
      <c r="AD307" s="19" t="n">
        <v>10</v>
      </c>
      <c r="AE307" s="19" t="n">
        <v>0</v>
      </c>
      <c r="AF307" s="19" t="n">
        <v>0</v>
      </c>
      <c r="AG307" s="19" t="n">
        <v>0</v>
      </c>
      <c r="AH307" s="19" t="n">
        <v>0</v>
      </c>
      <c r="AI307" s="19" t="n">
        <v>0</v>
      </c>
      <c r="AJ307" s="19" t="n">
        <v>0</v>
      </c>
      <c r="AK307" s="19" t="n">
        <v>0</v>
      </c>
      <c r="AL307" s="19" t="n">
        <v>0</v>
      </c>
      <c r="AM307" s="19" t="n">
        <v>0</v>
      </c>
      <c r="AN307" s="19" t="n">
        <v>0</v>
      </c>
      <c r="AO307" s="19" t="n">
        <v>0</v>
      </c>
      <c r="AP307" s="19" t="n">
        <v>0</v>
      </c>
      <c r="AQ307" s="19" t="n">
        <v>0</v>
      </c>
      <c r="AR307" s="19" t="n">
        <v>0</v>
      </c>
      <c r="AS307" s="19" t="n">
        <v>1</v>
      </c>
      <c r="AT307" s="19" t="n">
        <v>0</v>
      </c>
      <c r="AU307" s="19" t="n">
        <v>0</v>
      </c>
      <c r="AV307" s="19" t="n">
        <v>0</v>
      </c>
      <c r="AW307" s="19" t="n">
        <v>0</v>
      </c>
      <c r="AX307" s="19" t="n">
        <v>0</v>
      </c>
      <c r="AY307" s="19" t="n">
        <v>0</v>
      </c>
      <c r="AZ307" s="19" t="n">
        <v>0</v>
      </c>
      <c r="BA307" s="19" t="n">
        <v>0</v>
      </c>
      <c r="BB307" s="19" t="n">
        <v>0</v>
      </c>
      <c r="BC307" s="19" t="n">
        <v>0</v>
      </c>
      <c r="BD307" s="19" t="n">
        <v>0</v>
      </c>
      <c r="BE307" s="19" t="n">
        <v>0</v>
      </c>
      <c r="BF307" s="19" t="n">
        <v>0</v>
      </c>
      <c r="BG307" s="19" t="n">
        <v>0</v>
      </c>
      <c r="BH307" s="19" t="n">
        <v>0</v>
      </c>
      <c r="BI307" s="19" t="n">
        <v>0</v>
      </c>
      <c r="BJ307" s="19" t="n">
        <v>0</v>
      </c>
      <c r="BK307" s="19" t="n">
        <v>0</v>
      </c>
      <c r="BL307" s="19" t="n">
        <v>0</v>
      </c>
      <c r="BM307" s="19" t="n">
        <v>0</v>
      </c>
      <c r="BN307" s="19" t="n">
        <v>0</v>
      </c>
      <c r="BO307" s="19" t="n">
        <v>0</v>
      </c>
      <c r="BP307" s="19" t="n">
        <v>0</v>
      </c>
      <c r="BQ307" s="19" t="n">
        <v>0</v>
      </c>
      <c r="BR307" s="19" t="n">
        <v>1</v>
      </c>
      <c r="BS307" s="19" t="n">
        <v>1</v>
      </c>
      <c r="BT307" s="19" t="n">
        <v>2</v>
      </c>
      <c r="BU307" s="19" t="n">
        <v>4</v>
      </c>
      <c r="BV307" s="19" t="n">
        <v>3</v>
      </c>
      <c r="BW307" s="19" t="n">
        <v>2</v>
      </c>
      <c r="BX307" s="19" t="n">
        <v>4</v>
      </c>
      <c r="BY307" s="19" t="n">
        <v>4</v>
      </c>
      <c r="BZ307" s="19" t="n">
        <v>5</v>
      </c>
      <c r="CA307" s="19" t="n">
        <v>4</v>
      </c>
      <c r="CB307" s="19" t="n">
        <v>3</v>
      </c>
      <c r="CC307" s="19" t="n">
        <v>5</v>
      </c>
      <c r="CD307" s="19" t="n">
        <v>3</v>
      </c>
      <c r="CE307" s="19" t="n">
        <v>5</v>
      </c>
      <c r="CF307" s="19" t="n">
        <v>4</v>
      </c>
      <c r="CG307" s="19" t="n">
        <v>5</v>
      </c>
      <c r="CH307" s="19" t="n">
        <v>4</v>
      </c>
      <c r="CI307" s="19" t="n">
        <v>4</v>
      </c>
      <c r="CJ307" s="19" t="n">
        <v>3</v>
      </c>
      <c r="CK307" s="19" t="n">
        <v>8</v>
      </c>
      <c r="CL307" s="0" t="s">
        <v>833</v>
      </c>
      <c r="CM307" s="0" t="n">
        <v>31</v>
      </c>
      <c r="CN307" s="16" t="n">
        <v>82.6</v>
      </c>
      <c r="CO307" s="16" t="n">
        <v>83.4</v>
      </c>
      <c r="CP307" s="16" t="n">
        <v>5.7</v>
      </c>
      <c r="CQ307" s="0" t="n">
        <v>99.97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0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0</v>
      </c>
      <c r="DB307" s="0" t="n">
        <v>7.3</v>
      </c>
      <c r="DC307" s="0" t="n">
        <v>53.74</v>
      </c>
      <c r="DD307" s="0" t="n">
        <v>0</v>
      </c>
      <c r="DE307" s="0" t="n">
        <v>0</v>
      </c>
      <c r="DF307" s="0" t="n">
        <v>0</v>
      </c>
      <c r="DG307" s="0" t="n">
        <v>17.6</v>
      </c>
      <c r="DH307" s="0" t="n">
        <v>1</v>
      </c>
      <c r="DI307" s="0" t="n">
        <v>4.6</v>
      </c>
      <c r="DK307" s="0" t="n">
        <v>2</v>
      </c>
      <c r="DU307" s="0" t="n">
        <v>2.4</v>
      </c>
      <c r="DV307" s="0" t="n">
        <v>0</v>
      </c>
      <c r="EG307" s="18"/>
      <c r="EY307" s="0" t="n">
        <v>1</v>
      </c>
      <c r="EZ307" s="0" t="n">
        <v>60</v>
      </c>
      <c r="FA307" s="0" t="n">
        <f aca="false">4+6+1+3+1+3</f>
        <v>18</v>
      </c>
      <c r="FB307" s="0" t="n">
        <f aca="false">0.73+2.2+0.13+0.39+0.78+0.52</f>
        <v>4.75</v>
      </c>
      <c r="FC307" s="0" t="n">
        <v>3</v>
      </c>
      <c r="FD307" s="0" t="n">
        <v>50</v>
      </c>
      <c r="FE307" s="0" t="n">
        <f aca="false">14</f>
        <v>14</v>
      </c>
      <c r="FF307" s="0" t="n">
        <f aca="false">4.4+2.94+0.52</f>
        <v>7.86</v>
      </c>
      <c r="FG307" s="0" t="n">
        <v>3</v>
      </c>
      <c r="GJ307" s="16" t="n">
        <v>0</v>
      </c>
      <c r="GK307" s="16" t="n">
        <v>0</v>
      </c>
      <c r="GL307" s="16"/>
      <c r="GM307" s="16"/>
      <c r="GN307" s="16"/>
      <c r="GO307" s="16"/>
      <c r="GP307" s="16"/>
      <c r="GQ307" s="16"/>
      <c r="GR307" s="16"/>
      <c r="GS307" s="16"/>
      <c r="GT307" s="16"/>
      <c r="GU307" s="16" t="n">
        <v>5.21</v>
      </c>
      <c r="GV307" s="16" t="n">
        <v>2.59</v>
      </c>
      <c r="GW307" s="16"/>
      <c r="GX307" s="16"/>
      <c r="GY307" s="16" t="n">
        <v>0</v>
      </c>
      <c r="GZ307" s="16" t="n">
        <v>0</v>
      </c>
      <c r="HA307" s="16" t="n">
        <v>0</v>
      </c>
      <c r="HB307" s="0" t="n">
        <v>0</v>
      </c>
      <c r="HC307" s="0" t="s">
        <v>834</v>
      </c>
      <c r="HD307" s="0" t="n">
        <v>30.5</v>
      </c>
      <c r="HE307" s="16" t="n">
        <v>73.4</v>
      </c>
      <c r="HF307" s="16" t="n">
        <v>83.4</v>
      </c>
      <c r="HG307" s="16" t="n">
        <v>5.7</v>
      </c>
      <c r="HH307" s="0" t="n">
        <v>100</v>
      </c>
      <c r="HI307" s="0" t="n">
        <v>0</v>
      </c>
      <c r="HJ307" s="0" t="n">
        <v>0</v>
      </c>
      <c r="HK307" s="0" t="n">
        <v>0</v>
      </c>
      <c r="HL307" s="0" t="n">
        <v>0</v>
      </c>
      <c r="HM307" s="0" t="n">
        <v>0</v>
      </c>
      <c r="HN307" s="0" t="n">
        <v>0</v>
      </c>
      <c r="HO307" s="0" t="n">
        <v>0</v>
      </c>
      <c r="HP307" s="0" t="n">
        <v>0</v>
      </c>
      <c r="HQ307" s="0" t="n">
        <v>0</v>
      </c>
      <c r="HR307" s="0" t="n">
        <v>0</v>
      </c>
      <c r="HS307" s="0" t="n">
        <v>7.69</v>
      </c>
      <c r="HT307" s="0" t="n">
        <v>47.61</v>
      </c>
      <c r="HU307" s="0" t="n">
        <v>0</v>
      </c>
      <c r="HV307" s="0" t="n">
        <v>0</v>
      </c>
      <c r="HW307" s="0" t="n">
        <v>0</v>
      </c>
      <c r="HX307" s="0" t="n">
        <v>16.4</v>
      </c>
      <c r="HY307" s="0" t="n">
        <v>1</v>
      </c>
      <c r="HZ307" s="0" t="n">
        <v>4.6</v>
      </c>
      <c r="IB307" s="0" t="n">
        <v>2</v>
      </c>
      <c r="IL307" s="0" t="n">
        <v>1.4</v>
      </c>
      <c r="IM307" s="0" t="n">
        <v>0</v>
      </c>
      <c r="IX307" s="18"/>
      <c r="JP307" s="0" t="n">
        <v>1</v>
      </c>
      <c r="JQ307" s="0" t="n">
        <v>60</v>
      </c>
      <c r="JR307" s="0" t="n">
        <v>7</v>
      </c>
      <c r="JS307" s="0" t="n">
        <f aca="false">0.73+2.2+0.39</f>
        <v>3.32</v>
      </c>
      <c r="JT307" s="0" t="n">
        <v>3</v>
      </c>
      <c r="JU307" s="0" t="n">
        <v>50</v>
      </c>
      <c r="JV307" s="0" t="n">
        <v>10</v>
      </c>
      <c r="JW307" s="0" t="n">
        <f aca="false">4.4+2.94</f>
        <v>7.34</v>
      </c>
      <c r="LA307" s="16" t="n">
        <v>0</v>
      </c>
      <c r="LB307" s="16" t="n">
        <v>0</v>
      </c>
      <c r="LC307" s="16"/>
      <c r="LD307" s="16"/>
      <c r="LE307" s="16"/>
      <c r="LF307" s="16"/>
      <c r="LG307" s="16"/>
      <c r="LH307" s="16"/>
      <c r="LI307" s="16"/>
      <c r="LJ307" s="16"/>
      <c r="LK307" s="16"/>
      <c r="LL307" s="16" t="n">
        <v>6.95</v>
      </c>
      <c r="LM307" s="16" t="n">
        <v>10.27</v>
      </c>
      <c r="LN307" s="16"/>
      <c r="LO307" s="16"/>
      <c r="LP307" s="16" t="n">
        <v>0</v>
      </c>
      <c r="LQ307" s="16" t="n">
        <v>0</v>
      </c>
      <c r="LR307" s="16" t="n">
        <v>0</v>
      </c>
      <c r="LS307" s="0" t="n">
        <v>0</v>
      </c>
      <c r="LT307" s="0" t="s">
        <v>835</v>
      </c>
      <c r="LU307" s="0" t="n">
        <v>19</v>
      </c>
      <c r="LV307" s="16" t="n">
        <v>73.2</v>
      </c>
      <c r="LW307" s="16" t="n">
        <v>83.4</v>
      </c>
      <c r="LX307" s="16" t="n">
        <v>11.1</v>
      </c>
      <c r="LY307" s="0" t="n">
        <v>92.58</v>
      </c>
      <c r="LZ307" s="0" t="n">
        <v>0</v>
      </c>
      <c r="MA307" s="0" t="n">
        <v>1.25</v>
      </c>
      <c r="MB307" s="0" t="n">
        <v>0</v>
      </c>
      <c r="MC307" s="0" t="n">
        <v>5.34</v>
      </c>
      <c r="MD307" s="0" t="n">
        <v>0</v>
      </c>
      <c r="ME307" s="0" t="n">
        <v>0</v>
      </c>
      <c r="MF307" s="0" t="n">
        <v>0</v>
      </c>
      <c r="MG307" s="0" t="n">
        <v>0</v>
      </c>
      <c r="MH307" s="0" t="n">
        <v>0</v>
      </c>
      <c r="MI307" s="0" t="n">
        <v>0</v>
      </c>
      <c r="MJ307" s="0" t="n">
        <v>4.77</v>
      </c>
      <c r="MK307" s="0" t="n">
        <v>22.03</v>
      </c>
      <c r="ML307" s="0" t="n">
        <v>27.08</v>
      </c>
      <c r="MM307" s="0" t="n">
        <v>1.58</v>
      </c>
      <c r="MN307" s="0" t="n">
        <v>0.83</v>
      </c>
      <c r="MO307" s="0" t="n">
        <v>0</v>
      </c>
      <c r="MP307" s="0" t="n">
        <v>0</v>
      </c>
      <c r="NC307" s="0" t="n">
        <v>0.5</v>
      </c>
      <c r="ND307" s="0" t="n">
        <v>1</v>
      </c>
      <c r="NE307" s="0" t="n">
        <v>35</v>
      </c>
      <c r="NF307" s="0" t="n">
        <v>4</v>
      </c>
      <c r="NG307" s="0" t="n">
        <v>0.1</v>
      </c>
      <c r="NH307" s="0" t="n">
        <v>3</v>
      </c>
      <c r="NO307" s="18"/>
      <c r="OG307" s="0" t="n">
        <v>1</v>
      </c>
      <c r="OH307" s="0" t="n">
        <v>40</v>
      </c>
      <c r="OI307" s="0" t="n">
        <v>1</v>
      </c>
      <c r="OJ307" s="0" t="n">
        <v>1.25</v>
      </c>
      <c r="OK307" s="0" t="n">
        <v>3</v>
      </c>
      <c r="OL307" s="0" t="n">
        <v>50</v>
      </c>
      <c r="OM307" s="0" t="n">
        <v>1</v>
      </c>
      <c r="ON307" s="0" t="n">
        <v>0.05</v>
      </c>
      <c r="OO307" s="0" t="n">
        <v>3</v>
      </c>
      <c r="OP307" s="0" t="n">
        <v>60</v>
      </c>
      <c r="OQ307" s="0" t="n">
        <f aca="false">18+9</f>
        <v>27</v>
      </c>
      <c r="OR307" s="0" t="n">
        <f aca="false">2.27+1.14</f>
        <v>3.41</v>
      </c>
      <c r="OS307" s="0" t="n">
        <v>3</v>
      </c>
      <c r="PR307" s="16" t="n">
        <v>3.7</v>
      </c>
      <c r="PS307" s="16" t="n">
        <v>1</v>
      </c>
      <c r="PT307" s="16" t="n">
        <v>1</v>
      </c>
      <c r="PU307" s="16"/>
      <c r="PV307" s="16" t="n">
        <f aca="false">4+0.13+0.01+0.73+1.65+0.02</f>
        <v>6.54</v>
      </c>
      <c r="PW307" s="16" t="n">
        <v>2</v>
      </c>
      <c r="PX307" s="16"/>
      <c r="PY307" s="16" t="n">
        <f aca="false">0.18*2</f>
        <v>0.36</v>
      </c>
      <c r="PZ307" s="16"/>
      <c r="QA307" s="16"/>
      <c r="QB307" s="16"/>
      <c r="QC307" s="16" t="n">
        <v>3.32</v>
      </c>
      <c r="QD307" s="16" t="n">
        <v>3.31</v>
      </c>
      <c r="QE307" s="16"/>
      <c r="QF307" s="16"/>
      <c r="QG307" s="16" t="n">
        <v>0</v>
      </c>
      <c r="QH307" s="16" t="n">
        <v>0</v>
      </c>
      <c r="QI307" s="16" t="n">
        <v>0.22</v>
      </c>
      <c r="QJ307" s="0" t="n">
        <v>0</v>
      </c>
      <c r="QK307" s="0" t="s">
        <v>841</v>
      </c>
      <c r="QL307" s="0" t="n">
        <v>18.5</v>
      </c>
      <c r="QM307" s="16" t="n">
        <v>91.6</v>
      </c>
      <c r="QN307" s="16" t="n">
        <v>83.4</v>
      </c>
      <c r="QO307" s="16" t="n">
        <v>7.5</v>
      </c>
      <c r="QP307" s="0" t="n">
        <v>96.33</v>
      </c>
      <c r="QQ307" s="0" t="n">
        <v>0</v>
      </c>
      <c r="QR307" s="0" t="n">
        <v>0</v>
      </c>
      <c r="QS307" s="0" t="n">
        <v>0</v>
      </c>
      <c r="QT307" s="0" t="n">
        <v>3.67</v>
      </c>
      <c r="QU307" s="0" t="n">
        <v>0</v>
      </c>
      <c r="QV307" s="0" t="n">
        <v>0</v>
      </c>
      <c r="QW307" s="0" t="n">
        <v>0</v>
      </c>
      <c r="QX307" s="0" t="n">
        <v>0</v>
      </c>
      <c r="QY307" s="0" t="n">
        <v>0</v>
      </c>
      <c r="QZ307" s="0" t="n">
        <v>0</v>
      </c>
      <c r="RA307" s="0" t="n">
        <v>3.67</v>
      </c>
      <c r="RB307" s="0" t="n">
        <v>45.98</v>
      </c>
      <c r="RC307" s="0" t="n">
        <v>17.9</v>
      </c>
      <c r="RD307" s="0" t="n">
        <v>0</v>
      </c>
      <c r="RE307" s="0" t="n">
        <v>0</v>
      </c>
      <c r="RF307" s="0" t="n">
        <v>0</v>
      </c>
      <c r="RG307" s="0" t="n">
        <v>0</v>
      </c>
      <c r="RT307" s="0" t="n">
        <v>0</v>
      </c>
      <c r="RU307" s="0" t="n">
        <v>0</v>
      </c>
      <c r="SF307" s="18"/>
      <c r="SX307" s="0" t="n">
        <v>0</v>
      </c>
      <c r="TB307" s="0" t="n">
        <v>1</v>
      </c>
      <c r="TC307" s="0" t="n">
        <v>50</v>
      </c>
      <c r="TD307" s="0" t="n">
        <v>1</v>
      </c>
      <c r="TE307" s="0" t="n">
        <v>0.04</v>
      </c>
      <c r="TF307" s="0" t="n">
        <v>3</v>
      </c>
      <c r="UI307" s="16" t="n">
        <v>1.44</v>
      </c>
      <c r="UJ307" s="16" t="n">
        <v>1</v>
      </c>
      <c r="UK307" s="16" t="n">
        <v>1</v>
      </c>
      <c r="UL307" s="16"/>
      <c r="UM307" s="16" t="n">
        <f aca="false">1.65+0.18*2+9.17</f>
        <v>11.18</v>
      </c>
      <c r="UN307" s="16"/>
      <c r="UO307" s="16"/>
      <c r="UP307" s="16"/>
      <c r="UQ307" s="16"/>
      <c r="UR307" s="16"/>
      <c r="US307" s="16"/>
      <c r="UT307" s="16" t="n">
        <v>5.88</v>
      </c>
      <c r="UU307" s="16" t="n">
        <v>13.5</v>
      </c>
      <c r="UV307" s="16"/>
      <c r="UW307" s="16"/>
      <c r="UX307" s="16" t="n">
        <v>3.6</v>
      </c>
      <c r="UY307" s="16" t="n">
        <v>1.1</v>
      </c>
      <c r="UZ307" s="16" t="n">
        <v>0</v>
      </c>
      <c r="VA307" s="0" t="n">
        <v>0</v>
      </c>
      <c r="VB307" s="0" t="s">
        <v>837</v>
      </c>
      <c r="VC307" s="0" t="n">
        <v>30.5</v>
      </c>
      <c r="VD307" s="16" t="n">
        <v>92</v>
      </c>
      <c r="VE307" s="16" t="n">
        <v>83.4</v>
      </c>
      <c r="VF307" s="16" t="n">
        <v>5.9</v>
      </c>
      <c r="VG307" s="0" t="n">
        <v>98.99</v>
      </c>
      <c r="VH307" s="0" t="n">
        <v>1.01</v>
      </c>
      <c r="VI307" s="0" t="n">
        <v>0</v>
      </c>
      <c r="VJ307" s="0" t="n">
        <v>0</v>
      </c>
      <c r="VK307" s="0" t="n">
        <v>0</v>
      </c>
      <c r="VL307" s="0" t="n">
        <v>0</v>
      </c>
      <c r="VM307" s="0" t="n">
        <v>0</v>
      </c>
      <c r="VN307" s="0" t="n">
        <v>0</v>
      </c>
      <c r="VO307" s="0" t="n">
        <v>0</v>
      </c>
      <c r="VP307" s="0" t="n">
        <v>0</v>
      </c>
      <c r="VQ307" s="0" t="n">
        <v>0</v>
      </c>
      <c r="VR307" s="0" t="n">
        <v>2.66</v>
      </c>
      <c r="VS307" s="0" t="n">
        <v>46.99</v>
      </c>
      <c r="VT307" s="0" t="n">
        <v>16.89</v>
      </c>
      <c r="VU307" s="0" t="n">
        <v>0</v>
      </c>
      <c r="VV307" s="0" t="n">
        <v>0</v>
      </c>
      <c r="VW307" s="0" t="n">
        <v>0</v>
      </c>
      <c r="VX307" s="0" t="n">
        <v>0</v>
      </c>
      <c r="WK307" s="0" t="n">
        <v>0</v>
      </c>
      <c r="WL307" s="0" t="n">
        <v>0</v>
      </c>
      <c r="WW307" s="18"/>
      <c r="XO307" s="0" t="n">
        <v>0</v>
      </c>
      <c r="YZ307" s="16" t="n">
        <v>8</v>
      </c>
      <c r="ZA307" s="16" t="n">
        <v>1</v>
      </c>
      <c r="ZB307" s="16" t="n">
        <v>1</v>
      </c>
      <c r="ZC307" s="16"/>
      <c r="ZD307" s="16" t="n">
        <f aca="false">1.65+0.18*2+9.17</f>
        <v>11.18</v>
      </c>
      <c r="ZE307" s="16"/>
      <c r="ZF307" s="16"/>
      <c r="ZG307" s="16"/>
      <c r="ZH307" s="16"/>
      <c r="ZI307" s="16"/>
      <c r="ZJ307" s="16"/>
      <c r="ZK307" s="16" t="n">
        <v>6.16</v>
      </c>
      <c r="ZL307" s="16" t="n">
        <v>16.16</v>
      </c>
      <c r="ZM307" s="16"/>
      <c r="ZN307" s="16"/>
      <c r="ZO307" s="16" t="n">
        <v>10</v>
      </c>
      <c r="ZP307" s="16" t="n">
        <v>1.1</v>
      </c>
      <c r="ZQ307" s="16" t="n">
        <v>0</v>
      </c>
      <c r="ZR307" s="0" t="n">
        <v>1</v>
      </c>
      <c r="ZS307" s="0" t="s">
        <v>838</v>
      </c>
      <c r="ZT307" s="0" t="n">
        <v>47.5</v>
      </c>
      <c r="ZU307" s="16" t="n">
        <v>86.8</v>
      </c>
      <c r="ZV307" s="16" t="n">
        <v>83.4</v>
      </c>
      <c r="ZW307" s="16" t="n">
        <v>26.7</v>
      </c>
      <c r="ZX307" s="0" t="n">
        <v>65.11</v>
      </c>
      <c r="ZY307" s="0" t="n">
        <v>0</v>
      </c>
      <c r="ZZ307" s="0" t="n">
        <v>2.75</v>
      </c>
      <c r="AAA307" s="0" t="n">
        <v>0</v>
      </c>
      <c r="AAB307" s="0" t="n">
        <v>32.14</v>
      </c>
      <c r="AAC307" s="0" t="n">
        <v>0</v>
      </c>
      <c r="AAD307" s="0" t="n">
        <v>0</v>
      </c>
      <c r="AAE307" s="0" t="n">
        <v>0</v>
      </c>
      <c r="AAF307" s="0" t="n">
        <v>0</v>
      </c>
      <c r="AAG307" s="0" t="n">
        <v>0</v>
      </c>
      <c r="AAH307" s="0" t="n">
        <v>0</v>
      </c>
      <c r="AAI307" s="0" t="n">
        <v>0</v>
      </c>
      <c r="AAJ307" s="0" t="n">
        <v>24.37</v>
      </c>
      <c r="AAK307" s="0" t="n">
        <v>6.53</v>
      </c>
      <c r="AAL307" s="0" t="n">
        <v>31.2</v>
      </c>
      <c r="AAM307" s="0" t="n">
        <v>0</v>
      </c>
      <c r="AAN307" s="0" t="n">
        <v>13</v>
      </c>
      <c r="AAO307" s="0" t="n">
        <v>1</v>
      </c>
      <c r="AAP307" s="0" t="n">
        <v>7</v>
      </c>
      <c r="AAR307" s="0" t="n">
        <v>2</v>
      </c>
      <c r="ABB307" s="0" t="n">
        <v>0</v>
      </c>
      <c r="ABC307" s="0" t="n">
        <v>0</v>
      </c>
      <c r="ABN307" s="18"/>
      <c r="ACF307" s="0" t="n">
        <v>0</v>
      </c>
      <c r="ADQ307" s="16" t="n">
        <v>2.27</v>
      </c>
      <c r="ADR307" s="16" t="n">
        <v>1</v>
      </c>
      <c r="ADS307" s="16" t="n">
        <v>1</v>
      </c>
      <c r="ADT307" s="16"/>
      <c r="ADU307" s="16" t="n">
        <f aca="false">3.3*3+0.36*4</f>
        <v>11.34</v>
      </c>
      <c r="ADV307" s="16"/>
      <c r="ADW307" s="16"/>
      <c r="ADX307" s="16"/>
      <c r="ADY307" s="16"/>
      <c r="ADZ307" s="16"/>
      <c r="AEA307" s="16"/>
      <c r="AEB307" s="16" t="n">
        <v>5.24</v>
      </c>
      <c r="AEC307" s="16" t="n">
        <v>7.31</v>
      </c>
      <c r="AED307" s="16"/>
      <c r="AEE307" s="16"/>
      <c r="AEF307" s="16" t="n">
        <v>0</v>
      </c>
      <c r="AEG307" s="16" t="n">
        <v>0</v>
      </c>
      <c r="AEH307" s="16" t="n">
        <v>0</v>
      </c>
      <c r="AEI307" s="0" t="n">
        <v>0</v>
      </c>
      <c r="AEJ307" s="0" t="s">
        <v>839</v>
      </c>
      <c r="AEK307" s="0" t="n">
        <v>48</v>
      </c>
      <c r="AEL307" s="16" t="n">
        <v>84.6</v>
      </c>
      <c r="AEM307" s="16" t="n">
        <v>83.4</v>
      </c>
      <c r="AEN307" s="16" t="n">
        <v>5.9</v>
      </c>
      <c r="AEO307" s="0" t="n">
        <v>36.31</v>
      </c>
      <c r="AEP307" s="0" t="n">
        <v>0</v>
      </c>
      <c r="AEQ307" s="0" t="n">
        <v>0</v>
      </c>
      <c r="AER307" s="0" t="n">
        <v>0</v>
      </c>
      <c r="AES307" s="0" t="n">
        <v>63.69</v>
      </c>
      <c r="AET307" s="0" t="n">
        <v>0</v>
      </c>
      <c r="AEU307" s="0" t="n">
        <v>0</v>
      </c>
      <c r="AEV307" s="0" t="n">
        <v>0</v>
      </c>
      <c r="AEW307" s="0" t="n">
        <v>0</v>
      </c>
      <c r="AEX307" s="0" t="n">
        <v>0</v>
      </c>
      <c r="AEY307" s="0" t="n">
        <v>0</v>
      </c>
      <c r="AEZ307" s="0" t="n">
        <v>2.53</v>
      </c>
      <c r="AFA307" s="0" t="n">
        <v>8.33</v>
      </c>
      <c r="AFB307" s="0" t="n">
        <v>27.3</v>
      </c>
      <c r="AFC307" s="0" t="n">
        <v>39.37</v>
      </c>
      <c r="AFD307" s="0" t="n">
        <v>0</v>
      </c>
      <c r="AFE307" s="0" t="n">
        <v>0</v>
      </c>
      <c r="AFF307" s="0" t="n">
        <v>0</v>
      </c>
      <c r="AFS307" s="0" t="n">
        <v>0</v>
      </c>
      <c r="AFT307" s="0" t="n">
        <v>0</v>
      </c>
      <c r="AGE307" s="18"/>
      <c r="AGW307" s="0" t="n">
        <v>0</v>
      </c>
      <c r="AIH307" s="16" t="n">
        <v>8</v>
      </c>
      <c r="AII307" s="16" t="n">
        <v>1</v>
      </c>
      <c r="AIJ307" s="16" t="n">
        <v>1</v>
      </c>
      <c r="AIK307" s="16"/>
      <c r="AIL307" s="16" t="n">
        <f aca="false">3.3*2+4.95+0.36*5</f>
        <v>13.35</v>
      </c>
      <c r="AIM307" s="16"/>
      <c r="AIN307" s="16"/>
      <c r="AIO307" s="16"/>
      <c r="AIP307" s="16"/>
      <c r="AIQ307" s="16"/>
      <c r="AIR307" s="16"/>
      <c r="AIS307" s="16" t="n">
        <v>6.16</v>
      </c>
      <c r="AIT307" s="16" t="n">
        <v>12.89</v>
      </c>
      <c r="AIU307" s="16"/>
      <c r="AIV307" s="16"/>
      <c r="AIW307" s="16" t="n">
        <v>0</v>
      </c>
      <c r="AIX307" s="16" t="n">
        <v>0</v>
      </c>
      <c r="AIY307" s="16" t="n">
        <v>0</v>
      </c>
      <c r="AIZ307" s="0" t="n">
        <v>0</v>
      </c>
      <c r="AJA307" s="0" t="s">
        <v>882</v>
      </c>
      <c r="AJB307" s="0" t="n">
        <v>34</v>
      </c>
      <c r="AJC307" s="16" t="n">
        <v>85.8</v>
      </c>
      <c r="AJD307" s="16" t="n">
        <v>83.4</v>
      </c>
      <c r="AJE307" s="16" t="n">
        <v>4.5</v>
      </c>
      <c r="AJF307" s="0" t="n">
        <v>98.84</v>
      </c>
      <c r="AJG307" s="0" t="n">
        <v>0</v>
      </c>
      <c r="AJH307" s="0" t="n">
        <v>0</v>
      </c>
      <c r="AJI307" s="0" t="n">
        <v>0</v>
      </c>
      <c r="AJJ307" s="0" t="n">
        <v>1.16</v>
      </c>
      <c r="AJK307" s="0" t="n">
        <v>0</v>
      </c>
      <c r="AJL307" s="0" t="n">
        <v>0</v>
      </c>
      <c r="AJM307" s="0" t="n">
        <v>0</v>
      </c>
      <c r="AJN307" s="0" t="n">
        <v>0</v>
      </c>
      <c r="AJO307" s="0" t="n">
        <v>0</v>
      </c>
      <c r="AJP307" s="0" t="n">
        <v>0</v>
      </c>
      <c r="AJQ307" s="0" t="n">
        <v>0</v>
      </c>
      <c r="AJR307" s="0" t="n">
        <v>64.52</v>
      </c>
      <c r="AJS307" s="0" t="n">
        <v>0.34</v>
      </c>
      <c r="AJT307" s="0" t="n">
        <v>0.45</v>
      </c>
      <c r="AJU307" s="0" t="n">
        <v>0</v>
      </c>
      <c r="AJV307" s="0" t="n">
        <v>15.8</v>
      </c>
      <c r="AJW307" s="0" t="n">
        <v>1</v>
      </c>
      <c r="AJX307" s="0" t="n">
        <v>3</v>
      </c>
      <c r="AJZ307" s="0" t="n">
        <v>1</v>
      </c>
      <c r="AKJ307" s="0" t="n">
        <v>2.4</v>
      </c>
      <c r="AKK307" s="0" t="n">
        <v>0</v>
      </c>
      <c r="AKV307" s="18"/>
      <c r="ALN307" s="0" t="n">
        <v>1</v>
      </c>
      <c r="ALO307" s="0" t="n">
        <v>40</v>
      </c>
      <c r="ALP307" s="0" t="n">
        <v>2</v>
      </c>
      <c r="ALQ307" s="0" t="n">
        <v>0.01</v>
      </c>
      <c r="ALR307" s="0" t="n">
        <v>1</v>
      </c>
      <c r="ALS307" s="0" t="n">
        <v>50</v>
      </c>
      <c r="ALT307" s="0" t="n">
        <v>1</v>
      </c>
      <c r="ALU307" s="0" t="n">
        <v>0.04</v>
      </c>
      <c r="ALV307" s="0" t="n">
        <v>1</v>
      </c>
      <c r="ALW307" s="0" t="n">
        <v>80</v>
      </c>
      <c r="ALX307" s="0" t="n">
        <v>4</v>
      </c>
      <c r="ALY307" s="0" t="n">
        <v>0.52</v>
      </c>
      <c r="ALZ307" s="0" t="n">
        <v>2</v>
      </c>
      <c r="AMA307" s="0" t="n">
        <v>60</v>
      </c>
      <c r="AMB307" s="0" t="n">
        <v>27</v>
      </c>
      <c r="AMC307" s="0" t="n">
        <f aca="false">2.33+1.16</f>
        <v>3.49</v>
      </c>
      <c r="AMD307" s="0" t="n">
        <v>2</v>
      </c>
    </row>
    <row r="308" customFormat="false" ht="14.4" hidden="false" customHeight="false" outlineLevel="0" collapsed="false">
      <c r="A308" s="1" t="s">
        <v>883</v>
      </c>
      <c r="B308" s="12" t="n">
        <v>42908</v>
      </c>
      <c r="C308" s="0" t="n">
        <v>2</v>
      </c>
      <c r="D308" s="13" t="n">
        <v>42821</v>
      </c>
      <c r="E308" s="12" t="n">
        <v>35284</v>
      </c>
      <c r="F308" s="14" t="n">
        <f aca="false">(B308-E308)/365.25</f>
        <v>20.8733744010951</v>
      </c>
      <c r="G308" s="14" t="n">
        <f aca="false">(B308-D308)/365.25</f>
        <v>0.238193018480493</v>
      </c>
      <c r="H308" s="19" t="s">
        <v>306</v>
      </c>
      <c r="I308" s="15" t="s">
        <v>832</v>
      </c>
      <c r="J308" s="15" t="s">
        <v>183</v>
      </c>
      <c r="K308" s="15" t="n">
        <v>8</v>
      </c>
      <c r="L308" s="19" t="n">
        <v>70</v>
      </c>
      <c r="M308" s="0" t="n">
        <v>1.75</v>
      </c>
      <c r="N308" s="16" t="n">
        <f aca="false">L308/(M308*M308)</f>
        <v>22.8571428571429</v>
      </c>
      <c r="O308" s="19" t="n">
        <v>0</v>
      </c>
      <c r="P308" s="19" t="n">
        <v>0</v>
      </c>
      <c r="Q308" s="19" t="n">
        <v>0</v>
      </c>
      <c r="R308" s="26" t="n">
        <v>0</v>
      </c>
      <c r="S308" s="26" t="n">
        <v>0</v>
      </c>
      <c r="T308" s="26" t="n">
        <v>0</v>
      </c>
      <c r="U308" s="19" t="n">
        <v>0</v>
      </c>
      <c r="V308" s="19" t="n">
        <v>0</v>
      </c>
      <c r="W308" s="19" t="n">
        <v>0</v>
      </c>
      <c r="X308" s="19" t="n">
        <v>0</v>
      </c>
      <c r="Y308" s="19" t="n">
        <v>1</v>
      </c>
      <c r="Z308" s="19" t="n">
        <v>2</v>
      </c>
      <c r="AA308" s="19" t="n">
        <v>30</v>
      </c>
      <c r="AB308" s="19" t="s">
        <v>284</v>
      </c>
      <c r="AC308" s="19" t="n">
        <v>0</v>
      </c>
      <c r="AD308" s="19" t="n">
        <v>0</v>
      </c>
      <c r="AE308" s="19" t="n">
        <v>0</v>
      </c>
      <c r="AF308" s="19" t="n">
        <v>0</v>
      </c>
      <c r="AG308" s="19" t="n">
        <v>0</v>
      </c>
      <c r="AH308" s="19" t="n">
        <v>0</v>
      </c>
      <c r="AI308" s="19" t="n">
        <v>0</v>
      </c>
      <c r="AJ308" s="19" t="n">
        <v>0</v>
      </c>
      <c r="AK308" s="19" t="n">
        <v>0</v>
      </c>
      <c r="AL308" s="19" t="n">
        <v>0</v>
      </c>
      <c r="AM308" s="19" t="n">
        <v>0</v>
      </c>
      <c r="AN308" s="19" t="n">
        <v>0</v>
      </c>
      <c r="AO308" s="19" t="n">
        <v>0</v>
      </c>
      <c r="AP308" s="19" t="n">
        <v>0</v>
      </c>
      <c r="AQ308" s="19" t="n">
        <v>0</v>
      </c>
      <c r="AR308" s="19" t="n">
        <v>0</v>
      </c>
      <c r="AS308" s="19" t="n">
        <v>0</v>
      </c>
      <c r="AT308" s="19" t="n">
        <v>0</v>
      </c>
      <c r="AU308" s="19" t="n">
        <v>0</v>
      </c>
      <c r="AV308" s="19" t="n">
        <v>0</v>
      </c>
      <c r="AW308" s="19" t="n">
        <v>0</v>
      </c>
      <c r="AX308" s="19" t="n">
        <v>0</v>
      </c>
      <c r="AY308" s="19" t="n">
        <v>0</v>
      </c>
      <c r="AZ308" s="19" t="n">
        <v>0</v>
      </c>
      <c r="BA308" s="19" t="n">
        <v>0</v>
      </c>
      <c r="BB308" s="19" t="n">
        <v>0</v>
      </c>
      <c r="BC308" s="19" t="n">
        <v>0</v>
      </c>
      <c r="BD308" s="19" t="n">
        <v>0</v>
      </c>
      <c r="BE308" s="19" t="n">
        <v>0</v>
      </c>
      <c r="BF308" s="19" t="n">
        <v>0</v>
      </c>
      <c r="BG308" s="19" t="n">
        <v>0</v>
      </c>
      <c r="BH308" s="19" t="n">
        <v>0</v>
      </c>
      <c r="BI308" s="19" t="n">
        <v>0</v>
      </c>
      <c r="BJ308" s="19" t="n">
        <v>0</v>
      </c>
      <c r="BK308" s="19" t="n">
        <v>0</v>
      </c>
      <c r="BL308" s="19" t="n">
        <v>0</v>
      </c>
      <c r="BM308" s="19" t="n">
        <v>0</v>
      </c>
      <c r="BN308" s="19" t="n">
        <v>0</v>
      </c>
      <c r="BO308" s="19" t="n">
        <v>0</v>
      </c>
      <c r="BP308" s="19" t="n">
        <v>0</v>
      </c>
      <c r="BQ308" s="19" t="n">
        <v>0</v>
      </c>
      <c r="BR308" s="19" t="n">
        <v>2</v>
      </c>
      <c r="BS308" s="19" t="n">
        <v>2</v>
      </c>
      <c r="BT308" s="19" t="n">
        <v>2</v>
      </c>
      <c r="BU308" s="19" t="n">
        <v>4</v>
      </c>
      <c r="BV308" s="19" t="n">
        <v>2</v>
      </c>
      <c r="BW308" s="19" t="n">
        <v>1</v>
      </c>
      <c r="BX308" s="19" t="n">
        <v>4</v>
      </c>
      <c r="BY308" s="19" t="n">
        <v>3</v>
      </c>
      <c r="BZ308" s="19" t="n">
        <v>4</v>
      </c>
      <c r="CA308" s="19" t="n">
        <v>2</v>
      </c>
      <c r="CB308" s="19" t="n">
        <v>5</v>
      </c>
      <c r="CC308" s="19" t="n">
        <v>4</v>
      </c>
      <c r="CD308" s="19" t="n">
        <v>4</v>
      </c>
      <c r="CE308" s="19" t="n">
        <v>4</v>
      </c>
      <c r="CF308" s="19" t="n">
        <v>4</v>
      </c>
      <c r="CG308" s="19" t="n">
        <v>4</v>
      </c>
      <c r="CH308" s="19" t="n">
        <v>4</v>
      </c>
      <c r="CI308" s="19" t="n">
        <v>3</v>
      </c>
      <c r="CJ308" s="19" t="n">
        <v>4</v>
      </c>
      <c r="CK308" s="19" t="n">
        <v>8</v>
      </c>
      <c r="CL308" s="0" t="n">
        <v>92</v>
      </c>
      <c r="CM308" s="0" t="n">
        <v>38.5</v>
      </c>
      <c r="CN308" s="16" t="n">
        <v>77.5</v>
      </c>
      <c r="CO308" s="16" t="n">
        <v>83.4</v>
      </c>
      <c r="CP308" s="16" t="n">
        <v>19.1</v>
      </c>
      <c r="CQ308" s="0" t="n">
        <v>78.18</v>
      </c>
      <c r="CR308" s="0" t="n">
        <v>0</v>
      </c>
      <c r="CS308" s="0" t="n">
        <v>2.48</v>
      </c>
      <c r="CT308" s="0" t="n">
        <v>0</v>
      </c>
      <c r="CU308" s="0" t="n">
        <v>19.34</v>
      </c>
      <c r="CV308" s="0" t="n">
        <v>0</v>
      </c>
      <c r="CW308" s="0" t="n">
        <v>0</v>
      </c>
      <c r="CX308" s="0" t="n">
        <v>0</v>
      </c>
      <c r="CY308" s="0" t="n">
        <v>0</v>
      </c>
      <c r="CZ308" s="0" t="n">
        <v>0</v>
      </c>
      <c r="DA308" s="0" t="n">
        <v>0</v>
      </c>
      <c r="DB308" s="0" t="n">
        <v>0</v>
      </c>
      <c r="DC308" s="0" t="n">
        <v>4.11</v>
      </c>
      <c r="DD308" s="0" t="n">
        <v>21.82</v>
      </c>
      <c r="DE308" s="0" t="n">
        <v>10.65</v>
      </c>
      <c r="DF308" s="0" t="n">
        <v>0</v>
      </c>
      <c r="DG308" s="0" t="n">
        <v>16.9</v>
      </c>
      <c r="DH308" s="0" t="n">
        <v>1</v>
      </c>
      <c r="DI308" s="0" t="n">
        <v>6</v>
      </c>
      <c r="DK308" s="0" t="n">
        <v>1</v>
      </c>
      <c r="DU308" s="0" t="n">
        <v>0</v>
      </c>
      <c r="DV308" s="0" t="n">
        <v>0</v>
      </c>
      <c r="EG308" s="18"/>
      <c r="EY308" s="0" t="n">
        <v>0</v>
      </c>
      <c r="GJ308" s="16" t="n">
        <v>0</v>
      </c>
      <c r="GK308" s="16" t="n">
        <v>0</v>
      </c>
      <c r="GL308" s="16"/>
      <c r="GM308" s="16"/>
      <c r="GN308" s="16"/>
      <c r="GO308" s="16"/>
      <c r="GP308" s="16"/>
      <c r="GQ308" s="16"/>
      <c r="GR308" s="16"/>
      <c r="GS308" s="16"/>
      <c r="GT308" s="16"/>
      <c r="GU308" s="16" t="n">
        <v>2.48</v>
      </c>
      <c r="GV308" s="16" t="n">
        <v>2.48</v>
      </c>
      <c r="GW308" s="16"/>
      <c r="GX308" s="16"/>
      <c r="GY308" s="16" t="n">
        <v>0</v>
      </c>
      <c r="GZ308" s="16" t="n">
        <v>0</v>
      </c>
      <c r="HA308" s="16" t="n">
        <v>0</v>
      </c>
      <c r="HB308" s="0" t="n">
        <v>0</v>
      </c>
      <c r="HC308" s="0" t="s">
        <v>833</v>
      </c>
      <c r="HD308" s="0" t="n">
        <v>31</v>
      </c>
      <c r="HE308" s="16" t="n">
        <v>82.6</v>
      </c>
      <c r="HF308" s="16" t="n">
        <v>83.4</v>
      </c>
      <c r="HG308" s="16" t="n">
        <v>5.7</v>
      </c>
      <c r="HH308" s="0" t="n">
        <v>99.97</v>
      </c>
      <c r="HI308" s="0" t="n">
        <v>0</v>
      </c>
      <c r="HJ308" s="0" t="n">
        <v>0</v>
      </c>
      <c r="HK308" s="0" t="n">
        <v>0</v>
      </c>
      <c r="HL308" s="0" t="n">
        <v>0</v>
      </c>
      <c r="HM308" s="0" t="n">
        <v>0</v>
      </c>
      <c r="HN308" s="0" t="n">
        <v>0</v>
      </c>
      <c r="HO308" s="0" t="n">
        <v>0</v>
      </c>
      <c r="HP308" s="0" t="n">
        <v>0</v>
      </c>
      <c r="HQ308" s="0" t="n">
        <v>0</v>
      </c>
      <c r="HR308" s="0" t="n">
        <v>0</v>
      </c>
      <c r="HS308" s="0" t="n">
        <v>7.3</v>
      </c>
      <c r="HT308" s="0" t="n">
        <v>53.74</v>
      </c>
      <c r="HU308" s="0" t="n">
        <v>0</v>
      </c>
      <c r="HV308" s="0" t="n">
        <v>0</v>
      </c>
      <c r="HW308" s="0" t="n">
        <v>0</v>
      </c>
      <c r="HX308" s="0" t="n">
        <v>17.6</v>
      </c>
      <c r="HY308" s="0" t="n">
        <v>1</v>
      </c>
      <c r="HZ308" s="0" t="n">
        <v>4.6</v>
      </c>
      <c r="IB308" s="0" t="n">
        <v>2</v>
      </c>
      <c r="IL308" s="0" t="n">
        <v>2.4</v>
      </c>
      <c r="IM308" s="0" t="n">
        <v>0</v>
      </c>
      <c r="IX308" s="18"/>
      <c r="JP308" s="0" t="n">
        <v>1</v>
      </c>
      <c r="JQ308" s="0" t="n">
        <v>60</v>
      </c>
      <c r="JR308" s="0" t="n">
        <f aca="false">4+6+1+3+1+3</f>
        <v>18</v>
      </c>
      <c r="JS308" s="0" t="n">
        <f aca="false">0.73+2.2+0.13+0.39+0.78+0.52</f>
        <v>4.75</v>
      </c>
      <c r="JT308" s="0" t="n">
        <v>3</v>
      </c>
      <c r="JU308" s="0" t="n">
        <v>50</v>
      </c>
      <c r="JV308" s="0" t="n">
        <f aca="false">14</f>
        <v>14</v>
      </c>
      <c r="JW308" s="0" t="n">
        <f aca="false">4.4+2.94+0.52</f>
        <v>7.86</v>
      </c>
      <c r="JX308" s="0" t="n">
        <v>3</v>
      </c>
      <c r="LA308" s="16" t="n">
        <v>0</v>
      </c>
      <c r="LB308" s="16" t="n">
        <v>0</v>
      </c>
      <c r="LC308" s="16"/>
      <c r="LD308" s="16"/>
      <c r="LE308" s="16"/>
      <c r="LF308" s="16"/>
      <c r="LG308" s="16"/>
      <c r="LH308" s="16"/>
      <c r="LI308" s="16"/>
      <c r="LJ308" s="16"/>
      <c r="LK308" s="16"/>
      <c r="LL308" s="16" t="n">
        <v>5.21</v>
      </c>
      <c r="LM308" s="16" t="n">
        <v>2.59</v>
      </c>
      <c r="LN308" s="16"/>
      <c r="LO308" s="16"/>
      <c r="LP308" s="16" t="n">
        <v>0</v>
      </c>
      <c r="LQ308" s="16" t="n">
        <v>0</v>
      </c>
      <c r="LR308" s="16" t="n">
        <v>0</v>
      </c>
      <c r="LS308" s="0" t="n">
        <v>0</v>
      </c>
      <c r="LT308" s="0" t="s">
        <v>834</v>
      </c>
      <c r="LU308" s="0" t="n">
        <v>30.5</v>
      </c>
      <c r="LV308" s="16" t="n">
        <v>73.4</v>
      </c>
      <c r="LW308" s="16" t="n">
        <v>83.4</v>
      </c>
      <c r="LX308" s="16" t="n">
        <v>5.7</v>
      </c>
      <c r="LY308" s="0" t="n">
        <v>100</v>
      </c>
      <c r="LZ308" s="0" t="n">
        <v>0</v>
      </c>
      <c r="MA308" s="0" t="n">
        <v>0</v>
      </c>
      <c r="MB308" s="0" t="n">
        <v>0</v>
      </c>
      <c r="MC308" s="0" t="n">
        <v>0</v>
      </c>
      <c r="MD308" s="0" t="n">
        <v>0</v>
      </c>
      <c r="ME308" s="0" t="n">
        <v>0</v>
      </c>
      <c r="MF308" s="0" t="n">
        <v>0</v>
      </c>
      <c r="MG308" s="0" t="n">
        <v>0</v>
      </c>
      <c r="MH308" s="0" t="n">
        <v>0</v>
      </c>
      <c r="MI308" s="0" t="n">
        <v>0</v>
      </c>
      <c r="MJ308" s="0" t="n">
        <v>7.69</v>
      </c>
      <c r="MK308" s="0" t="n">
        <v>47.61</v>
      </c>
      <c r="ML308" s="0" t="n">
        <v>0</v>
      </c>
      <c r="MM308" s="0" t="n">
        <v>0</v>
      </c>
      <c r="MN308" s="0" t="n">
        <v>0</v>
      </c>
      <c r="MO308" s="0" t="n">
        <v>16.4</v>
      </c>
      <c r="MP308" s="0" t="n">
        <v>1</v>
      </c>
      <c r="MQ308" s="0" t="n">
        <v>4.6</v>
      </c>
      <c r="MS308" s="0" t="n">
        <v>2</v>
      </c>
      <c r="NC308" s="0" t="n">
        <v>1.4</v>
      </c>
      <c r="ND308" s="0" t="n">
        <v>0</v>
      </c>
      <c r="NO308" s="18"/>
      <c r="OG308" s="0" t="n">
        <v>1</v>
      </c>
      <c r="OH308" s="0" t="n">
        <v>60</v>
      </c>
      <c r="OI308" s="0" t="n">
        <v>7</v>
      </c>
      <c r="OJ308" s="0" t="n">
        <f aca="false">0.73+2.2+0.39</f>
        <v>3.32</v>
      </c>
      <c r="OK308" s="0" t="n">
        <v>3</v>
      </c>
      <c r="OL308" s="0" t="n">
        <v>50</v>
      </c>
      <c r="OM308" s="0" t="n">
        <v>10</v>
      </c>
      <c r="ON308" s="0" t="n">
        <f aca="false">4.4+2.94</f>
        <v>7.34</v>
      </c>
      <c r="PR308" s="16" t="n">
        <v>0</v>
      </c>
      <c r="PS308" s="16" t="n">
        <v>0</v>
      </c>
      <c r="PT308" s="16"/>
      <c r="PU308" s="16"/>
      <c r="PV308" s="16"/>
      <c r="PW308" s="16"/>
      <c r="PX308" s="16"/>
      <c r="PY308" s="16"/>
      <c r="PZ308" s="16"/>
      <c r="QA308" s="16"/>
      <c r="QB308" s="16"/>
      <c r="QC308" s="16" t="n">
        <v>6.95</v>
      </c>
      <c r="QD308" s="16" t="n">
        <v>10.27</v>
      </c>
      <c r="QE308" s="16"/>
      <c r="QF308" s="16"/>
      <c r="QG308" s="16" t="n">
        <v>0</v>
      </c>
      <c r="QH308" s="16" t="n">
        <v>0</v>
      </c>
      <c r="QI308" s="16" t="n">
        <v>0</v>
      </c>
      <c r="QJ308" s="0" t="n">
        <v>0</v>
      </c>
      <c r="QK308" s="0" t="n">
        <v>94</v>
      </c>
      <c r="QL308" s="0" t="n">
        <v>24.5</v>
      </c>
      <c r="QM308" s="16" t="n">
        <v>88.7</v>
      </c>
      <c r="QN308" s="16" t="n">
        <v>83.4</v>
      </c>
      <c r="QO308" s="16" t="n">
        <v>23.1</v>
      </c>
      <c r="QP308" s="0" t="n">
        <v>69.95</v>
      </c>
      <c r="QQ308" s="0" t="n">
        <v>0</v>
      </c>
      <c r="QR308" s="0" t="n">
        <v>7.16</v>
      </c>
      <c r="QS308" s="0" t="n">
        <v>0</v>
      </c>
      <c r="QT308" s="0" t="n">
        <v>0</v>
      </c>
      <c r="QU308" s="0" t="n">
        <v>0</v>
      </c>
      <c r="QV308" s="0" t="n">
        <v>0</v>
      </c>
      <c r="QW308" s="0" t="n">
        <v>0</v>
      </c>
      <c r="QX308" s="0" t="n">
        <v>0</v>
      </c>
      <c r="QY308" s="0" t="n">
        <v>0</v>
      </c>
      <c r="QZ308" s="0" t="n">
        <v>0</v>
      </c>
      <c r="RA308" s="0" t="n">
        <v>0</v>
      </c>
      <c r="RB308" s="0" t="n">
        <v>34.04</v>
      </c>
      <c r="RC308" s="0" t="n">
        <v>20.5</v>
      </c>
      <c r="RD308" s="0" t="n">
        <v>0</v>
      </c>
      <c r="RE308" s="0" t="n">
        <v>22.9</v>
      </c>
      <c r="RF308" s="0" t="n">
        <v>0</v>
      </c>
      <c r="RG308" s="0" t="n">
        <v>0</v>
      </c>
      <c r="RT308" s="0" t="n">
        <v>0</v>
      </c>
      <c r="RU308" s="0" t="n">
        <v>0</v>
      </c>
      <c r="SF308" s="18"/>
      <c r="SX308" s="0" t="n">
        <v>0</v>
      </c>
      <c r="UI308" s="16" t="n">
        <v>0</v>
      </c>
      <c r="UJ308" s="16" t="n">
        <v>0</v>
      </c>
      <c r="UK308" s="16"/>
      <c r="UL308" s="16"/>
      <c r="UM308" s="16"/>
      <c r="UN308" s="16"/>
      <c r="UO308" s="16"/>
      <c r="UP308" s="16"/>
      <c r="UQ308" s="16"/>
      <c r="UR308" s="16"/>
      <c r="US308" s="16"/>
      <c r="UT308" s="16" t="n">
        <v>0</v>
      </c>
      <c r="UU308" s="16" t="n">
        <v>0</v>
      </c>
      <c r="UV308" s="16"/>
      <c r="UW308" s="16"/>
      <c r="UX308" s="16" t="n">
        <v>0</v>
      </c>
      <c r="UY308" s="16" t="n">
        <v>0</v>
      </c>
      <c r="UZ308" s="16" t="n">
        <v>1.44</v>
      </c>
      <c r="VA308" s="0" t="n">
        <v>0</v>
      </c>
      <c r="VB308" s="40" t="s">
        <v>835</v>
      </c>
      <c r="VC308" s="40" t="n">
        <v>19</v>
      </c>
      <c r="VD308" s="41" t="n">
        <v>73.2</v>
      </c>
      <c r="VE308" s="41" t="n">
        <v>83.4</v>
      </c>
      <c r="VF308" s="41" t="n">
        <v>11.1</v>
      </c>
      <c r="VG308" s="40" t="n">
        <v>92.58</v>
      </c>
      <c r="VH308" s="40" t="n">
        <v>0</v>
      </c>
      <c r="VI308" s="40" t="n">
        <v>1.25</v>
      </c>
      <c r="VJ308" s="40" t="n">
        <v>0</v>
      </c>
      <c r="VK308" s="40" t="n">
        <v>5.34</v>
      </c>
      <c r="VL308" s="40" t="n">
        <v>0</v>
      </c>
      <c r="VM308" s="40" t="n">
        <v>0</v>
      </c>
      <c r="VN308" s="40" t="n">
        <v>0</v>
      </c>
      <c r="VO308" s="40" t="n">
        <v>0</v>
      </c>
      <c r="VP308" s="40" t="n">
        <v>0</v>
      </c>
      <c r="VQ308" s="40" t="n">
        <v>0</v>
      </c>
      <c r="VR308" s="40" t="n">
        <v>4.77</v>
      </c>
      <c r="VS308" s="40" t="n">
        <v>22.03</v>
      </c>
      <c r="VT308" s="40" t="n">
        <v>27.08</v>
      </c>
      <c r="VU308" s="40" t="n">
        <v>1.58</v>
      </c>
      <c r="VV308" s="40" t="n">
        <v>0.83</v>
      </c>
      <c r="VW308" s="40" t="n">
        <v>0</v>
      </c>
      <c r="VX308" s="40" t="n">
        <v>0</v>
      </c>
      <c r="VY308" s="40"/>
      <c r="VZ308" s="40"/>
      <c r="WA308" s="40"/>
      <c r="WB308" s="40"/>
      <c r="WC308" s="40"/>
      <c r="WD308" s="40"/>
      <c r="WE308" s="40"/>
      <c r="WF308" s="40"/>
      <c r="WG308" s="40"/>
      <c r="WH308" s="40"/>
      <c r="WI308" s="40"/>
      <c r="WJ308" s="40"/>
      <c r="WK308" s="40" t="n">
        <v>0.5</v>
      </c>
      <c r="WL308" s="40" t="n">
        <v>1</v>
      </c>
      <c r="WM308" s="40" t="n">
        <v>35</v>
      </c>
      <c r="WN308" s="40" t="n">
        <v>4</v>
      </c>
      <c r="WO308" s="40" t="n">
        <v>0.1</v>
      </c>
      <c r="WP308" s="40" t="n">
        <v>3</v>
      </c>
      <c r="WQ308" s="40"/>
      <c r="WR308" s="40"/>
      <c r="WS308" s="40"/>
      <c r="WT308" s="40"/>
      <c r="WU308" s="40"/>
      <c r="WV308" s="40"/>
      <c r="WW308" s="42"/>
      <c r="WX308" s="40"/>
      <c r="WY308" s="40"/>
      <c r="WZ308" s="40"/>
      <c r="XA308" s="40"/>
      <c r="XB308" s="40"/>
      <c r="XC308" s="40"/>
      <c r="XD308" s="40"/>
      <c r="XE308" s="40"/>
      <c r="XF308" s="40"/>
      <c r="XG308" s="40"/>
      <c r="XH308" s="40"/>
      <c r="XI308" s="40"/>
      <c r="XJ308" s="40"/>
      <c r="XK308" s="40"/>
      <c r="XL308" s="40"/>
      <c r="XM308" s="40"/>
      <c r="XN308" s="40"/>
      <c r="XO308" s="40" t="n">
        <v>1</v>
      </c>
      <c r="XP308" s="40" t="n">
        <v>40</v>
      </c>
      <c r="XQ308" s="40" t="n">
        <v>1</v>
      </c>
      <c r="XR308" s="40" t="n">
        <v>1.25</v>
      </c>
      <c r="XS308" s="40" t="n">
        <v>3</v>
      </c>
      <c r="XT308" s="40" t="n">
        <v>50</v>
      </c>
      <c r="XU308" s="40" t="n">
        <v>1</v>
      </c>
      <c r="XV308" s="40" t="n">
        <v>0.05</v>
      </c>
      <c r="XW308" s="40" t="n">
        <v>3</v>
      </c>
      <c r="XX308" s="40" t="n">
        <v>60</v>
      </c>
      <c r="XY308" s="40" t="n">
        <f aca="false">18+9</f>
        <v>27</v>
      </c>
      <c r="XZ308" s="40" t="n">
        <f aca="false">2.27+1.14</f>
        <v>3.41</v>
      </c>
      <c r="YA308" s="40" t="n">
        <v>3</v>
      </c>
      <c r="YB308" s="40"/>
      <c r="YC308" s="40"/>
      <c r="YD308" s="40"/>
      <c r="YE308" s="40"/>
      <c r="YF308" s="40"/>
      <c r="YG308" s="40"/>
      <c r="YH308" s="40"/>
      <c r="YI308" s="40"/>
      <c r="YJ308" s="40"/>
      <c r="YK308" s="40"/>
      <c r="YL308" s="40"/>
      <c r="YM308" s="40"/>
      <c r="YN308" s="40"/>
      <c r="YO308" s="40"/>
      <c r="YP308" s="40"/>
      <c r="YQ308" s="40"/>
      <c r="YR308" s="40"/>
      <c r="YS308" s="40"/>
      <c r="YT308" s="40"/>
      <c r="YU308" s="40"/>
      <c r="YV308" s="40"/>
      <c r="YW308" s="40"/>
      <c r="YX308" s="40"/>
      <c r="YY308" s="40"/>
      <c r="YZ308" s="41" t="n">
        <v>3.7</v>
      </c>
      <c r="ZA308" s="41" t="n">
        <v>1</v>
      </c>
      <c r="ZB308" s="41" t="n">
        <v>1</v>
      </c>
      <c r="ZC308" s="41"/>
      <c r="ZD308" s="41" t="n">
        <f aca="false">4+0.13+0.01+0.73+1.65+0.02</f>
        <v>6.54</v>
      </c>
      <c r="ZE308" s="41" t="n">
        <v>2</v>
      </c>
      <c r="ZF308" s="41"/>
      <c r="ZG308" s="41" t="n">
        <f aca="false">0.18*2</f>
        <v>0.36</v>
      </c>
      <c r="ZH308" s="41"/>
      <c r="ZI308" s="41"/>
      <c r="ZJ308" s="41"/>
      <c r="ZK308" s="41" t="n">
        <v>3.32</v>
      </c>
      <c r="ZL308" s="41" t="n">
        <v>3.31</v>
      </c>
      <c r="ZM308" s="41"/>
      <c r="ZN308" s="41"/>
      <c r="ZO308" s="41" t="n">
        <v>0</v>
      </c>
      <c r="ZP308" s="41" t="n">
        <v>0</v>
      </c>
      <c r="ZQ308" s="41" t="n">
        <v>0.22</v>
      </c>
      <c r="ZR308" s="40" t="n">
        <v>0</v>
      </c>
      <c r="ZS308" s="0" t="s">
        <v>836</v>
      </c>
      <c r="ZT308" s="0" t="n">
        <v>26.5</v>
      </c>
      <c r="ZU308" s="16" t="n">
        <v>70.7</v>
      </c>
      <c r="ZV308" s="16" t="n">
        <v>83.4</v>
      </c>
      <c r="ZW308" s="16" t="n">
        <v>8.8</v>
      </c>
      <c r="ZX308" s="0" t="n">
        <v>94.65</v>
      </c>
      <c r="ZY308" s="0" t="n">
        <v>0</v>
      </c>
      <c r="ZZ308" s="0" t="n">
        <v>0.21</v>
      </c>
      <c r="AAA308" s="0" t="n">
        <v>0</v>
      </c>
      <c r="AAB308" s="0" t="n">
        <v>4.31</v>
      </c>
      <c r="AAC308" s="0" t="n">
        <v>0</v>
      </c>
      <c r="AAD308" s="0" t="n">
        <v>0</v>
      </c>
      <c r="AAE308" s="0" t="n">
        <v>0</v>
      </c>
      <c r="AAF308" s="0" t="n">
        <v>0</v>
      </c>
      <c r="AAG308" s="0" t="n">
        <v>0</v>
      </c>
      <c r="AAH308" s="0" t="n">
        <v>0</v>
      </c>
      <c r="AAI308" s="0" t="n">
        <v>1.21</v>
      </c>
      <c r="AAJ308" s="0" t="n">
        <v>19.41</v>
      </c>
      <c r="AAK308" s="0" t="n">
        <v>20.37</v>
      </c>
      <c r="AAL308" s="0" t="n">
        <v>0.21</v>
      </c>
      <c r="AAM308" s="0" t="n">
        <v>0.83</v>
      </c>
      <c r="AAN308" s="0" t="n">
        <v>12.2</v>
      </c>
      <c r="AAO308" s="0" t="n">
        <v>1</v>
      </c>
      <c r="AAP308" s="0" t="n">
        <v>5</v>
      </c>
      <c r="AAR308" s="0" t="n">
        <v>2</v>
      </c>
      <c r="ABB308" s="0" t="n">
        <v>0</v>
      </c>
      <c r="ABC308" s="0" t="n">
        <v>0</v>
      </c>
      <c r="ABN308" s="18"/>
      <c r="ACF308" s="0" t="n">
        <v>1</v>
      </c>
      <c r="ACG308" s="0" t="n">
        <v>40</v>
      </c>
      <c r="ACH308" s="0" t="n">
        <v>1</v>
      </c>
      <c r="ACI308" s="0" t="n">
        <v>0.21</v>
      </c>
      <c r="ACJ308" s="0" t="n">
        <v>3</v>
      </c>
      <c r="ACK308" s="0" t="n">
        <v>80</v>
      </c>
      <c r="ACL308" s="0" t="n">
        <v>4</v>
      </c>
      <c r="ACM308" s="0" t="n">
        <v>0.5</v>
      </c>
      <c r="ACN308" s="0" t="n">
        <v>2</v>
      </c>
      <c r="ACO308" s="0" t="n">
        <v>60</v>
      </c>
      <c r="ACP308" s="0" t="n">
        <f aca="false">18+9</f>
        <v>27</v>
      </c>
      <c r="ACQ308" s="0" t="n">
        <f aca="false">2.27+1.14</f>
        <v>3.41</v>
      </c>
      <c r="ACR308" s="0" t="n">
        <v>2</v>
      </c>
      <c r="ADQ308" s="16" t="n">
        <v>3.54</v>
      </c>
      <c r="ADR308" s="16" t="n">
        <v>1</v>
      </c>
      <c r="ADS308" s="16" t="n">
        <v>1</v>
      </c>
      <c r="ADT308" s="16"/>
      <c r="ADU308" s="16" t="n">
        <f aca="false">4+0.73*2+1.65</f>
        <v>7.11</v>
      </c>
      <c r="ADV308" s="16"/>
      <c r="ADW308" s="16"/>
      <c r="ADX308" s="16"/>
      <c r="ADY308" s="16"/>
      <c r="ADZ308" s="16"/>
      <c r="AEA308" s="16"/>
      <c r="AEB308" s="16" t="n">
        <v>1.47</v>
      </c>
      <c r="AEC308" s="16" t="n">
        <v>1.47</v>
      </c>
      <c r="AED308" s="16"/>
      <c r="AEE308" s="16"/>
      <c r="AEF308" s="16" t="n">
        <v>0</v>
      </c>
      <c r="AEG308" s="16" t="n">
        <v>0</v>
      </c>
      <c r="AEH308" s="16" t="n">
        <v>0.22</v>
      </c>
      <c r="AEI308" s="0" t="n">
        <v>0</v>
      </c>
      <c r="AEJ308" s="0" t="s">
        <v>841</v>
      </c>
      <c r="AEK308" s="0" t="n">
        <v>18.5</v>
      </c>
      <c r="AEL308" s="16" t="n">
        <v>91.6</v>
      </c>
      <c r="AEM308" s="16" t="n">
        <v>83.4</v>
      </c>
      <c r="AEN308" s="16" t="n">
        <v>7.5</v>
      </c>
      <c r="AEO308" s="0" t="n">
        <v>96.33</v>
      </c>
      <c r="AEP308" s="0" t="n">
        <v>0</v>
      </c>
      <c r="AEQ308" s="0" t="n">
        <v>0</v>
      </c>
      <c r="AER308" s="0" t="n">
        <v>0</v>
      </c>
      <c r="AES308" s="0" t="n">
        <v>3.67</v>
      </c>
      <c r="AET308" s="0" t="n">
        <v>0</v>
      </c>
      <c r="AEU308" s="0" t="n">
        <v>0</v>
      </c>
      <c r="AEV308" s="0" t="n">
        <v>0</v>
      </c>
      <c r="AEW308" s="0" t="n">
        <v>0</v>
      </c>
      <c r="AEX308" s="0" t="n">
        <v>0</v>
      </c>
      <c r="AEY308" s="0" t="n">
        <v>0</v>
      </c>
      <c r="AEZ308" s="0" t="n">
        <v>3.67</v>
      </c>
      <c r="AFA308" s="0" t="n">
        <v>45.98</v>
      </c>
      <c r="AFB308" s="0" t="n">
        <v>17.9</v>
      </c>
      <c r="AFC308" s="0" t="n">
        <v>0</v>
      </c>
      <c r="AFD308" s="0" t="n">
        <v>0</v>
      </c>
      <c r="AFE308" s="0" t="n">
        <v>0</v>
      </c>
      <c r="AFF308" s="0" t="n">
        <v>0</v>
      </c>
      <c r="AFS308" s="0" t="n">
        <v>0</v>
      </c>
      <c r="AFT308" s="0" t="n">
        <v>0</v>
      </c>
      <c r="AGE308" s="18"/>
      <c r="AGW308" s="0" t="n">
        <v>0</v>
      </c>
      <c r="AHA308" s="0" t="n">
        <v>1</v>
      </c>
      <c r="AHB308" s="0" t="n">
        <v>50</v>
      </c>
      <c r="AHC308" s="0" t="n">
        <v>1</v>
      </c>
      <c r="AHD308" s="0" t="n">
        <v>0.04</v>
      </c>
      <c r="AHE308" s="0" t="n">
        <v>3</v>
      </c>
      <c r="AIH308" s="16" t="n">
        <v>1.44</v>
      </c>
      <c r="AII308" s="16" t="n">
        <v>1</v>
      </c>
      <c r="AIJ308" s="16" t="n">
        <v>1</v>
      </c>
      <c r="AIK308" s="16"/>
      <c r="AIL308" s="16" t="n">
        <f aca="false">1.65+0.18*2+9.17</f>
        <v>11.18</v>
      </c>
      <c r="AIM308" s="16"/>
      <c r="AIN308" s="16"/>
      <c r="AIO308" s="16"/>
      <c r="AIP308" s="16"/>
      <c r="AIQ308" s="16"/>
      <c r="AIR308" s="16"/>
      <c r="AIS308" s="16" t="n">
        <v>5.88</v>
      </c>
      <c r="AIT308" s="16" t="n">
        <v>13.5</v>
      </c>
      <c r="AIU308" s="16"/>
      <c r="AIV308" s="16"/>
      <c r="AIW308" s="16" t="n">
        <v>3.6</v>
      </c>
      <c r="AIX308" s="16" t="n">
        <v>1.1</v>
      </c>
      <c r="AIY308" s="16" t="n">
        <v>0</v>
      </c>
      <c r="AIZ308" s="0" t="n">
        <v>0</v>
      </c>
      <c r="AJA308" s="0" t="s">
        <v>837</v>
      </c>
      <c r="AJB308" s="0" t="n">
        <v>30.5</v>
      </c>
      <c r="AJC308" s="16" t="n">
        <v>92</v>
      </c>
      <c r="AJD308" s="16" t="n">
        <v>83.4</v>
      </c>
      <c r="AJE308" s="16" t="n">
        <v>5.9</v>
      </c>
      <c r="AJF308" s="0" t="n">
        <v>98.99</v>
      </c>
      <c r="AJG308" s="0" t="n">
        <v>1.01</v>
      </c>
      <c r="AJH308" s="0" t="n">
        <v>0</v>
      </c>
      <c r="AJI308" s="0" t="n">
        <v>0</v>
      </c>
      <c r="AJJ308" s="0" t="n">
        <v>0</v>
      </c>
      <c r="AJK308" s="0" t="n">
        <v>0</v>
      </c>
      <c r="AJL308" s="0" t="n">
        <v>0</v>
      </c>
      <c r="AJM308" s="0" t="n">
        <v>0</v>
      </c>
      <c r="AJN308" s="0" t="n">
        <v>0</v>
      </c>
      <c r="AJO308" s="0" t="n">
        <v>0</v>
      </c>
      <c r="AJP308" s="0" t="n">
        <v>0</v>
      </c>
      <c r="AJQ308" s="0" t="n">
        <v>2.66</v>
      </c>
      <c r="AJR308" s="0" t="n">
        <v>46.99</v>
      </c>
      <c r="AJS308" s="0" t="n">
        <v>16.89</v>
      </c>
      <c r="AJT308" s="0" t="n">
        <v>0</v>
      </c>
      <c r="AJU308" s="0" t="n">
        <v>0</v>
      </c>
      <c r="AJV308" s="0" t="n">
        <v>0</v>
      </c>
      <c r="AJW308" s="0" t="n">
        <v>0</v>
      </c>
      <c r="AKJ308" s="0" t="n">
        <v>0</v>
      </c>
      <c r="AKK308" s="0" t="n">
        <v>0</v>
      </c>
      <c r="AKV308" s="18"/>
      <c r="ALN308" s="0" t="n">
        <v>0</v>
      </c>
    </row>
    <row r="309" customFormat="false" ht="13.8" hidden="false" customHeight="false" outlineLevel="0" collapsed="false">
      <c r="A309" s="1" t="s">
        <v>884</v>
      </c>
      <c r="B309" s="12" t="n">
        <v>42905</v>
      </c>
      <c r="C309" s="0" t="n">
        <v>2</v>
      </c>
      <c r="D309" s="13" t="n">
        <v>40301</v>
      </c>
      <c r="E309" s="12" t="n">
        <v>31040</v>
      </c>
      <c r="F309" s="14" t="n">
        <f aca="false">(B309-E309)/365.25</f>
        <v>32.4845995893224</v>
      </c>
      <c r="G309" s="14" t="n">
        <f aca="false">(B309-D309)/365.25</f>
        <v>7.12936344969199</v>
      </c>
      <c r="H309" s="19" t="s">
        <v>181</v>
      </c>
      <c r="I309" s="15" t="s">
        <v>194</v>
      </c>
      <c r="J309" s="15" t="s">
        <v>181</v>
      </c>
      <c r="K309" s="15" t="n">
        <v>8</v>
      </c>
      <c r="L309" s="19" t="n">
        <v>67</v>
      </c>
      <c r="M309" s="0" t="n">
        <v>1.73</v>
      </c>
      <c r="N309" s="16" t="n">
        <f aca="false">L309/(M309*M309)</f>
        <v>22.3863142771225</v>
      </c>
      <c r="O309" s="19" t="n">
        <v>0</v>
      </c>
      <c r="P309" s="19" t="n">
        <v>0</v>
      </c>
      <c r="Q309" s="19" t="n">
        <v>0</v>
      </c>
      <c r="R309" s="26" t="n">
        <v>0</v>
      </c>
      <c r="S309" s="26" t="n">
        <v>0</v>
      </c>
      <c r="T309" s="26" t="n">
        <v>0</v>
      </c>
      <c r="U309" s="19" t="n">
        <v>0</v>
      </c>
      <c r="V309" s="19" t="n">
        <v>0</v>
      </c>
      <c r="W309" s="19" t="n">
        <v>0</v>
      </c>
      <c r="X309" s="19" t="n">
        <v>0</v>
      </c>
      <c r="Y309" s="19" t="n">
        <v>1</v>
      </c>
      <c r="Z309" s="19" t="n">
        <v>1</v>
      </c>
      <c r="AA309" s="19" t="n">
        <v>60</v>
      </c>
      <c r="AB309" s="19" t="s">
        <v>537</v>
      </c>
      <c r="AC309" s="19" t="n">
        <v>0</v>
      </c>
      <c r="AD309" s="19" t="n">
        <v>0</v>
      </c>
      <c r="AE309" s="19" t="n">
        <v>0</v>
      </c>
      <c r="AF309" s="19" t="n">
        <v>0</v>
      </c>
      <c r="AG309" s="19" t="n">
        <v>0</v>
      </c>
      <c r="AH309" s="19" t="n">
        <v>0</v>
      </c>
      <c r="AI309" s="19" t="n">
        <v>0</v>
      </c>
      <c r="AJ309" s="19" t="n">
        <v>0</v>
      </c>
      <c r="AK309" s="19" t="n">
        <v>0</v>
      </c>
      <c r="AL309" s="19" t="n">
        <v>0</v>
      </c>
      <c r="AM309" s="19" t="n">
        <v>0</v>
      </c>
      <c r="AN309" s="19" t="n">
        <v>0</v>
      </c>
      <c r="AO309" s="19" t="n">
        <v>0</v>
      </c>
      <c r="AP309" s="19" t="n">
        <v>0</v>
      </c>
      <c r="AQ309" s="19" t="n">
        <v>0</v>
      </c>
      <c r="AR309" s="19" t="n">
        <v>0</v>
      </c>
      <c r="AS309" s="19" t="n">
        <v>0</v>
      </c>
      <c r="AT309" s="19" t="n">
        <v>0</v>
      </c>
      <c r="AU309" s="19" t="n">
        <v>0</v>
      </c>
      <c r="AV309" s="19" t="n">
        <v>0</v>
      </c>
      <c r="AW309" s="19" t="n">
        <v>0</v>
      </c>
      <c r="AX309" s="19" t="n">
        <v>0</v>
      </c>
      <c r="AY309" s="19" t="n">
        <v>0</v>
      </c>
      <c r="AZ309" s="19" t="n">
        <v>0</v>
      </c>
      <c r="BA309" s="19" t="n">
        <v>0</v>
      </c>
      <c r="BB309" s="19" t="n">
        <v>1</v>
      </c>
      <c r="BC309" s="19" t="n">
        <v>1</v>
      </c>
      <c r="BD309" s="19" t="n">
        <v>0</v>
      </c>
      <c r="BE309" s="19" t="n">
        <v>0</v>
      </c>
      <c r="BF309" s="19" t="n">
        <v>0</v>
      </c>
      <c r="BG309" s="19" t="n">
        <v>0</v>
      </c>
      <c r="BH309" s="19" t="n">
        <v>0</v>
      </c>
      <c r="BI309" s="19" t="n">
        <v>0</v>
      </c>
      <c r="BJ309" s="19" t="n">
        <v>0</v>
      </c>
      <c r="BK309" s="19" t="n">
        <v>0</v>
      </c>
      <c r="BL309" s="19" t="n">
        <v>0</v>
      </c>
      <c r="BM309" s="19" t="n">
        <v>0</v>
      </c>
      <c r="BN309" s="19" t="n">
        <v>0</v>
      </c>
      <c r="BO309" s="19" t="n">
        <v>0</v>
      </c>
      <c r="BP309" s="19" t="n">
        <v>0</v>
      </c>
      <c r="BQ309" s="19" t="n">
        <v>0</v>
      </c>
      <c r="BR309" s="19" t="n">
        <v>3</v>
      </c>
      <c r="BS309" s="19" t="n">
        <v>2</v>
      </c>
      <c r="BT309" s="19" t="n">
        <v>2</v>
      </c>
      <c r="BU309" s="19" t="n">
        <v>4</v>
      </c>
      <c r="BV309" s="19" t="n">
        <v>3</v>
      </c>
      <c r="BW309" s="19" t="n">
        <v>2</v>
      </c>
      <c r="BX309" s="19" t="n">
        <v>3</v>
      </c>
      <c r="BY309" s="19" t="n">
        <v>3</v>
      </c>
      <c r="BZ309" s="19" t="n">
        <v>3</v>
      </c>
      <c r="CA309" s="19" t="n">
        <v>3</v>
      </c>
      <c r="CB309" s="19" t="n">
        <v>4</v>
      </c>
      <c r="CC309" s="19" t="n">
        <v>5</v>
      </c>
      <c r="CD309" s="19" t="n">
        <v>3</v>
      </c>
      <c r="CE309" s="19" t="n">
        <v>3</v>
      </c>
      <c r="CF309" s="19" t="n">
        <v>4</v>
      </c>
      <c r="CG309" s="19" t="n">
        <v>4</v>
      </c>
      <c r="CH309" s="19" t="n">
        <v>3</v>
      </c>
      <c r="CI309" s="19" t="n">
        <v>3</v>
      </c>
      <c r="CJ309" s="19" t="n">
        <v>3</v>
      </c>
      <c r="CK309" s="19" t="n">
        <v>8</v>
      </c>
      <c r="CL309" s="0" t="s">
        <v>195</v>
      </c>
      <c r="CM309" s="0" t="n">
        <v>37.5</v>
      </c>
      <c r="CN309" s="16" t="n">
        <v>87.4</v>
      </c>
      <c r="CO309" s="16" t="n">
        <v>80.4</v>
      </c>
      <c r="CP309" s="16" t="n">
        <v>18.5</v>
      </c>
      <c r="CQ309" s="0" t="n">
        <v>84.21</v>
      </c>
      <c r="CR309" s="17" t="n">
        <v>0</v>
      </c>
      <c r="CS309" s="0" t="n">
        <v>0</v>
      </c>
      <c r="CT309" s="0" t="n">
        <v>0</v>
      </c>
      <c r="CU309" s="0" t="n">
        <v>15.79</v>
      </c>
      <c r="CV309" s="0" t="n">
        <v>0</v>
      </c>
      <c r="CW309" s="0" t="n">
        <v>0</v>
      </c>
      <c r="CX309" s="0" t="n">
        <v>0</v>
      </c>
      <c r="CY309" s="0" t="n">
        <v>0</v>
      </c>
      <c r="CZ309" s="0" t="n">
        <v>0</v>
      </c>
      <c r="DA309" s="0" t="n">
        <v>0</v>
      </c>
      <c r="DB309" s="0" t="n">
        <v>26.71</v>
      </c>
      <c r="DC309" s="0" t="n">
        <v>13.13</v>
      </c>
      <c r="DD309" s="0" t="n">
        <v>49.12</v>
      </c>
      <c r="DE309" s="0" t="n">
        <v>14.67</v>
      </c>
      <c r="DF309" s="0" t="n">
        <v>0</v>
      </c>
      <c r="DG309" s="0" t="n">
        <v>0</v>
      </c>
      <c r="DH309" s="0" t="n">
        <v>0</v>
      </c>
      <c r="DU309" s="0" t="n">
        <v>1.1</v>
      </c>
      <c r="DV309" s="0" t="n">
        <v>1</v>
      </c>
      <c r="DW309" s="0" t="n">
        <v>52</v>
      </c>
      <c r="DX309" s="0" t="n">
        <v>1</v>
      </c>
      <c r="DY309" s="0" t="n">
        <v>0.22</v>
      </c>
      <c r="DZ309" s="0" t="n">
        <v>2</v>
      </c>
      <c r="EA309" s="0" t="n">
        <v>35</v>
      </c>
      <c r="EB309" s="0" t="n">
        <v>2</v>
      </c>
      <c r="EC309" s="0" t="n">
        <v>0.16</v>
      </c>
      <c r="ED309" s="0" t="n">
        <v>3</v>
      </c>
      <c r="EG309" s="20"/>
      <c r="EY309" s="0" t="n">
        <v>0</v>
      </c>
      <c r="GJ309" s="16" t="n">
        <v>4.3</v>
      </c>
      <c r="GK309" s="16" t="n">
        <v>1</v>
      </c>
      <c r="GL309" s="16" t="n">
        <v>1</v>
      </c>
      <c r="GM309" s="16"/>
      <c r="GN309" s="16" t="n">
        <f aca="false">(2.11*6)+0.9+0.9+0.62+0.62+0.93+0.3+0.3+0.22+0.22+0.23+0.22+0.22+0.22</f>
        <v>18.56</v>
      </c>
      <c r="GO309" s="16"/>
      <c r="GP309" s="16"/>
      <c r="GQ309" s="16"/>
      <c r="GR309" s="16"/>
      <c r="GS309" s="16"/>
      <c r="GT309" s="16"/>
      <c r="GU309" s="16" t="n">
        <v>10.31</v>
      </c>
      <c r="GV309" s="16" t="n">
        <v>34.85</v>
      </c>
      <c r="GW309" s="16" t="n">
        <v>0</v>
      </c>
      <c r="GX309" s="16" t="n">
        <v>0</v>
      </c>
      <c r="GY309" s="16" t="n">
        <v>0</v>
      </c>
      <c r="GZ309" s="16" t="n">
        <v>0</v>
      </c>
      <c r="HA309" s="16" t="n">
        <v>0</v>
      </c>
      <c r="HB309" s="0" t="n">
        <v>0</v>
      </c>
      <c r="HC309" s="0" t="s">
        <v>196</v>
      </c>
      <c r="HD309" s="0" t="n">
        <v>39.5</v>
      </c>
      <c r="HE309" s="16" t="n">
        <v>89.8</v>
      </c>
      <c r="HF309" s="16" t="n">
        <v>80.4</v>
      </c>
      <c r="HG309" s="16" t="n">
        <v>5.1</v>
      </c>
      <c r="HH309" s="0" t="n">
        <v>100</v>
      </c>
      <c r="HI309" s="17" t="n">
        <v>0</v>
      </c>
      <c r="HJ309" s="0" t="n">
        <v>0</v>
      </c>
      <c r="HK309" s="0" t="n">
        <v>0</v>
      </c>
      <c r="HL309" s="0" t="n">
        <v>0</v>
      </c>
      <c r="HM309" s="0" t="n">
        <v>0</v>
      </c>
      <c r="HN309" s="0" t="n">
        <v>0</v>
      </c>
      <c r="HO309" s="0" t="n">
        <v>0</v>
      </c>
      <c r="HP309" s="0" t="n">
        <v>0</v>
      </c>
      <c r="HQ309" s="0" t="n">
        <v>0</v>
      </c>
      <c r="HR309" s="0" t="n">
        <v>0</v>
      </c>
      <c r="HS309" s="0" t="n">
        <v>0</v>
      </c>
      <c r="HT309" s="0" t="n">
        <v>50.37</v>
      </c>
      <c r="HU309" s="0" t="n">
        <v>16.55</v>
      </c>
      <c r="HV309" s="0" t="n">
        <v>0.4</v>
      </c>
      <c r="HW309" s="0" t="n">
        <v>0</v>
      </c>
      <c r="HX309" s="0" t="n">
        <v>27.4</v>
      </c>
      <c r="HY309" s="0" t="n">
        <v>1</v>
      </c>
      <c r="HZ309" s="0" t="n">
        <v>3</v>
      </c>
      <c r="IB309" s="0" t="n">
        <v>4</v>
      </c>
      <c r="IF309" s="0" t="n">
        <v>3</v>
      </c>
      <c r="IH309" s="0" t="n">
        <v>4</v>
      </c>
      <c r="IL309" s="0" t="n">
        <v>0.1</v>
      </c>
      <c r="IM309" s="0" t="n">
        <v>1</v>
      </c>
      <c r="IN309" s="0" t="n">
        <v>34</v>
      </c>
      <c r="IO309" s="0" t="n">
        <v>9</v>
      </c>
      <c r="IP309" s="0" t="n">
        <f aca="false">(1.71*3)+(0.2*2)</f>
        <v>5.53</v>
      </c>
      <c r="IQ309" s="0" t="n">
        <v>1</v>
      </c>
      <c r="IR309" s="0" t="n">
        <v>35</v>
      </c>
      <c r="IS309" s="0" t="n">
        <v>1</v>
      </c>
      <c r="IT309" s="16" t="n">
        <v>0.02</v>
      </c>
      <c r="IU309" s="0" t="n">
        <v>3</v>
      </c>
      <c r="IX309" s="20"/>
      <c r="JP309" s="0" t="n">
        <v>0</v>
      </c>
      <c r="LA309" s="16" t="n">
        <v>1.49</v>
      </c>
      <c r="LB309" s="16" t="n">
        <v>1</v>
      </c>
      <c r="LC309" s="16" t="n">
        <v>1</v>
      </c>
      <c r="LD309" s="16"/>
      <c r="LE309" s="16" t="n">
        <f aca="false">2.11+2.11+0.56+0.56</f>
        <v>5.34</v>
      </c>
      <c r="LF309" s="16"/>
      <c r="LG309" s="16"/>
      <c r="LH309" s="16"/>
      <c r="LI309" s="16"/>
      <c r="LJ309" s="16"/>
      <c r="LK309" s="16"/>
      <c r="LL309" s="16" t="n">
        <v>5.01</v>
      </c>
      <c r="LM309" s="16" t="n">
        <v>5.13</v>
      </c>
      <c r="LN309" s="16" t="n">
        <v>0</v>
      </c>
      <c r="LO309" s="16" t="n">
        <v>0</v>
      </c>
      <c r="LP309" s="16" t="n">
        <v>0</v>
      </c>
      <c r="LQ309" s="16" t="n">
        <v>0</v>
      </c>
      <c r="LR309" s="16" t="n">
        <v>0</v>
      </c>
      <c r="LS309" s="0" t="n">
        <v>0</v>
      </c>
      <c r="LT309" s="0" t="s">
        <v>197</v>
      </c>
      <c r="LU309" s="0" t="n">
        <v>49.5</v>
      </c>
      <c r="LV309" s="16" t="n">
        <v>90.1</v>
      </c>
      <c r="LW309" s="16" t="n">
        <v>80.4</v>
      </c>
      <c r="LX309" s="16" t="n">
        <v>9.9</v>
      </c>
      <c r="LY309" s="0" t="n">
        <v>94.62</v>
      </c>
      <c r="LZ309" s="17" t="n">
        <v>0</v>
      </c>
      <c r="MA309" s="0" t="n">
        <v>0.32</v>
      </c>
      <c r="MB309" s="0" t="n">
        <v>0</v>
      </c>
      <c r="MC309" s="0" t="n">
        <v>5.05</v>
      </c>
      <c r="MD309" s="0" t="n">
        <v>0</v>
      </c>
      <c r="ME309" s="0" t="n">
        <v>0</v>
      </c>
      <c r="MF309" s="0" t="n">
        <v>0</v>
      </c>
      <c r="MG309" s="0" t="n">
        <v>0</v>
      </c>
      <c r="MH309" s="0" t="n">
        <v>0</v>
      </c>
      <c r="MI309" s="0" t="n">
        <v>0</v>
      </c>
      <c r="MJ309" s="0" t="n">
        <v>3.42</v>
      </c>
      <c r="MK309" s="0" t="n">
        <v>32.25</v>
      </c>
      <c r="ML309" s="0" t="n">
        <v>29.89</v>
      </c>
      <c r="MM309" s="0" t="n">
        <v>8.28</v>
      </c>
      <c r="MN309" s="0" t="n">
        <v>0</v>
      </c>
      <c r="MO309" s="0" t="n">
        <v>12.9</v>
      </c>
      <c r="MP309" s="0" t="n">
        <v>1</v>
      </c>
      <c r="MQ309" s="0" t="n">
        <v>7</v>
      </c>
      <c r="MS309" s="0" t="n">
        <v>5</v>
      </c>
      <c r="MT309" s="0" t="n">
        <v>3</v>
      </c>
      <c r="MV309" s="0" t="n">
        <v>3</v>
      </c>
      <c r="MW309" s="0" t="n">
        <v>7</v>
      </c>
      <c r="MY309" s="0" t="n">
        <v>5</v>
      </c>
      <c r="MZ309" s="0" t="n">
        <v>3</v>
      </c>
      <c r="NB309" s="0" t="n">
        <v>3</v>
      </c>
      <c r="NC309" s="0" t="n">
        <v>16.6</v>
      </c>
      <c r="ND309" s="0" t="n">
        <v>1</v>
      </c>
      <c r="NE309" s="0" t="n">
        <v>68</v>
      </c>
      <c r="NF309" s="0" t="n">
        <v>6</v>
      </c>
      <c r="NG309" s="0" t="n">
        <v>0.21</v>
      </c>
      <c r="NH309" s="0" t="n">
        <v>1</v>
      </c>
      <c r="NI309" s="0" t="n">
        <v>35</v>
      </c>
      <c r="NJ309" s="0" t="n">
        <v>3</v>
      </c>
      <c r="NK309" s="0" t="n">
        <v>0.51</v>
      </c>
      <c r="NL309" s="0" t="n">
        <v>3</v>
      </c>
      <c r="NM309" s="0" t="n">
        <v>47</v>
      </c>
      <c r="NN309" s="0" t="n">
        <v>22</v>
      </c>
      <c r="NO309" s="20" t="n">
        <f aca="false">(0.43*3)+(0.07*4)+0.22</f>
        <v>1.79</v>
      </c>
      <c r="NP309" s="0" t="n">
        <v>3</v>
      </c>
      <c r="OG309" s="0" t="n">
        <v>1</v>
      </c>
      <c r="OH309" s="0" t="n">
        <v>60</v>
      </c>
      <c r="OI309" s="0" t="n">
        <v>17</v>
      </c>
      <c r="OJ309" s="0" t="n">
        <f aca="false">0.22+0.04+0.11+0.08+0.08+0.05</f>
        <v>0.58</v>
      </c>
      <c r="OK309" s="0" t="n">
        <v>3</v>
      </c>
      <c r="OL309" s="0" t="n">
        <v>60</v>
      </c>
      <c r="OM309" s="0" t="n">
        <v>12</v>
      </c>
      <c r="ON309" s="0" t="n">
        <f aca="false">0.87+0.43+0.15+0.07</f>
        <v>1.52</v>
      </c>
      <c r="OO309" s="0" t="n">
        <v>1</v>
      </c>
      <c r="PR309" s="16" t="n">
        <v>2.49</v>
      </c>
      <c r="PS309" s="16" t="n">
        <v>1</v>
      </c>
      <c r="PT309" s="16" t="n">
        <v>1</v>
      </c>
      <c r="PU309" s="16"/>
      <c r="PV309" s="16" t="n">
        <v>10.89</v>
      </c>
      <c r="PW309" s="16"/>
      <c r="PX309" s="16"/>
      <c r="PY309" s="16"/>
      <c r="PZ309" s="16"/>
      <c r="QA309" s="16"/>
      <c r="QB309" s="16"/>
      <c r="QC309" s="16" t="n">
        <v>4.17</v>
      </c>
      <c r="QD309" s="16" t="n">
        <v>3.7</v>
      </c>
      <c r="QE309" s="16" t="n">
        <v>0</v>
      </c>
      <c r="QF309" s="16" t="n">
        <v>0</v>
      </c>
      <c r="QG309" s="16" t="n">
        <v>0</v>
      </c>
      <c r="QH309" s="16" t="n">
        <v>0</v>
      </c>
      <c r="QI309" s="16" t="n">
        <v>0</v>
      </c>
      <c r="QJ309" s="0" t="n">
        <v>0</v>
      </c>
      <c r="QK309" s="0" t="s">
        <v>198</v>
      </c>
      <c r="QL309" s="0" t="n">
        <v>28.5</v>
      </c>
      <c r="QM309" s="16" t="n">
        <v>78.4</v>
      </c>
      <c r="QN309" s="16" t="n">
        <v>80.4</v>
      </c>
      <c r="QO309" s="16" t="n">
        <v>16</v>
      </c>
      <c r="QP309" s="0" t="n">
        <v>95.22</v>
      </c>
      <c r="QQ309" s="17" t="n">
        <v>0</v>
      </c>
      <c r="QR309" s="0" t="n">
        <v>4.23</v>
      </c>
      <c r="QS309" s="0" t="n">
        <v>0</v>
      </c>
      <c r="QT309" s="0" t="n">
        <v>0</v>
      </c>
      <c r="QU309" s="0" t="n">
        <v>0</v>
      </c>
      <c r="QV309" s="0" t="n">
        <v>0</v>
      </c>
      <c r="QW309" s="0" t="n">
        <v>0</v>
      </c>
      <c r="QX309" s="0" t="n">
        <v>0</v>
      </c>
      <c r="QY309" s="0" t="n">
        <v>0</v>
      </c>
      <c r="QZ309" s="0" t="n">
        <v>0</v>
      </c>
      <c r="RA309" s="0" t="n">
        <v>9.77</v>
      </c>
      <c r="RB309" s="0" t="n">
        <v>2.18</v>
      </c>
      <c r="RC309" s="0" t="n">
        <v>46.81</v>
      </c>
      <c r="RD309" s="0" t="n">
        <v>10.57</v>
      </c>
      <c r="RE309" s="0" t="n">
        <v>0</v>
      </c>
      <c r="RF309" s="0" t="n">
        <v>0</v>
      </c>
      <c r="RG309" s="0" t="n">
        <v>0</v>
      </c>
      <c r="RT309" s="0" t="n">
        <v>0</v>
      </c>
      <c r="RU309" s="0" t="n">
        <v>0</v>
      </c>
      <c r="SF309" s="20"/>
      <c r="SX309" s="0" t="n">
        <v>0</v>
      </c>
      <c r="UI309" s="16" t="n">
        <v>4.23</v>
      </c>
      <c r="UJ309" s="16" t="n">
        <v>1</v>
      </c>
      <c r="UK309" s="16" t="n">
        <v>2</v>
      </c>
      <c r="UL309" s="16"/>
      <c r="UM309" s="16" t="n">
        <v>6.34</v>
      </c>
      <c r="UN309" s="16" t="n">
        <v>1</v>
      </c>
      <c r="UO309" s="16" t="n">
        <v>1</v>
      </c>
      <c r="UP309" s="16" t="n">
        <f aca="false">9.52+3.17+3.17+3.17+1.12+1.12+1.12</f>
        <v>22.39</v>
      </c>
      <c r="UQ309" s="16"/>
      <c r="UR309" s="16"/>
      <c r="US309" s="16"/>
      <c r="UT309" s="16" t="n">
        <v>5.41</v>
      </c>
      <c r="UU309" s="16" t="n">
        <v>8.96</v>
      </c>
      <c r="UV309" s="16" t="n">
        <v>0</v>
      </c>
      <c r="UW309" s="16" t="n">
        <v>0</v>
      </c>
      <c r="UX309" s="16" t="n">
        <v>0</v>
      </c>
      <c r="UY309" s="16" t="n">
        <v>0</v>
      </c>
      <c r="UZ309" s="16" t="n">
        <v>0</v>
      </c>
      <c r="VA309" s="0" t="n">
        <v>0</v>
      </c>
      <c r="VB309" s="0" t="s">
        <v>199</v>
      </c>
      <c r="VC309" s="0" t="n">
        <v>56.5</v>
      </c>
      <c r="VD309" s="16" t="n">
        <v>88.4</v>
      </c>
      <c r="VE309" s="16" t="n">
        <v>80.4</v>
      </c>
      <c r="VF309" s="16" t="n">
        <v>24.8</v>
      </c>
      <c r="VG309" s="0" t="n">
        <v>77.37</v>
      </c>
      <c r="VH309" s="17" t="n">
        <v>0</v>
      </c>
      <c r="VI309" s="0" t="n">
        <v>7.99</v>
      </c>
      <c r="VJ309" s="0" t="n">
        <v>0</v>
      </c>
      <c r="VK309" s="0" t="n">
        <v>14.63</v>
      </c>
      <c r="VL309" s="0" t="n">
        <v>0</v>
      </c>
      <c r="VM309" s="0" t="n">
        <v>0</v>
      </c>
      <c r="VN309" s="0" t="n">
        <v>0</v>
      </c>
      <c r="VO309" s="0" t="n">
        <v>0</v>
      </c>
      <c r="VP309" s="0" t="n">
        <v>0</v>
      </c>
      <c r="VQ309" s="0" t="n">
        <v>0</v>
      </c>
      <c r="VR309" s="0" t="n">
        <v>8.04</v>
      </c>
      <c r="VS309" s="0" t="n">
        <v>23.21</v>
      </c>
      <c r="VT309" s="0" t="n">
        <v>37.03</v>
      </c>
      <c r="VU309" s="0" t="n">
        <v>14.79</v>
      </c>
      <c r="VV309" s="0" t="n">
        <v>0</v>
      </c>
      <c r="VW309" s="0" t="n">
        <v>0</v>
      </c>
      <c r="VX309" s="0" t="n">
        <v>0</v>
      </c>
      <c r="WK309" s="0" t="n">
        <v>25.5</v>
      </c>
      <c r="WL309" s="0" t="n">
        <v>1</v>
      </c>
      <c r="WM309" s="0" t="n">
        <v>52</v>
      </c>
      <c r="WN309" s="0" t="n">
        <v>13</v>
      </c>
      <c r="WO309" s="0" t="n">
        <f aca="false">0.27+1.07+0.13+0.27</f>
        <v>1.74</v>
      </c>
      <c r="WP309" s="0" t="n">
        <v>2</v>
      </c>
      <c r="WQ309" s="0" t="n">
        <v>35</v>
      </c>
      <c r="WR309" s="0" t="n">
        <v>3</v>
      </c>
      <c r="WS309" s="0" t="n">
        <f aca="false">0.13+0.08+0.24</f>
        <v>0.45</v>
      </c>
      <c r="WT309" s="0" t="n">
        <v>3</v>
      </c>
      <c r="WU309" s="0" t="n">
        <v>47</v>
      </c>
      <c r="WV309" s="0" t="n">
        <v>5</v>
      </c>
      <c r="WW309" s="20" t="n">
        <f aca="false">0.76+1.14+0.76+0.13+0.08</f>
        <v>2.87</v>
      </c>
      <c r="WX309" s="0" t="n">
        <v>3</v>
      </c>
      <c r="XO309" s="0" t="n">
        <v>0</v>
      </c>
      <c r="YZ309" s="16" t="n">
        <v>2.59</v>
      </c>
      <c r="ZA309" s="16" t="n">
        <v>1</v>
      </c>
      <c r="ZB309" s="16" t="n">
        <v>1</v>
      </c>
      <c r="ZC309" s="16"/>
      <c r="ZD309" s="16" t="n">
        <f aca="false">(2.11*4)+0.37</f>
        <v>8.81</v>
      </c>
      <c r="ZE309" s="16"/>
      <c r="ZF309" s="16"/>
      <c r="ZG309" s="16"/>
      <c r="ZH309" s="16"/>
      <c r="ZI309" s="16"/>
      <c r="ZJ309" s="16"/>
      <c r="ZK309" s="16" t="n">
        <v>1.33</v>
      </c>
      <c r="ZL309" s="16" t="n">
        <v>0.89</v>
      </c>
      <c r="ZM309" s="16" t="n">
        <v>0</v>
      </c>
      <c r="ZN309" s="16" t="n">
        <v>0</v>
      </c>
      <c r="ZO309" s="16" t="n">
        <v>0</v>
      </c>
      <c r="ZP309" s="16" t="n">
        <v>0</v>
      </c>
      <c r="ZQ309" s="16" t="n">
        <v>0</v>
      </c>
      <c r="ZR309" s="0" t="n">
        <v>0</v>
      </c>
      <c r="ZS309" s="0" t="s">
        <v>200</v>
      </c>
      <c r="ZT309" s="0" t="n">
        <v>28.5</v>
      </c>
      <c r="ZU309" s="16" t="n">
        <v>69.4</v>
      </c>
      <c r="ZV309" s="16" t="n">
        <v>80.4</v>
      </c>
      <c r="ZW309" s="16" t="n">
        <v>9.8</v>
      </c>
      <c r="ZX309" s="0" t="n">
        <v>96.02</v>
      </c>
      <c r="ZY309" s="17" t="n">
        <v>0</v>
      </c>
      <c r="ZZ309" s="0" t="n">
        <v>3.98</v>
      </c>
      <c r="AAA309" s="0" t="n">
        <v>0</v>
      </c>
      <c r="AAB309" s="0" t="n">
        <v>0</v>
      </c>
      <c r="AAC309" s="0" t="n">
        <v>0</v>
      </c>
      <c r="AAD309" s="0" t="n">
        <v>0</v>
      </c>
      <c r="AAE309" s="0" t="n">
        <v>0</v>
      </c>
      <c r="AAF309" s="0" t="n">
        <v>0</v>
      </c>
      <c r="AAG309" s="0" t="n">
        <v>0</v>
      </c>
      <c r="AAH309" s="0" t="n">
        <v>0</v>
      </c>
      <c r="AAI309" s="0" t="n">
        <v>0</v>
      </c>
      <c r="AAJ309" s="0" t="n">
        <v>16.55</v>
      </c>
      <c r="AAK309" s="0" t="n">
        <v>26.49</v>
      </c>
      <c r="AAL309" s="0" t="n">
        <v>6.34</v>
      </c>
      <c r="AAM309" s="0" t="n">
        <v>0</v>
      </c>
      <c r="AAN309" s="0" t="n">
        <v>0</v>
      </c>
      <c r="AAO309" s="0" t="n">
        <v>0</v>
      </c>
      <c r="ABB309" s="0" t="n">
        <v>10.2</v>
      </c>
      <c r="ABC309" s="0" t="n">
        <v>1</v>
      </c>
      <c r="ABD309" s="0" t="n">
        <v>35</v>
      </c>
      <c r="ABE309" s="0" t="n">
        <v>1</v>
      </c>
      <c r="ABF309" s="0" t="n">
        <v>0.02</v>
      </c>
      <c r="ABG309" s="0" t="n">
        <v>3</v>
      </c>
      <c r="ABH309" s="0" t="n">
        <v>70</v>
      </c>
      <c r="ABI309" s="0" t="n">
        <v>2</v>
      </c>
      <c r="ABJ309" s="0" t="n">
        <v>0.27</v>
      </c>
      <c r="ABK309" s="0" t="n">
        <v>3</v>
      </c>
      <c r="ABN309" s="20"/>
      <c r="ACF309" s="0" t="n">
        <v>1</v>
      </c>
      <c r="ACG309" s="0" t="n">
        <v>50</v>
      </c>
      <c r="ACH309" s="0" t="n">
        <v>5</v>
      </c>
      <c r="ACI309" s="0" t="n">
        <f aca="false">1.52+0.5+0.19+0.12</f>
        <v>2.33</v>
      </c>
      <c r="ACJ309" s="0" t="n">
        <v>3</v>
      </c>
      <c r="ADQ309" s="16" t="n">
        <v>2.63</v>
      </c>
      <c r="ADR309" s="16" t="n">
        <v>1</v>
      </c>
      <c r="ADS309" s="16" t="n">
        <v>1</v>
      </c>
      <c r="ADT309" s="16"/>
      <c r="ADU309" s="16" t="n">
        <f aca="false">0.04+2.11+3.17+0.37+0.56</f>
        <v>6.25</v>
      </c>
      <c r="ADV309" s="16" t="n">
        <v>2</v>
      </c>
      <c r="ADW309" s="16"/>
      <c r="ADX309" s="16" t="n">
        <f aca="false">0.53+0.53+0.11+0.07+0.15</f>
        <v>1.39</v>
      </c>
      <c r="ADY309" s="16"/>
      <c r="ADZ309" s="16"/>
      <c r="AEA309" s="16"/>
      <c r="AEB309" s="16" t="n">
        <v>3.33</v>
      </c>
      <c r="AEC309" s="16" t="n">
        <v>2.06</v>
      </c>
      <c r="AED309" s="16" t="n">
        <v>0</v>
      </c>
      <c r="AEE309" s="16" t="n">
        <v>0</v>
      </c>
      <c r="AEF309" s="16" t="n">
        <v>0</v>
      </c>
      <c r="AEG309" s="16" t="n">
        <v>0</v>
      </c>
      <c r="AEH309" s="16" t="n">
        <v>0</v>
      </c>
      <c r="AEI309" s="0" t="n">
        <v>0</v>
      </c>
      <c r="AEJ309" s="0" t="s">
        <v>201</v>
      </c>
      <c r="AEK309" s="0" t="n">
        <v>48.5</v>
      </c>
      <c r="AEL309" s="16" t="n">
        <v>89.7</v>
      </c>
      <c r="AEM309" s="16" t="n">
        <v>80.4</v>
      </c>
      <c r="AEN309" s="16" t="n">
        <v>9.3</v>
      </c>
      <c r="AEO309" s="0" t="n">
        <v>100</v>
      </c>
      <c r="AEP309" s="17" t="n">
        <v>0</v>
      </c>
      <c r="AEQ309" s="0" t="n">
        <v>0</v>
      </c>
      <c r="AER309" s="0" t="n">
        <v>0</v>
      </c>
      <c r="AES309" s="0" t="n">
        <v>0</v>
      </c>
      <c r="AET309" s="0" t="n">
        <v>0</v>
      </c>
      <c r="AEU309" s="0" t="n">
        <v>0</v>
      </c>
      <c r="AEV309" s="0" t="n">
        <v>0</v>
      </c>
      <c r="AEW309" s="0" t="n">
        <v>0</v>
      </c>
      <c r="AEX309" s="0" t="n">
        <v>0</v>
      </c>
      <c r="AEY309" s="0" t="n">
        <v>0</v>
      </c>
      <c r="AEZ309" s="0" t="n">
        <v>1.65</v>
      </c>
      <c r="AFA309" s="0" t="n">
        <v>2.69</v>
      </c>
      <c r="AFB309" s="0" t="n">
        <v>54.55</v>
      </c>
      <c r="AFC309" s="0" t="n">
        <v>11.29</v>
      </c>
      <c r="AFD309" s="0" t="n">
        <v>0</v>
      </c>
      <c r="AFE309" s="0" t="n">
        <v>0</v>
      </c>
      <c r="AFF309" s="0" t="n">
        <v>0</v>
      </c>
      <c r="AFS309" s="0" t="n">
        <v>30.6</v>
      </c>
      <c r="AFT309" s="0" t="n">
        <v>1</v>
      </c>
      <c r="AFU309" s="0" t="n">
        <v>35</v>
      </c>
      <c r="AFV309" s="0" t="n">
        <v>14</v>
      </c>
      <c r="AFW309" s="0" t="n">
        <f aca="false">3.05+1.52+1.52+0.27+0.03+0.07</f>
        <v>6.46</v>
      </c>
      <c r="AFX309" s="0" t="n">
        <v>3</v>
      </c>
      <c r="AFY309" s="0" t="n">
        <v>47</v>
      </c>
      <c r="AFZ309" s="0" t="n">
        <v>6</v>
      </c>
      <c r="AGA309" s="0" t="n">
        <f aca="false">1.52+0.27*2</f>
        <v>2.06</v>
      </c>
      <c r="AGB309" s="0" t="n">
        <v>3</v>
      </c>
      <c r="AGE309" s="20"/>
      <c r="AGW309" s="0" t="n">
        <v>0</v>
      </c>
      <c r="AIH309" s="16" t="n">
        <v>3.34</v>
      </c>
      <c r="AII309" s="16" t="n">
        <v>1</v>
      </c>
      <c r="AIJ309" s="16" t="n">
        <v>1</v>
      </c>
      <c r="AIK309" s="16"/>
      <c r="AIL309" s="16" t="n">
        <f aca="false">4.23+1.14+2.11+4.23+1.37+0.02+2.03+0.75+0.37+0.13</f>
        <v>16.38</v>
      </c>
      <c r="AIM309" s="16"/>
      <c r="AIN309" s="16"/>
      <c r="AIO309" s="16"/>
      <c r="AIP309" s="16"/>
      <c r="AIQ309" s="16"/>
      <c r="AIR309" s="16"/>
      <c r="AIS309" s="16" t="n">
        <v>1.45</v>
      </c>
      <c r="AIT309" s="16" t="n">
        <v>1.46</v>
      </c>
      <c r="AIU309" s="16" t="n">
        <v>0</v>
      </c>
      <c r="AIV309" s="16" t="n">
        <v>0</v>
      </c>
      <c r="AIW309" s="16" t="n">
        <v>0</v>
      </c>
      <c r="AIX309" s="16" t="n">
        <v>0</v>
      </c>
      <c r="AIY309" s="16" t="n">
        <v>0</v>
      </c>
      <c r="AIZ309" s="0" t="n">
        <v>0</v>
      </c>
      <c r="AJA309" s="0" t="s">
        <v>202</v>
      </c>
      <c r="AJB309" s="0" t="n">
        <v>60</v>
      </c>
      <c r="AJC309" s="16" t="n">
        <v>55.4</v>
      </c>
      <c r="AJD309" s="16" t="n">
        <v>80.4</v>
      </c>
      <c r="AJE309" s="16" t="n">
        <v>29.6</v>
      </c>
      <c r="AJF309" s="0" t="n">
        <v>76.8</v>
      </c>
      <c r="AJG309" s="17" t="n">
        <v>0</v>
      </c>
      <c r="AJH309" s="0" t="n">
        <v>0</v>
      </c>
      <c r="AJI309" s="0" t="n">
        <v>0</v>
      </c>
      <c r="AJJ309" s="0" t="n">
        <v>0</v>
      </c>
      <c r="AJL309" s="0" t="n">
        <v>4.83</v>
      </c>
      <c r="AJM309" s="0" t="n">
        <v>1.71</v>
      </c>
      <c r="AJN309" s="0" t="n">
        <v>0</v>
      </c>
      <c r="AJO309" s="0" t="n">
        <v>0</v>
      </c>
      <c r="AJP309" s="0" t="n">
        <v>0</v>
      </c>
      <c r="AJQ309" s="0" t="n">
        <v>1.51</v>
      </c>
      <c r="AJR309" s="0" t="n">
        <v>1.85</v>
      </c>
      <c r="AJS309" s="0" t="n">
        <v>2.31</v>
      </c>
      <c r="AJT309" s="0" t="n">
        <v>19.08</v>
      </c>
      <c r="AJU309" s="0" t="n">
        <v>18.37</v>
      </c>
      <c r="AJV309" s="0" t="n">
        <v>0</v>
      </c>
      <c r="AJW309" s="0" t="n">
        <v>0</v>
      </c>
      <c r="AJX309" s="0" t="n">
        <v>0</v>
      </c>
      <c r="AKD309" s="0" t="n">
        <v>0</v>
      </c>
      <c r="AKJ309" s="0" t="n">
        <v>22.9</v>
      </c>
      <c r="AKK309" s="0" t="n">
        <v>1</v>
      </c>
      <c r="AKL309" s="0" t="n">
        <v>34</v>
      </c>
      <c r="AKM309" s="0" t="n">
        <v>1</v>
      </c>
      <c r="AKN309" s="0" t="n">
        <v>1.19</v>
      </c>
      <c r="AKO309" s="0" t="n">
        <v>1</v>
      </c>
      <c r="AKP309" s="0" t="n">
        <v>47</v>
      </c>
      <c r="AKQ309" s="0" t="n">
        <f aca="false">7+3+1+2+3+5+7+1+7+2+7+5+5</f>
        <v>55</v>
      </c>
      <c r="AKR309" s="0" t="n">
        <f aca="false">(0.3*7)+0.15+0.3+0.9+0.6+0.45+0.6+(0.3*3)+(0.3*5)+(0.3*7)+0.9+(0.3*7)+(0.4)+(0.3*7)+(0.3*5)+(0.3*5)</f>
        <v>18.1</v>
      </c>
      <c r="AKS309" s="0" t="n">
        <v>2</v>
      </c>
      <c r="AKV309" s="20"/>
      <c r="ALN309" s="0" t="n">
        <v>0</v>
      </c>
    </row>
    <row r="310" customFormat="false" ht="13.8" hidden="false" customHeight="false" outlineLevel="0" collapsed="false">
      <c r="A310" s="1" t="s">
        <v>885</v>
      </c>
      <c r="B310" s="12" t="n">
        <v>42905</v>
      </c>
      <c r="C310" s="0" t="n">
        <v>2</v>
      </c>
      <c r="D310" s="13" t="n">
        <v>42849</v>
      </c>
      <c r="E310" s="12" t="n">
        <v>28278</v>
      </c>
      <c r="F310" s="14" t="n">
        <f aca="false">(B310-E310)/365.25</f>
        <v>40.0465434633813</v>
      </c>
      <c r="G310" s="14" t="n">
        <f aca="false">(B310-D310)/365.25</f>
        <v>0.153319644079398</v>
      </c>
      <c r="H310" s="19" t="s">
        <v>181</v>
      </c>
      <c r="I310" s="15" t="s">
        <v>496</v>
      </c>
      <c r="J310" s="15" t="s">
        <v>181</v>
      </c>
      <c r="K310" s="15" t="n">
        <v>8</v>
      </c>
      <c r="L310" s="19" t="n">
        <v>68</v>
      </c>
      <c r="M310" s="0" t="n">
        <v>1.71</v>
      </c>
      <c r="N310" s="16" t="n">
        <f aca="false">L310/(M310*M310)</f>
        <v>23.2550186382135</v>
      </c>
      <c r="O310" s="19" t="n">
        <v>0</v>
      </c>
      <c r="P310" s="19" t="n">
        <v>0</v>
      </c>
      <c r="Q310" s="19" t="n">
        <v>0</v>
      </c>
      <c r="R310" s="26" t="n">
        <v>0</v>
      </c>
      <c r="S310" s="26" t="n">
        <v>0</v>
      </c>
      <c r="T310" s="26" t="n">
        <v>0</v>
      </c>
      <c r="U310" s="19" t="n">
        <v>0</v>
      </c>
      <c r="V310" s="19" t="n">
        <v>0</v>
      </c>
      <c r="W310" s="19" t="n">
        <v>0</v>
      </c>
      <c r="X310" s="19" t="n">
        <v>0</v>
      </c>
      <c r="Y310" s="19" t="n">
        <v>1</v>
      </c>
      <c r="Z310" s="19" t="n">
        <v>2</v>
      </c>
      <c r="AA310" s="19" t="n">
        <v>60</v>
      </c>
      <c r="AB310" s="19" t="s">
        <v>866</v>
      </c>
      <c r="AC310" s="19" t="n">
        <v>1</v>
      </c>
      <c r="AD310" s="19" t="n">
        <v>15</v>
      </c>
      <c r="AE310" s="19" t="n">
        <v>0</v>
      </c>
      <c r="AF310" s="19" t="n">
        <v>0</v>
      </c>
      <c r="AG310" s="19" t="n">
        <v>0</v>
      </c>
      <c r="AH310" s="19" t="n">
        <v>0</v>
      </c>
      <c r="AI310" s="19" t="n">
        <v>0</v>
      </c>
      <c r="AJ310" s="19" t="n">
        <v>0</v>
      </c>
      <c r="AK310" s="19" t="n">
        <v>0</v>
      </c>
      <c r="AL310" s="19" t="n">
        <v>0</v>
      </c>
      <c r="AM310" s="19" t="n">
        <v>0</v>
      </c>
      <c r="AN310" s="19" t="n">
        <v>0</v>
      </c>
      <c r="AO310" s="19" t="n">
        <v>0</v>
      </c>
      <c r="AP310" s="19" t="n">
        <v>0</v>
      </c>
      <c r="AQ310" s="19" t="n">
        <v>0</v>
      </c>
      <c r="AR310" s="19" t="n">
        <v>0</v>
      </c>
      <c r="AS310" s="19" t="n">
        <v>0</v>
      </c>
      <c r="AT310" s="19" t="n">
        <v>0</v>
      </c>
      <c r="AU310" s="19" t="n">
        <v>0</v>
      </c>
      <c r="AV310" s="19" t="n">
        <v>0</v>
      </c>
      <c r="AW310" s="19" t="n">
        <v>0</v>
      </c>
      <c r="AX310" s="19" t="n">
        <v>0</v>
      </c>
      <c r="AY310" s="19" t="n">
        <v>0</v>
      </c>
      <c r="AZ310" s="19" t="n">
        <v>0</v>
      </c>
      <c r="BA310" s="19" t="n">
        <v>0</v>
      </c>
      <c r="BB310" s="19" t="n">
        <v>0</v>
      </c>
      <c r="BC310" s="19" t="n">
        <v>0</v>
      </c>
      <c r="BD310" s="19" t="n">
        <v>0</v>
      </c>
      <c r="BE310" s="19" t="n">
        <v>0</v>
      </c>
      <c r="BF310" s="19" t="n">
        <v>0</v>
      </c>
      <c r="BG310" s="19" t="n">
        <v>0</v>
      </c>
      <c r="BH310" s="19" t="n">
        <v>0</v>
      </c>
      <c r="BI310" s="19" t="n">
        <v>0</v>
      </c>
      <c r="BJ310" s="19" t="n">
        <v>0</v>
      </c>
      <c r="BK310" s="19" t="n">
        <v>0</v>
      </c>
      <c r="BL310" s="19" t="n">
        <v>0</v>
      </c>
      <c r="BM310" s="19" t="n">
        <v>0</v>
      </c>
      <c r="BN310" s="19" t="n">
        <v>0</v>
      </c>
      <c r="BO310" s="19" t="n">
        <v>0</v>
      </c>
      <c r="BP310" s="19" t="n">
        <v>0</v>
      </c>
      <c r="BQ310" s="19" t="n">
        <v>0</v>
      </c>
      <c r="BR310" s="19" t="n">
        <v>1</v>
      </c>
      <c r="BS310" s="19" t="n">
        <v>1</v>
      </c>
      <c r="BT310" s="19" t="n">
        <v>3</v>
      </c>
      <c r="BU310" s="19" t="n">
        <v>5</v>
      </c>
      <c r="BV310" s="19" t="n">
        <v>1</v>
      </c>
      <c r="BW310" s="19" t="n">
        <v>2</v>
      </c>
      <c r="BX310" s="19" t="n">
        <v>4</v>
      </c>
      <c r="BY310" s="19" t="n">
        <v>5</v>
      </c>
      <c r="BZ310" s="19" t="n">
        <v>4</v>
      </c>
      <c r="CA310" s="19" t="n">
        <v>5</v>
      </c>
      <c r="CB310" s="19" t="n">
        <v>5</v>
      </c>
      <c r="CC310" s="19" t="n">
        <v>5</v>
      </c>
      <c r="CD310" s="19" t="n">
        <v>5</v>
      </c>
      <c r="CE310" s="19" t="n">
        <v>5</v>
      </c>
      <c r="CF310" s="19" t="n">
        <v>5</v>
      </c>
      <c r="CG310" s="19" t="n">
        <v>5</v>
      </c>
      <c r="CH310" s="19" t="n">
        <v>5</v>
      </c>
      <c r="CI310" s="19" t="n">
        <v>5</v>
      </c>
      <c r="CJ310" s="19" t="n">
        <v>5</v>
      </c>
      <c r="CK310" s="19" t="n">
        <v>10</v>
      </c>
      <c r="CL310" s="0" t="s">
        <v>498</v>
      </c>
      <c r="CM310" s="0" t="n">
        <v>33</v>
      </c>
      <c r="CN310" s="16" t="n">
        <v>71.2</v>
      </c>
      <c r="CO310" s="16" t="n">
        <v>80.4</v>
      </c>
      <c r="CP310" s="16" t="n">
        <v>16.3</v>
      </c>
      <c r="CQ310" s="0" t="n">
        <v>83.24</v>
      </c>
      <c r="CR310" s="17" t="n">
        <v>0</v>
      </c>
      <c r="CS310" s="0" t="n">
        <v>0</v>
      </c>
      <c r="CT310" s="0" t="n">
        <v>0</v>
      </c>
      <c r="CU310" s="0" t="n">
        <v>14.14</v>
      </c>
      <c r="CV310" s="0" t="n">
        <v>0</v>
      </c>
      <c r="CW310" s="0" t="n">
        <v>2.63</v>
      </c>
      <c r="CX310" s="0" t="n">
        <v>0</v>
      </c>
      <c r="CY310" s="0" t="n">
        <v>0</v>
      </c>
      <c r="CZ310" s="0" t="n">
        <v>0</v>
      </c>
      <c r="DA310" s="0" t="n">
        <v>0</v>
      </c>
      <c r="DB310" s="0" t="n">
        <v>2.63</v>
      </c>
      <c r="DC310" s="0" t="n">
        <v>10.16</v>
      </c>
      <c r="DD310" s="0" t="n">
        <v>20.83</v>
      </c>
      <c r="DE310" s="0" t="n">
        <v>24.81</v>
      </c>
      <c r="DF310" s="0" t="n">
        <v>0</v>
      </c>
      <c r="DG310" s="0" t="n">
        <v>11.2</v>
      </c>
      <c r="DH310" s="0" t="n">
        <v>1</v>
      </c>
      <c r="DI310" s="0" t="n">
        <v>5</v>
      </c>
      <c r="DK310" s="0" t="n">
        <v>1</v>
      </c>
      <c r="DO310" s="0" t="n">
        <v>5</v>
      </c>
      <c r="DQ310" s="0" t="n">
        <v>1</v>
      </c>
      <c r="DU310" s="0" t="n">
        <v>0</v>
      </c>
      <c r="DV310" s="0" t="n">
        <v>0</v>
      </c>
      <c r="EG310" s="18"/>
      <c r="EY310" s="0" t="n">
        <v>0</v>
      </c>
      <c r="GJ310" s="16" t="n">
        <v>2.71</v>
      </c>
      <c r="GK310" s="16" t="n">
        <v>1</v>
      </c>
      <c r="GL310" s="16" t="n">
        <v>1</v>
      </c>
      <c r="GM310" s="16"/>
      <c r="GN310" s="16" t="n">
        <f aca="false">2.11*4+0.52*2</f>
        <v>9.48</v>
      </c>
      <c r="GO310" s="16"/>
      <c r="GP310" s="16"/>
      <c r="GQ310" s="16"/>
      <c r="GR310" s="16"/>
      <c r="GS310" s="16"/>
      <c r="GT310" s="16"/>
      <c r="GU310" s="16" t="n">
        <v>2.63</v>
      </c>
      <c r="GV310" s="16" t="n">
        <v>2.6</v>
      </c>
      <c r="GW310" s="16" t="n">
        <v>0</v>
      </c>
      <c r="GX310" s="16" t="n">
        <v>0</v>
      </c>
      <c r="GY310" s="16" t="n">
        <v>0</v>
      </c>
      <c r="GZ310" s="16" t="n">
        <v>0</v>
      </c>
      <c r="HA310" s="16" t="n">
        <v>0</v>
      </c>
      <c r="HB310" s="0" t="n">
        <v>0</v>
      </c>
      <c r="HC310" s="0" t="s">
        <v>499</v>
      </c>
      <c r="HD310" s="0" t="n">
        <v>40</v>
      </c>
      <c r="HE310" s="16" t="n">
        <v>79.7</v>
      </c>
      <c r="HF310" s="16" t="n">
        <v>80.4</v>
      </c>
      <c r="HG310" s="16" t="n">
        <v>11.2</v>
      </c>
      <c r="HH310" s="0" t="n">
        <v>91.23</v>
      </c>
      <c r="HI310" s="17" t="n">
        <v>0</v>
      </c>
      <c r="HJ310" s="0" t="n">
        <v>0</v>
      </c>
      <c r="HK310" s="0" t="n">
        <v>0</v>
      </c>
      <c r="HL310" s="0" t="n">
        <v>8.77</v>
      </c>
      <c r="HM310" s="0" t="n">
        <v>0</v>
      </c>
      <c r="HN310" s="0" t="n">
        <v>0</v>
      </c>
      <c r="HO310" s="0" t="n">
        <v>0</v>
      </c>
      <c r="HP310" s="0" t="n">
        <v>0</v>
      </c>
      <c r="HQ310" s="0" t="n">
        <v>0</v>
      </c>
      <c r="HR310" s="0" t="n">
        <v>0</v>
      </c>
      <c r="HS310" s="0" t="n">
        <v>0</v>
      </c>
      <c r="HT310" s="0" t="n">
        <v>18.64</v>
      </c>
      <c r="HU310" s="0" t="n">
        <v>42.82</v>
      </c>
      <c r="HV310" s="0" t="n">
        <v>4.61</v>
      </c>
      <c r="HW310" s="0" t="n">
        <v>0</v>
      </c>
      <c r="HX310" s="0" t="n">
        <v>0</v>
      </c>
      <c r="HY310" s="0" t="n">
        <v>0</v>
      </c>
      <c r="IL310" s="0" t="n">
        <v>23.2</v>
      </c>
      <c r="IM310" s="0" t="n">
        <v>1</v>
      </c>
      <c r="IN310" s="0" t="n">
        <v>35</v>
      </c>
      <c r="IO310" s="0" t="n">
        <f aca="false">2+4+2+2+2+4+2+2+1</f>
        <v>21</v>
      </c>
      <c r="IP310" s="0" t="n">
        <f aca="false">1.52+1.49+0.78*2+0.27+0.43+0.12+0.13</f>
        <v>5.52</v>
      </c>
      <c r="IQ310" s="0" t="n">
        <v>3</v>
      </c>
      <c r="IR310" s="0" t="n">
        <v>10</v>
      </c>
      <c r="IS310" s="0" t="n">
        <v>1</v>
      </c>
      <c r="IT310" s="0" t="n">
        <v>0.1</v>
      </c>
      <c r="IU310" s="0" t="n">
        <v>5</v>
      </c>
      <c r="IV310" s="0" t="n">
        <v>25</v>
      </c>
      <c r="IW310" s="0" t="n">
        <v>8</v>
      </c>
      <c r="IX310" s="18" t="n">
        <f aca="false">0.19*2+0.1</f>
        <v>0.48</v>
      </c>
      <c r="IY310" s="0" t="n">
        <v>1</v>
      </c>
      <c r="JP310" s="0" t="n">
        <v>0</v>
      </c>
      <c r="LA310" s="16" t="n">
        <v>1.52</v>
      </c>
      <c r="LB310" s="16" t="n">
        <v>1</v>
      </c>
      <c r="LC310" s="16" t="n">
        <v>1</v>
      </c>
      <c r="LD310" s="16"/>
      <c r="LE310" s="16" t="n">
        <f aca="false">2.11*2+0.19*3+0.1</f>
        <v>4.89</v>
      </c>
      <c r="LF310" s="16"/>
      <c r="LG310" s="16"/>
      <c r="LH310" s="16"/>
      <c r="LI310" s="16"/>
      <c r="LJ310" s="16"/>
      <c r="LK310" s="16"/>
      <c r="LL310" s="16" t="n">
        <v>0</v>
      </c>
      <c r="LM310" s="16" t="n">
        <v>0</v>
      </c>
      <c r="LN310" s="16" t="n">
        <v>0</v>
      </c>
      <c r="LO310" s="16" t="n">
        <v>0</v>
      </c>
      <c r="LP310" s="16" t="n">
        <v>0</v>
      </c>
      <c r="LQ310" s="16" t="n">
        <v>0</v>
      </c>
      <c r="LR310" s="16" t="n">
        <v>0.06</v>
      </c>
      <c r="LS310" s="0" t="n">
        <v>0</v>
      </c>
      <c r="LT310" s="0" t="s">
        <v>500</v>
      </c>
      <c r="LU310" s="0" t="n">
        <v>48</v>
      </c>
      <c r="LV310" s="16" t="n">
        <v>69.7</v>
      </c>
      <c r="LW310" s="16" t="n">
        <v>80.4</v>
      </c>
      <c r="LX310" s="16" t="n">
        <v>44.5</v>
      </c>
      <c r="LY310" s="0" t="n">
        <v>13.55</v>
      </c>
      <c r="LZ310" s="17" t="n">
        <v>0</v>
      </c>
      <c r="MA310" s="0" t="n">
        <v>0</v>
      </c>
      <c r="MB310" s="0" t="n">
        <v>0</v>
      </c>
      <c r="MC310" s="0" t="n">
        <v>0.1</v>
      </c>
      <c r="MD310" s="0" t="n">
        <v>0</v>
      </c>
      <c r="ME310" s="0" t="n">
        <v>86.34</v>
      </c>
      <c r="MF310" s="0" t="n">
        <v>13.26</v>
      </c>
      <c r="MG310" s="0" t="n">
        <v>28.53</v>
      </c>
      <c r="MH310" s="0" t="n">
        <v>0</v>
      </c>
      <c r="MI310" s="0" t="n">
        <v>0</v>
      </c>
      <c r="MJ310" s="0" t="n">
        <v>0.78</v>
      </c>
      <c r="MK310" s="0" t="n">
        <v>3.48</v>
      </c>
      <c r="ML310" s="0" t="n">
        <v>11.45</v>
      </c>
      <c r="MM310" s="0" t="n">
        <v>6.85</v>
      </c>
      <c r="MN310" s="0" t="n">
        <v>0</v>
      </c>
      <c r="MO310" s="0" t="n">
        <v>0</v>
      </c>
      <c r="MP310" s="0" t="n">
        <v>0</v>
      </c>
      <c r="NC310" s="0" t="n">
        <v>0</v>
      </c>
      <c r="ND310" s="0" t="n">
        <v>0</v>
      </c>
      <c r="NO310" s="18"/>
      <c r="OG310" s="0" t="n">
        <v>0</v>
      </c>
      <c r="PR310" s="16" t="n">
        <v>0.75</v>
      </c>
      <c r="PS310" s="16" t="n">
        <v>1</v>
      </c>
      <c r="PT310" s="16" t="n">
        <v>1</v>
      </c>
      <c r="PU310" s="16"/>
      <c r="PV310" s="16" t="n">
        <f aca="false">2.11+0.37</f>
        <v>2.48</v>
      </c>
      <c r="PW310" s="16"/>
      <c r="PX310" s="16"/>
      <c r="PY310" s="16"/>
      <c r="PZ310" s="16"/>
      <c r="QA310" s="16"/>
      <c r="QB310" s="16"/>
      <c r="QC310" s="16" t="n">
        <v>2.66</v>
      </c>
      <c r="QD310" s="16" t="n">
        <v>2.64</v>
      </c>
      <c r="QE310" s="16" t="n">
        <v>0</v>
      </c>
      <c r="QF310" s="16" t="n">
        <v>0</v>
      </c>
      <c r="QG310" s="16" t="n">
        <v>0</v>
      </c>
      <c r="QH310" s="16" t="n">
        <v>0</v>
      </c>
      <c r="QI310" s="16" t="n">
        <v>0</v>
      </c>
      <c r="QJ310" s="0" t="n">
        <v>0</v>
      </c>
      <c r="QK310" s="0" t="s">
        <v>503</v>
      </c>
      <c r="QL310" s="0" t="n">
        <v>47</v>
      </c>
      <c r="QM310" s="16" t="n">
        <v>54.1</v>
      </c>
      <c r="QN310" s="16" t="n">
        <v>80.4</v>
      </c>
      <c r="QO310" s="16" t="n">
        <v>34.5</v>
      </c>
      <c r="QP310" s="0" t="n">
        <v>71.45</v>
      </c>
      <c r="QQ310" s="17" t="n">
        <v>0</v>
      </c>
      <c r="QR310" s="0" t="n">
        <v>21.93</v>
      </c>
      <c r="QS310" s="0" t="n">
        <v>6.49</v>
      </c>
      <c r="QT310" s="0" t="n">
        <v>0.12</v>
      </c>
      <c r="QU310" s="0" t="n">
        <v>0</v>
      </c>
      <c r="QV310" s="0" t="n">
        <v>0</v>
      </c>
      <c r="QW310" s="0" t="n">
        <v>0</v>
      </c>
      <c r="QX310" s="0" t="n">
        <v>0</v>
      </c>
      <c r="QY310" s="0" t="n">
        <v>0</v>
      </c>
      <c r="QZ310" s="0" t="n">
        <v>0</v>
      </c>
      <c r="RA310" s="0" t="n">
        <v>1.01</v>
      </c>
      <c r="RB310" s="0" t="n">
        <v>0.45</v>
      </c>
      <c r="RC310" s="0" t="n">
        <v>18.4</v>
      </c>
      <c r="RD310" s="0" t="n">
        <v>11.28</v>
      </c>
      <c r="RE310" s="0" t="n">
        <v>0</v>
      </c>
      <c r="RF310" s="0" t="n">
        <v>0</v>
      </c>
      <c r="RG310" s="0" t="n">
        <v>0</v>
      </c>
      <c r="RT310" s="0" t="n">
        <v>6</v>
      </c>
      <c r="RU310" s="0" t="n">
        <v>1</v>
      </c>
      <c r="RV310" s="0" t="n">
        <v>35</v>
      </c>
      <c r="RW310" s="0" t="n">
        <v>8</v>
      </c>
      <c r="RX310" s="0" t="n">
        <f aca="false">0.25+0.25+0.25+0.13+0.13+0.13+0.13</f>
        <v>1.27</v>
      </c>
      <c r="RY310" s="0" t="n">
        <v>3</v>
      </c>
      <c r="SF310" s="18"/>
      <c r="SX310" s="0" t="n">
        <v>1</v>
      </c>
      <c r="SY310" s="0" t="n">
        <v>50</v>
      </c>
      <c r="SZ310" s="0" t="n">
        <v>2</v>
      </c>
      <c r="TA310" s="0" t="n">
        <f aca="false">0.76*2</f>
        <v>1.52</v>
      </c>
      <c r="TB310" s="0" t="n">
        <v>1</v>
      </c>
      <c r="UI310" s="16" t="n">
        <v>0.42</v>
      </c>
      <c r="UJ310" s="16" t="n">
        <v>1</v>
      </c>
      <c r="UK310" s="16" t="n">
        <v>1</v>
      </c>
      <c r="UL310" s="16"/>
      <c r="UM310" s="16" t="n">
        <f aca="false">0.68+0.68+0.03</f>
        <v>1.39</v>
      </c>
      <c r="UN310" s="16"/>
      <c r="UO310" s="16"/>
      <c r="UP310" s="16"/>
      <c r="UQ310" s="16"/>
      <c r="UR310" s="16"/>
      <c r="US310" s="16"/>
      <c r="UT310" s="16" t="n">
        <v>5.21</v>
      </c>
      <c r="UU310" s="16" t="n">
        <v>7.05</v>
      </c>
      <c r="UV310" s="16"/>
      <c r="UW310" s="16"/>
      <c r="UX310" s="16" t="n">
        <v>0</v>
      </c>
      <c r="UY310" s="16" t="n">
        <v>0</v>
      </c>
      <c r="UZ310" s="16" t="n">
        <v>0</v>
      </c>
      <c r="VA310" s="0" t="n">
        <v>0</v>
      </c>
      <c r="VB310" s="0" t="s">
        <v>505</v>
      </c>
      <c r="VC310" s="0" t="n">
        <v>59</v>
      </c>
      <c r="VD310" s="16" t="n">
        <v>90.4</v>
      </c>
      <c r="VE310" s="16" t="n">
        <v>80.4</v>
      </c>
      <c r="VF310" s="16" t="n">
        <v>54.7</v>
      </c>
      <c r="VG310" s="0" t="n">
        <v>26.42</v>
      </c>
      <c r="VH310" s="17" t="n">
        <v>0</v>
      </c>
      <c r="VI310" s="0" t="n">
        <v>0</v>
      </c>
      <c r="VJ310" s="0" t="n">
        <v>0</v>
      </c>
      <c r="VK310" s="0" t="n">
        <v>0</v>
      </c>
      <c r="VL310" s="0" t="n">
        <v>0</v>
      </c>
      <c r="VM310" s="0" t="n">
        <v>66.96</v>
      </c>
      <c r="VN310" s="0" t="n">
        <v>6.55</v>
      </c>
      <c r="VO310" s="0" t="n">
        <v>30.83</v>
      </c>
      <c r="VP310" s="0" t="n">
        <v>0</v>
      </c>
      <c r="VQ310" s="0" t="n">
        <v>0</v>
      </c>
      <c r="VR310" s="0" t="n">
        <v>14.46</v>
      </c>
      <c r="VS310" s="0" t="n">
        <v>11.57</v>
      </c>
      <c r="VT310" s="0" t="n">
        <v>6.5</v>
      </c>
      <c r="VU310" s="0" t="n">
        <v>6.03</v>
      </c>
      <c r="VV310" s="0" t="n">
        <v>6.62</v>
      </c>
      <c r="VW310" s="0" t="n">
        <v>0</v>
      </c>
      <c r="VX310" s="0" t="n">
        <v>0</v>
      </c>
      <c r="WK310" s="0" t="n">
        <v>3.2</v>
      </c>
      <c r="WL310" s="0" t="n">
        <v>0</v>
      </c>
      <c r="WW310" s="18"/>
      <c r="XO310" s="0" t="n">
        <v>1</v>
      </c>
      <c r="XP310" s="0" t="n">
        <v>60</v>
      </c>
      <c r="XQ310" s="0" t="n">
        <v>2</v>
      </c>
      <c r="XR310" s="0" t="n">
        <v>1.52</v>
      </c>
      <c r="XS310" s="0" t="n">
        <v>3</v>
      </c>
      <c r="YZ310" s="16" t="n">
        <v>0.63</v>
      </c>
      <c r="ZA310" s="16" t="n">
        <v>1</v>
      </c>
      <c r="ZB310" s="16" t="n">
        <v>1</v>
      </c>
      <c r="ZC310" s="16"/>
      <c r="ZD310" s="16" t="n">
        <v>3.17</v>
      </c>
      <c r="ZE310" s="16"/>
      <c r="ZF310" s="16"/>
      <c r="ZG310" s="16"/>
      <c r="ZH310" s="16"/>
      <c r="ZI310" s="16"/>
      <c r="ZJ310" s="16"/>
      <c r="ZK310" s="16" t="n">
        <v>0</v>
      </c>
      <c r="ZL310" s="16" t="n">
        <v>0</v>
      </c>
      <c r="ZM310" s="16"/>
      <c r="ZN310" s="16"/>
      <c r="ZO310" s="16" t="n">
        <v>0</v>
      </c>
      <c r="ZP310" s="16" t="n">
        <v>0</v>
      </c>
      <c r="ZQ310" s="16" t="n">
        <v>0</v>
      </c>
      <c r="ZR310" s="0" t="n">
        <v>0</v>
      </c>
      <c r="ZS310" s="0" t="s">
        <v>619</v>
      </c>
      <c r="ZT310" s="0" t="n">
        <v>42</v>
      </c>
      <c r="ZU310" s="16" t="n">
        <v>97.3</v>
      </c>
      <c r="ZV310" s="16" t="n">
        <v>80.4</v>
      </c>
      <c r="ZW310" s="16" t="n">
        <v>14.9</v>
      </c>
      <c r="ZX310" s="0" t="n">
        <v>88.72</v>
      </c>
      <c r="ZY310" s="17" t="n">
        <v>0</v>
      </c>
      <c r="ZZ310" s="0" t="n">
        <v>0</v>
      </c>
      <c r="AAA310" s="0" t="n">
        <v>0</v>
      </c>
      <c r="AAB310" s="0" t="n">
        <v>11.28</v>
      </c>
      <c r="AAC310" s="0" t="n">
        <v>0</v>
      </c>
      <c r="AAD310" s="0" t="n">
        <v>0</v>
      </c>
      <c r="AAE310" s="0" t="n">
        <v>0</v>
      </c>
      <c r="AAF310" s="0" t="n">
        <v>0</v>
      </c>
      <c r="AAG310" s="0" t="n">
        <v>0</v>
      </c>
      <c r="AAH310" s="0" t="n">
        <v>0</v>
      </c>
      <c r="AAI310" s="0" t="n">
        <v>0</v>
      </c>
      <c r="AAJ310" s="0" t="n">
        <v>1.14</v>
      </c>
      <c r="AAK310" s="0" t="n">
        <v>50.12</v>
      </c>
      <c r="AAL310" s="0" t="n">
        <v>30.38</v>
      </c>
      <c r="AAM310" s="0" t="n">
        <v>0</v>
      </c>
      <c r="AAN310" s="0" t="n">
        <v>0</v>
      </c>
      <c r="AAO310" s="0" t="n">
        <v>1</v>
      </c>
      <c r="AAP310" s="0" t="n">
        <v>2</v>
      </c>
      <c r="AAR310" s="0" t="n">
        <v>4</v>
      </c>
      <c r="AAV310" s="0" t="n">
        <v>2</v>
      </c>
      <c r="AAX310" s="0" t="n">
        <v>4</v>
      </c>
      <c r="ABB310" s="0" t="n">
        <v>0</v>
      </c>
      <c r="ABC310" s="0" t="n">
        <v>0</v>
      </c>
      <c r="ABN310" s="18"/>
      <c r="ACF310" s="0" t="n">
        <v>0</v>
      </c>
      <c r="ADQ310" s="16" t="n">
        <v>9.53</v>
      </c>
      <c r="ADR310" s="16" t="n">
        <v>1</v>
      </c>
      <c r="ADS310" s="16" t="n">
        <v>1</v>
      </c>
      <c r="ADT310" s="16"/>
      <c r="ADU310" s="16" t="n">
        <f aca="false">3.17+6.34+4.23+0.56+1.12</f>
        <v>15.42</v>
      </c>
      <c r="ADV310" s="16" t="n">
        <v>2</v>
      </c>
      <c r="ADW310" s="16"/>
      <c r="ADX310" s="16" t="n">
        <f aca="false">8.46+1.59+1.59+1.49+0.28+1.49</f>
        <v>14.9</v>
      </c>
      <c r="ADY310" s="16"/>
      <c r="ADZ310" s="16"/>
      <c r="AEA310" s="16"/>
      <c r="AEB310" s="16" t="n">
        <v>14.15</v>
      </c>
      <c r="AEC310" s="16" t="n">
        <v>35.37</v>
      </c>
      <c r="AED310" s="16"/>
      <c r="AEE310" s="16"/>
      <c r="AEF310" s="16" t="n">
        <v>0</v>
      </c>
      <c r="AEG310" s="16" t="n">
        <v>0</v>
      </c>
      <c r="AEH310" s="16" t="n">
        <v>0</v>
      </c>
      <c r="AEI310" s="0" t="n">
        <v>0</v>
      </c>
      <c r="AEK310" s="15"/>
      <c r="AEL310" s="15"/>
      <c r="AES310" s="15"/>
      <c r="AET310" s="15"/>
      <c r="AFA310" s="15"/>
      <c r="AFB310" s="15"/>
      <c r="AFI310" s="15"/>
      <c r="AFJ310" s="15"/>
      <c r="AFQ310" s="15"/>
      <c r="AFR310" s="15"/>
      <c r="AFY310" s="15"/>
      <c r="AFZ310" s="15"/>
      <c r="AGG310" s="15"/>
      <c r="AGH310" s="15"/>
      <c r="AGO310" s="15"/>
      <c r="AGP310" s="15"/>
      <c r="AGW310" s="15"/>
      <c r="AGX310" s="15"/>
      <c r="AHE310" s="15"/>
      <c r="AHF310" s="15"/>
      <c r="AHM310" s="15"/>
      <c r="AHN310" s="15"/>
      <c r="AHU310" s="15"/>
      <c r="AHV310" s="15"/>
      <c r="AIC310" s="15"/>
      <c r="AID310" s="15"/>
      <c r="AIK310" s="15"/>
      <c r="AIL310" s="15"/>
      <c r="AIS310" s="15"/>
      <c r="AIT310" s="15"/>
      <c r="AJA310" s="15"/>
      <c r="AJB310" s="15"/>
      <c r="AJI310" s="15"/>
      <c r="AJJ310" s="15"/>
      <c r="AJQ310" s="15"/>
      <c r="AJR310" s="15"/>
      <c r="AJY310" s="15"/>
      <c r="AJZ310" s="15"/>
      <c r="AKG310" s="15"/>
      <c r="AKH310" s="15"/>
      <c r="AKO310" s="15"/>
      <c r="AKP310" s="15"/>
      <c r="AKW310" s="15"/>
      <c r="AKX310" s="15"/>
      <c r="ALE310" s="15"/>
      <c r="ALF310" s="15"/>
      <c r="ALM310" s="15"/>
      <c r="ALN310" s="15"/>
      <c r="ALU310" s="15"/>
      <c r="ALV310" s="15"/>
      <c r="AMC310" s="15"/>
      <c r="AMD310" s="15"/>
    </row>
    <row r="311" customFormat="false" ht="13.8" hidden="false" customHeight="false" outlineLevel="0" collapsed="false">
      <c r="A311" s="1" t="s">
        <v>886</v>
      </c>
      <c r="B311" s="12" t="n">
        <v>42907</v>
      </c>
      <c r="C311" s="0" t="n">
        <v>2</v>
      </c>
      <c r="D311" s="13" t="n">
        <v>40301</v>
      </c>
      <c r="E311" s="12" t="n">
        <v>31712</v>
      </c>
      <c r="F311" s="14" t="n">
        <f aca="false">(B311-E311)/365.25</f>
        <v>30.6502395619439</v>
      </c>
      <c r="G311" s="14" t="n">
        <f aca="false">(B311-D311)/365.25</f>
        <v>7.13483915126626</v>
      </c>
      <c r="H311" s="19" t="s">
        <v>181</v>
      </c>
      <c r="I311" s="15" t="s">
        <v>496</v>
      </c>
      <c r="J311" s="15" t="s">
        <v>181</v>
      </c>
      <c r="K311" s="15" t="n">
        <v>8</v>
      </c>
      <c r="L311" s="19" t="n">
        <v>103</v>
      </c>
      <c r="M311" s="0" t="n">
        <v>1.81</v>
      </c>
      <c r="N311" s="16" t="n">
        <f aca="false">L311/(M311*M311)</f>
        <v>31.4398217392631</v>
      </c>
      <c r="O311" s="19" t="n">
        <v>0</v>
      </c>
      <c r="P311" s="19" t="n">
        <v>0</v>
      </c>
      <c r="Q311" s="19" t="n">
        <v>0</v>
      </c>
      <c r="R311" s="26" t="n">
        <v>0</v>
      </c>
      <c r="S311" s="26" t="n">
        <v>0</v>
      </c>
      <c r="T311" s="26" t="n">
        <v>0</v>
      </c>
      <c r="U311" s="19" t="n">
        <v>1</v>
      </c>
      <c r="V311" s="19" t="n">
        <v>5</v>
      </c>
      <c r="W311" s="19" t="n">
        <v>0</v>
      </c>
      <c r="X311" s="19" t="n">
        <v>0</v>
      </c>
      <c r="Y311" s="19" t="n">
        <v>0</v>
      </c>
      <c r="Z311" s="19" t="n">
        <v>0</v>
      </c>
      <c r="AA311" s="19" t="n">
        <v>0</v>
      </c>
      <c r="AB311" s="19" t="n">
        <v>0</v>
      </c>
      <c r="AC311" s="19" t="n">
        <v>1</v>
      </c>
      <c r="AD311" s="19" t="n">
        <v>15</v>
      </c>
      <c r="AE311" s="19" t="n">
        <v>0</v>
      </c>
      <c r="AF311" s="19" t="n">
        <v>0</v>
      </c>
      <c r="AG311" s="19" t="n">
        <v>0</v>
      </c>
      <c r="AH311" s="19" t="n">
        <v>0</v>
      </c>
      <c r="AI311" s="19" t="n">
        <v>1</v>
      </c>
      <c r="AJ311" s="19" t="n">
        <v>1</v>
      </c>
      <c r="AK311" s="19" t="n">
        <v>0</v>
      </c>
      <c r="AL311" s="19" t="n">
        <v>0</v>
      </c>
      <c r="AM311" s="19" t="n">
        <v>0</v>
      </c>
      <c r="AN311" s="19" t="n">
        <v>0</v>
      </c>
      <c r="AO311" s="19" t="n">
        <v>0</v>
      </c>
      <c r="AP311" s="19" t="n">
        <v>0</v>
      </c>
      <c r="AQ311" s="19" t="n">
        <v>0</v>
      </c>
      <c r="AR311" s="19" t="n">
        <v>0</v>
      </c>
      <c r="AS311" s="19" t="n">
        <v>1</v>
      </c>
      <c r="AT311" s="19" t="n">
        <v>1</v>
      </c>
      <c r="AU311" s="19" t="n">
        <v>0</v>
      </c>
      <c r="AV311" s="19" t="n">
        <v>0</v>
      </c>
      <c r="AW311" s="19" t="n">
        <v>0</v>
      </c>
      <c r="AX311" s="19" t="n">
        <v>0</v>
      </c>
      <c r="AY311" s="19" t="n">
        <v>0</v>
      </c>
      <c r="AZ311" s="19" t="n">
        <v>0</v>
      </c>
      <c r="BA311" s="19" t="n">
        <v>0</v>
      </c>
      <c r="BB311" s="19" t="n">
        <v>1</v>
      </c>
      <c r="BC311" s="19" t="n">
        <v>1</v>
      </c>
      <c r="BD311" s="19" t="n">
        <v>1</v>
      </c>
      <c r="BE311" s="19" t="n">
        <v>7</v>
      </c>
      <c r="BF311" s="19" t="n">
        <v>0</v>
      </c>
      <c r="BG311" s="19" t="n">
        <v>0</v>
      </c>
      <c r="BH311" s="19" t="n">
        <v>0</v>
      </c>
      <c r="BI311" s="19" t="n">
        <v>0</v>
      </c>
      <c r="BJ311" s="19" t="n">
        <v>0</v>
      </c>
      <c r="BK311" s="19" t="n">
        <v>0</v>
      </c>
      <c r="BL311" s="19" t="n">
        <v>0</v>
      </c>
      <c r="BM311" s="19" t="n">
        <v>0</v>
      </c>
      <c r="BN311" s="19" t="n">
        <v>0</v>
      </c>
      <c r="BO311" s="19" t="n">
        <v>0</v>
      </c>
      <c r="BP311" s="19" t="n">
        <v>0</v>
      </c>
      <c r="BQ311" s="19" t="n">
        <v>0</v>
      </c>
      <c r="BR311" s="19" t="n">
        <v>3</v>
      </c>
      <c r="BS311" s="19" t="n">
        <v>2</v>
      </c>
      <c r="BT311" s="19" t="n">
        <v>3</v>
      </c>
      <c r="BU311" s="19" t="n">
        <v>4</v>
      </c>
      <c r="BV311" s="19" t="n">
        <v>3</v>
      </c>
      <c r="BW311" s="19" t="n">
        <v>2</v>
      </c>
      <c r="BX311" s="19" t="n">
        <v>4</v>
      </c>
      <c r="BY311" s="19" t="n">
        <v>5</v>
      </c>
      <c r="BZ311" s="19" t="n">
        <v>3</v>
      </c>
      <c r="CA311" s="19" t="n">
        <v>3</v>
      </c>
      <c r="CB311" s="19" t="n">
        <v>3</v>
      </c>
      <c r="CC311" s="19" t="n">
        <v>4</v>
      </c>
      <c r="CD311" s="19" t="n">
        <v>3</v>
      </c>
      <c r="CE311" s="19" t="n">
        <v>3</v>
      </c>
      <c r="CF311" s="19" t="n">
        <v>3</v>
      </c>
      <c r="CG311" s="19" t="n">
        <v>5</v>
      </c>
      <c r="CH311" s="19" t="n">
        <v>4</v>
      </c>
      <c r="CI311" s="19" t="n">
        <v>3</v>
      </c>
      <c r="CJ311" s="19" t="n">
        <v>4</v>
      </c>
      <c r="CK311" s="19" t="n">
        <v>8</v>
      </c>
      <c r="CL311" s="0" t="s">
        <v>498</v>
      </c>
      <c r="CM311" s="0" t="n">
        <v>33</v>
      </c>
      <c r="CN311" s="16" t="n">
        <v>71.2</v>
      </c>
      <c r="CO311" s="16" t="n">
        <v>80.4</v>
      </c>
      <c r="CP311" s="16" t="n">
        <v>16.3</v>
      </c>
      <c r="CQ311" s="0" t="n">
        <v>83.24</v>
      </c>
      <c r="CR311" s="17" t="n">
        <v>0</v>
      </c>
      <c r="CS311" s="0" t="n">
        <v>0</v>
      </c>
      <c r="CT311" s="0" t="n">
        <v>0</v>
      </c>
      <c r="CU311" s="0" t="n">
        <v>14.14</v>
      </c>
      <c r="CV311" s="0" t="n">
        <v>0</v>
      </c>
      <c r="CW311" s="0" t="n">
        <v>2.63</v>
      </c>
      <c r="CX311" s="0" t="n">
        <v>0</v>
      </c>
      <c r="CY311" s="0" t="n">
        <v>0</v>
      </c>
      <c r="CZ311" s="0" t="n">
        <v>0</v>
      </c>
      <c r="DA311" s="0" t="n">
        <v>0</v>
      </c>
      <c r="DB311" s="0" t="n">
        <v>2.63</v>
      </c>
      <c r="DC311" s="0" t="n">
        <v>10.16</v>
      </c>
      <c r="DD311" s="0" t="n">
        <v>20.83</v>
      </c>
      <c r="DE311" s="0" t="n">
        <v>24.81</v>
      </c>
      <c r="DF311" s="0" t="n">
        <v>0</v>
      </c>
      <c r="DG311" s="0" t="n">
        <v>11.2</v>
      </c>
      <c r="DH311" s="0" t="n">
        <v>1</v>
      </c>
      <c r="DI311" s="0" t="n">
        <v>5</v>
      </c>
      <c r="DK311" s="0" t="n">
        <v>1</v>
      </c>
      <c r="DO311" s="0" t="n">
        <v>5</v>
      </c>
      <c r="DQ311" s="0" t="n">
        <v>1</v>
      </c>
      <c r="DU311" s="0" t="n">
        <v>0</v>
      </c>
      <c r="DV311" s="0" t="n">
        <v>0</v>
      </c>
      <c r="EG311" s="18"/>
      <c r="EY311" s="0" t="n">
        <v>0</v>
      </c>
      <c r="GJ311" s="16" t="n">
        <v>2.71</v>
      </c>
      <c r="GK311" s="16" t="n">
        <v>1</v>
      </c>
      <c r="GL311" s="16" t="n">
        <v>1</v>
      </c>
      <c r="GM311" s="16"/>
      <c r="GN311" s="16" t="n">
        <f aca="false">2.11*4+0.52*2</f>
        <v>9.48</v>
      </c>
      <c r="GO311" s="16"/>
      <c r="GP311" s="16"/>
      <c r="GQ311" s="16"/>
      <c r="GR311" s="16"/>
      <c r="GS311" s="16"/>
      <c r="GT311" s="16"/>
      <c r="GU311" s="16" t="n">
        <v>2.63</v>
      </c>
      <c r="GV311" s="16" t="n">
        <v>2.6</v>
      </c>
      <c r="GW311" s="16" t="n">
        <v>0</v>
      </c>
      <c r="GX311" s="16" t="n">
        <v>0</v>
      </c>
      <c r="GY311" s="16" t="n">
        <v>0</v>
      </c>
      <c r="GZ311" s="16" t="n">
        <v>0</v>
      </c>
      <c r="HA311" s="16" t="n">
        <v>0</v>
      </c>
      <c r="HB311" s="0" t="n">
        <v>0</v>
      </c>
      <c r="HC311" s="0" t="s">
        <v>501</v>
      </c>
      <c r="HD311" s="0" t="n">
        <v>58</v>
      </c>
      <c r="HE311" s="16" t="n">
        <v>79.9</v>
      </c>
      <c r="HF311" s="16" t="n">
        <v>80.4</v>
      </c>
      <c r="HG311" s="16" t="n">
        <v>43.6</v>
      </c>
      <c r="HH311" s="0" t="n">
        <v>26.15</v>
      </c>
      <c r="HI311" s="17" t="n">
        <v>0</v>
      </c>
      <c r="HJ311" s="0" t="n">
        <v>0</v>
      </c>
      <c r="HK311" s="0" t="n">
        <v>0</v>
      </c>
      <c r="HL311" s="0" t="n">
        <v>0</v>
      </c>
      <c r="HM311" s="0" t="n">
        <v>0</v>
      </c>
      <c r="HN311" s="0" t="n">
        <v>73.85</v>
      </c>
      <c r="HO311" s="0" t="n">
        <v>18.43</v>
      </c>
      <c r="HP311" s="0" t="n">
        <v>20.42</v>
      </c>
      <c r="HQ311" s="0" t="n">
        <v>0</v>
      </c>
      <c r="HR311" s="0" t="n">
        <v>0</v>
      </c>
      <c r="HS311" s="0" t="n">
        <v>2.44</v>
      </c>
      <c r="HT311" s="0" t="n">
        <v>0.13</v>
      </c>
      <c r="HU311" s="0" t="n">
        <v>9.71</v>
      </c>
      <c r="HV311" s="0" t="n">
        <v>18.31</v>
      </c>
      <c r="HW311" s="0" t="n">
        <v>0</v>
      </c>
      <c r="HX311" s="0" t="n">
        <v>0</v>
      </c>
      <c r="HY311" s="0" t="n">
        <v>0</v>
      </c>
      <c r="IL311" s="0" t="n">
        <v>9.1</v>
      </c>
      <c r="IM311" s="0" t="n">
        <v>1</v>
      </c>
      <c r="IN311" s="0" t="n">
        <v>68</v>
      </c>
      <c r="IO311" s="0" t="n">
        <v>1</v>
      </c>
      <c r="IP311" s="0" t="n">
        <v>0.05</v>
      </c>
      <c r="IQ311" s="0" t="n">
        <v>1</v>
      </c>
      <c r="IR311" s="0" t="n">
        <v>35</v>
      </c>
      <c r="IS311" s="0" t="n">
        <v>3</v>
      </c>
      <c r="IT311" s="0" t="n">
        <f aca="false">0.76+0.64</f>
        <v>1.4</v>
      </c>
      <c r="IU311" s="0" t="n">
        <v>3</v>
      </c>
      <c r="IV311" s="0" t="n">
        <v>47</v>
      </c>
      <c r="IW311" s="0" t="n">
        <v>2</v>
      </c>
      <c r="IX311" s="18" t="n">
        <v>0.23</v>
      </c>
      <c r="IY311" s="0" t="n">
        <v>3</v>
      </c>
      <c r="JP311" s="0" t="n">
        <v>1</v>
      </c>
      <c r="JQ311" s="0" t="n">
        <v>60</v>
      </c>
      <c r="JR311" s="0" t="n">
        <v>2</v>
      </c>
      <c r="JS311" s="0" t="n">
        <v>0.26</v>
      </c>
      <c r="JT311" s="0" t="n">
        <v>3</v>
      </c>
      <c r="LA311" s="16" t="n">
        <v>0</v>
      </c>
      <c r="LB311" s="16" t="n">
        <v>0</v>
      </c>
      <c r="LC311" s="16"/>
      <c r="LD311" s="16"/>
      <c r="LE311" s="16"/>
      <c r="LF311" s="16"/>
      <c r="LG311" s="16"/>
      <c r="LH311" s="16"/>
      <c r="LI311" s="16"/>
      <c r="LJ311" s="16"/>
      <c r="LK311" s="16"/>
      <c r="LL311" s="16" t="n">
        <v>1.97</v>
      </c>
      <c r="LM311" s="16" t="n">
        <v>1.24</v>
      </c>
      <c r="LN311" s="16" t="n">
        <v>0</v>
      </c>
      <c r="LO311" s="16" t="n">
        <v>0</v>
      </c>
      <c r="LP311" s="16" t="n">
        <v>0</v>
      </c>
      <c r="LQ311" s="16" t="n">
        <v>0</v>
      </c>
      <c r="LR311" s="16" t="n">
        <v>3</v>
      </c>
      <c r="LS311" s="0" t="n">
        <v>0</v>
      </c>
      <c r="LT311" s="0" t="s">
        <v>502</v>
      </c>
      <c r="LU311" s="0" t="n">
        <v>34.5</v>
      </c>
      <c r="LV311" s="16" t="n">
        <v>53.2</v>
      </c>
      <c r="LW311" s="16" t="n">
        <v>80.4</v>
      </c>
      <c r="LX311" s="16" t="n">
        <v>8.3</v>
      </c>
      <c r="LY311" s="0" t="n">
        <v>99.94</v>
      </c>
      <c r="LZ311" s="17" t="n">
        <v>0</v>
      </c>
      <c r="MA311" s="0" t="n">
        <v>0</v>
      </c>
      <c r="MB311" s="0" t="n">
        <v>0</v>
      </c>
      <c r="MC311" s="0" t="n">
        <v>0</v>
      </c>
      <c r="MD311" s="0" t="n">
        <v>0</v>
      </c>
      <c r="ME311" s="0" t="n">
        <v>0</v>
      </c>
      <c r="MF311" s="0" t="n">
        <v>0</v>
      </c>
      <c r="MG311" s="0" t="n">
        <v>0</v>
      </c>
      <c r="MH311" s="0" t="n">
        <v>0</v>
      </c>
      <c r="MI311" s="0" t="n">
        <v>0</v>
      </c>
      <c r="MJ311" s="0" t="n">
        <v>0</v>
      </c>
      <c r="MK311" s="0" t="n">
        <v>9.15</v>
      </c>
      <c r="ML311" s="0" t="n">
        <v>18.41</v>
      </c>
      <c r="MM311" s="0" t="n">
        <v>11.73</v>
      </c>
      <c r="MN311" s="0" t="n">
        <v>0</v>
      </c>
      <c r="MO311" s="0" t="n">
        <v>0</v>
      </c>
      <c r="MP311" s="0" t="n">
        <v>0</v>
      </c>
      <c r="NC311" s="0" t="n">
        <v>11.9</v>
      </c>
      <c r="ND311" s="0" t="n">
        <v>1</v>
      </c>
      <c r="NE311" s="0" t="n">
        <v>47</v>
      </c>
      <c r="NF311" s="0" t="n">
        <v>3</v>
      </c>
      <c r="NG311" s="0" t="n">
        <v>1.52</v>
      </c>
      <c r="NH311" s="0" t="n">
        <v>2</v>
      </c>
      <c r="NO311" s="18"/>
      <c r="OG311" s="0" t="n">
        <v>0</v>
      </c>
      <c r="PR311" s="16" t="n">
        <v>5.7</v>
      </c>
      <c r="PS311" s="16" t="n">
        <v>1</v>
      </c>
      <c r="PT311" s="16" t="n">
        <v>1</v>
      </c>
      <c r="PU311" s="16"/>
      <c r="PV311" s="16" t="n">
        <f aca="false">2.11+2.11+0.05+0.05+0.37</f>
        <v>4.69</v>
      </c>
      <c r="PW311" s="16" t="n">
        <v>2</v>
      </c>
      <c r="PX311" s="16"/>
      <c r="PY311" s="16" t="n">
        <f aca="false">3.17+3.17+0.56+0.56+0.33</f>
        <v>7.79</v>
      </c>
      <c r="PZ311" s="16"/>
      <c r="QA311" s="16"/>
      <c r="QB311" s="16"/>
      <c r="QC311" s="16" t="n">
        <v>0</v>
      </c>
      <c r="QD311" s="16" t="n">
        <v>0</v>
      </c>
      <c r="QE311" s="16"/>
      <c r="QF311" s="16"/>
      <c r="QG311" s="16" t="n">
        <v>5.97</v>
      </c>
      <c r="QH311" s="16" t="n">
        <v>0</v>
      </c>
      <c r="QI311" s="16" t="n">
        <v>0</v>
      </c>
      <c r="QJ311" s="0" t="n">
        <v>1</v>
      </c>
      <c r="QK311" s="0" t="s">
        <v>503</v>
      </c>
      <c r="QL311" s="0" t="n">
        <v>47</v>
      </c>
      <c r="QM311" s="16" t="n">
        <v>54.1</v>
      </c>
      <c r="QN311" s="16" t="n">
        <v>80.4</v>
      </c>
      <c r="QO311" s="16" t="n">
        <v>34.5</v>
      </c>
      <c r="QP311" s="0" t="n">
        <v>71.45</v>
      </c>
      <c r="QQ311" s="17" t="n">
        <v>0</v>
      </c>
      <c r="QR311" s="0" t="n">
        <v>21.93</v>
      </c>
      <c r="QS311" s="0" t="n">
        <v>6.49</v>
      </c>
      <c r="QT311" s="0" t="n">
        <v>0.12</v>
      </c>
      <c r="QU311" s="0" t="n">
        <v>0</v>
      </c>
      <c r="QV311" s="0" t="n">
        <v>0</v>
      </c>
      <c r="QW311" s="0" t="n">
        <v>0</v>
      </c>
      <c r="QX311" s="0" t="n">
        <v>0</v>
      </c>
      <c r="QY311" s="0" t="n">
        <v>0</v>
      </c>
      <c r="QZ311" s="0" t="n">
        <v>0</v>
      </c>
      <c r="RA311" s="0" t="n">
        <v>1.01</v>
      </c>
      <c r="RB311" s="0" t="n">
        <v>0.45</v>
      </c>
      <c r="RC311" s="0" t="n">
        <v>18.4</v>
      </c>
      <c r="RD311" s="0" t="n">
        <v>11.28</v>
      </c>
      <c r="RE311" s="0" t="n">
        <v>0</v>
      </c>
      <c r="RF311" s="0" t="n">
        <v>0</v>
      </c>
      <c r="RG311" s="0" t="n">
        <v>0</v>
      </c>
      <c r="RT311" s="0" t="n">
        <v>6</v>
      </c>
      <c r="RU311" s="0" t="n">
        <v>1</v>
      </c>
      <c r="RV311" s="0" t="n">
        <v>35</v>
      </c>
      <c r="RW311" s="0" t="n">
        <v>8</v>
      </c>
      <c r="RX311" s="0" t="n">
        <f aca="false">0.25+0.25+0.25+0.13+0.13+0.13+0.13</f>
        <v>1.27</v>
      </c>
      <c r="RY311" s="0" t="n">
        <v>3</v>
      </c>
      <c r="SF311" s="18"/>
      <c r="SX311" s="0" t="n">
        <v>1</v>
      </c>
      <c r="SY311" s="0" t="n">
        <v>50</v>
      </c>
      <c r="SZ311" s="0" t="n">
        <v>2</v>
      </c>
      <c r="TA311" s="0" t="n">
        <f aca="false">0.76*2</f>
        <v>1.52</v>
      </c>
      <c r="TB311" s="0" t="n">
        <v>1</v>
      </c>
      <c r="UI311" s="16" t="n">
        <v>0.42</v>
      </c>
      <c r="UJ311" s="16" t="n">
        <v>1</v>
      </c>
      <c r="UK311" s="16" t="n">
        <v>1</v>
      </c>
      <c r="UL311" s="16"/>
      <c r="UM311" s="16" t="n">
        <f aca="false">0.68+0.68+0.03</f>
        <v>1.39</v>
      </c>
      <c r="UN311" s="16"/>
      <c r="UO311" s="16"/>
      <c r="UP311" s="16"/>
      <c r="UQ311" s="16"/>
      <c r="UR311" s="16"/>
      <c r="US311" s="16"/>
      <c r="UT311" s="16" t="n">
        <v>5.21</v>
      </c>
      <c r="UU311" s="16" t="n">
        <v>7.05</v>
      </c>
      <c r="UV311" s="16"/>
      <c r="UW311" s="16"/>
      <c r="UX311" s="16" t="n">
        <v>0</v>
      </c>
      <c r="UY311" s="16" t="n">
        <v>0</v>
      </c>
      <c r="UZ311" s="16" t="n">
        <v>0</v>
      </c>
      <c r="VA311" s="0" t="n">
        <v>0</v>
      </c>
      <c r="VB311" s="0" t="s">
        <v>504</v>
      </c>
      <c r="VC311" s="0" t="n">
        <v>65.5</v>
      </c>
      <c r="VD311" s="16" t="n">
        <v>92.2</v>
      </c>
      <c r="VE311" s="16" t="n">
        <v>80.4</v>
      </c>
      <c r="VF311" s="16" t="n">
        <v>61.7</v>
      </c>
      <c r="VG311" s="0" t="n">
        <v>22.46</v>
      </c>
      <c r="VH311" s="17" t="n">
        <v>0</v>
      </c>
      <c r="VI311" s="0" t="n">
        <v>0</v>
      </c>
      <c r="VJ311" s="0" t="n">
        <v>0</v>
      </c>
      <c r="VK311" s="0" t="n">
        <v>0</v>
      </c>
      <c r="VL311" s="0" t="n">
        <v>0</v>
      </c>
      <c r="VM311" s="0" t="n">
        <v>70.92</v>
      </c>
      <c r="VN311" s="0" t="n">
        <v>9.4</v>
      </c>
      <c r="VO311" s="0" t="n">
        <v>33.69</v>
      </c>
      <c r="VP311" s="0" t="n">
        <v>0</v>
      </c>
      <c r="VQ311" s="0" t="n">
        <v>0</v>
      </c>
      <c r="VR311" s="0" t="n">
        <v>14.46</v>
      </c>
      <c r="VS311" s="0" t="n">
        <v>11.32</v>
      </c>
      <c r="VT311" s="0" t="n">
        <v>6.58</v>
      </c>
      <c r="VU311" s="0" t="n">
        <v>8.88</v>
      </c>
      <c r="VV311" s="0" t="n">
        <v>6.62</v>
      </c>
      <c r="VW311" s="0" t="n">
        <v>0</v>
      </c>
      <c r="VX311" s="0" t="n">
        <v>0</v>
      </c>
      <c r="WK311" s="0" t="n">
        <v>3.2</v>
      </c>
      <c r="WL311" s="0" t="n">
        <v>0</v>
      </c>
      <c r="WW311" s="18"/>
      <c r="XO311" s="0" t="n">
        <v>1</v>
      </c>
      <c r="XP311" s="0" t="n">
        <v>60</v>
      </c>
      <c r="XQ311" s="0" t="n">
        <v>2</v>
      </c>
      <c r="XR311" s="0" t="n">
        <f aca="false">0.76*2</f>
        <v>1.52</v>
      </c>
      <c r="XS311" s="0" t="n">
        <v>3</v>
      </c>
      <c r="YZ311" s="16" t="n">
        <v>0.63</v>
      </c>
      <c r="ZA311" s="16" t="n">
        <v>1</v>
      </c>
      <c r="ZB311" s="16" t="n">
        <v>1</v>
      </c>
      <c r="ZC311" s="16"/>
      <c r="ZD311" s="16" t="n">
        <v>3.17</v>
      </c>
      <c r="ZE311" s="16"/>
      <c r="ZF311" s="16"/>
      <c r="ZG311" s="16"/>
      <c r="ZH311" s="16"/>
      <c r="ZI311" s="16"/>
      <c r="ZJ311" s="16"/>
      <c r="ZK311" s="16" t="n">
        <v>0</v>
      </c>
      <c r="ZL311" s="16" t="n">
        <v>0</v>
      </c>
      <c r="ZM311" s="16"/>
      <c r="ZN311" s="16"/>
      <c r="ZO311" s="16" t="n">
        <v>0</v>
      </c>
      <c r="ZP311" s="16" t="n">
        <v>0</v>
      </c>
      <c r="ZQ311" s="16" t="n">
        <v>0</v>
      </c>
      <c r="ZR311" s="0" t="n">
        <v>0</v>
      </c>
      <c r="ZS311" s="0" t="s">
        <v>505</v>
      </c>
      <c r="ZT311" s="0" t="n">
        <v>59</v>
      </c>
      <c r="ZU311" s="16" t="n">
        <v>90.4</v>
      </c>
      <c r="ZV311" s="16" t="n">
        <v>80.4</v>
      </c>
      <c r="ZW311" s="16" t="n">
        <v>54.7</v>
      </c>
      <c r="ZX311" s="0" t="n">
        <v>26.42</v>
      </c>
      <c r="ZY311" s="17" t="n">
        <v>0</v>
      </c>
      <c r="ZZ311" s="0" t="n">
        <v>0</v>
      </c>
      <c r="AAA311" s="0" t="n">
        <v>0</v>
      </c>
      <c r="AAB311" s="0" t="n">
        <v>0</v>
      </c>
      <c r="AAC311" s="0" t="n">
        <v>0</v>
      </c>
      <c r="AAD311" s="0" t="n">
        <v>66.96</v>
      </c>
      <c r="AAE311" s="0" t="n">
        <v>6.55</v>
      </c>
      <c r="AAF311" s="0" t="n">
        <v>30.83</v>
      </c>
      <c r="AAG311" s="0" t="n">
        <v>0</v>
      </c>
      <c r="AAH311" s="0" t="n">
        <v>0</v>
      </c>
      <c r="AAI311" s="0" t="n">
        <v>14.46</v>
      </c>
      <c r="AAJ311" s="0" t="n">
        <v>11.57</v>
      </c>
      <c r="AAK311" s="0" t="n">
        <v>6.5</v>
      </c>
      <c r="AAL311" s="0" t="n">
        <v>6.03</v>
      </c>
      <c r="AAM311" s="0" t="n">
        <v>6.62</v>
      </c>
      <c r="AAN311" s="0" t="n">
        <v>0</v>
      </c>
      <c r="AAO311" s="0" t="n">
        <v>0</v>
      </c>
      <c r="ABB311" s="0" t="n">
        <v>3.2</v>
      </c>
      <c r="ABC311" s="0" t="n">
        <v>0</v>
      </c>
      <c r="ABN311" s="18"/>
      <c r="ACF311" s="0" t="n">
        <v>1</v>
      </c>
      <c r="ACG311" s="0" t="n">
        <v>60</v>
      </c>
      <c r="ACH311" s="0" t="n">
        <v>2</v>
      </c>
      <c r="ACI311" s="0" t="n">
        <v>1.52</v>
      </c>
      <c r="ACJ311" s="0" t="n">
        <v>3</v>
      </c>
      <c r="ADQ311" s="16" t="n">
        <v>0.63</v>
      </c>
      <c r="ADR311" s="16" t="n">
        <v>1</v>
      </c>
      <c r="ADS311" s="16" t="n">
        <v>1</v>
      </c>
      <c r="ADT311" s="16"/>
      <c r="ADU311" s="16" t="n">
        <v>3.17</v>
      </c>
      <c r="ADV311" s="16"/>
      <c r="ADW311" s="16"/>
      <c r="ADX311" s="16"/>
      <c r="ADY311" s="16"/>
      <c r="ADZ311" s="16"/>
      <c r="AEA311" s="16"/>
      <c r="AEB311" s="16" t="n">
        <v>0</v>
      </c>
      <c r="AEC311" s="16" t="n">
        <v>0</v>
      </c>
      <c r="AED311" s="16"/>
      <c r="AEE311" s="16"/>
      <c r="AEF311" s="16" t="n">
        <v>0</v>
      </c>
      <c r="AEG311" s="16" t="n">
        <v>0</v>
      </c>
      <c r="AEH311" s="16" t="n">
        <v>0</v>
      </c>
      <c r="AEI311" s="0" t="n">
        <v>0</v>
      </c>
      <c r="AEJ311" s="0" t="s">
        <v>619</v>
      </c>
      <c r="AEK311" s="0" t="n">
        <v>42</v>
      </c>
      <c r="AEL311" s="16" t="n">
        <v>97.3</v>
      </c>
      <c r="AEM311" s="16" t="n">
        <v>80.4</v>
      </c>
      <c r="AEN311" s="16" t="n">
        <v>14.9</v>
      </c>
      <c r="AEO311" s="0" t="n">
        <v>88.72</v>
      </c>
      <c r="AEP311" s="17" t="n">
        <v>0</v>
      </c>
      <c r="AEQ311" s="0" t="n">
        <v>0</v>
      </c>
      <c r="AER311" s="0" t="n">
        <v>0</v>
      </c>
      <c r="AES311" s="0" t="n">
        <v>11.28</v>
      </c>
      <c r="AET311" s="0" t="n">
        <v>0</v>
      </c>
      <c r="AEU311" s="0" t="n">
        <v>0</v>
      </c>
      <c r="AEV311" s="0" t="n">
        <v>0</v>
      </c>
      <c r="AEW311" s="0" t="n">
        <v>0</v>
      </c>
      <c r="AEX311" s="0" t="n">
        <v>0</v>
      </c>
      <c r="AEY311" s="0" t="n">
        <v>0</v>
      </c>
      <c r="AEZ311" s="0" t="n">
        <v>0</v>
      </c>
      <c r="AFA311" s="0" t="n">
        <v>1.14</v>
      </c>
      <c r="AFB311" s="0" t="n">
        <v>50.12</v>
      </c>
      <c r="AFC311" s="0" t="n">
        <v>30.38</v>
      </c>
      <c r="AFD311" s="0" t="n">
        <v>0</v>
      </c>
      <c r="AFE311" s="0" t="n">
        <v>0</v>
      </c>
      <c r="AFF311" s="0" t="n">
        <v>1</v>
      </c>
      <c r="AFG311" s="0" t="n">
        <v>2</v>
      </c>
      <c r="AFI311" s="0" t="n">
        <v>4</v>
      </c>
      <c r="AFM311" s="0" t="n">
        <v>2</v>
      </c>
      <c r="AFO311" s="0" t="n">
        <v>4</v>
      </c>
      <c r="AFS311" s="0" t="n">
        <v>0</v>
      </c>
      <c r="AFT311" s="0" t="n">
        <v>0</v>
      </c>
      <c r="AGE311" s="18"/>
      <c r="AGW311" s="0" t="n">
        <v>0</v>
      </c>
      <c r="AIH311" s="16" t="n">
        <v>9.53</v>
      </c>
      <c r="AII311" s="16" t="n">
        <v>1</v>
      </c>
      <c r="AIJ311" s="16" t="n">
        <v>1</v>
      </c>
      <c r="AIK311" s="16"/>
      <c r="AIL311" s="16" t="n">
        <f aca="false">3.17+6.34+4.23+0.56+1.12</f>
        <v>15.42</v>
      </c>
      <c r="AIM311" s="16" t="n">
        <v>2</v>
      </c>
      <c r="AIN311" s="16"/>
      <c r="AIO311" s="16" t="n">
        <f aca="false">8.46+1.59+1.59+1.49+0.28+1.49</f>
        <v>14.9</v>
      </c>
      <c r="AIP311" s="16"/>
      <c r="AIQ311" s="16"/>
      <c r="AIR311" s="16"/>
      <c r="AIS311" s="16" t="n">
        <v>14.15</v>
      </c>
      <c r="AIT311" s="16" t="n">
        <v>35.37</v>
      </c>
      <c r="AIU311" s="16"/>
      <c r="AIV311" s="16"/>
      <c r="AIW311" s="16" t="n">
        <v>0</v>
      </c>
      <c r="AIX311" s="16" t="n">
        <v>0</v>
      </c>
      <c r="AIY311" s="16" t="n">
        <v>0</v>
      </c>
      <c r="AIZ311" s="0" t="n">
        <v>0</v>
      </c>
      <c r="AJA311" s="0" t="s">
        <v>887</v>
      </c>
      <c r="AJB311" s="0" t="n">
        <v>19</v>
      </c>
      <c r="AJC311" s="16" t="n">
        <v>85.1</v>
      </c>
      <c r="AJD311" s="16" t="n">
        <v>80.4</v>
      </c>
      <c r="AJE311" s="16" t="n">
        <v>10.3</v>
      </c>
      <c r="AJF311" s="0" t="n">
        <v>100</v>
      </c>
      <c r="AJG311" s="17" t="n">
        <v>0</v>
      </c>
      <c r="AJH311" s="0" t="n">
        <v>0</v>
      </c>
      <c r="AJI311" s="0" t="n">
        <v>0</v>
      </c>
      <c r="AJJ311" s="0" t="n">
        <v>0</v>
      </c>
      <c r="AJK311" s="0" t="n">
        <v>0</v>
      </c>
      <c r="AJL311" s="0" t="n">
        <v>0</v>
      </c>
      <c r="AJM311" s="0" t="n">
        <v>0</v>
      </c>
      <c r="AJN311" s="0" t="n">
        <v>0</v>
      </c>
      <c r="AJO311" s="0" t="n">
        <v>0</v>
      </c>
      <c r="AJP311" s="0" t="n">
        <v>0</v>
      </c>
      <c r="AJQ311" s="0" t="n">
        <v>0</v>
      </c>
      <c r="AJR311" s="0" t="n">
        <v>0</v>
      </c>
      <c r="AJS311" s="0" t="n">
        <v>16.76</v>
      </c>
      <c r="AJT311" s="0" t="n">
        <v>22.28</v>
      </c>
      <c r="AJU311" s="0" t="n">
        <v>0</v>
      </c>
      <c r="AJV311" s="0" t="n">
        <v>0</v>
      </c>
      <c r="AJW311" s="0" t="n">
        <v>0</v>
      </c>
      <c r="AKJ311" s="0" t="n">
        <v>0</v>
      </c>
      <c r="AKK311" s="0" t="n">
        <v>0</v>
      </c>
      <c r="AKV311" s="18"/>
      <c r="ALN311" s="0" t="n">
        <v>0</v>
      </c>
    </row>
    <row r="312" customFormat="false" ht="13.8" hidden="false" customHeight="false" outlineLevel="0" collapsed="false">
      <c r="A312" s="1" t="s">
        <v>888</v>
      </c>
      <c r="B312" s="12" t="n">
        <v>42905</v>
      </c>
      <c r="C312" s="0" t="n">
        <v>2</v>
      </c>
      <c r="D312" s="13" t="n">
        <v>42797</v>
      </c>
      <c r="E312" s="12" t="n">
        <v>31717</v>
      </c>
      <c r="F312" s="14" t="n">
        <f aca="false">(B312-E312)/365.25</f>
        <v>30.6310746064339</v>
      </c>
      <c r="G312" s="14" t="n">
        <f aca="false">(B312-D312)/365.25</f>
        <v>0.295687885010267</v>
      </c>
      <c r="H312" s="19" t="s">
        <v>181</v>
      </c>
      <c r="I312" s="15" t="s">
        <v>496</v>
      </c>
      <c r="J312" s="15" t="s">
        <v>181</v>
      </c>
      <c r="K312" s="15" t="n">
        <v>8</v>
      </c>
      <c r="L312" s="19" t="n">
        <v>72</v>
      </c>
      <c r="M312" s="0" t="n">
        <v>1.74</v>
      </c>
      <c r="N312" s="16" t="n">
        <f aca="false">L312/(M312*M312)</f>
        <v>23.7812128418549</v>
      </c>
      <c r="O312" s="19" t="n">
        <v>0</v>
      </c>
      <c r="P312" s="19" t="n">
        <v>0</v>
      </c>
      <c r="Q312" s="19" t="n">
        <v>0</v>
      </c>
      <c r="R312" s="26" t="n">
        <v>0</v>
      </c>
      <c r="S312" s="26" t="n">
        <v>0</v>
      </c>
      <c r="T312" s="26" t="n">
        <v>0</v>
      </c>
      <c r="U312" s="19" t="n">
        <v>0</v>
      </c>
      <c r="V312" s="19" t="n">
        <v>0</v>
      </c>
      <c r="W312" s="19" t="n">
        <v>0</v>
      </c>
      <c r="X312" s="19" t="n">
        <v>0</v>
      </c>
      <c r="Y312" s="19" t="n">
        <v>1</v>
      </c>
      <c r="Z312" s="19" t="n">
        <v>2</v>
      </c>
      <c r="AA312" s="19" t="n">
        <v>120</v>
      </c>
      <c r="AB312" s="19" t="s">
        <v>811</v>
      </c>
      <c r="AC312" s="19" t="n">
        <v>0</v>
      </c>
      <c r="AD312" s="19" t="n">
        <v>0</v>
      </c>
      <c r="AE312" s="19" t="n">
        <v>0</v>
      </c>
      <c r="AF312" s="19" t="n">
        <v>0</v>
      </c>
      <c r="AG312" s="19" t="n">
        <v>0</v>
      </c>
      <c r="AH312" s="19" t="n">
        <v>0</v>
      </c>
      <c r="AI312" s="19" t="n">
        <v>0</v>
      </c>
      <c r="AJ312" s="19" t="n">
        <v>0</v>
      </c>
      <c r="AK312" s="19" t="n">
        <v>0</v>
      </c>
      <c r="AL312" s="19" t="n">
        <v>0</v>
      </c>
      <c r="AM312" s="19" t="n">
        <v>0</v>
      </c>
      <c r="AN312" s="19" t="n">
        <v>0</v>
      </c>
      <c r="AO312" s="19" t="n">
        <v>0</v>
      </c>
      <c r="AP312" s="19" t="n">
        <v>0</v>
      </c>
      <c r="AQ312" s="19" t="n">
        <v>0</v>
      </c>
      <c r="AR312" s="19" t="n">
        <v>0</v>
      </c>
      <c r="AS312" s="19" t="n">
        <v>1</v>
      </c>
      <c r="AT312" s="19" t="n">
        <v>1</v>
      </c>
      <c r="AU312" s="19"/>
      <c r="AV312" s="19"/>
      <c r="AW312" s="19"/>
      <c r="AX312" s="19" t="n">
        <v>0</v>
      </c>
      <c r="AY312" s="19" t="n">
        <v>0</v>
      </c>
      <c r="AZ312" s="19" t="n">
        <v>0</v>
      </c>
      <c r="BA312" s="19" t="n">
        <v>0</v>
      </c>
      <c r="BB312" s="19" t="n">
        <v>0</v>
      </c>
      <c r="BC312" s="19" t="n">
        <v>0</v>
      </c>
      <c r="BD312" s="19" t="n">
        <v>0</v>
      </c>
      <c r="BE312" s="19" t="n">
        <v>0</v>
      </c>
      <c r="BF312" s="19" t="n">
        <v>0</v>
      </c>
      <c r="BG312" s="19" t="n">
        <v>0</v>
      </c>
      <c r="BH312" s="19" t="n">
        <v>0</v>
      </c>
      <c r="BI312" s="19" t="n">
        <v>0</v>
      </c>
      <c r="BJ312" s="19" t="n">
        <v>0</v>
      </c>
      <c r="BK312" s="19" t="n">
        <v>0</v>
      </c>
      <c r="BL312" s="19" t="n">
        <v>0</v>
      </c>
      <c r="BM312" s="19" t="n">
        <v>0</v>
      </c>
      <c r="BN312" s="19" t="n">
        <v>0</v>
      </c>
      <c r="BO312" s="19" t="n">
        <v>0</v>
      </c>
      <c r="BP312" s="19" t="n">
        <v>0</v>
      </c>
      <c r="BQ312" s="19" t="n">
        <v>0</v>
      </c>
      <c r="BR312" s="19" t="n">
        <v>2</v>
      </c>
      <c r="BS312" s="19" t="n">
        <v>1</v>
      </c>
      <c r="BT312" s="19" t="n">
        <v>4</v>
      </c>
      <c r="BU312" s="19" t="n">
        <v>5</v>
      </c>
      <c r="BV312" s="19" t="n">
        <v>3</v>
      </c>
      <c r="BW312" s="19" t="n">
        <v>4</v>
      </c>
      <c r="BX312" s="19" t="n">
        <v>4</v>
      </c>
      <c r="BY312" s="19" t="n">
        <v>4</v>
      </c>
      <c r="BZ312" s="19" t="n">
        <v>4</v>
      </c>
      <c r="CA312" s="19" t="n">
        <v>4</v>
      </c>
      <c r="CB312" s="19" t="n">
        <v>4</v>
      </c>
      <c r="CC312" s="19" t="n">
        <v>5</v>
      </c>
      <c r="CD312" s="19" t="n">
        <v>4</v>
      </c>
      <c r="CE312" s="19" t="n">
        <v>4</v>
      </c>
      <c r="CF312" s="19" t="n">
        <v>5</v>
      </c>
      <c r="CG312" s="19" t="n">
        <v>5</v>
      </c>
      <c r="CH312" s="19" t="n">
        <v>5</v>
      </c>
      <c r="CI312" s="19" t="n">
        <v>5</v>
      </c>
      <c r="CJ312" s="19" t="n">
        <v>4</v>
      </c>
      <c r="CK312" s="19" t="n">
        <v>9</v>
      </c>
      <c r="CL312" s="0" t="s">
        <v>498</v>
      </c>
      <c r="CM312" s="0" t="n">
        <v>33</v>
      </c>
      <c r="CN312" s="16" t="n">
        <v>71.2</v>
      </c>
      <c r="CO312" s="16" t="n">
        <v>80.4</v>
      </c>
      <c r="CP312" s="16" t="n">
        <v>16.3</v>
      </c>
      <c r="CQ312" s="0" t="n">
        <v>83.24</v>
      </c>
      <c r="CR312" s="17" t="n">
        <v>0</v>
      </c>
      <c r="CS312" s="0" t="n">
        <v>0</v>
      </c>
      <c r="CT312" s="0" t="n">
        <v>0</v>
      </c>
      <c r="CU312" s="0" t="n">
        <v>14.14</v>
      </c>
      <c r="CV312" s="0" t="n">
        <v>0</v>
      </c>
      <c r="CW312" s="0" t="n">
        <v>2.63</v>
      </c>
      <c r="CX312" s="0" t="n">
        <v>0</v>
      </c>
      <c r="CY312" s="0" t="n">
        <v>0</v>
      </c>
      <c r="CZ312" s="0" t="n">
        <v>0</v>
      </c>
      <c r="DA312" s="0" t="n">
        <v>0</v>
      </c>
      <c r="DB312" s="0" t="n">
        <v>2.63</v>
      </c>
      <c r="DC312" s="0" t="n">
        <v>10.16</v>
      </c>
      <c r="DD312" s="0" t="n">
        <v>20.83</v>
      </c>
      <c r="DE312" s="0" t="n">
        <v>24.81</v>
      </c>
      <c r="DF312" s="0" t="n">
        <v>0</v>
      </c>
      <c r="DG312" s="0" t="n">
        <v>11.2</v>
      </c>
      <c r="DH312" s="0" t="n">
        <v>1</v>
      </c>
      <c r="DI312" s="0" t="n">
        <v>5</v>
      </c>
      <c r="DK312" s="0" t="n">
        <v>1</v>
      </c>
      <c r="DO312" s="0" t="n">
        <v>5</v>
      </c>
      <c r="DQ312" s="0" t="n">
        <v>1</v>
      </c>
      <c r="DU312" s="0" t="n">
        <v>0</v>
      </c>
      <c r="DV312" s="0" t="n">
        <v>0</v>
      </c>
      <c r="EG312" s="18"/>
      <c r="EY312" s="0" t="n">
        <v>0</v>
      </c>
      <c r="GJ312" s="16" t="n">
        <v>2.71</v>
      </c>
      <c r="GK312" s="16" t="n">
        <v>1</v>
      </c>
      <c r="GL312" s="16" t="n">
        <v>1</v>
      </c>
      <c r="GM312" s="16"/>
      <c r="GN312" s="16" t="n">
        <f aca="false">2.11*4+0.52*2</f>
        <v>9.48</v>
      </c>
      <c r="GO312" s="16"/>
      <c r="GP312" s="16"/>
      <c r="GQ312" s="16"/>
      <c r="GR312" s="16"/>
      <c r="GS312" s="16"/>
      <c r="GT312" s="16"/>
      <c r="GU312" s="16" t="n">
        <v>2.63</v>
      </c>
      <c r="GV312" s="16" t="n">
        <v>2.6</v>
      </c>
      <c r="GW312" s="16" t="n">
        <v>0</v>
      </c>
      <c r="GX312" s="16" t="n">
        <v>0</v>
      </c>
      <c r="GY312" s="16" t="n">
        <v>0</v>
      </c>
      <c r="GZ312" s="16" t="n">
        <v>0</v>
      </c>
      <c r="HA312" s="16" t="n">
        <v>0</v>
      </c>
      <c r="HB312" s="0" t="n">
        <v>0</v>
      </c>
      <c r="HC312" s="0" t="s">
        <v>501</v>
      </c>
      <c r="HD312" s="0" t="n">
        <v>58</v>
      </c>
      <c r="HE312" s="16" t="n">
        <v>79.9</v>
      </c>
      <c r="HF312" s="16" t="n">
        <v>80.4</v>
      </c>
      <c r="HG312" s="16" t="n">
        <v>43.6</v>
      </c>
      <c r="HH312" s="0" t="n">
        <v>26.15</v>
      </c>
      <c r="HI312" s="17" t="n">
        <v>0</v>
      </c>
      <c r="HJ312" s="0" t="n">
        <v>0</v>
      </c>
      <c r="HK312" s="0" t="n">
        <v>0</v>
      </c>
      <c r="HL312" s="0" t="n">
        <v>0</v>
      </c>
      <c r="HM312" s="0" t="n">
        <v>0</v>
      </c>
      <c r="HN312" s="0" t="n">
        <v>73.85</v>
      </c>
      <c r="HO312" s="0" t="n">
        <v>18.43</v>
      </c>
      <c r="HP312" s="0" t="n">
        <v>20.42</v>
      </c>
      <c r="HQ312" s="0" t="n">
        <v>0</v>
      </c>
      <c r="HR312" s="0" t="n">
        <v>0</v>
      </c>
      <c r="HS312" s="0" t="n">
        <v>2.44</v>
      </c>
      <c r="HT312" s="0" t="n">
        <v>0.13</v>
      </c>
      <c r="HU312" s="0" t="n">
        <v>9.71</v>
      </c>
      <c r="HV312" s="0" t="n">
        <v>18.31</v>
      </c>
      <c r="HW312" s="0" t="n">
        <v>0</v>
      </c>
      <c r="HX312" s="0" t="n">
        <v>0</v>
      </c>
      <c r="HY312" s="0" t="n">
        <v>0</v>
      </c>
      <c r="IL312" s="0" t="n">
        <v>9.1</v>
      </c>
      <c r="IM312" s="0" t="n">
        <v>1</v>
      </c>
      <c r="IN312" s="0" t="n">
        <v>68</v>
      </c>
      <c r="IO312" s="0" t="n">
        <v>1</v>
      </c>
      <c r="IP312" s="0" t="n">
        <v>0.05</v>
      </c>
      <c r="IQ312" s="0" t="n">
        <v>1</v>
      </c>
      <c r="IR312" s="0" t="n">
        <v>35</v>
      </c>
      <c r="IS312" s="0" t="n">
        <v>3</v>
      </c>
      <c r="IT312" s="0" t="n">
        <f aca="false">0.76+0.64</f>
        <v>1.4</v>
      </c>
      <c r="IU312" s="0" t="n">
        <v>3</v>
      </c>
      <c r="IV312" s="0" t="n">
        <v>47</v>
      </c>
      <c r="IW312" s="0" t="n">
        <v>2</v>
      </c>
      <c r="IX312" s="18" t="n">
        <v>0.23</v>
      </c>
      <c r="IY312" s="0" t="n">
        <v>3</v>
      </c>
      <c r="JP312" s="0" t="n">
        <v>1</v>
      </c>
      <c r="JQ312" s="0" t="n">
        <v>60</v>
      </c>
      <c r="JR312" s="0" t="n">
        <v>2</v>
      </c>
      <c r="JS312" s="0" t="n">
        <v>0.26</v>
      </c>
      <c r="JT312" s="0" t="n">
        <v>3</v>
      </c>
      <c r="LA312" s="16" t="n">
        <v>0</v>
      </c>
      <c r="LB312" s="16" t="n">
        <v>0</v>
      </c>
      <c r="LC312" s="16"/>
      <c r="LD312" s="16"/>
      <c r="LE312" s="16"/>
      <c r="LF312" s="16"/>
      <c r="LG312" s="16"/>
      <c r="LH312" s="16"/>
      <c r="LI312" s="16"/>
      <c r="LJ312" s="16"/>
      <c r="LK312" s="16"/>
      <c r="LL312" s="16" t="n">
        <v>1.97</v>
      </c>
      <c r="LM312" s="16" t="n">
        <v>1.24</v>
      </c>
      <c r="LN312" s="16" t="n">
        <v>0</v>
      </c>
      <c r="LO312" s="16" t="n">
        <v>0</v>
      </c>
      <c r="LP312" s="16" t="n">
        <v>0</v>
      </c>
      <c r="LQ312" s="16" t="n">
        <v>0</v>
      </c>
      <c r="LR312" s="16" t="n">
        <v>3</v>
      </c>
      <c r="LS312" s="0" t="n">
        <v>0</v>
      </c>
      <c r="LT312" s="0" t="s">
        <v>503</v>
      </c>
      <c r="LU312" s="0" t="n">
        <v>47</v>
      </c>
      <c r="LV312" s="16" t="n">
        <v>54.1</v>
      </c>
      <c r="LW312" s="16" t="n">
        <v>80.4</v>
      </c>
      <c r="LX312" s="16" t="n">
        <v>34.5</v>
      </c>
      <c r="LY312" s="0" t="n">
        <v>71.45</v>
      </c>
      <c r="LZ312" s="17" t="n">
        <v>0</v>
      </c>
      <c r="MA312" s="0" t="n">
        <v>21.93</v>
      </c>
      <c r="MB312" s="0" t="n">
        <v>6.49</v>
      </c>
      <c r="MC312" s="0" t="n">
        <v>0.12</v>
      </c>
      <c r="MD312" s="0" t="n">
        <v>0</v>
      </c>
      <c r="ME312" s="0" t="n">
        <v>0</v>
      </c>
      <c r="MF312" s="0" t="n">
        <v>0</v>
      </c>
      <c r="MG312" s="0" t="n">
        <v>0</v>
      </c>
      <c r="MH312" s="0" t="n">
        <v>0</v>
      </c>
      <c r="MI312" s="0" t="n">
        <v>0</v>
      </c>
      <c r="MJ312" s="0" t="n">
        <v>1.01</v>
      </c>
      <c r="MK312" s="0" t="n">
        <v>0.45</v>
      </c>
      <c r="ML312" s="0" t="n">
        <v>18.4</v>
      </c>
      <c r="MM312" s="0" t="n">
        <v>11.28</v>
      </c>
      <c r="MN312" s="0" t="n">
        <v>0</v>
      </c>
      <c r="MO312" s="0" t="n">
        <v>0</v>
      </c>
      <c r="MP312" s="0" t="n">
        <v>0</v>
      </c>
      <c r="NC312" s="0" t="n">
        <v>6</v>
      </c>
      <c r="ND312" s="0" t="n">
        <v>1</v>
      </c>
      <c r="NE312" s="0" t="n">
        <v>35</v>
      </c>
      <c r="NF312" s="0" t="n">
        <v>8</v>
      </c>
      <c r="NG312" s="0" t="n">
        <f aca="false">0.25+0.25+0.25+0.13+0.13+0.13+0.13</f>
        <v>1.27</v>
      </c>
      <c r="NH312" s="0" t="n">
        <v>3</v>
      </c>
      <c r="NO312" s="18"/>
      <c r="OG312" s="0" t="n">
        <v>1</v>
      </c>
      <c r="OH312" s="0" t="n">
        <v>50</v>
      </c>
      <c r="OI312" s="0" t="n">
        <v>2</v>
      </c>
      <c r="OJ312" s="0" t="n">
        <f aca="false">0.76*2</f>
        <v>1.52</v>
      </c>
      <c r="OK312" s="0" t="n">
        <v>1</v>
      </c>
      <c r="PR312" s="16" t="n">
        <v>0.42</v>
      </c>
      <c r="PS312" s="16" t="n">
        <v>1</v>
      </c>
      <c r="PT312" s="16" t="n">
        <v>1</v>
      </c>
      <c r="PU312" s="16"/>
      <c r="PV312" s="16" t="n">
        <f aca="false">0.68+0.68+0.03</f>
        <v>1.39</v>
      </c>
      <c r="PW312" s="16"/>
      <c r="PX312" s="16"/>
      <c r="PY312" s="16"/>
      <c r="PZ312" s="16"/>
      <c r="QA312" s="16"/>
      <c r="QB312" s="16"/>
      <c r="QC312" s="16" t="n">
        <v>5.21</v>
      </c>
      <c r="QD312" s="16" t="n">
        <v>7.05</v>
      </c>
      <c r="QE312" s="16"/>
      <c r="QF312" s="16"/>
      <c r="QG312" s="16" t="n">
        <v>0</v>
      </c>
      <c r="QH312" s="16" t="n">
        <v>0</v>
      </c>
      <c r="QI312" s="16" t="n">
        <v>0</v>
      </c>
      <c r="QJ312" s="0" t="n">
        <v>0</v>
      </c>
      <c r="QK312" s="0" t="s">
        <v>505</v>
      </c>
      <c r="QL312" s="0" t="n">
        <v>59</v>
      </c>
      <c r="QM312" s="16" t="n">
        <v>90.4</v>
      </c>
      <c r="QN312" s="16" t="n">
        <v>80.4</v>
      </c>
      <c r="QO312" s="16" t="n">
        <v>54.7</v>
      </c>
      <c r="QP312" s="0" t="n">
        <v>26.42</v>
      </c>
      <c r="QQ312" s="17" t="n">
        <v>0</v>
      </c>
      <c r="QR312" s="0" t="n">
        <v>0</v>
      </c>
      <c r="QS312" s="0" t="n">
        <v>0</v>
      </c>
      <c r="QT312" s="0" t="n">
        <v>0</v>
      </c>
      <c r="QU312" s="0" t="n">
        <v>0</v>
      </c>
      <c r="QV312" s="0" t="n">
        <v>66.96</v>
      </c>
      <c r="QW312" s="0" t="n">
        <v>6.55</v>
      </c>
      <c r="QX312" s="0" t="n">
        <v>30.83</v>
      </c>
      <c r="QY312" s="0" t="n">
        <v>0</v>
      </c>
      <c r="QZ312" s="0" t="n">
        <v>0</v>
      </c>
      <c r="RA312" s="0" t="n">
        <v>14.46</v>
      </c>
      <c r="RB312" s="0" t="n">
        <v>11.57</v>
      </c>
      <c r="RC312" s="0" t="n">
        <v>6.5</v>
      </c>
      <c r="RD312" s="0" t="n">
        <v>6.03</v>
      </c>
      <c r="RE312" s="0" t="n">
        <v>6.62</v>
      </c>
      <c r="RF312" s="0" t="n">
        <v>0</v>
      </c>
      <c r="RG312" s="0" t="n">
        <v>0</v>
      </c>
      <c r="RT312" s="0" t="n">
        <v>3.2</v>
      </c>
      <c r="RU312" s="0" t="n">
        <v>0</v>
      </c>
      <c r="SF312" s="18"/>
      <c r="SX312" s="0" t="n">
        <v>1</v>
      </c>
      <c r="SY312" s="0" t="n">
        <v>60</v>
      </c>
      <c r="SZ312" s="0" t="n">
        <v>2</v>
      </c>
      <c r="TA312" s="0" t="n">
        <v>1.52</v>
      </c>
      <c r="TB312" s="0" t="n">
        <v>3</v>
      </c>
      <c r="UI312" s="16" t="n">
        <v>0.63</v>
      </c>
      <c r="UJ312" s="16" t="n">
        <v>1</v>
      </c>
      <c r="UK312" s="16" t="n">
        <v>1</v>
      </c>
      <c r="UL312" s="16"/>
      <c r="UM312" s="16" t="n">
        <v>3.17</v>
      </c>
      <c r="UN312" s="16"/>
      <c r="UO312" s="16"/>
      <c r="UP312" s="16"/>
      <c r="UQ312" s="16"/>
      <c r="UR312" s="16"/>
      <c r="US312" s="16"/>
      <c r="UT312" s="16" t="n">
        <v>0</v>
      </c>
      <c r="UU312" s="16" t="n">
        <v>0</v>
      </c>
      <c r="UV312" s="16"/>
      <c r="UW312" s="16"/>
      <c r="UX312" s="16" t="n">
        <v>0</v>
      </c>
      <c r="UY312" s="16" t="n">
        <v>0</v>
      </c>
      <c r="UZ312" s="16" t="n">
        <v>0</v>
      </c>
      <c r="VA312" s="0" t="n">
        <v>0</v>
      </c>
      <c r="VB312" s="0" t="s">
        <v>710</v>
      </c>
      <c r="VC312" s="0" t="n">
        <v>69.5</v>
      </c>
      <c r="VD312" s="16" t="n">
        <v>70.9</v>
      </c>
      <c r="VE312" s="16" t="n">
        <v>80.4</v>
      </c>
      <c r="VF312" s="16" t="n">
        <v>23.6</v>
      </c>
      <c r="VG312" s="0" t="n">
        <v>19.15</v>
      </c>
      <c r="VH312" s="17" t="n">
        <v>0</v>
      </c>
      <c r="VI312" s="0" t="n">
        <v>0</v>
      </c>
      <c r="VJ312" s="0" t="n">
        <v>0</v>
      </c>
      <c r="VK312" s="0" t="n">
        <v>0</v>
      </c>
      <c r="VL312" s="0" t="n">
        <v>0</v>
      </c>
      <c r="VM312" s="0" t="n">
        <v>71.09</v>
      </c>
      <c r="VN312" s="0" t="n">
        <v>0</v>
      </c>
      <c r="VO312" s="0" t="n">
        <v>0</v>
      </c>
      <c r="VP312" s="0" t="n">
        <v>2.25</v>
      </c>
      <c r="VQ312" s="0" t="n">
        <v>0</v>
      </c>
      <c r="VR312" s="0" t="n">
        <v>14.15</v>
      </c>
      <c r="VS312" s="0" t="n">
        <v>0.83</v>
      </c>
      <c r="VT312" s="0" t="n">
        <v>20.78</v>
      </c>
      <c r="VU312" s="0" t="n">
        <v>13.14</v>
      </c>
      <c r="VV312" s="0" t="n">
        <v>9.76</v>
      </c>
      <c r="VW312" s="0" t="n">
        <v>0</v>
      </c>
      <c r="VX312" s="0" t="n">
        <v>0</v>
      </c>
      <c r="WK312" s="0" t="n">
        <v>24.4</v>
      </c>
      <c r="WL312" s="0" t="n">
        <v>1</v>
      </c>
      <c r="WM312" s="0" t="n">
        <v>70</v>
      </c>
      <c r="WN312" s="0" t="n">
        <v>1</v>
      </c>
      <c r="WO312" s="0" t="n">
        <v>1.5</v>
      </c>
      <c r="WP312" s="0" t="n">
        <v>3</v>
      </c>
      <c r="WQ312" s="0" t="n">
        <v>68</v>
      </c>
      <c r="WR312" s="0" t="n">
        <v>2.25</v>
      </c>
      <c r="WS312" s="0" t="n">
        <v>1</v>
      </c>
      <c r="WT312" s="0" t="n">
        <v>1</v>
      </c>
      <c r="WU312" s="0" t="n">
        <v>47</v>
      </c>
      <c r="WV312" s="0" t="n">
        <v>1</v>
      </c>
      <c r="WW312" s="18" t="n">
        <v>1.5</v>
      </c>
      <c r="WX312" s="0" t="n">
        <v>3</v>
      </c>
      <c r="XO312" s="0" t="n">
        <v>0</v>
      </c>
      <c r="YZ312" s="16" t="n">
        <v>1.42</v>
      </c>
      <c r="ZA312" s="16" t="n">
        <v>1</v>
      </c>
      <c r="ZB312" s="16" t="n">
        <v>1</v>
      </c>
      <c r="ZC312" s="16"/>
      <c r="ZD312" s="16" t="n">
        <f aca="false">1.56*2+0.1+0.06+0.08</f>
        <v>3.36</v>
      </c>
      <c r="ZE312" s="16"/>
      <c r="ZF312" s="16"/>
      <c r="ZG312" s="16"/>
      <c r="ZH312" s="16"/>
      <c r="ZI312" s="16"/>
      <c r="ZJ312" s="16"/>
      <c r="ZK312" s="16" t="n">
        <v>7.54</v>
      </c>
      <c r="ZL312" s="16" t="n">
        <v>22.5</v>
      </c>
      <c r="ZM312" s="16"/>
      <c r="ZN312" s="16"/>
      <c r="ZO312" s="16" t="n">
        <v>6.72</v>
      </c>
      <c r="ZP312" s="16" t="n">
        <v>0</v>
      </c>
      <c r="ZQ312" s="16" t="n">
        <v>5.54</v>
      </c>
      <c r="ZR312" s="0" t="n">
        <v>2</v>
      </c>
      <c r="ZU312" s="15"/>
      <c r="ZV312" s="15"/>
      <c r="AAC312" s="15"/>
      <c r="AAD312" s="15"/>
      <c r="AAK312" s="15"/>
      <c r="AAL312" s="15"/>
      <c r="AAS312" s="15"/>
      <c r="AAT312" s="15"/>
      <c r="ABA312" s="15"/>
      <c r="ABB312" s="15"/>
      <c r="ABI312" s="15"/>
      <c r="ABJ312" s="15"/>
      <c r="ABQ312" s="15"/>
      <c r="ABR312" s="15"/>
      <c r="ABY312" s="15"/>
      <c r="ABZ312" s="15"/>
      <c r="ACG312" s="15"/>
      <c r="ACH312" s="15"/>
      <c r="ACO312" s="15"/>
      <c r="ACP312" s="15"/>
      <c r="ACW312" s="15"/>
      <c r="ACX312" s="15"/>
      <c r="ADE312" s="15"/>
      <c r="ADF312" s="15"/>
      <c r="ADM312" s="15"/>
      <c r="ADN312" s="15"/>
      <c r="ADU312" s="15"/>
      <c r="ADV312" s="15"/>
      <c r="AEC312" s="15"/>
      <c r="AED312" s="15"/>
      <c r="AEK312" s="15"/>
      <c r="AEL312" s="15"/>
      <c r="AES312" s="15"/>
      <c r="AET312" s="15"/>
      <c r="AFA312" s="15"/>
      <c r="AFB312" s="15"/>
      <c r="AFI312" s="15"/>
      <c r="AFJ312" s="15"/>
      <c r="AFQ312" s="15"/>
      <c r="AFR312" s="15"/>
      <c r="AFY312" s="15"/>
      <c r="AFZ312" s="15"/>
      <c r="AGG312" s="15"/>
      <c r="AGH312" s="15"/>
      <c r="AGO312" s="15"/>
      <c r="AGP312" s="15"/>
      <c r="AGW312" s="15"/>
      <c r="AGX312" s="15"/>
      <c r="AHE312" s="15"/>
      <c r="AHF312" s="15"/>
      <c r="AHM312" s="15"/>
      <c r="AHN312" s="15"/>
      <c r="AHU312" s="15"/>
      <c r="AHV312" s="15"/>
      <c r="AIC312" s="15"/>
      <c r="AID312" s="15"/>
      <c r="AIK312" s="15"/>
      <c r="AIL312" s="15"/>
      <c r="AIS312" s="15"/>
      <c r="AIT312" s="15"/>
      <c r="AJA312" s="15"/>
      <c r="AJB312" s="15"/>
      <c r="AJI312" s="15"/>
      <c r="AJJ312" s="15"/>
      <c r="AJQ312" s="15"/>
      <c r="AJR312" s="15"/>
      <c r="AJY312" s="15"/>
      <c r="AJZ312" s="15"/>
      <c r="AKG312" s="15"/>
      <c r="AKH312" s="15"/>
      <c r="AKO312" s="15"/>
      <c r="AKP312" s="15"/>
      <c r="AKW312" s="15"/>
      <c r="AKX312" s="15"/>
      <c r="ALE312" s="15"/>
      <c r="ALF312" s="15"/>
      <c r="ALM312" s="15"/>
      <c r="ALN312" s="15"/>
      <c r="ALU312" s="15"/>
      <c r="ALV312" s="15"/>
      <c r="AMC312" s="15"/>
      <c r="AMD312" s="15"/>
    </row>
    <row r="313" customFormat="false" ht="13.8" hidden="false" customHeight="false" outlineLevel="0" collapsed="false">
      <c r="A313" s="1" t="s">
        <v>889</v>
      </c>
      <c r="B313" s="12" t="n">
        <v>42905</v>
      </c>
      <c r="C313" s="0" t="n">
        <v>2</v>
      </c>
      <c r="D313" s="13" t="n">
        <v>42814</v>
      </c>
      <c r="E313" s="12" t="n">
        <v>31533</v>
      </c>
      <c r="F313" s="14" t="n">
        <f aca="false">(B313-E313)/365.25</f>
        <v>31.1348391512663</v>
      </c>
      <c r="G313" s="14" t="n">
        <f aca="false">(B313-D313)/365.25</f>
        <v>0.249144421629021</v>
      </c>
      <c r="H313" s="19" t="s">
        <v>181</v>
      </c>
      <c r="I313" s="15" t="s">
        <v>496</v>
      </c>
      <c r="J313" s="15" t="s">
        <v>181</v>
      </c>
      <c r="K313" s="15" t="n">
        <v>8</v>
      </c>
      <c r="L313" s="19" t="n">
        <v>70</v>
      </c>
      <c r="M313" s="0" t="n">
        <v>1.7</v>
      </c>
      <c r="N313" s="16" t="n">
        <f aca="false">L313/(M313*M313)</f>
        <v>24.2214532871972</v>
      </c>
      <c r="O313" s="19" t="n">
        <v>0</v>
      </c>
      <c r="P313" s="19" t="n">
        <v>0</v>
      </c>
      <c r="Q313" s="19" t="n">
        <v>0</v>
      </c>
      <c r="R313" s="26" t="n">
        <v>0</v>
      </c>
      <c r="S313" s="26" t="n">
        <v>0</v>
      </c>
      <c r="T313" s="26" t="n">
        <v>0</v>
      </c>
      <c r="U313" s="19" t="n">
        <v>0</v>
      </c>
      <c r="V313" s="19" t="n">
        <v>0</v>
      </c>
      <c r="W313" s="19" t="n">
        <v>0</v>
      </c>
      <c r="X313" s="19" t="n">
        <v>0</v>
      </c>
      <c r="Y313" s="19" t="n">
        <v>1</v>
      </c>
      <c r="Z313" s="19" t="n">
        <v>1</v>
      </c>
      <c r="AA313" s="19" t="n">
        <v>30</v>
      </c>
      <c r="AB313" s="19" t="s">
        <v>284</v>
      </c>
      <c r="AC313" s="19" t="n">
        <v>0</v>
      </c>
      <c r="AD313" s="19" t="n">
        <v>0</v>
      </c>
      <c r="AE313" s="19" t="n">
        <v>0</v>
      </c>
      <c r="AF313" s="19" t="n">
        <v>0</v>
      </c>
      <c r="AG313" s="19" t="n">
        <v>0</v>
      </c>
      <c r="AH313" s="19" t="n">
        <v>0</v>
      </c>
      <c r="AI313" s="19" t="n">
        <v>0</v>
      </c>
      <c r="AJ313" s="19" t="n">
        <v>0</v>
      </c>
      <c r="AK313" s="19" t="n">
        <v>0</v>
      </c>
      <c r="AL313" s="19" t="n">
        <v>0</v>
      </c>
      <c r="AM313" s="19" t="n">
        <v>0</v>
      </c>
      <c r="AN313" s="19" t="n">
        <v>0</v>
      </c>
      <c r="AO313" s="19" t="n">
        <v>0</v>
      </c>
      <c r="AP313" s="19" t="n">
        <v>0</v>
      </c>
      <c r="AQ313" s="19" t="n">
        <v>0</v>
      </c>
      <c r="AR313" s="19" t="n">
        <v>0</v>
      </c>
      <c r="AS313" s="19" t="n">
        <v>0</v>
      </c>
      <c r="AT313" s="19" t="n">
        <v>0</v>
      </c>
      <c r="AU313" s="19" t="n">
        <v>0</v>
      </c>
      <c r="AV313" s="19" t="n">
        <v>0</v>
      </c>
      <c r="AW313" s="19" t="n">
        <v>0</v>
      </c>
      <c r="AX313" s="19" t="n">
        <v>0</v>
      </c>
      <c r="AY313" s="19" t="n">
        <v>0</v>
      </c>
      <c r="AZ313" s="19" t="n">
        <v>0</v>
      </c>
      <c r="BA313" s="19" t="n">
        <v>0</v>
      </c>
      <c r="BB313" s="19" t="n">
        <v>0</v>
      </c>
      <c r="BC313" s="19" t="n">
        <v>0</v>
      </c>
      <c r="BD313" s="19" t="n">
        <v>0</v>
      </c>
      <c r="BE313" s="19" t="n">
        <v>0</v>
      </c>
      <c r="BF313" s="19" t="n">
        <v>0</v>
      </c>
      <c r="BG313" s="19" t="n">
        <v>0</v>
      </c>
      <c r="BH313" s="19" t="n">
        <v>0</v>
      </c>
      <c r="BI313" s="19" t="n">
        <v>0</v>
      </c>
      <c r="BJ313" s="19" t="n">
        <v>0</v>
      </c>
      <c r="BK313" s="19" t="n">
        <v>0</v>
      </c>
      <c r="BL313" s="19" t="n">
        <v>0</v>
      </c>
      <c r="BM313" s="19" t="n">
        <v>0</v>
      </c>
      <c r="BN313" s="19" t="n">
        <v>0</v>
      </c>
      <c r="BO313" s="19" t="n">
        <v>0</v>
      </c>
      <c r="BP313" s="19" t="n">
        <v>0</v>
      </c>
      <c r="BQ313" s="19" t="n">
        <v>0</v>
      </c>
      <c r="BR313" s="19" t="n">
        <v>2</v>
      </c>
      <c r="BS313" s="19" t="n">
        <v>3</v>
      </c>
      <c r="BT313" s="19" t="n">
        <v>3</v>
      </c>
      <c r="BU313" s="19" t="n">
        <v>3</v>
      </c>
      <c r="BV313" s="19" t="n">
        <v>2</v>
      </c>
      <c r="BW313" s="19" t="n">
        <v>2</v>
      </c>
      <c r="BX313" s="19" t="n">
        <v>2</v>
      </c>
      <c r="BY313" s="19" t="n">
        <v>3</v>
      </c>
      <c r="BZ313" s="19" t="n">
        <v>3</v>
      </c>
      <c r="CA313" s="19" t="n">
        <v>3</v>
      </c>
      <c r="CB313" s="19" t="n">
        <v>3</v>
      </c>
      <c r="CC313" s="19" t="n">
        <v>4</v>
      </c>
      <c r="CD313" s="19" t="n">
        <v>4</v>
      </c>
      <c r="CE313" s="19" t="n">
        <v>4</v>
      </c>
      <c r="CF313" s="19" t="n">
        <v>5</v>
      </c>
      <c r="CG313" s="19" t="n">
        <v>5</v>
      </c>
      <c r="CH313" s="19" t="n">
        <v>4</v>
      </c>
      <c r="CI313" s="19" t="n">
        <v>4</v>
      </c>
      <c r="CJ313" s="19" t="n">
        <v>4</v>
      </c>
      <c r="CK313" s="19" t="n">
        <v>10</v>
      </c>
      <c r="CL313" s="0" t="s">
        <v>498</v>
      </c>
      <c r="CM313" s="0" t="n">
        <v>33</v>
      </c>
      <c r="CN313" s="16" t="n">
        <v>71.2</v>
      </c>
      <c r="CO313" s="16" t="n">
        <v>80.4</v>
      </c>
      <c r="CP313" s="16" t="n">
        <v>16.3</v>
      </c>
      <c r="CQ313" s="0" t="n">
        <v>83.24</v>
      </c>
      <c r="CR313" s="17" t="n">
        <v>0</v>
      </c>
      <c r="CS313" s="0" t="n">
        <v>0</v>
      </c>
      <c r="CT313" s="0" t="n">
        <v>0</v>
      </c>
      <c r="CU313" s="0" t="n">
        <v>14.14</v>
      </c>
      <c r="CV313" s="0" t="n">
        <v>0</v>
      </c>
      <c r="CW313" s="0" t="n">
        <v>2.63</v>
      </c>
      <c r="CX313" s="0" t="n">
        <v>0</v>
      </c>
      <c r="CY313" s="0" t="n">
        <v>0</v>
      </c>
      <c r="CZ313" s="0" t="n">
        <v>0</v>
      </c>
      <c r="DA313" s="0" t="n">
        <v>0</v>
      </c>
      <c r="DB313" s="0" t="n">
        <v>2.63</v>
      </c>
      <c r="DC313" s="0" t="n">
        <v>10.16</v>
      </c>
      <c r="DD313" s="0" t="n">
        <v>20.83</v>
      </c>
      <c r="DE313" s="0" t="n">
        <v>24.81</v>
      </c>
      <c r="DF313" s="0" t="n">
        <v>0</v>
      </c>
      <c r="DG313" s="0" t="n">
        <v>11.2</v>
      </c>
      <c r="DH313" s="0" t="n">
        <v>1</v>
      </c>
      <c r="DI313" s="0" t="n">
        <v>5</v>
      </c>
      <c r="DK313" s="0" t="n">
        <v>1</v>
      </c>
      <c r="DO313" s="0" t="n">
        <v>5</v>
      </c>
      <c r="DQ313" s="0" t="n">
        <v>1</v>
      </c>
      <c r="DU313" s="0" t="n">
        <v>0</v>
      </c>
      <c r="DV313" s="0" t="n">
        <v>0</v>
      </c>
      <c r="EG313" s="18"/>
      <c r="EY313" s="0" t="n">
        <v>0</v>
      </c>
      <c r="GJ313" s="16" t="n">
        <v>2.71</v>
      </c>
      <c r="GK313" s="16" t="n">
        <v>1</v>
      </c>
      <c r="GL313" s="16" t="n">
        <v>1</v>
      </c>
      <c r="GM313" s="16"/>
      <c r="GN313" s="16" t="n">
        <f aca="false">2.11*4+0.52*2</f>
        <v>9.48</v>
      </c>
      <c r="GO313" s="16"/>
      <c r="GP313" s="16"/>
      <c r="GQ313" s="16"/>
      <c r="GR313" s="16"/>
      <c r="GS313" s="16"/>
      <c r="GT313" s="16"/>
      <c r="GU313" s="16" t="n">
        <v>2.63</v>
      </c>
      <c r="GV313" s="16" t="n">
        <v>2.6</v>
      </c>
      <c r="GW313" s="16" t="n">
        <v>0</v>
      </c>
      <c r="GX313" s="16" t="n">
        <v>0</v>
      </c>
      <c r="GY313" s="16" t="n">
        <v>0</v>
      </c>
      <c r="GZ313" s="16" t="n">
        <v>0</v>
      </c>
      <c r="HA313" s="16" t="n">
        <v>0</v>
      </c>
      <c r="HB313" s="0" t="n">
        <v>0</v>
      </c>
      <c r="HC313" s="0" t="s">
        <v>501</v>
      </c>
      <c r="HD313" s="0" t="n">
        <v>58</v>
      </c>
      <c r="HE313" s="16" t="n">
        <v>79.9</v>
      </c>
      <c r="HF313" s="16" t="n">
        <v>80.4</v>
      </c>
      <c r="HG313" s="16" t="n">
        <v>43.6</v>
      </c>
      <c r="HH313" s="0" t="n">
        <v>26.15</v>
      </c>
      <c r="HI313" s="17" t="n">
        <v>0</v>
      </c>
      <c r="HJ313" s="0" t="n">
        <v>0</v>
      </c>
      <c r="HK313" s="0" t="n">
        <v>0</v>
      </c>
      <c r="HL313" s="0" t="n">
        <v>0</v>
      </c>
      <c r="HM313" s="0" t="n">
        <v>0</v>
      </c>
      <c r="HN313" s="0" t="n">
        <v>73.85</v>
      </c>
      <c r="HO313" s="0" t="n">
        <v>18.43</v>
      </c>
      <c r="HP313" s="0" t="n">
        <v>20.42</v>
      </c>
      <c r="HQ313" s="0" t="n">
        <v>0</v>
      </c>
      <c r="HR313" s="0" t="n">
        <v>0</v>
      </c>
      <c r="HS313" s="0" t="n">
        <v>2.44</v>
      </c>
      <c r="HT313" s="0" t="n">
        <v>0.13</v>
      </c>
      <c r="HU313" s="0" t="n">
        <v>9.71</v>
      </c>
      <c r="HV313" s="0" t="n">
        <v>18.31</v>
      </c>
      <c r="HW313" s="0" t="n">
        <v>0</v>
      </c>
      <c r="HX313" s="0" t="n">
        <v>0</v>
      </c>
      <c r="HY313" s="0" t="n">
        <v>0</v>
      </c>
      <c r="IL313" s="0" t="n">
        <v>9.1</v>
      </c>
      <c r="IM313" s="0" t="n">
        <v>1</v>
      </c>
      <c r="IN313" s="0" t="n">
        <v>68</v>
      </c>
      <c r="IO313" s="0" t="n">
        <v>1</v>
      </c>
      <c r="IP313" s="0" t="n">
        <v>0.05</v>
      </c>
      <c r="IQ313" s="0" t="n">
        <v>1</v>
      </c>
      <c r="IR313" s="0" t="n">
        <v>35</v>
      </c>
      <c r="IS313" s="0" t="n">
        <v>3</v>
      </c>
      <c r="IT313" s="0" t="n">
        <f aca="false">0.76+0.64</f>
        <v>1.4</v>
      </c>
      <c r="IU313" s="0" t="n">
        <v>3</v>
      </c>
      <c r="IV313" s="0" t="n">
        <v>47</v>
      </c>
      <c r="IW313" s="0" t="n">
        <v>2</v>
      </c>
      <c r="IX313" s="18" t="n">
        <v>0.23</v>
      </c>
      <c r="IY313" s="0" t="n">
        <v>3</v>
      </c>
      <c r="JP313" s="0" t="n">
        <v>1</v>
      </c>
      <c r="JQ313" s="0" t="n">
        <v>60</v>
      </c>
      <c r="JR313" s="0" t="n">
        <v>2</v>
      </c>
      <c r="JS313" s="0" t="n">
        <v>0.26</v>
      </c>
      <c r="JT313" s="0" t="n">
        <v>3</v>
      </c>
      <c r="LA313" s="16" t="n">
        <v>0</v>
      </c>
      <c r="LB313" s="16" t="n">
        <v>0</v>
      </c>
      <c r="LC313" s="16"/>
      <c r="LD313" s="16"/>
      <c r="LE313" s="16"/>
      <c r="LF313" s="16"/>
      <c r="LG313" s="16"/>
      <c r="LH313" s="16"/>
      <c r="LI313" s="16"/>
      <c r="LJ313" s="16"/>
      <c r="LK313" s="16"/>
      <c r="LL313" s="16" t="n">
        <v>1.97</v>
      </c>
      <c r="LM313" s="16" t="n">
        <v>1.24</v>
      </c>
      <c r="LN313" s="16" t="n">
        <v>0</v>
      </c>
      <c r="LO313" s="16" t="n">
        <v>0</v>
      </c>
      <c r="LP313" s="16" t="n">
        <v>0</v>
      </c>
      <c r="LQ313" s="16" t="n">
        <v>0</v>
      </c>
      <c r="LR313" s="16" t="n">
        <v>3</v>
      </c>
      <c r="LS313" s="0" t="n">
        <v>0</v>
      </c>
      <c r="LT313" s="0" t="s">
        <v>503</v>
      </c>
      <c r="LU313" s="0" t="n">
        <v>47</v>
      </c>
      <c r="LV313" s="16" t="n">
        <v>54.1</v>
      </c>
      <c r="LW313" s="16" t="n">
        <v>80.4</v>
      </c>
      <c r="LX313" s="16" t="n">
        <v>34.5</v>
      </c>
      <c r="LY313" s="0" t="n">
        <v>71.45</v>
      </c>
      <c r="LZ313" s="17" t="n">
        <v>0</v>
      </c>
      <c r="MA313" s="0" t="n">
        <v>21.93</v>
      </c>
      <c r="MB313" s="0" t="n">
        <v>6.49</v>
      </c>
      <c r="MC313" s="0" t="n">
        <v>0.12</v>
      </c>
      <c r="MD313" s="0" t="n">
        <v>0</v>
      </c>
      <c r="ME313" s="0" t="n">
        <v>0</v>
      </c>
      <c r="MF313" s="0" t="n">
        <v>0</v>
      </c>
      <c r="MG313" s="0" t="n">
        <v>0</v>
      </c>
      <c r="MH313" s="0" t="n">
        <v>0</v>
      </c>
      <c r="MI313" s="0" t="n">
        <v>0</v>
      </c>
      <c r="MJ313" s="0" t="n">
        <v>1.01</v>
      </c>
      <c r="MK313" s="0" t="n">
        <v>0.45</v>
      </c>
      <c r="ML313" s="0" t="n">
        <v>18.4</v>
      </c>
      <c r="MM313" s="0" t="n">
        <v>11.28</v>
      </c>
      <c r="MN313" s="0" t="n">
        <v>0</v>
      </c>
      <c r="MO313" s="0" t="n">
        <v>0</v>
      </c>
      <c r="MP313" s="0" t="n">
        <v>0</v>
      </c>
      <c r="NC313" s="0" t="n">
        <v>6</v>
      </c>
      <c r="ND313" s="0" t="n">
        <v>1</v>
      </c>
      <c r="NE313" s="0" t="n">
        <v>35</v>
      </c>
      <c r="NF313" s="0" t="n">
        <v>8</v>
      </c>
      <c r="NG313" s="0" t="n">
        <f aca="false">0.25+0.25+0.25+0.13+0.13+0.13+0.13</f>
        <v>1.27</v>
      </c>
      <c r="NH313" s="0" t="n">
        <v>3</v>
      </c>
      <c r="NO313" s="18"/>
      <c r="OG313" s="0" t="n">
        <v>1</v>
      </c>
      <c r="OH313" s="0" t="n">
        <v>50</v>
      </c>
      <c r="OI313" s="0" t="n">
        <v>2</v>
      </c>
      <c r="OJ313" s="0" t="n">
        <f aca="false">0.76*2</f>
        <v>1.52</v>
      </c>
      <c r="OK313" s="0" t="n">
        <v>1</v>
      </c>
      <c r="PR313" s="16" t="n">
        <v>0.42</v>
      </c>
      <c r="PS313" s="16" t="n">
        <v>1</v>
      </c>
      <c r="PT313" s="16" t="n">
        <v>1</v>
      </c>
      <c r="PU313" s="16"/>
      <c r="PV313" s="16" t="n">
        <f aca="false">0.68+0.68+0.03</f>
        <v>1.39</v>
      </c>
      <c r="PW313" s="16"/>
      <c r="PX313" s="16"/>
      <c r="PY313" s="16"/>
      <c r="PZ313" s="16"/>
      <c r="QA313" s="16"/>
      <c r="QB313" s="16"/>
      <c r="QC313" s="16" t="n">
        <v>5.21</v>
      </c>
      <c r="QD313" s="16" t="n">
        <v>7.05</v>
      </c>
      <c r="QE313" s="16"/>
      <c r="QF313" s="16"/>
      <c r="QG313" s="16" t="n">
        <v>0</v>
      </c>
      <c r="QH313" s="16" t="n">
        <v>0</v>
      </c>
      <c r="QI313" s="16" t="n">
        <v>0</v>
      </c>
      <c r="QJ313" s="0" t="n">
        <v>0</v>
      </c>
      <c r="QK313" s="0" t="s">
        <v>505</v>
      </c>
      <c r="QL313" s="0" t="n">
        <v>59</v>
      </c>
      <c r="QM313" s="16" t="n">
        <v>90.4</v>
      </c>
      <c r="QN313" s="16" t="n">
        <v>80.4</v>
      </c>
      <c r="QO313" s="16" t="n">
        <v>54.7</v>
      </c>
      <c r="QP313" s="0" t="n">
        <v>26.42</v>
      </c>
      <c r="QQ313" s="17" t="n">
        <v>0</v>
      </c>
      <c r="QR313" s="0" t="n">
        <v>0</v>
      </c>
      <c r="QS313" s="0" t="n">
        <v>0</v>
      </c>
      <c r="QT313" s="0" t="n">
        <v>0</v>
      </c>
      <c r="QU313" s="0" t="n">
        <v>0</v>
      </c>
      <c r="QV313" s="0" t="n">
        <v>66.96</v>
      </c>
      <c r="QW313" s="0" t="n">
        <v>6.55</v>
      </c>
      <c r="QX313" s="0" t="n">
        <v>30.83</v>
      </c>
      <c r="QY313" s="0" t="n">
        <v>0</v>
      </c>
      <c r="QZ313" s="0" t="n">
        <v>0</v>
      </c>
      <c r="RA313" s="0" t="n">
        <v>14.46</v>
      </c>
      <c r="RB313" s="0" t="n">
        <v>11.57</v>
      </c>
      <c r="RC313" s="0" t="n">
        <v>6.5</v>
      </c>
      <c r="RD313" s="0" t="n">
        <v>6.03</v>
      </c>
      <c r="RE313" s="0" t="n">
        <v>6.62</v>
      </c>
      <c r="RF313" s="0" t="n">
        <v>0</v>
      </c>
      <c r="RG313" s="0" t="n">
        <v>0</v>
      </c>
      <c r="RT313" s="0" t="n">
        <v>3.2</v>
      </c>
      <c r="RU313" s="0" t="n">
        <v>0</v>
      </c>
      <c r="SF313" s="18"/>
      <c r="SX313" s="0" t="n">
        <v>1</v>
      </c>
      <c r="SY313" s="0" t="n">
        <v>60</v>
      </c>
      <c r="SZ313" s="0" t="n">
        <v>2</v>
      </c>
      <c r="TA313" s="0" t="n">
        <v>1.52</v>
      </c>
      <c r="TB313" s="0" t="n">
        <v>3</v>
      </c>
      <c r="UI313" s="16" t="n">
        <v>0.63</v>
      </c>
      <c r="UJ313" s="16" t="n">
        <v>1</v>
      </c>
      <c r="UK313" s="16" t="n">
        <v>1</v>
      </c>
      <c r="UL313" s="16"/>
      <c r="UM313" s="16" t="n">
        <v>3.17</v>
      </c>
      <c r="UN313" s="16"/>
      <c r="UO313" s="16"/>
      <c r="UP313" s="16"/>
      <c r="UQ313" s="16"/>
      <c r="UR313" s="16"/>
      <c r="US313" s="16"/>
      <c r="UT313" s="16" t="n">
        <v>0</v>
      </c>
      <c r="UU313" s="16" t="n">
        <v>0</v>
      </c>
      <c r="UV313" s="16"/>
      <c r="UW313" s="16"/>
      <c r="UX313" s="16" t="n">
        <v>0</v>
      </c>
      <c r="UY313" s="16" t="n">
        <v>0</v>
      </c>
      <c r="UZ313" s="16" t="n">
        <v>0</v>
      </c>
      <c r="VA313" s="0" t="n">
        <v>0</v>
      </c>
      <c r="VE313" s="15"/>
      <c r="VF313" s="15"/>
      <c r="VM313" s="15"/>
      <c r="VN313" s="15"/>
      <c r="VU313" s="15"/>
      <c r="VV313" s="15"/>
      <c r="WC313" s="15"/>
      <c r="WD313" s="15"/>
      <c r="WK313" s="15"/>
      <c r="WL313" s="15"/>
      <c r="WS313" s="15"/>
      <c r="WT313" s="15"/>
      <c r="XA313" s="15"/>
      <c r="XB313" s="15"/>
      <c r="XI313" s="15"/>
      <c r="XJ313" s="15"/>
      <c r="XQ313" s="15"/>
      <c r="XR313" s="15"/>
      <c r="XY313" s="15"/>
      <c r="XZ313" s="15"/>
      <c r="YG313" s="15"/>
      <c r="YH313" s="15"/>
      <c r="YO313" s="15"/>
      <c r="YP313" s="15"/>
      <c r="YW313" s="15"/>
      <c r="YX313" s="15"/>
      <c r="ZE313" s="15"/>
      <c r="ZF313" s="15"/>
      <c r="ZM313" s="15"/>
      <c r="ZN313" s="15"/>
      <c r="ZU313" s="15"/>
      <c r="ZV313" s="15"/>
      <c r="AAC313" s="15"/>
      <c r="AAD313" s="15"/>
      <c r="AAK313" s="15"/>
      <c r="AAL313" s="15"/>
      <c r="AAS313" s="15"/>
      <c r="AAT313" s="15"/>
      <c r="ABA313" s="15"/>
      <c r="ABB313" s="15"/>
      <c r="ABI313" s="15"/>
      <c r="ABJ313" s="15"/>
      <c r="ABQ313" s="15"/>
      <c r="ABR313" s="15"/>
      <c r="ABY313" s="15"/>
      <c r="ABZ313" s="15"/>
      <c r="ACG313" s="15"/>
      <c r="ACH313" s="15"/>
      <c r="ACO313" s="15"/>
      <c r="ACP313" s="15"/>
      <c r="ACW313" s="15"/>
      <c r="ACX313" s="15"/>
      <c r="ADE313" s="15"/>
      <c r="ADF313" s="15"/>
      <c r="ADM313" s="15"/>
      <c r="ADN313" s="15"/>
      <c r="ADU313" s="15"/>
      <c r="ADV313" s="15"/>
      <c r="AEC313" s="15"/>
      <c r="AED313" s="15"/>
      <c r="AEK313" s="15"/>
      <c r="AEL313" s="15"/>
      <c r="AES313" s="15"/>
      <c r="AET313" s="15"/>
      <c r="AFA313" s="15"/>
      <c r="AFB313" s="15"/>
      <c r="AFI313" s="15"/>
      <c r="AFJ313" s="15"/>
      <c r="AFQ313" s="15"/>
      <c r="AFR313" s="15"/>
      <c r="AFY313" s="15"/>
      <c r="AFZ313" s="15"/>
      <c r="AGG313" s="15"/>
      <c r="AGH313" s="15"/>
      <c r="AGO313" s="15"/>
      <c r="AGP313" s="15"/>
      <c r="AGW313" s="15"/>
      <c r="AGX313" s="15"/>
      <c r="AHE313" s="15"/>
      <c r="AHF313" s="15"/>
      <c r="AHM313" s="15"/>
      <c r="AHN313" s="15"/>
      <c r="AHU313" s="15"/>
      <c r="AHV313" s="15"/>
      <c r="AIC313" s="15"/>
      <c r="AID313" s="15"/>
      <c r="AIK313" s="15"/>
      <c r="AIL313" s="15"/>
      <c r="AIS313" s="15"/>
      <c r="AIT313" s="15"/>
      <c r="AJA313" s="15"/>
      <c r="AJB313" s="15"/>
      <c r="AJI313" s="15"/>
      <c r="AJJ313" s="15"/>
      <c r="AJQ313" s="15"/>
      <c r="AJR313" s="15"/>
      <c r="AJY313" s="15"/>
      <c r="AJZ313" s="15"/>
      <c r="AKG313" s="15"/>
      <c r="AKH313" s="15"/>
      <c r="AKO313" s="15"/>
      <c r="AKP313" s="15"/>
      <c r="AKW313" s="15"/>
      <c r="AKX313" s="15"/>
      <c r="ALE313" s="15"/>
      <c r="ALF313" s="15"/>
      <c r="ALM313" s="15"/>
      <c r="ALN313" s="15"/>
      <c r="ALU313" s="15"/>
      <c r="ALV313" s="15"/>
      <c r="AMC313" s="15"/>
      <c r="AMD313" s="15"/>
    </row>
    <row r="314" customFormat="false" ht="13.8" hidden="false" customHeight="false" outlineLevel="0" collapsed="false">
      <c r="A314" s="1" t="s">
        <v>890</v>
      </c>
      <c r="B314" s="12" t="n">
        <v>42905</v>
      </c>
      <c r="C314" s="0" t="n">
        <v>1</v>
      </c>
      <c r="D314" s="13" t="n">
        <v>42776</v>
      </c>
      <c r="E314" s="12" t="n">
        <v>28928</v>
      </c>
      <c r="F314" s="14" t="n">
        <f aca="false">(B314-E314)/365.25</f>
        <v>38.2669404517454</v>
      </c>
      <c r="G314" s="14" t="n">
        <f aca="false">(B314-D314)/365.25</f>
        <v>0.353182751540041</v>
      </c>
      <c r="H314" s="19" t="s">
        <v>181</v>
      </c>
      <c r="I314" s="15" t="s">
        <v>496</v>
      </c>
      <c r="J314" s="15" t="s">
        <v>181</v>
      </c>
      <c r="K314" s="15" t="n">
        <v>8</v>
      </c>
      <c r="L314" s="19" t="n">
        <v>55</v>
      </c>
      <c r="M314" s="0" t="n">
        <v>1.62</v>
      </c>
      <c r="N314" s="16" t="n">
        <f aca="false">L314/(M314*M314)</f>
        <v>20.9571711629325</v>
      </c>
      <c r="O314" s="19" t="n">
        <v>0</v>
      </c>
      <c r="P314" s="19" t="n">
        <v>0</v>
      </c>
      <c r="Q314" s="19" t="n">
        <v>0</v>
      </c>
      <c r="R314" s="26" t="n">
        <v>0</v>
      </c>
      <c r="S314" s="26" t="n">
        <v>0</v>
      </c>
      <c r="T314" s="26" t="n">
        <v>0</v>
      </c>
      <c r="U314" s="19" t="n">
        <v>0</v>
      </c>
      <c r="V314" s="19" t="n">
        <v>0</v>
      </c>
      <c r="W314" s="19" t="n">
        <v>0</v>
      </c>
      <c r="X314" s="19" t="n">
        <v>0</v>
      </c>
      <c r="Y314" s="19" t="n">
        <v>1</v>
      </c>
      <c r="Z314" s="19" t="n">
        <v>2</v>
      </c>
      <c r="AA314" s="19" t="n">
        <v>40</v>
      </c>
      <c r="AB314" s="19" t="s">
        <v>891</v>
      </c>
      <c r="AC314" s="19" t="n">
        <v>0</v>
      </c>
      <c r="AD314" s="19" t="n">
        <v>0</v>
      </c>
      <c r="AE314" s="19" t="n">
        <v>0</v>
      </c>
      <c r="AF314" s="19" t="n">
        <v>0</v>
      </c>
      <c r="AG314" s="19" t="n">
        <v>0</v>
      </c>
      <c r="AH314" s="19" t="n">
        <v>0</v>
      </c>
      <c r="AI314" s="19" t="n">
        <v>0</v>
      </c>
      <c r="AJ314" s="19" t="n">
        <v>0</v>
      </c>
      <c r="AK314" s="19" t="n">
        <v>0</v>
      </c>
      <c r="AL314" s="19" t="n">
        <v>0</v>
      </c>
      <c r="AM314" s="19" t="n">
        <v>0</v>
      </c>
      <c r="AN314" s="19" t="n">
        <v>0</v>
      </c>
      <c r="AO314" s="19" t="n">
        <v>0</v>
      </c>
      <c r="AP314" s="19" t="n">
        <v>0</v>
      </c>
      <c r="AQ314" s="19" t="n">
        <v>0</v>
      </c>
      <c r="AR314" s="19" t="n">
        <v>0</v>
      </c>
      <c r="AS314" s="19" t="n">
        <v>0</v>
      </c>
      <c r="AT314" s="19" t="n">
        <v>0</v>
      </c>
      <c r="AU314" s="19" t="n">
        <v>0</v>
      </c>
      <c r="AV314" s="19" t="n">
        <v>0</v>
      </c>
      <c r="AW314" s="19" t="n">
        <v>0</v>
      </c>
      <c r="AX314" s="19" t="n">
        <v>0</v>
      </c>
      <c r="AY314" s="19" t="n">
        <v>0</v>
      </c>
      <c r="AZ314" s="19" t="n">
        <v>0</v>
      </c>
      <c r="BA314" s="19" t="n">
        <v>0</v>
      </c>
      <c r="BB314" s="19" t="n">
        <v>0</v>
      </c>
      <c r="BC314" s="19" t="n">
        <v>0</v>
      </c>
      <c r="BD314" s="19" t="n">
        <v>0</v>
      </c>
      <c r="BE314" s="19" t="n">
        <v>0</v>
      </c>
      <c r="BF314" s="19" t="n">
        <v>0</v>
      </c>
      <c r="BG314" s="19" t="n">
        <v>0</v>
      </c>
      <c r="BH314" s="19" t="n">
        <v>0</v>
      </c>
      <c r="BI314" s="19" t="n">
        <v>0</v>
      </c>
      <c r="BJ314" s="19" t="n">
        <v>0</v>
      </c>
      <c r="BK314" s="19" t="n">
        <v>0</v>
      </c>
      <c r="BL314" s="19" t="n">
        <v>0</v>
      </c>
      <c r="BM314" s="19" t="n">
        <v>0</v>
      </c>
      <c r="BN314" s="19" t="n">
        <v>0</v>
      </c>
      <c r="BO314" s="19" t="n">
        <v>0</v>
      </c>
      <c r="BP314" s="19" t="n">
        <v>0</v>
      </c>
      <c r="BQ314" s="19" t="n">
        <v>0</v>
      </c>
      <c r="BR314" s="19" t="n">
        <v>1</v>
      </c>
      <c r="BS314" s="19" t="n">
        <v>2</v>
      </c>
      <c r="BT314" s="19" t="n">
        <v>3</v>
      </c>
      <c r="BU314" s="19" t="n">
        <v>3</v>
      </c>
      <c r="BV314" s="19" t="n">
        <v>3</v>
      </c>
      <c r="BW314" s="19" t="n">
        <v>3</v>
      </c>
      <c r="BX314" s="19" t="n">
        <v>3</v>
      </c>
      <c r="BY314" s="19" t="n">
        <v>5</v>
      </c>
      <c r="BZ314" s="19" t="n">
        <v>5</v>
      </c>
      <c r="CA314" s="19" t="n">
        <v>5</v>
      </c>
      <c r="CB314" s="19" t="n">
        <v>5</v>
      </c>
      <c r="CC314" s="19" t="n">
        <v>5</v>
      </c>
      <c r="CD314" s="19" t="n">
        <v>5</v>
      </c>
      <c r="CE314" s="19" t="n">
        <v>5</v>
      </c>
      <c r="CF314" s="19" t="n">
        <v>3</v>
      </c>
      <c r="CG314" s="19" t="n">
        <v>5</v>
      </c>
      <c r="CH314" s="19" t="n">
        <v>5</v>
      </c>
      <c r="CI314" s="19" t="n">
        <v>5</v>
      </c>
      <c r="CJ314" s="19" t="n">
        <v>5</v>
      </c>
      <c r="CK314" s="19" t="n">
        <v>9</v>
      </c>
      <c r="CL314" s="0" t="s">
        <v>498</v>
      </c>
      <c r="CM314" s="0" t="n">
        <v>33</v>
      </c>
      <c r="CN314" s="16" t="n">
        <v>71.2</v>
      </c>
      <c r="CO314" s="16" t="n">
        <v>80.4</v>
      </c>
      <c r="CP314" s="16" t="n">
        <v>16.3</v>
      </c>
      <c r="CQ314" s="0" t="n">
        <v>83.24</v>
      </c>
      <c r="CR314" s="17" t="n">
        <v>0</v>
      </c>
      <c r="CS314" s="0" t="n">
        <v>0</v>
      </c>
      <c r="CT314" s="0" t="n">
        <v>0</v>
      </c>
      <c r="CU314" s="0" t="n">
        <v>14.14</v>
      </c>
      <c r="CV314" s="0" t="n">
        <v>0</v>
      </c>
      <c r="CW314" s="0" t="n">
        <v>2.63</v>
      </c>
      <c r="CX314" s="0" t="n">
        <v>0</v>
      </c>
      <c r="CY314" s="0" t="n">
        <v>0</v>
      </c>
      <c r="CZ314" s="0" t="n">
        <v>0</v>
      </c>
      <c r="DA314" s="0" t="n">
        <v>0</v>
      </c>
      <c r="DB314" s="0" t="n">
        <v>2.63</v>
      </c>
      <c r="DC314" s="0" t="n">
        <v>10.16</v>
      </c>
      <c r="DD314" s="0" t="n">
        <v>20.83</v>
      </c>
      <c r="DE314" s="0" t="n">
        <v>24.81</v>
      </c>
      <c r="DF314" s="0" t="n">
        <v>0</v>
      </c>
      <c r="DG314" s="0" t="n">
        <v>11.2</v>
      </c>
      <c r="DH314" s="0" t="n">
        <v>1</v>
      </c>
      <c r="DI314" s="0" t="n">
        <v>5</v>
      </c>
      <c r="DK314" s="0" t="n">
        <v>1</v>
      </c>
      <c r="DO314" s="0" t="n">
        <v>5</v>
      </c>
      <c r="DQ314" s="0" t="n">
        <v>1</v>
      </c>
      <c r="DU314" s="0" t="n">
        <v>0</v>
      </c>
      <c r="DV314" s="0" t="n">
        <v>0</v>
      </c>
      <c r="EG314" s="18"/>
      <c r="EY314" s="0" t="n">
        <v>0</v>
      </c>
      <c r="GJ314" s="16" t="n">
        <v>2.71</v>
      </c>
      <c r="GK314" s="16" t="n">
        <v>1</v>
      </c>
      <c r="GL314" s="16" t="n">
        <v>1</v>
      </c>
      <c r="GM314" s="16"/>
      <c r="GN314" s="16" t="n">
        <f aca="false">2.11*4+0.52*2</f>
        <v>9.48</v>
      </c>
      <c r="GO314" s="16"/>
      <c r="GP314" s="16"/>
      <c r="GQ314" s="16"/>
      <c r="GR314" s="16"/>
      <c r="GS314" s="16"/>
      <c r="GT314" s="16"/>
      <c r="GU314" s="16" t="n">
        <v>2.63</v>
      </c>
      <c r="GV314" s="16" t="n">
        <v>2.6</v>
      </c>
      <c r="GW314" s="16" t="n">
        <v>0</v>
      </c>
      <c r="GX314" s="16" t="n">
        <v>0</v>
      </c>
      <c r="GY314" s="16" t="n">
        <v>0</v>
      </c>
      <c r="GZ314" s="16" t="n">
        <v>0</v>
      </c>
      <c r="HA314" s="16" t="n">
        <v>0</v>
      </c>
      <c r="HB314" s="0" t="n">
        <v>0</v>
      </c>
      <c r="HC314" s="0" t="s">
        <v>501</v>
      </c>
      <c r="HD314" s="0" t="n">
        <v>58</v>
      </c>
      <c r="HE314" s="16" t="n">
        <v>79.9</v>
      </c>
      <c r="HF314" s="16" t="n">
        <v>80.4</v>
      </c>
      <c r="HG314" s="16" t="n">
        <v>43.6</v>
      </c>
      <c r="HH314" s="0" t="n">
        <v>26.15</v>
      </c>
      <c r="HI314" s="17" t="n">
        <v>0</v>
      </c>
      <c r="HJ314" s="0" t="n">
        <v>0</v>
      </c>
      <c r="HK314" s="0" t="n">
        <v>0</v>
      </c>
      <c r="HL314" s="0" t="n">
        <v>0</v>
      </c>
      <c r="HM314" s="0" t="n">
        <v>0</v>
      </c>
      <c r="HN314" s="0" t="n">
        <v>73.85</v>
      </c>
      <c r="HO314" s="0" t="n">
        <v>18.43</v>
      </c>
      <c r="HP314" s="0" t="n">
        <v>20.42</v>
      </c>
      <c r="HQ314" s="0" t="n">
        <v>0</v>
      </c>
      <c r="HR314" s="0" t="n">
        <v>0</v>
      </c>
      <c r="HS314" s="0" t="n">
        <v>2.44</v>
      </c>
      <c r="HT314" s="0" t="n">
        <v>0.13</v>
      </c>
      <c r="HU314" s="0" t="n">
        <v>9.71</v>
      </c>
      <c r="HV314" s="0" t="n">
        <v>18.31</v>
      </c>
      <c r="HW314" s="0" t="n">
        <v>0</v>
      </c>
      <c r="HX314" s="0" t="n">
        <v>0</v>
      </c>
      <c r="HY314" s="0" t="n">
        <v>0</v>
      </c>
      <c r="IL314" s="0" t="n">
        <v>9.1</v>
      </c>
      <c r="IM314" s="0" t="n">
        <v>1</v>
      </c>
      <c r="IN314" s="0" t="n">
        <v>68</v>
      </c>
      <c r="IO314" s="0" t="n">
        <v>1</v>
      </c>
      <c r="IP314" s="0" t="n">
        <v>0.05</v>
      </c>
      <c r="IQ314" s="0" t="n">
        <v>1</v>
      </c>
      <c r="IR314" s="0" t="n">
        <v>35</v>
      </c>
      <c r="IS314" s="0" t="n">
        <v>3</v>
      </c>
      <c r="IT314" s="0" t="n">
        <f aca="false">0.76+0.64</f>
        <v>1.4</v>
      </c>
      <c r="IU314" s="0" t="n">
        <v>3</v>
      </c>
      <c r="IV314" s="0" t="n">
        <v>47</v>
      </c>
      <c r="IW314" s="0" t="n">
        <v>2</v>
      </c>
      <c r="IX314" s="18" t="n">
        <v>0.23</v>
      </c>
      <c r="IY314" s="0" t="n">
        <v>3</v>
      </c>
      <c r="JP314" s="0" t="n">
        <v>1</v>
      </c>
      <c r="JQ314" s="0" t="n">
        <v>60</v>
      </c>
      <c r="JR314" s="0" t="n">
        <v>2</v>
      </c>
      <c r="JS314" s="0" t="n">
        <v>0.26</v>
      </c>
      <c r="JT314" s="0" t="n">
        <v>3</v>
      </c>
      <c r="LA314" s="16" t="n">
        <v>0</v>
      </c>
      <c r="LB314" s="16" t="n">
        <v>0</v>
      </c>
      <c r="LC314" s="16"/>
      <c r="LD314" s="16"/>
      <c r="LE314" s="16"/>
      <c r="LF314" s="16"/>
      <c r="LG314" s="16"/>
      <c r="LH314" s="16"/>
      <c r="LI314" s="16"/>
      <c r="LJ314" s="16"/>
      <c r="LK314" s="16"/>
      <c r="LL314" s="16" t="n">
        <v>1.97</v>
      </c>
      <c r="LM314" s="16" t="n">
        <v>1.24</v>
      </c>
      <c r="LN314" s="16" t="n">
        <v>0</v>
      </c>
      <c r="LO314" s="16" t="n">
        <v>0</v>
      </c>
      <c r="LP314" s="16" t="n">
        <v>0</v>
      </c>
      <c r="LQ314" s="16" t="n">
        <v>0</v>
      </c>
      <c r="LR314" s="16" t="n">
        <v>3</v>
      </c>
      <c r="LS314" s="0" t="n">
        <v>0</v>
      </c>
      <c r="LT314" s="0" t="s">
        <v>503</v>
      </c>
      <c r="LU314" s="0" t="n">
        <v>47</v>
      </c>
      <c r="LV314" s="16" t="n">
        <v>54.1</v>
      </c>
      <c r="LW314" s="16" t="n">
        <v>80.4</v>
      </c>
      <c r="LX314" s="16" t="n">
        <v>34.5</v>
      </c>
      <c r="LY314" s="0" t="n">
        <v>71.45</v>
      </c>
      <c r="LZ314" s="17" t="n">
        <v>0</v>
      </c>
      <c r="MA314" s="0" t="n">
        <v>21.93</v>
      </c>
      <c r="MB314" s="0" t="n">
        <v>6.49</v>
      </c>
      <c r="MC314" s="0" t="n">
        <v>0.12</v>
      </c>
      <c r="MD314" s="0" t="n">
        <v>0</v>
      </c>
      <c r="ME314" s="0" t="n">
        <v>0</v>
      </c>
      <c r="MF314" s="0" t="n">
        <v>0</v>
      </c>
      <c r="MG314" s="0" t="n">
        <v>0</v>
      </c>
      <c r="MH314" s="0" t="n">
        <v>0</v>
      </c>
      <c r="MI314" s="0" t="n">
        <v>0</v>
      </c>
      <c r="MJ314" s="0" t="n">
        <v>1.01</v>
      </c>
      <c r="MK314" s="0" t="n">
        <v>0.45</v>
      </c>
      <c r="ML314" s="0" t="n">
        <v>18.4</v>
      </c>
      <c r="MM314" s="0" t="n">
        <v>11.28</v>
      </c>
      <c r="MN314" s="0" t="n">
        <v>0</v>
      </c>
      <c r="MO314" s="0" t="n">
        <v>0</v>
      </c>
      <c r="MP314" s="0" t="n">
        <v>0</v>
      </c>
      <c r="NC314" s="0" t="n">
        <v>6</v>
      </c>
      <c r="ND314" s="0" t="n">
        <v>1</v>
      </c>
      <c r="NE314" s="0" t="n">
        <v>35</v>
      </c>
      <c r="NF314" s="0" t="n">
        <v>8</v>
      </c>
      <c r="NG314" s="0" t="n">
        <f aca="false">0.25+0.25+0.25+0.13+0.13+0.13+0.13</f>
        <v>1.27</v>
      </c>
      <c r="NH314" s="0" t="n">
        <v>3</v>
      </c>
      <c r="NO314" s="18"/>
      <c r="OG314" s="0" t="n">
        <v>1</v>
      </c>
      <c r="OH314" s="0" t="n">
        <v>50</v>
      </c>
      <c r="OI314" s="0" t="n">
        <v>2</v>
      </c>
      <c r="OJ314" s="0" t="n">
        <f aca="false">0.76*2</f>
        <v>1.52</v>
      </c>
      <c r="OK314" s="0" t="n">
        <v>1</v>
      </c>
      <c r="PR314" s="16" t="n">
        <v>0.42</v>
      </c>
      <c r="PS314" s="16" t="n">
        <v>1</v>
      </c>
      <c r="PT314" s="16" t="n">
        <v>1</v>
      </c>
      <c r="PU314" s="16"/>
      <c r="PV314" s="16" t="n">
        <f aca="false">0.68+0.68+0.03</f>
        <v>1.39</v>
      </c>
      <c r="PW314" s="16"/>
      <c r="PX314" s="16"/>
      <c r="PY314" s="16"/>
      <c r="PZ314" s="16"/>
      <c r="QA314" s="16"/>
      <c r="QB314" s="16"/>
      <c r="QC314" s="16" t="n">
        <v>5.21</v>
      </c>
      <c r="QD314" s="16" t="n">
        <v>7.05</v>
      </c>
      <c r="QE314" s="16"/>
      <c r="QF314" s="16"/>
      <c r="QG314" s="16" t="n">
        <v>0</v>
      </c>
      <c r="QH314" s="16" t="n">
        <v>0</v>
      </c>
      <c r="QI314" s="16" t="n">
        <v>0</v>
      </c>
      <c r="QJ314" s="0" t="n">
        <v>0</v>
      </c>
      <c r="QK314" s="0" t="s">
        <v>505</v>
      </c>
      <c r="QL314" s="0" t="n">
        <v>59</v>
      </c>
      <c r="QM314" s="16" t="n">
        <v>90.4</v>
      </c>
      <c r="QN314" s="16" t="n">
        <v>80.4</v>
      </c>
      <c r="QO314" s="16" t="n">
        <v>54.7</v>
      </c>
      <c r="QP314" s="0" t="n">
        <v>26.42</v>
      </c>
      <c r="QQ314" s="17" t="n">
        <v>0</v>
      </c>
      <c r="QR314" s="0" t="n">
        <v>0</v>
      </c>
      <c r="QS314" s="0" t="n">
        <v>0</v>
      </c>
      <c r="QT314" s="0" t="n">
        <v>0</v>
      </c>
      <c r="QU314" s="0" t="n">
        <v>0</v>
      </c>
      <c r="QV314" s="0" t="n">
        <v>66.96</v>
      </c>
      <c r="QW314" s="0" t="n">
        <v>6.55</v>
      </c>
      <c r="QX314" s="0" t="n">
        <v>30.83</v>
      </c>
      <c r="QY314" s="0" t="n">
        <v>0</v>
      </c>
      <c r="QZ314" s="0" t="n">
        <v>0</v>
      </c>
      <c r="RA314" s="0" t="n">
        <v>14.46</v>
      </c>
      <c r="RB314" s="0" t="n">
        <v>11.57</v>
      </c>
      <c r="RC314" s="0" t="n">
        <v>6.5</v>
      </c>
      <c r="RD314" s="0" t="n">
        <v>6.03</v>
      </c>
      <c r="RE314" s="0" t="n">
        <v>6.62</v>
      </c>
      <c r="RF314" s="0" t="n">
        <v>0</v>
      </c>
      <c r="RG314" s="0" t="n">
        <v>0</v>
      </c>
      <c r="RT314" s="0" t="n">
        <v>3.2</v>
      </c>
      <c r="RU314" s="0" t="n">
        <v>0</v>
      </c>
      <c r="SF314" s="18"/>
      <c r="SX314" s="0" t="n">
        <v>1</v>
      </c>
      <c r="SY314" s="0" t="n">
        <v>60</v>
      </c>
      <c r="SZ314" s="0" t="n">
        <v>2</v>
      </c>
      <c r="TA314" s="0" t="n">
        <v>1.52</v>
      </c>
      <c r="TB314" s="0" t="n">
        <v>3</v>
      </c>
      <c r="UI314" s="16" t="n">
        <v>0.63</v>
      </c>
      <c r="UJ314" s="16" t="n">
        <v>1</v>
      </c>
      <c r="UK314" s="16" t="n">
        <v>1</v>
      </c>
      <c r="UL314" s="16"/>
      <c r="UM314" s="16" t="n">
        <v>3.17</v>
      </c>
      <c r="UN314" s="16"/>
      <c r="UO314" s="16"/>
      <c r="UP314" s="16"/>
      <c r="UQ314" s="16"/>
      <c r="UR314" s="16"/>
      <c r="US314" s="16"/>
      <c r="UT314" s="16" t="n">
        <v>0</v>
      </c>
      <c r="UU314" s="16" t="n">
        <v>0</v>
      </c>
      <c r="UV314" s="16"/>
      <c r="UW314" s="16"/>
      <c r="UX314" s="16" t="n">
        <v>0</v>
      </c>
      <c r="UY314" s="16" t="n">
        <v>0</v>
      </c>
      <c r="UZ314" s="16" t="n">
        <v>0</v>
      </c>
      <c r="VA314" s="0" t="n">
        <v>0</v>
      </c>
      <c r="VB314" s="0" t="s">
        <v>619</v>
      </c>
      <c r="VC314" s="0" t="n">
        <v>42</v>
      </c>
      <c r="VD314" s="16" t="n">
        <v>97.3</v>
      </c>
      <c r="VE314" s="16" t="n">
        <v>80.4</v>
      </c>
      <c r="VF314" s="16" t="n">
        <v>14.9</v>
      </c>
      <c r="VG314" s="0" t="n">
        <v>88.72</v>
      </c>
      <c r="VH314" s="17" t="n">
        <v>0</v>
      </c>
      <c r="VI314" s="0" t="n">
        <v>0</v>
      </c>
      <c r="VJ314" s="0" t="n">
        <v>0</v>
      </c>
      <c r="VK314" s="0" t="n">
        <v>11.28</v>
      </c>
      <c r="VL314" s="0" t="n">
        <v>0</v>
      </c>
      <c r="VM314" s="0" t="n">
        <v>0</v>
      </c>
      <c r="VN314" s="0" t="n">
        <v>0</v>
      </c>
      <c r="VO314" s="0" t="n">
        <v>0</v>
      </c>
      <c r="VP314" s="0" t="n">
        <v>0</v>
      </c>
      <c r="VQ314" s="0" t="n">
        <v>0</v>
      </c>
      <c r="VR314" s="0" t="n">
        <v>0</v>
      </c>
      <c r="VS314" s="0" t="n">
        <v>1.14</v>
      </c>
      <c r="VT314" s="0" t="n">
        <v>50.12</v>
      </c>
      <c r="VU314" s="0" t="n">
        <v>30.38</v>
      </c>
      <c r="VV314" s="0" t="n">
        <v>0</v>
      </c>
      <c r="VW314" s="0" t="n">
        <v>0</v>
      </c>
      <c r="VX314" s="0" t="n">
        <v>1</v>
      </c>
      <c r="VY314" s="0" t="n">
        <v>2</v>
      </c>
      <c r="WA314" s="0" t="n">
        <v>4</v>
      </c>
      <c r="WE314" s="0" t="n">
        <v>2</v>
      </c>
      <c r="WG314" s="0" t="n">
        <v>4</v>
      </c>
      <c r="WK314" s="0" t="n">
        <v>0</v>
      </c>
      <c r="WL314" s="0" t="n">
        <v>0</v>
      </c>
      <c r="WW314" s="18"/>
      <c r="XO314" s="0" t="n">
        <v>0</v>
      </c>
      <c r="YZ314" s="16" t="n">
        <v>9.53</v>
      </c>
      <c r="ZA314" s="16" t="n">
        <v>1</v>
      </c>
      <c r="ZB314" s="16" t="n">
        <v>1</v>
      </c>
      <c r="ZC314" s="16"/>
      <c r="ZD314" s="16" t="n">
        <f aca="false">3.17+6.34+4.23+0.56+1.12</f>
        <v>15.42</v>
      </c>
      <c r="ZE314" s="16" t="n">
        <v>2</v>
      </c>
      <c r="ZF314" s="16"/>
      <c r="ZG314" s="16" t="n">
        <f aca="false">8.46+1.59+1.59+1.49+0.28+1.49</f>
        <v>14.9</v>
      </c>
      <c r="ZH314" s="16"/>
      <c r="ZI314" s="16"/>
      <c r="ZJ314" s="16"/>
      <c r="ZK314" s="16" t="n">
        <v>14.15</v>
      </c>
      <c r="ZL314" s="16" t="n">
        <v>35.37</v>
      </c>
      <c r="ZM314" s="16"/>
      <c r="ZN314" s="16"/>
      <c r="ZO314" s="16" t="n">
        <v>0</v>
      </c>
      <c r="ZP314" s="16" t="n">
        <v>0</v>
      </c>
      <c r="ZQ314" s="16" t="n">
        <v>0</v>
      </c>
      <c r="ZR314" s="0" t="n">
        <v>0</v>
      </c>
      <c r="ZS314" s="0" t="s">
        <v>887</v>
      </c>
      <c r="ZT314" s="0" t="n">
        <v>19</v>
      </c>
      <c r="ZU314" s="16" t="n">
        <v>85.1</v>
      </c>
      <c r="ZV314" s="16" t="n">
        <v>80.4</v>
      </c>
      <c r="ZW314" s="16" t="n">
        <v>10.3</v>
      </c>
      <c r="ZX314" s="0" t="n">
        <v>100</v>
      </c>
      <c r="ZY314" s="17" t="n">
        <v>0</v>
      </c>
      <c r="ZZ314" s="0" t="n">
        <v>0</v>
      </c>
      <c r="AAA314" s="0" t="n">
        <v>0</v>
      </c>
      <c r="AAB314" s="0" t="n">
        <v>0</v>
      </c>
      <c r="AAC314" s="0" t="n">
        <v>0</v>
      </c>
      <c r="AAD314" s="0" t="n">
        <v>0</v>
      </c>
      <c r="AAE314" s="0" t="n">
        <v>0</v>
      </c>
      <c r="AAF314" s="0" t="n">
        <v>0</v>
      </c>
      <c r="AAG314" s="0" t="n">
        <v>0</v>
      </c>
      <c r="AAH314" s="0" t="n">
        <v>0</v>
      </c>
      <c r="AAI314" s="0" t="n">
        <v>0</v>
      </c>
      <c r="AAJ314" s="0" t="n">
        <v>0</v>
      </c>
      <c r="AAK314" s="0" t="n">
        <v>16.76</v>
      </c>
      <c r="AAL314" s="0" t="n">
        <v>22.28</v>
      </c>
      <c r="AAM314" s="0" t="n">
        <v>0</v>
      </c>
      <c r="AAN314" s="0" t="n">
        <v>0</v>
      </c>
      <c r="AAO314" s="0" t="n">
        <v>0</v>
      </c>
      <c r="ABB314" s="0" t="n">
        <v>0</v>
      </c>
      <c r="ABC314" s="0" t="n">
        <v>0</v>
      </c>
      <c r="ABN314" s="18"/>
      <c r="ACF314" s="0" t="n">
        <v>0</v>
      </c>
      <c r="ADQ314" s="16" t="n">
        <v>0.99</v>
      </c>
      <c r="ADR314" s="16" t="n">
        <v>1</v>
      </c>
      <c r="ADS314" s="16" t="n">
        <v>1</v>
      </c>
      <c r="ADT314" s="16"/>
      <c r="ADU314" s="16" t="n">
        <f aca="false">2.11+0.37+0.27*3</f>
        <v>3.29</v>
      </c>
      <c r="ADV314" s="16"/>
      <c r="ADW314" s="16"/>
      <c r="ADX314" s="16"/>
      <c r="ADY314" s="16"/>
      <c r="ADZ314" s="16"/>
      <c r="AEA314" s="16"/>
      <c r="AEB314" s="16" t="n">
        <v>5.78</v>
      </c>
      <c r="AEC314" s="16" t="n">
        <v>12.6</v>
      </c>
      <c r="AED314" s="16"/>
      <c r="AEE314" s="16"/>
      <c r="AEF314" s="16" t="n">
        <v>0</v>
      </c>
      <c r="AEG314" s="16" t="n">
        <v>0</v>
      </c>
      <c r="AEH314" s="16" t="n">
        <v>0</v>
      </c>
      <c r="AEI314" s="0" t="n">
        <v>0</v>
      </c>
      <c r="AEJ314" s="0" t="s">
        <v>710</v>
      </c>
      <c r="AEK314" s="0" t="n">
        <v>69.5</v>
      </c>
      <c r="AEL314" s="16" t="n">
        <v>70.9</v>
      </c>
      <c r="AEM314" s="16" t="n">
        <v>80.4</v>
      </c>
      <c r="AEN314" s="16" t="n">
        <v>23.6</v>
      </c>
      <c r="AEO314" s="0" t="n">
        <v>19.15</v>
      </c>
      <c r="AEP314" s="17" t="n">
        <v>0</v>
      </c>
      <c r="AEQ314" s="0" t="n">
        <v>0</v>
      </c>
      <c r="AER314" s="0" t="n">
        <v>0</v>
      </c>
      <c r="AES314" s="0" t="n">
        <v>0</v>
      </c>
      <c r="AET314" s="0" t="n">
        <v>0</v>
      </c>
      <c r="AEU314" s="0" t="n">
        <v>71.09</v>
      </c>
      <c r="AEV314" s="0" t="n">
        <v>0</v>
      </c>
      <c r="AEW314" s="0" t="n">
        <v>0</v>
      </c>
      <c r="AEX314" s="0" t="n">
        <v>2.25</v>
      </c>
      <c r="AEY314" s="0" t="n">
        <v>0</v>
      </c>
      <c r="AEZ314" s="0" t="n">
        <v>14.15</v>
      </c>
      <c r="AFA314" s="0" t="n">
        <v>0.83</v>
      </c>
      <c r="AFB314" s="0" t="n">
        <v>20.78</v>
      </c>
      <c r="AFC314" s="0" t="n">
        <v>13.14</v>
      </c>
      <c r="AFD314" s="0" t="n">
        <v>9.76</v>
      </c>
      <c r="AFE314" s="0" t="n">
        <v>0</v>
      </c>
      <c r="AFF314" s="0" t="n">
        <v>0</v>
      </c>
      <c r="AFS314" s="0" t="n">
        <v>24.4</v>
      </c>
      <c r="AFT314" s="0" t="n">
        <v>1</v>
      </c>
      <c r="AFU314" s="0" t="n">
        <v>70</v>
      </c>
      <c r="AFV314" s="0" t="n">
        <v>1</v>
      </c>
      <c r="AFW314" s="0" t="n">
        <v>1.5</v>
      </c>
      <c r="AFX314" s="0" t="n">
        <v>3</v>
      </c>
      <c r="AFY314" s="0" t="n">
        <v>68</v>
      </c>
      <c r="AFZ314" s="0" t="n">
        <v>2.25</v>
      </c>
      <c r="AGA314" s="0" t="n">
        <v>1</v>
      </c>
      <c r="AGB314" s="0" t="n">
        <v>1</v>
      </c>
      <c r="AGC314" s="0" t="n">
        <v>47</v>
      </c>
      <c r="AGD314" s="0" t="n">
        <v>1</v>
      </c>
      <c r="AGE314" s="18" t="n">
        <v>1.5</v>
      </c>
      <c r="AGF314" s="0" t="n">
        <v>3</v>
      </c>
      <c r="AGW314" s="0" t="n">
        <v>0</v>
      </c>
      <c r="AIH314" s="16" t="n">
        <v>1.42</v>
      </c>
      <c r="AII314" s="16" t="n">
        <v>1</v>
      </c>
      <c r="AIJ314" s="16" t="n">
        <v>1</v>
      </c>
      <c r="AIK314" s="16"/>
      <c r="AIL314" s="16" t="n">
        <f aca="false">1.56*2+0.1+0.06+0.08</f>
        <v>3.36</v>
      </c>
      <c r="AIM314" s="16"/>
      <c r="AIN314" s="16"/>
      <c r="AIO314" s="16"/>
      <c r="AIP314" s="16"/>
      <c r="AIQ314" s="16"/>
      <c r="AIR314" s="16"/>
      <c r="AIS314" s="16" t="n">
        <v>7.54</v>
      </c>
      <c r="AIT314" s="16" t="n">
        <v>22.5</v>
      </c>
      <c r="AIU314" s="16"/>
      <c r="AIV314" s="16"/>
      <c r="AIW314" s="16" t="n">
        <v>6.72</v>
      </c>
      <c r="AIX314" s="16" t="n">
        <v>0</v>
      </c>
      <c r="AIY314" s="16" t="n">
        <v>5.54</v>
      </c>
      <c r="AIZ314" s="0" t="n">
        <v>2</v>
      </c>
      <c r="AJA314" s="15"/>
      <c r="AJB314" s="15"/>
      <c r="AJI314" s="15"/>
      <c r="AJJ314" s="15"/>
      <c r="AJQ314" s="15"/>
      <c r="AJR314" s="15"/>
      <c r="AJY314" s="15"/>
      <c r="AJZ314" s="15"/>
      <c r="AKG314" s="15"/>
      <c r="AKH314" s="15"/>
      <c r="AKO314" s="15"/>
      <c r="AKP314" s="15"/>
      <c r="AKW314" s="15"/>
      <c r="AKX314" s="15"/>
      <c r="ALE314" s="15"/>
      <c r="ALF314" s="15"/>
      <c r="ALM314" s="15"/>
      <c r="ALN314" s="15"/>
      <c r="ALU314" s="15"/>
      <c r="ALV314" s="15"/>
      <c r="AMC314" s="15"/>
      <c r="AMD314" s="15"/>
    </row>
    <row r="315" customFormat="false" ht="13.8" hidden="false" customHeight="false" outlineLevel="0" collapsed="false">
      <c r="A315" s="1" t="s">
        <v>892</v>
      </c>
      <c r="B315" s="12" t="n">
        <v>42905</v>
      </c>
      <c r="C315" s="0" t="n">
        <v>1</v>
      </c>
      <c r="D315" s="13" t="n">
        <v>42790</v>
      </c>
      <c r="E315" s="12" t="n">
        <v>35738</v>
      </c>
      <c r="F315" s="14" t="n">
        <f aca="false">(B315-E315)/365.25</f>
        <v>19.6221765913758</v>
      </c>
      <c r="G315" s="14" t="n">
        <f aca="false">(B315-D315)/365.25</f>
        <v>0.314852840520192</v>
      </c>
      <c r="H315" s="19" t="s">
        <v>181</v>
      </c>
      <c r="I315" s="15" t="s">
        <v>496</v>
      </c>
      <c r="J315" s="15" t="s">
        <v>181</v>
      </c>
      <c r="K315" s="15" t="n">
        <v>8</v>
      </c>
      <c r="L315" s="19" t="n">
        <v>45</v>
      </c>
      <c r="M315" s="0" t="n">
        <v>1.56</v>
      </c>
      <c r="N315" s="16" t="n">
        <f aca="false">L315/(M315*M315)</f>
        <v>18.491124260355</v>
      </c>
      <c r="O315" s="19" t="n">
        <v>0</v>
      </c>
      <c r="P315" s="19" t="n">
        <v>0</v>
      </c>
      <c r="Q315" s="19" t="n">
        <v>0</v>
      </c>
      <c r="R315" s="26" t="n">
        <v>0</v>
      </c>
      <c r="S315" s="26" t="n">
        <v>0</v>
      </c>
      <c r="T315" s="26" t="n">
        <v>0</v>
      </c>
      <c r="U315" s="19" t="n">
        <v>0</v>
      </c>
      <c r="V315" s="19" t="n">
        <v>0</v>
      </c>
      <c r="W315" s="19" t="n">
        <v>0</v>
      </c>
      <c r="X315" s="19" t="n">
        <v>0</v>
      </c>
      <c r="Y315" s="19" t="n">
        <v>0</v>
      </c>
      <c r="Z315" s="19" t="n">
        <v>0</v>
      </c>
      <c r="AA315" s="19" t="n">
        <v>0</v>
      </c>
      <c r="AB315" s="19" t="n">
        <v>0</v>
      </c>
      <c r="AC315" s="19" t="n">
        <v>1</v>
      </c>
      <c r="AD315" s="19" t="n">
        <v>6</v>
      </c>
      <c r="AE315" s="19" t="n">
        <v>0</v>
      </c>
      <c r="AF315" s="19" t="n">
        <v>0</v>
      </c>
      <c r="AG315" s="19" t="n">
        <v>0</v>
      </c>
      <c r="AH315" s="19" t="n">
        <v>0</v>
      </c>
      <c r="AI315" s="19" t="n">
        <v>0</v>
      </c>
      <c r="AJ315" s="19" t="n">
        <v>0</v>
      </c>
      <c r="AK315" s="19" t="n">
        <v>0</v>
      </c>
      <c r="AL315" s="19" t="n">
        <v>0</v>
      </c>
      <c r="AM315" s="19" t="n">
        <v>0</v>
      </c>
      <c r="AN315" s="19" t="n">
        <v>0</v>
      </c>
      <c r="AO315" s="19" t="n">
        <v>0</v>
      </c>
      <c r="AP315" s="19" t="n">
        <v>0</v>
      </c>
      <c r="AQ315" s="19" t="n">
        <v>0</v>
      </c>
      <c r="AR315" s="19" t="n">
        <v>0</v>
      </c>
      <c r="AS315" s="19" t="n">
        <v>0</v>
      </c>
      <c r="AT315" s="19" t="n">
        <v>0</v>
      </c>
      <c r="AU315" s="19" t="n">
        <v>0</v>
      </c>
      <c r="AV315" s="19" t="n">
        <v>0</v>
      </c>
      <c r="AW315" s="19" t="n">
        <v>0</v>
      </c>
      <c r="AX315" s="19" t="n">
        <v>0</v>
      </c>
      <c r="AY315" s="19" t="n">
        <v>0</v>
      </c>
      <c r="AZ315" s="19" t="n">
        <v>0</v>
      </c>
      <c r="BA315" s="19" t="n">
        <v>0</v>
      </c>
      <c r="BB315" s="19" t="n">
        <v>0</v>
      </c>
      <c r="BC315" s="19" t="n">
        <v>0</v>
      </c>
      <c r="BD315" s="19" t="n">
        <v>0</v>
      </c>
      <c r="BE315" s="19" t="n">
        <v>0</v>
      </c>
      <c r="BF315" s="19" t="n">
        <v>0</v>
      </c>
      <c r="BG315" s="19" t="n">
        <v>0</v>
      </c>
      <c r="BH315" s="19" t="n">
        <v>0</v>
      </c>
      <c r="BI315" s="19" t="n">
        <v>0</v>
      </c>
      <c r="BJ315" s="19" t="n">
        <v>0</v>
      </c>
      <c r="BK315" s="19" t="n">
        <v>0</v>
      </c>
      <c r="BL315" s="19" t="n">
        <v>0</v>
      </c>
      <c r="BM315" s="19" t="n">
        <v>0</v>
      </c>
      <c r="BN315" s="19" t="n">
        <v>0</v>
      </c>
      <c r="BO315" s="19" t="n">
        <v>0</v>
      </c>
      <c r="BP315" s="19" t="n">
        <v>0</v>
      </c>
      <c r="BQ315" s="19" t="n">
        <v>0</v>
      </c>
      <c r="BR315" s="19" t="n">
        <v>1</v>
      </c>
      <c r="BS315" s="19" t="n">
        <v>1</v>
      </c>
      <c r="BT315" s="19" t="n">
        <v>1</v>
      </c>
      <c r="BU315" s="19" t="n">
        <v>2</v>
      </c>
      <c r="BV315" s="19" t="n">
        <v>1</v>
      </c>
      <c r="BW315" s="19" t="n">
        <v>1</v>
      </c>
      <c r="BX315" s="19" t="n">
        <v>1</v>
      </c>
      <c r="BY315" s="19" t="n">
        <v>2</v>
      </c>
      <c r="BZ315" s="19" t="n">
        <v>4</v>
      </c>
      <c r="CA315" s="19" t="n">
        <v>5</v>
      </c>
      <c r="CB315" s="19" t="n">
        <v>5</v>
      </c>
      <c r="CC315" s="19" t="n">
        <v>5</v>
      </c>
      <c r="CD315" s="19" t="n">
        <v>4</v>
      </c>
      <c r="CE315" s="19" t="n">
        <v>5</v>
      </c>
      <c r="CF315" s="19" t="n">
        <v>5</v>
      </c>
      <c r="CG315" s="19" t="n">
        <v>5</v>
      </c>
      <c r="CH315" s="19" t="n">
        <v>5</v>
      </c>
      <c r="CI315" s="19" t="n">
        <v>5</v>
      </c>
      <c r="CJ315" s="19" t="n">
        <v>5</v>
      </c>
      <c r="CK315" s="19" t="n">
        <v>10</v>
      </c>
      <c r="CL315" s="0" t="s">
        <v>500</v>
      </c>
      <c r="CM315" s="0" t="n">
        <v>48</v>
      </c>
      <c r="CN315" s="16" t="n">
        <v>69.7</v>
      </c>
      <c r="CO315" s="16" t="n">
        <v>80.4</v>
      </c>
      <c r="CP315" s="16" t="n">
        <v>44.5</v>
      </c>
      <c r="CQ315" s="0" t="n">
        <v>13.55</v>
      </c>
      <c r="CR315" s="17" t="n">
        <v>0</v>
      </c>
      <c r="CS315" s="0" t="n">
        <v>0</v>
      </c>
      <c r="CT315" s="0" t="n">
        <v>0</v>
      </c>
      <c r="CU315" s="0" t="n">
        <v>0.1</v>
      </c>
      <c r="CV315" s="0" t="n">
        <v>0</v>
      </c>
      <c r="CW315" s="0" t="n">
        <v>86.34</v>
      </c>
      <c r="CX315" s="0" t="n">
        <v>13.26</v>
      </c>
      <c r="CY315" s="0" t="n">
        <v>28.53</v>
      </c>
      <c r="CZ315" s="0" t="n">
        <v>0</v>
      </c>
      <c r="DA315" s="0" t="n">
        <v>0</v>
      </c>
      <c r="DB315" s="0" t="n">
        <v>0.78</v>
      </c>
      <c r="DC315" s="0" t="n">
        <v>3.48</v>
      </c>
      <c r="DD315" s="0" t="n">
        <v>11.45</v>
      </c>
      <c r="DE315" s="0" t="n">
        <v>6.85</v>
      </c>
      <c r="DF315" s="0" t="n">
        <v>0</v>
      </c>
      <c r="DG315" s="0" t="n">
        <v>0</v>
      </c>
      <c r="DH315" s="0" t="n">
        <v>0</v>
      </c>
      <c r="DU315" s="0" t="n">
        <v>0</v>
      </c>
      <c r="DV315" s="0" t="n">
        <v>0</v>
      </c>
      <c r="EG315" s="18"/>
      <c r="EY315" s="0" t="n">
        <v>0</v>
      </c>
      <c r="GJ315" s="16" t="n">
        <v>0.75</v>
      </c>
      <c r="GK315" s="16" t="n">
        <v>1</v>
      </c>
      <c r="GL315" s="16" t="n">
        <v>1</v>
      </c>
      <c r="GM315" s="16"/>
      <c r="GN315" s="16" t="n">
        <f aca="false">2.11+0.37</f>
        <v>2.48</v>
      </c>
      <c r="GO315" s="16"/>
      <c r="GP315" s="16"/>
      <c r="GQ315" s="16"/>
      <c r="GR315" s="16"/>
      <c r="GS315" s="16"/>
      <c r="GT315" s="16"/>
      <c r="GU315" s="16" t="n">
        <v>2.66</v>
      </c>
      <c r="GV315" s="16" t="n">
        <v>2.64</v>
      </c>
      <c r="GW315" s="16" t="n">
        <v>0</v>
      </c>
      <c r="GX315" s="16" t="n">
        <v>0</v>
      </c>
      <c r="GY315" s="16" t="n">
        <v>0</v>
      </c>
      <c r="GZ315" s="16" t="n">
        <v>0</v>
      </c>
      <c r="HA315" s="16" t="n">
        <v>0</v>
      </c>
      <c r="HB315" s="0" t="n">
        <v>0</v>
      </c>
      <c r="HC315" s="0" t="s">
        <v>499</v>
      </c>
      <c r="HD315" s="0" t="n">
        <v>40</v>
      </c>
      <c r="HE315" s="16" t="n">
        <v>79.7</v>
      </c>
      <c r="HF315" s="16" t="n">
        <v>80.4</v>
      </c>
      <c r="HG315" s="16" t="n">
        <v>11.2</v>
      </c>
      <c r="HH315" s="0" t="n">
        <v>91.23</v>
      </c>
      <c r="HI315" s="17" t="n">
        <v>0</v>
      </c>
      <c r="HJ315" s="0" t="n">
        <v>0</v>
      </c>
      <c r="HK315" s="0" t="n">
        <v>0</v>
      </c>
      <c r="HL315" s="0" t="n">
        <v>8.77</v>
      </c>
      <c r="HM315" s="0" t="n">
        <v>0</v>
      </c>
      <c r="HN315" s="0" t="n">
        <v>0</v>
      </c>
      <c r="HO315" s="0" t="n">
        <v>0</v>
      </c>
      <c r="HP315" s="0" t="n">
        <v>0</v>
      </c>
      <c r="HQ315" s="0" t="n">
        <v>0</v>
      </c>
      <c r="HR315" s="0" t="n">
        <v>0</v>
      </c>
      <c r="HS315" s="0" t="n">
        <v>0</v>
      </c>
      <c r="HT315" s="0" t="n">
        <v>18.64</v>
      </c>
      <c r="HU315" s="0" t="n">
        <v>42.82</v>
      </c>
      <c r="HV315" s="0" t="n">
        <v>4.61</v>
      </c>
      <c r="HW315" s="0" t="n">
        <v>0</v>
      </c>
      <c r="HX315" s="0" t="n">
        <v>0</v>
      </c>
      <c r="HY315" s="0" t="n">
        <v>0</v>
      </c>
      <c r="IL315" s="0" t="n">
        <v>23.2</v>
      </c>
      <c r="IM315" s="0" t="n">
        <v>1</v>
      </c>
      <c r="IN315" s="0" t="n">
        <v>35</v>
      </c>
      <c r="IO315" s="0" t="n">
        <f aca="false">2+4+2+2+2+4+2+2+1</f>
        <v>21</v>
      </c>
      <c r="IP315" s="0" t="n">
        <f aca="false">1.52+1.49+0.78*2+0.27+0.43+0.12+0.13</f>
        <v>5.52</v>
      </c>
      <c r="IQ315" s="0" t="n">
        <v>3</v>
      </c>
      <c r="IR315" s="0" t="n">
        <v>10</v>
      </c>
      <c r="IS315" s="0" t="n">
        <v>1</v>
      </c>
      <c r="IT315" s="0" t="n">
        <v>0.1</v>
      </c>
      <c r="IU315" s="0" t="n">
        <v>5</v>
      </c>
      <c r="IV315" s="0" t="n">
        <v>25</v>
      </c>
      <c r="IW315" s="0" t="n">
        <v>8</v>
      </c>
      <c r="IX315" s="18" t="n">
        <f aca="false">0.19*2+0.1</f>
        <v>0.48</v>
      </c>
      <c r="IY315" s="0" t="n">
        <v>1</v>
      </c>
      <c r="JP315" s="0" t="n">
        <v>0</v>
      </c>
      <c r="LA315" s="16" t="n">
        <v>1.52</v>
      </c>
      <c r="LB315" s="16" t="n">
        <v>1</v>
      </c>
      <c r="LC315" s="16" t="n">
        <v>1</v>
      </c>
      <c r="LD315" s="16"/>
      <c r="LE315" s="16" t="n">
        <f aca="false">2.11*2+0.19*3+0.1</f>
        <v>4.89</v>
      </c>
      <c r="LF315" s="16"/>
      <c r="LG315" s="16"/>
      <c r="LH315" s="16"/>
      <c r="LI315" s="16"/>
      <c r="LJ315" s="16"/>
      <c r="LK315" s="16"/>
      <c r="LL315" s="16" t="n">
        <v>0</v>
      </c>
      <c r="LM315" s="16" t="n">
        <v>0</v>
      </c>
      <c r="LN315" s="16" t="n">
        <v>0</v>
      </c>
      <c r="LO315" s="16" t="n">
        <v>0</v>
      </c>
      <c r="LP315" s="16" t="n">
        <v>0</v>
      </c>
      <c r="LQ315" s="16" t="n">
        <v>0</v>
      </c>
      <c r="LR315" s="16" t="n">
        <v>0.06</v>
      </c>
      <c r="LS315" s="0" t="n">
        <v>0</v>
      </c>
      <c r="LT315" s="0" t="s">
        <v>500</v>
      </c>
      <c r="LU315" s="0" t="n">
        <v>48</v>
      </c>
      <c r="LV315" s="16" t="n">
        <v>69.7</v>
      </c>
      <c r="LW315" s="16" t="n">
        <v>80.4</v>
      </c>
      <c r="LX315" s="16" t="n">
        <v>44.5</v>
      </c>
      <c r="LY315" s="0" t="n">
        <v>13.55</v>
      </c>
      <c r="LZ315" s="17" t="n">
        <v>0</v>
      </c>
      <c r="MA315" s="0" t="n">
        <v>0</v>
      </c>
      <c r="MB315" s="0" t="n">
        <v>0</v>
      </c>
      <c r="MC315" s="0" t="n">
        <v>0.1</v>
      </c>
      <c r="MD315" s="0" t="n">
        <v>0</v>
      </c>
      <c r="ME315" s="0" t="n">
        <v>86.34</v>
      </c>
      <c r="MF315" s="0" t="n">
        <v>13.26</v>
      </c>
      <c r="MG315" s="0" t="n">
        <v>28.53</v>
      </c>
      <c r="MH315" s="0" t="n">
        <v>0</v>
      </c>
      <c r="MI315" s="0" t="n">
        <v>0</v>
      </c>
      <c r="MJ315" s="0" t="n">
        <v>0.78</v>
      </c>
      <c r="MK315" s="0" t="n">
        <v>3.48</v>
      </c>
      <c r="ML315" s="0" t="n">
        <v>11.45</v>
      </c>
      <c r="MM315" s="0" t="n">
        <v>6.85</v>
      </c>
      <c r="MN315" s="0" t="n">
        <v>0</v>
      </c>
      <c r="MO315" s="0" t="n">
        <v>0</v>
      </c>
      <c r="MP315" s="0" t="n">
        <v>0</v>
      </c>
      <c r="NC315" s="0" t="n">
        <v>0</v>
      </c>
      <c r="ND315" s="0" t="n">
        <v>0</v>
      </c>
      <c r="NO315" s="18"/>
      <c r="OG315" s="0" t="n">
        <v>0</v>
      </c>
      <c r="PR315" s="16" t="n">
        <v>0.75</v>
      </c>
      <c r="PS315" s="16" t="n">
        <v>1</v>
      </c>
      <c r="PT315" s="16" t="n">
        <v>1</v>
      </c>
      <c r="PU315" s="16"/>
      <c r="PV315" s="16" t="n">
        <f aca="false">2.11+0.37</f>
        <v>2.48</v>
      </c>
      <c r="PW315" s="16"/>
      <c r="PX315" s="16"/>
      <c r="PY315" s="16"/>
      <c r="PZ315" s="16"/>
      <c r="QA315" s="16"/>
      <c r="QB315" s="16"/>
      <c r="QC315" s="16" t="n">
        <v>2.66</v>
      </c>
      <c r="QD315" s="16" t="n">
        <v>2.64</v>
      </c>
      <c r="QE315" s="16" t="n">
        <v>0</v>
      </c>
      <c r="QF315" s="16" t="n">
        <v>0</v>
      </c>
      <c r="QG315" s="16" t="n">
        <v>0</v>
      </c>
      <c r="QH315" s="16" t="n">
        <v>0</v>
      </c>
      <c r="QI315" s="16" t="n">
        <v>0</v>
      </c>
      <c r="QJ315" s="0" t="n">
        <v>0</v>
      </c>
      <c r="QK315" s="0" t="s">
        <v>498</v>
      </c>
      <c r="QL315" s="0" t="n">
        <v>33</v>
      </c>
      <c r="QM315" s="16" t="n">
        <v>71.2</v>
      </c>
      <c r="QN315" s="16" t="n">
        <v>80.4</v>
      </c>
      <c r="QO315" s="16" t="n">
        <v>16.3</v>
      </c>
      <c r="QP315" s="0" t="n">
        <v>83.24</v>
      </c>
      <c r="QQ315" s="17" t="n">
        <v>0</v>
      </c>
      <c r="QR315" s="0" t="n">
        <v>0</v>
      </c>
      <c r="QS315" s="0" t="n">
        <v>0</v>
      </c>
      <c r="QT315" s="0" t="n">
        <v>14.14</v>
      </c>
      <c r="QU315" s="0" t="n">
        <v>0</v>
      </c>
      <c r="QV315" s="0" t="n">
        <v>2.63</v>
      </c>
      <c r="QW315" s="0" t="n">
        <v>0</v>
      </c>
      <c r="QX315" s="0" t="n">
        <v>0</v>
      </c>
      <c r="QY315" s="0" t="n">
        <v>0</v>
      </c>
      <c r="QZ315" s="0" t="n">
        <v>0</v>
      </c>
      <c r="RA315" s="0" t="n">
        <v>2.63</v>
      </c>
      <c r="RB315" s="0" t="n">
        <v>10.16</v>
      </c>
      <c r="RC315" s="0" t="n">
        <v>20.83</v>
      </c>
      <c r="RD315" s="0" t="n">
        <v>24.81</v>
      </c>
      <c r="RE315" s="0" t="n">
        <v>0</v>
      </c>
      <c r="RF315" s="0" t="n">
        <v>11.2</v>
      </c>
      <c r="RG315" s="0" t="n">
        <v>1</v>
      </c>
      <c r="RH315" s="0" t="n">
        <v>5</v>
      </c>
      <c r="RJ315" s="0" t="n">
        <v>1</v>
      </c>
      <c r="RN315" s="0" t="n">
        <v>5</v>
      </c>
      <c r="RP315" s="0" t="n">
        <v>1</v>
      </c>
      <c r="RT315" s="0" t="n">
        <v>0</v>
      </c>
      <c r="RU315" s="0" t="n">
        <v>0</v>
      </c>
      <c r="SF315" s="18"/>
      <c r="SX315" s="0" t="n">
        <v>0</v>
      </c>
      <c r="UI315" s="16" t="n">
        <v>2.71</v>
      </c>
      <c r="UJ315" s="16" t="n">
        <v>1</v>
      </c>
      <c r="UK315" s="16" t="n">
        <v>1</v>
      </c>
      <c r="UL315" s="16"/>
      <c r="UM315" s="16" t="n">
        <f aca="false">2.11*4+0.52*2</f>
        <v>9.48</v>
      </c>
      <c r="UN315" s="16"/>
      <c r="UO315" s="16"/>
      <c r="UP315" s="16"/>
      <c r="UQ315" s="16"/>
      <c r="UR315" s="16"/>
      <c r="US315" s="16"/>
      <c r="UT315" s="16" t="n">
        <v>2.63</v>
      </c>
      <c r="UU315" s="16" t="n">
        <v>2.6</v>
      </c>
      <c r="UV315" s="16" t="n">
        <v>0</v>
      </c>
      <c r="UW315" s="16" t="n">
        <v>0</v>
      </c>
      <c r="UX315" s="16" t="n">
        <v>0</v>
      </c>
      <c r="UY315" s="16" t="n">
        <v>0</v>
      </c>
      <c r="UZ315" s="16" t="n">
        <v>0</v>
      </c>
      <c r="VA315" s="0" t="n">
        <v>0</v>
      </c>
      <c r="VB315" s="0" t="s">
        <v>502</v>
      </c>
      <c r="VC315" s="0" t="n">
        <v>34.5</v>
      </c>
      <c r="VD315" s="16" t="n">
        <v>53.2</v>
      </c>
      <c r="VE315" s="16" t="n">
        <v>80.4</v>
      </c>
      <c r="VF315" s="16" t="n">
        <v>8.3</v>
      </c>
      <c r="VG315" s="0" t="n">
        <v>99.94</v>
      </c>
      <c r="VH315" s="17" t="n">
        <v>0</v>
      </c>
      <c r="VI315" s="0" t="n">
        <v>0</v>
      </c>
      <c r="VJ315" s="0" t="n">
        <v>0</v>
      </c>
      <c r="VK315" s="0" t="n">
        <v>0</v>
      </c>
      <c r="VL315" s="0" t="n">
        <v>0</v>
      </c>
      <c r="VM315" s="0" t="n">
        <v>0</v>
      </c>
      <c r="VN315" s="0" t="n">
        <v>0</v>
      </c>
      <c r="VO315" s="0" t="n">
        <v>0</v>
      </c>
      <c r="VP315" s="0" t="n">
        <v>0</v>
      </c>
      <c r="VQ315" s="0" t="n">
        <v>0</v>
      </c>
      <c r="VR315" s="0" t="n">
        <v>0</v>
      </c>
      <c r="VS315" s="0" t="n">
        <v>9.15</v>
      </c>
      <c r="VT315" s="0" t="n">
        <v>18.41</v>
      </c>
      <c r="VU315" s="0" t="n">
        <v>11.73</v>
      </c>
      <c r="VV315" s="0" t="n">
        <v>0</v>
      </c>
      <c r="VW315" s="0" t="n">
        <v>0</v>
      </c>
      <c r="VX315" s="0" t="n">
        <v>0</v>
      </c>
      <c r="WK315" s="0" t="n">
        <v>11.9</v>
      </c>
      <c r="WL315" s="0" t="n">
        <v>1</v>
      </c>
      <c r="WM315" s="0" t="n">
        <v>47</v>
      </c>
      <c r="WN315" s="0" t="n">
        <v>3</v>
      </c>
      <c r="WO315" s="0" t="n">
        <v>1.52</v>
      </c>
      <c r="WP315" s="0" t="n">
        <v>2</v>
      </c>
      <c r="WW315" s="18"/>
      <c r="XO315" s="0" t="n">
        <v>0</v>
      </c>
      <c r="YZ315" s="16" t="n">
        <v>5.7</v>
      </c>
      <c r="ZA315" s="16" t="n">
        <v>1</v>
      </c>
      <c r="ZB315" s="16" t="n">
        <v>1</v>
      </c>
      <c r="ZC315" s="16"/>
      <c r="ZD315" s="16" t="n">
        <f aca="false">2.11+2.11+0.05+0.05+0.37</f>
        <v>4.69</v>
      </c>
      <c r="ZE315" s="16" t="n">
        <v>2</v>
      </c>
      <c r="ZF315" s="16"/>
      <c r="ZG315" s="16" t="n">
        <f aca="false">3.17+3.17+0.56+0.56+0.33</f>
        <v>7.79</v>
      </c>
      <c r="ZH315" s="16"/>
      <c r="ZI315" s="16"/>
      <c r="ZJ315" s="16"/>
      <c r="ZK315" s="16" t="n">
        <v>0</v>
      </c>
      <c r="ZL315" s="16" t="n">
        <v>0</v>
      </c>
      <c r="ZM315" s="16"/>
      <c r="ZN315" s="16"/>
      <c r="ZO315" s="16" t="n">
        <v>5.97</v>
      </c>
      <c r="ZP315" s="16" t="n">
        <v>0</v>
      </c>
      <c r="ZQ315" s="16" t="n">
        <v>0</v>
      </c>
      <c r="ZR315" s="0" t="n">
        <v>1</v>
      </c>
      <c r="ZT315" s="34"/>
      <c r="ZU315" s="15"/>
      <c r="ZV315" s="15"/>
      <c r="ZX315" s="34"/>
      <c r="ZY315" s="34"/>
      <c r="AAB315" s="34"/>
      <c r="AAC315" s="15"/>
      <c r="AAD315" s="15"/>
      <c r="AAF315" s="34"/>
      <c r="AAG315" s="34"/>
      <c r="AAJ315" s="34"/>
      <c r="AAK315" s="15"/>
      <c r="AAL315" s="15"/>
      <c r="AAN315" s="34"/>
      <c r="AAO315" s="34"/>
      <c r="AAR315" s="34"/>
      <c r="AAS315" s="15"/>
      <c r="AAT315" s="15"/>
      <c r="AAV315" s="34"/>
      <c r="AAW315" s="34"/>
      <c r="AAZ315" s="34"/>
      <c r="ABA315" s="15"/>
      <c r="ABB315" s="15"/>
      <c r="ABD315" s="34"/>
      <c r="ABE315" s="34"/>
      <c r="ABH315" s="34"/>
      <c r="ABI315" s="15"/>
      <c r="ABJ315" s="15"/>
      <c r="ABL315" s="34"/>
      <c r="ABM315" s="34"/>
      <c r="ABP315" s="34"/>
      <c r="ABQ315" s="15"/>
      <c r="ABR315" s="15"/>
      <c r="ABT315" s="34"/>
      <c r="ABU315" s="34"/>
      <c r="ABX315" s="34"/>
      <c r="ABY315" s="15"/>
      <c r="ABZ315" s="15"/>
      <c r="ACB315" s="34"/>
      <c r="ACC315" s="34"/>
      <c r="ACF315" s="34"/>
      <c r="ACG315" s="15"/>
      <c r="ACH315" s="15"/>
      <c r="ACJ315" s="34"/>
      <c r="ACK315" s="34"/>
      <c r="ACN315" s="34"/>
      <c r="ACO315" s="15"/>
      <c r="ACP315" s="15"/>
      <c r="ACR315" s="34"/>
      <c r="ACS315" s="34"/>
      <c r="ACV315" s="34"/>
      <c r="ACW315" s="15"/>
      <c r="ACX315" s="15"/>
      <c r="ACZ315" s="34"/>
      <c r="ADA315" s="34"/>
      <c r="ADD315" s="34"/>
      <c r="ADE315" s="15"/>
      <c r="ADF315" s="15"/>
      <c r="ADH315" s="34"/>
      <c r="ADI315" s="34"/>
      <c r="ADL315" s="34"/>
      <c r="ADM315" s="15"/>
      <c r="ADN315" s="15"/>
      <c r="ADP315" s="34"/>
      <c r="ADQ315" s="34"/>
      <c r="ADT315" s="34"/>
      <c r="ADU315" s="15"/>
      <c r="ADV315" s="15"/>
      <c r="ADX315" s="34"/>
      <c r="ADY315" s="34"/>
      <c r="AEB315" s="34"/>
      <c r="AEC315" s="15"/>
      <c r="AED315" s="15"/>
      <c r="AEF315" s="34"/>
      <c r="AEG315" s="34"/>
      <c r="AEJ315" s="34"/>
      <c r="AEK315" s="15"/>
      <c r="AEL315" s="15"/>
      <c r="AEN315" s="34"/>
      <c r="AEO315" s="34"/>
      <c r="AER315" s="34"/>
      <c r="AES315" s="15"/>
      <c r="AET315" s="15"/>
      <c r="AEV315" s="34"/>
      <c r="AEW315" s="34"/>
      <c r="AEZ315" s="34"/>
      <c r="AFA315" s="15"/>
      <c r="AFB315" s="15"/>
      <c r="AFD315" s="34"/>
      <c r="AFE315" s="34"/>
      <c r="AFH315" s="34"/>
      <c r="AFI315" s="15"/>
      <c r="AFJ315" s="15"/>
      <c r="AFL315" s="34"/>
      <c r="AFM315" s="34"/>
      <c r="AFP315" s="34"/>
      <c r="AFQ315" s="15"/>
      <c r="AFR315" s="15"/>
      <c r="AFT315" s="34"/>
      <c r="AFU315" s="34"/>
      <c r="AFX315" s="34"/>
      <c r="AFY315" s="15"/>
      <c r="AFZ315" s="15"/>
      <c r="AGB315" s="34"/>
      <c r="AGC315" s="34"/>
      <c r="AGF315" s="34"/>
      <c r="AGG315" s="15"/>
      <c r="AGH315" s="15"/>
      <c r="AGJ315" s="34"/>
      <c r="AGK315" s="34"/>
      <c r="AGN315" s="34"/>
      <c r="AGO315" s="15"/>
      <c r="AGP315" s="15"/>
      <c r="AGR315" s="34"/>
      <c r="AGS315" s="34"/>
      <c r="AGV315" s="34"/>
      <c r="AGW315" s="15"/>
      <c r="AGX315" s="15"/>
      <c r="AGZ315" s="34"/>
      <c r="AHA315" s="34"/>
      <c r="AHD315" s="34"/>
      <c r="AHE315" s="15"/>
      <c r="AHF315" s="15"/>
      <c r="AHH315" s="34"/>
      <c r="AHI315" s="34"/>
      <c r="AHL315" s="34"/>
      <c r="AHM315" s="15"/>
      <c r="AHN315" s="15"/>
      <c r="AHP315" s="34"/>
      <c r="AHQ315" s="34"/>
      <c r="AHT315" s="34"/>
      <c r="AHU315" s="15"/>
      <c r="AHV315" s="15"/>
      <c r="AHX315" s="34"/>
      <c r="AHY315" s="34"/>
      <c r="AIB315" s="34"/>
      <c r="AIC315" s="15"/>
      <c r="AID315" s="15"/>
      <c r="AIF315" s="34"/>
      <c r="AIG315" s="34"/>
      <c r="AIJ315" s="34"/>
      <c r="AIK315" s="15"/>
      <c r="AIL315" s="15"/>
      <c r="AIN315" s="34"/>
      <c r="AIO315" s="34"/>
      <c r="AIR315" s="34"/>
      <c r="AIS315" s="15"/>
      <c r="AIT315" s="15"/>
      <c r="AIV315" s="34"/>
      <c r="AIW315" s="34"/>
      <c r="AIZ315" s="34"/>
      <c r="AJA315" s="15"/>
      <c r="AJB315" s="15"/>
      <c r="AJD315" s="34"/>
      <c r="AJE315" s="34"/>
      <c r="AJH315" s="34"/>
      <c r="AJI315" s="15"/>
      <c r="AJJ315" s="15"/>
      <c r="AJL315" s="34"/>
      <c r="AJM315" s="34"/>
      <c r="AJP315" s="34"/>
      <c r="AJQ315" s="15"/>
      <c r="AJR315" s="15"/>
      <c r="AJT315" s="34"/>
      <c r="AJU315" s="34"/>
      <c r="AJX315" s="34"/>
      <c r="AJY315" s="15"/>
      <c r="AJZ315" s="15"/>
      <c r="AKB315" s="34"/>
      <c r="AKC315" s="34"/>
      <c r="AKF315" s="34"/>
      <c r="AKG315" s="15"/>
      <c r="AKH315" s="15"/>
      <c r="AKJ315" s="34"/>
      <c r="AKK315" s="34"/>
      <c r="AKN315" s="34"/>
      <c r="AKO315" s="15"/>
      <c r="AKP315" s="15"/>
      <c r="AKR315" s="34"/>
      <c r="AKS315" s="34"/>
      <c r="AKV315" s="34"/>
      <c r="AKW315" s="15"/>
      <c r="AKX315" s="15"/>
      <c r="AKZ315" s="34"/>
      <c r="ALA315" s="34"/>
      <c r="ALD315" s="34"/>
      <c r="ALE315" s="15"/>
      <c r="ALF315" s="15"/>
      <c r="ALH315" s="34"/>
      <c r="ALI315" s="34"/>
      <c r="ALL315" s="34"/>
      <c r="ALM315" s="15"/>
      <c r="ALN315" s="15"/>
      <c r="ALP315" s="34"/>
      <c r="ALQ315" s="34"/>
      <c r="ALT315" s="34"/>
      <c r="ALU315" s="15"/>
      <c r="ALV315" s="15"/>
      <c r="ALX315" s="34"/>
      <c r="ALY315" s="34"/>
      <c r="AMB315" s="34"/>
      <c r="AMC315" s="15"/>
      <c r="AMD315" s="15"/>
      <c r="AMF315" s="34"/>
      <c r="AMG315" s="34"/>
      <c r="AMJ315" s="34"/>
    </row>
    <row r="316" customFormat="false" ht="14.4" hidden="false" customHeight="false" outlineLevel="0" collapsed="false">
      <c r="A316" s="1" t="s">
        <v>893</v>
      </c>
      <c r="B316" s="12" t="n">
        <v>42905</v>
      </c>
      <c r="C316" s="0" t="n">
        <v>2</v>
      </c>
      <c r="D316" s="13" t="n">
        <v>42811</v>
      </c>
      <c r="E316" s="12" t="n">
        <v>34255</v>
      </c>
      <c r="F316" s="14" t="n">
        <f aca="false">(B316-E316)/365.25</f>
        <v>23.6824093086927</v>
      </c>
      <c r="G316" s="14" t="n">
        <f aca="false">(B316-D316)/365.25</f>
        <v>0.257357973990418</v>
      </c>
      <c r="H316" s="19" t="s">
        <v>181</v>
      </c>
      <c r="I316" s="15" t="s">
        <v>496</v>
      </c>
      <c r="J316" s="15" t="s">
        <v>181</v>
      </c>
      <c r="K316" s="15" t="n">
        <v>8</v>
      </c>
      <c r="L316" s="19" t="n">
        <v>70</v>
      </c>
      <c r="M316" s="0" t="n">
        <v>1.83</v>
      </c>
      <c r="N316" s="16" t="n">
        <f aca="false">L316/(M316*M316)</f>
        <v>20.9023858580429</v>
      </c>
      <c r="O316" s="19" t="n">
        <v>0</v>
      </c>
      <c r="P316" s="19" t="n">
        <v>0</v>
      </c>
      <c r="Q316" s="19" t="n">
        <v>0</v>
      </c>
      <c r="R316" s="26" t="n">
        <v>0</v>
      </c>
      <c r="S316" s="26" t="n">
        <v>0</v>
      </c>
      <c r="T316" s="26" t="n">
        <v>0</v>
      </c>
      <c r="U316" s="19" t="n">
        <v>0</v>
      </c>
      <c r="V316" s="19" t="n">
        <v>0</v>
      </c>
      <c r="W316" s="19" t="n">
        <v>0</v>
      </c>
      <c r="X316" s="19" t="n">
        <v>0</v>
      </c>
      <c r="Y316" s="19" t="n">
        <v>1</v>
      </c>
      <c r="Z316" s="19" t="n">
        <v>2</v>
      </c>
      <c r="AA316" s="19" t="n">
        <v>90</v>
      </c>
      <c r="AB316" s="19" t="s">
        <v>284</v>
      </c>
      <c r="AC316" s="19" t="n">
        <v>1</v>
      </c>
      <c r="AD316" s="19" t="n">
        <v>10</v>
      </c>
      <c r="AE316" s="19" t="n">
        <v>0</v>
      </c>
      <c r="AF316" s="19" t="n">
        <v>0</v>
      </c>
      <c r="AG316" s="19" t="n">
        <v>0</v>
      </c>
      <c r="AH316" s="19" t="n">
        <v>0</v>
      </c>
      <c r="AI316" s="19" t="n">
        <v>0</v>
      </c>
      <c r="AJ316" s="19" t="n">
        <v>0</v>
      </c>
      <c r="AK316" s="19" t="n">
        <v>0</v>
      </c>
      <c r="AL316" s="19" t="n">
        <v>0</v>
      </c>
      <c r="AM316" s="19" t="n">
        <v>0</v>
      </c>
      <c r="AN316" s="19" t="n">
        <v>0</v>
      </c>
      <c r="AO316" s="19" t="n">
        <v>0</v>
      </c>
      <c r="AP316" s="19" t="n">
        <v>0</v>
      </c>
      <c r="AQ316" s="19" t="n">
        <v>0</v>
      </c>
      <c r="AR316" s="19" t="n">
        <v>0</v>
      </c>
      <c r="AS316" s="19" t="n">
        <v>0</v>
      </c>
      <c r="AT316" s="19" t="n">
        <v>0</v>
      </c>
      <c r="AU316" s="19" t="n">
        <v>0</v>
      </c>
      <c r="AV316" s="19" t="n">
        <v>0</v>
      </c>
      <c r="AW316" s="19" t="n">
        <v>0</v>
      </c>
      <c r="AX316" s="19" t="n">
        <v>0</v>
      </c>
      <c r="AY316" s="19" t="n">
        <v>0</v>
      </c>
      <c r="AZ316" s="19" t="n">
        <v>0</v>
      </c>
      <c r="BA316" s="19" t="n">
        <v>0</v>
      </c>
      <c r="BB316" s="19" t="n">
        <v>1</v>
      </c>
      <c r="BC316" s="19" t="n">
        <v>0</v>
      </c>
      <c r="BD316" s="19" t="n">
        <v>0</v>
      </c>
      <c r="BE316" s="19" t="n">
        <v>0</v>
      </c>
      <c r="BF316" s="19" t="n">
        <v>0</v>
      </c>
      <c r="BG316" s="19" t="n">
        <v>0</v>
      </c>
      <c r="BH316" s="19" t="n">
        <v>0</v>
      </c>
      <c r="BI316" s="19" t="n">
        <v>0</v>
      </c>
      <c r="BJ316" s="19" t="n">
        <v>0</v>
      </c>
      <c r="BK316" s="19" t="n">
        <v>0</v>
      </c>
      <c r="BL316" s="19" t="n">
        <v>0</v>
      </c>
      <c r="BM316" s="19" t="n">
        <v>0</v>
      </c>
      <c r="BN316" s="19" t="n">
        <v>0</v>
      </c>
      <c r="BO316" s="19" t="n">
        <v>0</v>
      </c>
      <c r="BP316" s="19" t="n">
        <v>0</v>
      </c>
      <c r="BQ316" s="19" t="n">
        <v>0</v>
      </c>
      <c r="BR316" s="19" t="n">
        <v>1</v>
      </c>
      <c r="BS316" s="19" t="n">
        <v>2</v>
      </c>
      <c r="BT316" s="19" t="n">
        <v>2</v>
      </c>
      <c r="BU316" s="19" t="n">
        <v>4</v>
      </c>
      <c r="BV316" s="19" t="n">
        <v>2</v>
      </c>
      <c r="BW316" s="19" t="n">
        <v>2</v>
      </c>
      <c r="BX316" s="19" t="n">
        <v>3</v>
      </c>
      <c r="BY316" s="19" t="n">
        <v>4</v>
      </c>
      <c r="BZ316" s="19" t="n">
        <v>5</v>
      </c>
      <c r="CA316" s="19" t="n">
        <v>4</v>
      </c>
      <c r="CB316" s="19" t="n">
        <v>4</v>
      </c>
      <c r="CC316" s="19" t="n">
        <v>4</v>
      </c>
      <c r="CD316" s="19" t="n">
        <v>3</v>
      </c>
      <c r="CE316" s="19" t="n">
        <v>4</v>
      </c>
      <c r="CF316" s="19" t="n">
        <v>5</v>
      </c>
      <c r="CG316" s="19" t="n">
        <v>5</v>
      </c>
      <c r="CH316" s="19" t="n">
        <v>5</v>
      </c>
      <c r="CI316" s="19" t="n">
        <v>5</v>
      </c>
      <c r="CJ316" s="19" t="n">
        <v>4</v>
      </c>
      <c r="CK316" s="19" t="n">
        <v>8</v>
      </c>
      <c r="CL316" s="0" t="s">
        <v>499</v>
      </c>
      <c r="CM316" s="0" t="n">
        <v>40</v>
      </c>
      <c r="CN316" s="16" t="n">
        <v>79.7</v>
      </c>
      <c r="CO316" s="16" t="n">
        <v>80.4</v>
      </c>
      <c r="CP316" s="16" t="n">
        <v>11.2</v>
      </c>
      <c r="CQ316" s="0" t="n">
        <v>91.23</v>
      </c>
      <c r="CR316" s="17" t="n">
        <v>0</v>
      </c>
      <c r="CS316" s="0" t="n">
        <v>0</v>
      </c>
      <c r="CT316" s="0" t="n">
        <v>0</v>
      </c>
      <c r="CU316" s="0" t="n">
        <v>8.77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18.64</v>
      </c>
      <c r="DD316" s="0" t="n">
        <v>42.82</v>
      </c>
      <c r="DE316" s="0" t="n">
        <v>4.61</v>
      </c>
      <c r="DF316" s="0" t="n">
        <v>0</v>
      </c>
      <c r="DG316" s="0" t="n">
        <v>0</v>
      </c>
      <c r="DH316" s="0" t="n">
        <v>0</v>
      </c>
      <c r="DU316" s="0" t="n">
        <v>23.2</v>
      </c>
      <c r="DV316" s="0" t="n">
        <v>1</v>
      </c>
      <c r="DW316" s="0" t="n">
        <v>35</v>
      </c>
      <c r="DX316" s="0" t="n">
        <f aca="false">2+4+2+2+2+4+2+2+1</f>
        <v>21</v>
      </c>
      <c r="DY316" s="0" t="n">
        <f aca="false">1.52+1.49+0.78*2+0.27+0.43+0.12+0.13</f>
        <v>5.52</v>
      </c>
      <c r="DZ316" s="0" t="n">
        <v>3</v>
      </c>
      <c r="EA316" s="0" t="n">
        <v>10</v>
      </c>
      <c r="EB316" s="0" t="n">
        <v>1</v>
      </c>
      <c r="EC316" s="0" t="n">
        <v>0.1</v>
      </c>
      <c r="ED316" s="0" t="n">
        <v>5</v>
      </c>
      <c r="EE316" s="0" t="n">
        <v>25</v>
      </c>
      <c r="EF316" s="0" t="n">
        <v>8</v>
      </c>
      <c r="EG316" s="18" t="n">
        <f aca="false">0.19*2+0.1</f>
        <v>0.48</v>
      </c>
      <c r="EH316" s="0" t="n">
        <v>1</v>
      </c>
      <c r="EY316" s="0" t="n">
        <v>0</v>
      </c>
      <c r="GJ316" s="16" t="n">
        <v>1.52</v>
      </c>
      <c r="GK316" s="16" t="n">
        <v>1</v>
      </c>
      <c r="GL316" s="16" t="n">
        <v>1</v>
      </c>
      <c r="GM316" s="16"/>
      <c r="GN316" s="16" t="n">
        <f aca="false">2.11*2+0.19*3+0.1</f>
        <v>4.89</v>
      </c>
      <c r="GO316" s="16"/>
      <c r="GP316" s="16"/>
      <c r="GQ316" s="16"/>
      <c r="GR316" s="16"/>
      <c r="GS316" s="16"/>
      <c r="GT316" s="16"/>
      <c r="GU316" s="16" t="n">
        <v>0</v>
      </c>
      <c r="GV316" s="16" t="n">
        <v>0</v>
      </c>
      <c r="GW316" s="16" t="n">
        <v>0</v>
      </c>
      <c r="GX316" s="16" t="n">
        <v>0</v>
      </c>
      <c r="GY316" s="16" t="n">
        <v>0</v>
      </c>
      <c r="GZ316" s="16" t="n">
        <v>0</v>
      </c>
      <c r="HA316" s="16" t="n">
        <v>0.06</v>
      </c>
      <c r="HB316" s="0" t="n">
        <v>0</v>
      </c>
      <c r="HC316" s="0" t="s">
        <v>501</v>
      </c>
      <c r="HD316" s="0" t="n">
        <v>58</v>
      </c>
      <c r="HE316" s="16" t="n">
        <v>79.9</v>
      </c>
      <c r="HF316" s="16" t="n">
        <v>80.4</v>
      </c>
      <c r="HG316" s="16" t="n">
        <v>43.6</v>
      </c>
      <c r="HH316" s="0" t="n">
        <v>26.15</v>
      </c>
      <c r="HI316" s="17" t="n">
        <v>0</v>
      </c>
      <c r="HJ316" s="0" t="n">
        <v>0</v>
      </c>
      <c r="HK316" s="0" t="n">
        <v>0</v>
      </c>
      <c r="HL316" s="0" t="n">
        <v>0</v>
      </c>
      <c r="HM316" s="0" t="n">
        <v>0</v>
      </c>
      <c r="HN316" s="0" t="n">
        <v>73.85</v>
      </c>
      <c r="HO316" s="0" t="n">
        <v>18.43</v>
      </c>
      <c r="HP316" s="0" t="n">
        <v>20.42</v>
      </c>
      <c r="HQ316" s="0" t="n">
        <v>0</v>
      </c>
      <c r="HR316" s="0" t="n">
        <v>0</v>
      </c>
      <c r="HS316" s="0" t="n">
        <v>2.44</v>
      </c>
      <c r="HT316" s="0" t="n">
        <v>0.13</v>
      </c>
      <c r="HU316" s="0" t="n">
        <v>9.71</v>
      </c>
      <c r="HV316" s="0" t="n">
        <v>18.31</v>
      </c>
      <c r="HW316" s="0" t="n">
        <v>0</v>
      </c>
      <c r="HX316" s="0" t="n">
        <v>0</v>
      </c>
      <c r="HY316" s="0" t="n">
        <v>0</v>
      </c>
      <c r="IL316" s="0" t="n">
        <v>9.1</v>
      </c>
      <c r="IM316" s="0" t="n">
        <v>1</v>
      </c>
      <c r="IN316" s="0" t="n">
        <v>68</v>
      </c>
      <c r="IO316" s="0" t="n">
        <v>1</v>
      </c>
      <c r="IP316" s="0" t="n">
        <v>0.05</v>
      </c>
      <c r="IQ316" s="0" t="n">
        <v>1</v>
      </c>
      <c r="IR316" s="0" t="n">
        <v>35</v>
      </c>
      <c r="IS316" s="0" t="n">
        <v>3</v>
      </c>
      <c r="IT316" s="0" t="n">
        <f aca="false">0.76+0.64</f>
        <v>1.4</v>
      </c>
      <c r="IU316" s="0" t="n">
        <v>3</v>
      </c>
      <c r="IV316" s="0" t="n">
        <v>47</v>
      </c>
      <c r="IW316" s="0" t="n">
        <v>2</v>
      </c>
      <c r="IX316" s="18" t="n">
        <v>0.23</v>
      </c>
      <c r="IY316" s="0" t="n">
        <v>3</v>
      </c>
      <c r="JP316" s="0" t="n">
        <v>1</v>
      </c>
      <c r="JQ316" s="0" t="n">
        <v>60</v>
      </c>
      <c r="JR316" s="0" t="n">
        <v>2</v>
      </c>
      <c r="JS316" s="0" t="n">
        <v>0.26</v>
      </c>
      <c r="JT316" s="0" t="n">
        <v>3</v>
      </c>
      <c r="LA316" s="16" t="n">
        <v>0</v>
      </c>
      <c r="LB316" s="16" t="n">
        <v>0</v>
      </c>
      <c r="LC316" s="16"/>
      <c r="LD316" s="16"/>
      <c r="LE316" s="16"/>
      <c r="LF316" s="16"/>
      <c r="LG316" s="16"/>
      <c r="LH316" s="16"/>
      <c r="LI316" s="16"/>
      <c r="LJ316" s="16"/>
      <c r="LK316" s="16"/>
      <c r="LL316" s="16" t="n">
        <v>1.97</v>
      </c>
      <c r="LM316" s="16" t="n">
        <v>1.24</v>
      </c>
      <c r="LN316" s="16" t="n">
        <v>0</v>
      </c>
      <c r="LO316" s="16" t="n">
        <v>0</v>
      </c>
      <c r="LP316" s="16" t="n">
        <v>0</v>
      </c>
      <c r="LQ316" s="16" t="n">
        <v>0</v>
      </c>
      <c r="LR316" s="16" t="n">
        <v>3</v>
      </c>
      <c r="LS316" s="0" t="n">
        <v>0</v>
      </c>
      <c r="LT316" s="0" t="s">
        <v>502</v>
      </c>
      <c r="LU316" s="0" t="n">
        <v>34.5</v>
      </c>
      <c r="LV316" s="16" t="n">
        <v>53.2</v>
      </c>
      <c r="LW316" s="16" t="n">
        <v>80.4</v>
      </c>
      <c r="LX316" s="16" t="n">
        <v>8.3</v>
      </c>
      <c r="LY316" s="0" t="n">
        <v>99.94</v>
      </c>
      <c r="LZ316" s="17" t="n">
        <v>0</v>
      </c>
      <c r="MA316" s="0" t="n">
        <v>0</v>
      </c>
      <c r="MB316" s="0" t="n">
        <v>0</v>
      </c>
      <c r="MC316" s="0" t="n">
        <v>0</v>
      </c>
      <c r="MD316" s="0" t="n">
        <v>0</v>
      </c>
      <c r="ME316" s="0" t="n">
        <v>0</v>
      </c>
      <c r="MF316" s="0" t="n">
        <v>0</v>
      </c>
      <c r="MG316" s="0" t="n">
        <v>0</v>
      </c>
      <c r="MH316" s="0" t="n">
        <v>0</v>
      </c>
      <c r="MI316" s="0" t="n">
        <v>0</v>
      </c>
      <c r="MJ316" s="0" t="n">
        <v>0</v>
      </c>
      <c r="MK316" s="0" t="n">
        <v>9.15</v>
      </c>
      <c r="ML316" s="0" t="n">
        <v>18.41</v>
      </c>
      <c r="MM316" s="0" t="n">
        <v>11.73</v>
      </c>
      <c r="MN316" s="0" t="n">
        <v>0</v>
      </c>
      <c r="MO316" s="0" t="n">
        <v>0</v>
      </c>
      <c r="MP316" s="0" t="n">
        <v>0</v>
      </c>
      <c r="NC316" s="0" t="n">
        <v>11.9</v>
      </c>
      <c r="ND316" s="0" t="n">
        <v>1</v>
      </c>
      <c r="NE316" s="0" t="n">
        <v>47</v>
      </c>
      <c r="NF316" s="0" t="n">
        <v>3</v>
      </c>
      <c r="NG316" s="0" t="n">
        <v>1.52</v>
      </c>
      <c r="NH316" s="0" t="n">
        <v>2</v>
      </c>
      <c r="NO316" s="18"/>
      <c r="OG316" s="0" t="n">
        <v>0</v>
      </c>
      <c r="PR316" s="16" t="n">
        <v>5.7</v>
      </c>
      <c r="PS316" s="16" t="n">
        <v>1</v>
      </c>
      <c r="PT316" s="16" t="n">
        <v>1</v>
      </c>
      <c r="PU316" s="16"/>
      <c r="PV316" s="16" t="n">
        <f aca="false">2.11+2.11+0.05+0.05+0.37</f>
        <v>4.69</v>
      </c>
      <c r="PW316" s="16" t="n">
        <v>2</v>
      </c>
      <c r="PX316" s="16"/>
      <c r="PY316" s="16" t="n">
        <f aca="false">3.17+3.17+0.56+0.56+0.33</f>
        <v>7.79</v>
      </c>
      <c r="PZ316" s="16"/>
      <c r="QA316" s="16"/>
      <c r="QB316" s="16"/>
      <c r="QC316" s="16" t="n">
        <v>0</v>
      </c>
      <c r="QD316" s="16" t="n">
        <v>0</v>
      </c>
      <c r="QE316" s="16"/>
      <c r="QF316" s="16"/>
      <c r="QG316" s="16" t="n">
        <v>5.97</v>
      </c>
      <c r="QH316" s="16" t="n">
        <v>0</v>
      </c>
      <c r="QI316" s="16" t="n">
        <v>0</v>
      </c>
      <c r="QJ316" s="0" t="n">
        <v>1</v>
      </c>
      <c r="QK316" s="0" t="s">
        <v>503</v>
      </c>
      <c r="QL316" s="0" t="n">
        <v>47</v>
      </c>
      <c r="QM316" s="16" t="n">
        <v>54.1</v>
      </c>
      <c r="QN316" s="16" t="n">
        <v>80.4</v>
      </c>
      <c r="QO316" s="16" t="n">
        <v>34.5</v>
      </c>
      <c r="QP316" s="0" t="n">
        <v>71.45</v>
      </c>
      <c r="QQ316" s="17" t="n">
        <v>0</v>
      </c>
      <c r="QR316" s="0" t="n">
        <v>21.93</v>
      </c>
      <c r="QS316" s="0" t="n">
        <v>6.49</v>
      </c>
      <c r="QT316" s="0" t="n">
        <v>0.12</v>
      </c>
      <c r="QU316" s="0" t="n">
        <v>0</v>
      </c>
      <c r="QV316" s="0" t="n">
        <v>0</v>
      </c>
      <c r="QW316" s="0" t="n">
        <v>0</v>
      </c>
      <c r="QX316" s="0" t="n">
        <v>0</v>
      </c>
      <c r="QY316" s="0" t="n">
        <v>0</v>
      </c>
      <c r="QZ316" s="0" t="n">
        <v>0</v>
      </c>
      <c r="RA316" s="0" t="n">
        <v>1.01</v>
      </c>
      <c r="RB316" s="0" t="n">
        <v>0.45</v>
      </c>
      <c r="RC316" s="0" t="n">
        <v>18.4</v>
      </c>
      <c r="RD316" s="0" t="n">
        <v>11.28</v>
      </c>
      <c r="RE316" s="0" t="n">
        <v>0</v>
      </c>
      <c r="RF316" s="0" t="n">
        <v>0</v>
      </c>
      <c r="RG316" s="0" t="n">
        <v>0</v>
      </c>
      <c r="RT316" s="0" t="n">
        <v>6</v>
      </c>
      <c r="RU316" s="0" t="n">
        <v>1</v>
      </c>
      <c r="RV316" s="0" t="n">
        <v>35</v>
      </c>
      <c r="RW316" s="0" t="n">
        <v>8</v>
      </c>
      <c r="RX316" s="0" t="n">
        <f aca="false">0.25+0.25+0.25+0.13+0.13+0.13+0.13</f>
        <v>1.27</v>
      </c>
      <c r="RY316" s="0" t="n">
        <v>3</v>
      </c>
      <c r="SF316" s="18"/>
      <c r="SX316" s="0" t="n">
        <v>1</v>
      </c>
      <c r="SY316" s="0" t="n">
        <v>50</v>
      </c>
      <c r="SZ316" s="0" t="n">
        <v>2</v>
      </c>
      <c r="TA316" s="0" t="n">
        <f aca="false">0.76*2</f>
        <v>1.52</v>
      </c>
      <c r="TB316" s="0" t="n">
        <v>1</v>
      </c>
      <c r="UI316" s="16" t="n">
        <v>0.42</v>
      </c>
      <c r="UJ316" s="16" t="n">
        <v>1</v>
      </c>
      <c r="UK316" s="16" t="n">
        <v>1</v>
      </c>
      <c r="UL316" s="16"/>
      <c r="UM316" s="16" t="n">
        <f aca="false">0.68+0.68+0.03</f>
        <v>1.39</v>
      </c>
      <c r="UN316" s="16"/>
      <c r="UO316" s="16"/>
      <c r="UP316" s="16"/>
      <c r="UQ316" s="16"/>
      <c r="UR316" s="16"/>
      <c r="US316" s="16"/>
      <c r="UT316" s="16" t="n">
        <v>5.21</v>
      </c>
      <c r="UU316" s="16" t="n">
        <v>7.05</v>
      </c>
      <c r="UV316" s="16"/>
      <c r="UW316" s="16"/>
      <c r="UX316" s="16" t="n">
        <v>0</v>
      </c>
      <c r="UY316" s="16" t="n">
        <v>0</v>
      </c>
      <c r="UZ316" s="16" t="n">
        <v>0</v>
      </c>
      <c r="VA316" s="0" t="n">
        <v>0</v>
      </c>
      <c r="VB316" s="0" t="s">
        <v>505</v>
      </c>
      <c r="VC316" s="0" t="n">
        <v>59</v>
      </c>
      <c r="VD316" s="16" t="n">
        <v>90.4</v>
      </c>
      <c r="VE316" s="16" t="n">
        <v>80.4</v>
      </c>
      <c r="VF316" s="16" t="n">
        <v>54.7</v>
      </c>
      <c r="VG316" s="0" t="n">
        <v>26.42</v>
      </c>
      <c r="VH316" s="17" t="n">
        <v>0</v>
      </c>
      <c r="VI316" s="0" t="n">
        <v>0</v>
      </c>
      <c r="VJ316" s="0" t="n">
        <v>0</v>
      </c>
      <c r="VK316" s="0" t="n">
        <v>0</v>
      </c>
      <c r="VL316" s="0" t="n">
        <v>0</v>
      </c>
      <c r="VM316" s="0" t="n">
        <v>66.96</v>
      </c>
      <c r="VN316" s="0" t="n">
        <v>6.55</v>
      </c>
      <c r="VO316" s="0" t="n">
        <v>30.83</v>
      </c>
      <c r="VP316" s="0" t="n">
        <v>0</v>
      </c>
      <c r="VQ316" s="0" t="n">
        <v>0</v>
      </c>
      <c r="VR316" s="0" t="n">
        <v>14.46</v>
      </c>
      <c r="VS316" s="0" t="n">
        <v>11.57</v>
      </c>
      <c r="VT316" s="0" t="n">
        <v>6.5</v>
      </c>
      <c r="VU316" s="0" t="n">
        <v>6.03</v>
      </c>
      <c r="VV316" s="0" t="n">
        <v>6.62</v>
      </c>
      <c r="VW316" s="0" t="n">
        <v>0</v>
      </c>
      <c r="VX316" s="0" t="n">
        <v>0</v>
      </c>
      <c r="WK316" s="0" t="n">
        <v>3.2</v>
      </c>
      <c r="WL316" s="0" t="n">
        <v>0</v>
      </c>
      <c r="WW316" s="18"/>
      <c r="XO316" s="0" t="n">
        <v>1</v>
      </c>
      <c r="XP316" s="0" t="n">
        <v>60</v>
      </c>
      <c r="XQ316" s="0" t="n">
        <v>2</v>
      </c>
      <c r="XR316" s="0" t="n">
        <v>1.52</v>
      </c>
      <c r="XS316" s="0" t="n">
        <v>3</v>
      </c>
      <c r="YZ316" s="16" t="n">
        <v>0.63</v>
      </c>
      <c r="ZA316" s="16" t="n">
        <v>1</v>
      </c>
      <c r="ZB316" s="16" t="n">
        <v>1</v>
      </c>
      <c r="ZC316" s="16"/>
      <c r="ZD316" s="16" t="n">
        <v>3.17</v>
      </c>
      <c r="ZE316" s="16"/>
      <c r="ZF316" s="16"/>
      <c r="ZG316" s="16"/>
      <c r="ZH316" s="16"/>
      <c r="ZI316" s="16"/>
      <c r="ZJ316" s="16"/>
      <c r="ZK316" s="16" t="n">
        <v>0</v>
      </c>
      <c r="ZL316" s="16" t="n">
        <v>0</v>
      </c>
      <c r="ZM316" s="16"/>
      <c r="ZN316" s="16"/>
      <c r="ZO316" s="16" t="n">
        <v>0</v>
      </c>
      <c r="ZP316" s="16" t="n">
        <v>0</v>
      </c>
      <c r="ZQ316" s="16" t="n">
        <v>0</v>
      </c>
      <c r="ZR316" s="0" t="n">
        <v>0</v>
      </c>
      <c r="ZS316" s="40" t="s">
        <v>619</v>
      </c>
      <c r="ZT316" s="40" t="n">
        <v>42</v>
      </c>
      <c r="ZU316" s="41" t="n">
        <v>97.3</v>
      </c>
      <c r="ZV316" s="41" t="n">
        <v>80.4</v>
      </c>
      <c r="ZW316" s="41" t="n">
        <v>14.9</v>
      </c>
      <c r="ZX316" s="40" t="n">
        <v>88.72</v>
      </c>
      <c r="ZY316" s="43" t="n">
        <v>0</v>
      </c>
      <c r="ZZ316" s="40" t="n">
        <v>0</v>
      </c>
      <c r="AAA316" s="40" t="n">
        <v>0</v>
      </c>
      <c r="AAB316" s="40" t="n">
        <v>11.28</v>
      </c>
      <c r="AAC316" s="40" t="n">
        <v>0</v>
      </c>
      <c r="AAD316" s="40" t="n">
        <v>0</v>
      </c>
      <c r="AAE316" s="40" t="n">
        <v>0</v>
      </c>
      <c r="AAF316" s="40" t="n">
        <v>0</v>
      </c>
      <c r="AAG316" s="40" t="n">
        <v>0</v>
      </c>
      <c r="AAH316" s="40" t="n">
        <v>0</v>
      </c>
      <c r="AAI316" s="40" t="n">
        <v>0</v>
      </c>
      <c r="AAJ316" s="40" t="n">
        <v>1.14</v>
      </c>
      <c r="AAK316" s="40" t="n">
        <v>50.12</v>
      </c>
      <c r="AAL316" s="40" t="n">
        <v>30.38</v>
      </c>
      <c r="AAM316" s="40" t="n">
        <v>0</v>
      </c>
      <c r="AAN316" s="40" t="n">
        <v>0</v>
      </c>
      <c r="AAO316" s="40" t="n">
        <v>1</v>
      </c>
      <c r="AAP316" s="40" t="n">
        <v>2</v>
      </c>
      <c r="AAQ316" s="40"/>
      <c r="AAR316" s="40" t="n">
        <v>4</v>
      </c>
      <c r="AAS316" s="40"/>
      <c r="AAT316" s="40"/>
      <c r="AAU316" s="40"/>
      <c r="AAV316" s="40" t="n">
        <v>2</v>
      </c>
      <c r="AAW316" s="40"/>
      <c r="AAX316" s="40" t="n">
        <v>4</v>
      </c>
      <c r="AAY316" s="40"/>
      <c r="AAZ316" s="40"/>
      <c r="ABA316" s="40"/>
      <c r="ABB316" s="40" t="n">
        <v>0</v>
      </c>
      <c r="ABC316" s="40" t="n">
        <v>0</v>
      </c>
      <c r="ABD316" s="40"/>
      <c r="ABE316" s="40"/>
      <c r="ABF316" s="40"/>
      <c r="ABG316" s="40"/>
      <c r="ABH316" s="40"/>
      <c r="ABI316" s="40"/>
      <c r="ABJ316" s="40"/>
      <c r="ABK316" s="40"/>
      <c r="ABL316" s="40"/>
      <c r="ABM316" s="40"/>
      <c r="ABN316" s="42"/>
      <c r="ABO316" s="40"/>
      <c r="ABP316" s="40"/>
      <c r="ABQ316" s="40"/>
      <c r="ABR316" s="40"/>
      <c r="ABS316" s="40"/>
      <c r="ABT316" s="40"/>
      <c r="ABU316" s="40"/>
      <c r="ABV316" s="40"/>
      <c r="ABW316" s="40"/>
      <c r="ABX316" s="40"/>
      <c r="ABY316" s="40"/>
      <c r="ABZ316" s="40"/>
      <c r="ACA316" s="40"/>
      <c r="ACB316" s="40"/>
      <c r="ACC316" s="40"/>
      <c r="ACD316" s="40"/>
      <c r="ACE316" s="40"/>
      <c r="ACF316" s="40" t="n">
        <v>0</v>
      </c>
      <c r="ACG316" s="40"/>
      <c r="ACH316" s="40"/>
      <c r="ACI316" s="40"/>
      <c r="ACJ316" s="40"/>
      <c r="ACK316" s="40"/>
      <c r="ACL316" s="40"/>
      <c r="ACM316" s="40"/>
      <c r="ACN316" s="40"/>
      <c r="ACO316" s="40"/>
      <c r="ACP316" s="40"/>
      <c r="ACQ316" s="40"/>
      <c r="ACR316" s="40"/>
      <c r="ACS316" s="40"/>
      <c r="ACT316" s="40"/>
      <c r="ACU316" s="40"/>
      <c r="ACV316" s="40"/>
      <c r="ACW316" s="40"/>
      <c r="ACX316" s="40"/>
      <c r="ACY316" s="40"/>
      <c r="ACZ316" s="40"/>
      <c r="ADA316" s="40"/>
      <c r="ADB316" s="40"/>
      <c r="ADC316" s="40"/>
      <c r="ADD316" s="40"/>
      <c r="ADE316" s="40"/>
      <c r="ADF316" s="40"/>
      <c r="ADG316" s="40"/>
      <c r="ADH316" s="40"/>
      <c r="ADI316" s="40"/>
      <c r="ADJ316" s="40"/>
      <c r="ADK316" s="40"/>
      <c r="ADL316" s="40"/>
      <c r="ADM316" s="40"/>
      <c r="ADN316" s="40"/>
      <c r="ADO316" s="40"/>
      <c r="ADP316" s="40"/>
      <c r="ADQ316" s="41" t="n">
        <v>9.53</v>
      </c>
      <c r="ADR316" s="41" t="n">
        <v>1</v>
      </c>
      <c r="ADS316" s="41" t="n">
        <v>1</v>
      </c>
      <c r="ADT316" s="41"/>
      <c r="ADU316" s="41" t="n">
        <f aca="false">3.17+6.34+4.23+0.56+1.12</f>
        <v>15.42</v>
      </c>
      <c r="ADV316" s="41" t="n">
        <v>2</v>
      </c>
      <c r="ADW316" s="41"/>
      <c r="ADX316" s="41" t="n">
        <f aca="false">8.46+1.59+1.59+1.49+0.28+1.49</f>
        <v>14.9</v>
      </c>
      <c r="ADY316" s="41"/>
      <c r="ADZ316" s="41"/>
      <c r="AEA316" s="41"/>
      <c r="AEB316" s="41" t="n">
        <v>14.15</v>
      </c>
      <c r="AEC316" s="41" t="n">
        <v>35.37</v>
      </c>
      <c r="AED316" s="41"/>
      <c r="AEE316" s="41"/>
      <c r="AEF316" s="41" t="n">
        <v>0</v>
      </c>
      <c r="AEG316" s="41" t="n">
        <v>0</v>
      </c>
      <c r="AEH316" s="41" t="n">
        <v>0</v>
      </c>
      <c r="AEI316" s="40" t="n">
        <v>0</v>
      </c>
      <c r="AEJ316" s="0" t="s">
        <v>887</v>
      </c>
      <c r="AEK316" s="0" t="n">
        <v>19</v>
      </c>
      <c r="AEL316" s="16" t="n">
        <v>85.1</v>
      </c>
      <c r="AEM316" s="16" t="n">
        <v>80.4</v>
      </c>
      <c r="AEN316" s="16" t="n">
        <v>10.3</v>
      </c>
      <c r="AEO316" s="0" t="n">
        <v>100</v>
      </c>
      <c r="AEP316" s="17" t="n">
        <v>0</v>
      </c>
      <c r="AEQ316" s="0" t="n">
        <v>0</v>
      </c>
      <c r="AER316" s="0" t="n">
        <v>0</v>
      </c>
      <c r="AES316" s="0" t="n">
        <v>0</v>
      </c>
      <c r="AET316" s="0" t="n">
        <v>0</v>
      </c>
      <c r="AEU316" s="0" t="n">
        <v>0</v>
      </c>
      <c r="AEV316" s="0" t="n">
        <v>0</v>
      </c>
      <c r="AEW316" s="0" t="n">
        <v>0</v>
      </c>
      <c r="AEX316" s="0" t="n">
        <v>0</v>
      </c>
      <c r="AEY316" s="0" t="n">
        <v>0</v>
      </c>
      <c r="AEZ316" s="0" t="n">
        <v>0</v>
      </c>
      <c r="AFA316" s="0" t="n">
        <v>0</v>
      </c>
      <c r="AFB316" s="0" t="n">
        <v>16.76</v>
      </c>
      <c r="AFC316" s="0" t="n">
        <v>22.28</v>
      </c>
      <c r="AFD316" s="0" t="n">
        <v>0</v>
      </c>
      <c r="AFE316" s="0" t="n">
        <v>0</v>
      </c>
      <c r="AFF316" s="0" t="n">
        <v>0</v>
      </c>
      <c r="AFS316" s="0" t="n">
        <v>0</v>
      </c>
      <c r="AFT316" s="0" t="n">
        <v>0</v>
      </c>
      <c r="AGE316" s="18"/>
      <c r="AGW316" s="0" t="n">
        <v>0</v>
      </c>
      <c r="AIH316" s="16" t="n">
        <v>0.99</v>
      </c>
      <c r="AII316" s="16" t="n">
        <v>1</v>
      </c>
      <c r="AIJ316" s="16" t="n">
        <v>1</v>
      </c>
      <c r="AIK316" s="16"/>
      <c r="AIL316" s="16" t="n">
        <f aca="false">2.11+0.37+0.27*3</f>
        <v>3.29</v>
      </c>
      <c r="AIM316" s="16"/>
      <c r="AIN316" s="16"/>
      <c r="AIO316" s="16"/>
      <c r="AIP316" s="16"/>
      <c r="AIQ316" s="16"/>
      <c r="AIR316" s="16"/>
      <c r="AIS316" s="16" t="n">
        <v>5.78</v>
      </c>
      <c r="AIT316" s="16" t="n">
        <v>12.6</v>
      </c>
      <c r="AIU316" s="16"/>
      <c r="AIV316" s="16"/>
      <c r="AIW316" s="16" t="n">
        <v>0</v>
      </c>
      <c r="AIX316" s="16" t="n">
        <v>0</v>
      </c>
      <c r="AIY316" s="16" t="n">
        <v>0</v>
      </c>
      <c r="AIZ316" s="0" t="n">
        <v>0</v>
      </c>
      <c r="AJA316" s="0" t="s">
        <v>710</v>
      </c>
      <c r="AJB316" s="0" t="n">
        <v>69.5</v>
      </c>
      <c r="AJC316" s="16" t="n">
        <v>70.9</v>
      </c>
      <c r="AJD316" s="16" t="n">
        <v>80.4</v>
      </c>
      <c r="AJE316" s="16" t="n">
        <v>23.6</v>
      </c>
      <c r="AJF316" s="0" t="n">
        <v>19.15</v>
      </c>
      <c r="AJG316" s="17" t="n">
        <v>0</v>
      </c>
      <c r="AJH316" s="0" t="n">
        <v>0</v>
      </c>
      <c r="AJI316" s="0" t="n">
        <v>0</v>
      </c>
      <c r="AJJ316" s="0" t="n">
        <v>0</v>
      </c>
      <c r="AJK316" s="0" t="n">
        <v>0</v>
      </c>
      <c r="AJL316" s="0" t="n">
        <v>71.09</v>
      </c>
      <c r="AJM316" s="0" t="n">
        <v>0</v>
      </c>
      <c r="AJN316" s="0" t="n">
        <v>0</v>
      </c>
      <c r="AJO316" s="0" t="n">
        <v>2.25</v>
      </c>
      <c r="AJP316" s="0" t="n">
        <v>0</v>
      </c>
      <c r="AJQ316" s="0" t="n">
        <v>14.15</v>
      </c>
      <c r="AJR316" s="0" t="n">
        <v>0.83</v>
      </c>
      <c r="AJS316" s="0" t="n">
        <v>20.78</v>
      </c>
      <c r="AJT316" s="0" t="n">
        <v>13.14</v>
      </c>
      <c r="AJU316" s="0" t="n">
        <v>9.76</v>
      </c>
      <c r="AJV316" s="0" t="n">
        <v>0</v>
      </c>
      <c r="AJW316" s="0" t="n">
        <v>0</v>
      </c>
      <c r="AKJ316" s="0" t="n">
        <v>24.4</v>
      </c>
      <c r="AKK316" s="0" t="n">
        <v>1</v>
      </c>
      <c r="AKL316" s="0" t="n">
        <v>70</v>
      </c>
      <c r="AKM316" s="0" t="n">
        <v>1</v>
      </c>
      <c r="AKN316" s="0" t="n">
        <v>1.5</v>
      </c>
      <c r="AKO316" s="0" t="n">
        <v>3</v>
      </c>
      <c r="AKP316" s="0" t="n">
        <v>68</v>
      </c>
      <c r="AKQ316" s="0" t="n">
        <v>2.25</v>
      </c>
      <c r="AKR316" s="0" t="n">
        <v>1</v>
      </c>
      <c r="AKS316" s="0" t="n">
        <v>1</v>
      </c>
      <c r="AKT316" s="0" t="n">
        <v>47</v>
      </c>
      <c r="AKU316" s="0" t="n">
        <v>1</v>
      </c>
      <c r="AKV316" s="18" t="n">
        <v>1.5</v>
      </c>
      <c r="AKW316" s="0" t="n">
        <v>3</v>
      </c>
      <c r="ALN316" s="0" t="n">
        <v>0</v>
      </c>
    </row>
    <row r="317" customFormat="false" ht="13.8" hidden="false" customHeight="false" outlineLevel="0" collapsed="false">
      <c r="A317" s="1" t="s">
        <v>894</v>
      </c>
      <c r="B317" s="12" t="n">
        <v>42905</v>
      </c>
      <c r="C317" s="0" t="n">
        <v>2</v>
      </c>
      <c r="D317" s="13" t="n">
        <v>42793</v>
      </c>
      <c r="E317" s="12" t="n">
        <v>31577</v>
      </c>
      <c r="F317" s="14" t="n">
        <f aca="false">(B317-E317)/365.25</f>
        <v>31.0143737166324</v>
      </c>
      <c r="G317" s="14" t="n">
        <f aca="false">(B317-D317)/365.25</f>
        <v>0.306639288158795</v>
      </c>
      <c r="H317" s="19" t="s">
        <v>181</v>
      </c>
      <c r="I317" s="15" t="s">
        <v>496</v>
      </c>
      <c r="J317" s="15" t="s">
        <v>181</v>
      </c>
      <c r="K317" s="15" t="n">
        <v>8</v>
      </c>
      <c r="L317" s="19" t="n">
        <v>80</v>
      </c>
      <c r="M317" s="0" t="n">
        <v>1.75</v>
      </c>
      <c r="N317" s="16" t="n">
        <f aca="false">L317/(M317*M317)</f>
        <v>26.1224489795918</v>
      </c>
      <c r="O317" s="19" t="n">
        <v>0</v>
      </c>
      <c r="P317" s="19" t="n">
        <v>0</v>
      </c>
      <c r="Q317" s="19" t="n">
        <v>0</v>
      </c>
      <c r="R317" s="26" t="n">
        <v>0</v>
      </c>
      <c r="S317" s="26" t="n">
        <v>0</v>
      </c>
      <c r="T317" s="26" t="n">
        <v>0</v>
      </c>
      <c r="U317" s="19" t="n">
        <v>0</v>
      </c>
      <c r="V317" s="19" t="n">
        <v>0</v>
      </c>
      <c r="W317" s="19" t="n">
        <v>0</v>
      </c>
      <c r="X317" s="19" t="n">
        <v>0</v>
      </c>
      <c r="Y317" s="19" t="n">
        <v>1</v>
      </c>
      <c r="Z317" s="19" t="n">
        <v>1</v>
      </c>
      <c r="AA317" s="19" t="n">
        <v>90</v>
      </c>
      <c r="AB317" s="19" t="s">
        <v>895</v>
      </c>
      <c r="AC317" s="19" t="n">
        <v>0</v>
      </c>
      <c r="AD317" s="19" t="n">
        <v>0</v>
      </c>
      <c r="AE317" s="19" t="n">
        <v>0</v>
      </c>
      <c r="AF317" s="19" t="n">
        <v>0</v>
      </c>
      <c r="AG317" s="19" t="n">
        <v>0</v>
      </c>
      <c r="AH317" s="19" t="n">
        <v>0</v>
      </c>
      <c r="AI317" s="19" t="n">
        <v>0</v>
      </c>
      <c r="AJ317" s="19" t="n">
        <v>0</v>
      </c>
      <c r="AK317" s="19" t="n">
        <v>0</v>
      </c>
      <c r="AL317" s="19" t="n">
        <v>0</v>
      </c>
      <c r="AM317" s="19" t="n">
        <v>0</v>
      </c>
      <c r="AN317" s="19"/>
      <c r="AO317" s="19"/>
      <c r="AP317" s="19"/>
      <c r="AQ317" s="19"/>
      <c r="AR317" s="19"/>
      <c r="AS317" s="19" t="n">
        <v>0</v>
      </c>
      <c r="AT317" s="19" t="n">
        <v>0</v>
      </c>
      <c r="AU317" s="19" t="n">
        <v>0</v>
      </c>
      <c r="AV317" s="19" t="n">
        <v>0</v>
      </c>
      <c r="AW317" s="19" t="n">
        <v>0</v>
      </c>
      <c r="AX317" s="19" t="n">
        <v>0</v>
      </c>
      <c r="AY317" s="19" t="n">
        <v>0</v>
      </c>
      <c r="AZ317" s="19" t="n">
        <v>0</v>
      </c>
      <c r="BA317" s="19" t="n">
        <v>0</v>
      </c>
      <c r="BB317" s="19" t="n">
        <v>0</v>
      </c>
      <c r="BC317" s="19" t="n">
        <v>0</v>
      </c>
      <c r="BD317" s="19" t="n">
        <v>0</v>
      </c>
      <c r="BE317" s="19" t="n">
        <v>0</v>
      </c>
      <c r="BF317" s="19" t="n">
        <v>0</v>
      </c>
      <c r="BG317" s="19" t="n">
        <v>0</v>
      </c>
      <c r="BH317" s="19" t="n">
        <v>0</v>
      </c>
      <c r="BI317" s="19" t="n">
        <v>0</v>
      </c>
      <c r="BJ317" s="19" t="n">
        <v>0</v>
      </c>
      <c r="BK317" s="19" t="n">
        <v>0</v>
      </c>
      <c r="BL317" s="19" t="n">
        <v>0</v>
      </c>
      <c r="BM317" s="19" t="n">
        <v>0</v>
      </c>
      <c r="BN317" s="19" t="n">
        <v>0</v>
      </c>
      <c r="BO317" s="19" t="n">
        <v>0</v>
      </c>
      <c r="BP317" s="19" t="n">
        <v>0</v>
      </c>
      <c r="BQ317" s="19" t="n">
        <v>0</v>
      </c>
      <c r="BR317" s="19" t="n">
        <v>2</v>
      </c>
      <c r="BS317" s="19" t="n">
        <v>1</v>
      </c>
      <c r="BT317" s="19" t="n">
        <v>3</v>
      </c>
      <c r="BU317" s="19" t="n">
        <v>5</v>
      </c>
      <c r="BV317" s="19" t="n">
        <v>2</v>
      </c>
      <c r="BW317" s="19" t="n">
        <v>1</v>
      </c>
      <c r="BX317" s="19" t="n">
        <v>3</v>
      </c>
      <c r="BY317" s="19" t="n">
        <v>3</v>
      </c>
      <c r="BZ317" s="19" t="n">
        <v>4</v>
      </c>
      <c r="CA317" s="19" t="n">
        <v>5</v>
      </c>
      <c r="CB317" s="19" t="n">
        <v>5</v>
      </c>
      <c r="CC317" s="19" t="n">
        <v>4</v>
      </c>
      <c r="CD317" s="19" t="n">
        <v>4</v>
      </c>
      <c r="CE317" s="19" t="n">
        <v>5</v>
      </c>
      <c r="CF317" s="19" t="n">
        <v>5</v>
      </c>
      <c r="CG317" s="19" t="n">
        <v>5</v>
      </c>
      <c r="CH317" s="19" t="n">
        <v>5</v>
      </c>
      <c r="CI317" s="19" t="n">
        <v>5</v>
      </c>
      <c r="CJ317" s="19" t="n">
        <v>5</v>
      </c>
      <c r="CK317" s="19" t="n">
        <v>9</v>
      </c>
      <c r="CL317" s="0" t="s">
        <v>498</v>
      </c>
      <c r="CM317" s="0" t="n">
        <v>33</v>
      </c>
      <c r="CN317" s="16" t="n">
        <v>71.2</v>
      </c>
      <c r="CO317" s="16" t="n">
        <v>80.4</v>
      </c>
      <c r="CP317" s="16" t="n">
        <v>16.3</v>
      </c>
      <c r="CQ317" s="0" t="n">
        <v>83.24</v>
      </c>
      <c r="CR317" s="17" t="n">
        <v>0</v>
      </c>
      <c r="CS317" s="0" t="n">
        <v>0</v>
      </c>
      <c r="CT317" s="0" t="n">
        <v>0</v>
      </c>
      <c r="CU317" s="0" t="n">
        <v>14.14</v>
      </c>
      <c r="CV317" s="0" t="n">
        <v>0</v>
      </c>
      <c r="CW317" s="0" t="n">
        <v>2.63</v>
      </c>
      <c r="CX317" s="0" t="n">
        <v>0</v>
      </c>
      <c r="CY317" s="0" t="n">
        <v>0</v>
      </c>
      <c r="CZ317" s="0" t="n">
        <v>0</v>
      </c>
      <c r="DA317" s="0" t="n">
        <v>0</v>
      </c>
      <c r="DB317" s="0" t="n">
        <v>2.63</v>
      </c>
      <c r="DC317" s="0" t="n">
        <v>10.16</v>
      </c>
      <c r="DD317" s="0" t="n">
        <v>20.83</v>
      </c>
      <c r="DE317" s="0" t="n">
        <v>24.81</v>
      </c>
      <c r="DF317" s="0" t="n">
        <v>0</v>
      </c>
      <c r="DG317" s="0" t="n">
        <v>11.2</v>
      </c>
      <c r="DH317" s="0" t="n">
        <v>1</v>
      </c>
      <c r="DI317" s="0" t="n">
        <v>5</v>
      </c>
      <c r="DK317" s="0" t="n">
        <v>1</v>
      </c>
      <c r="DO317" s="0" t="n">
        <v>5</v>
      </c>
      <c r="DQ317" s="0" t="n">
        <v>1</v>
      </c>
      <c r="DU317" s="0" t="n">
        <v>0</v>
      </c>
      <c r="DV317" s="0" t="n">
        <v>0</v>
      </c>
      <c r="EG317" s="18"/>
      <c r="EY317" s="0" t="n">
        <v>0</v>
      </c>
      <c r="GJ317" s="16" t="n">
        <v>2.71</v>
      </c>
      <c r="GK317" s="16" t="n">
        <v>1</v>
      </c>
      <c r="GL317" s="16" t="n">
        <v>1</v>
      </c>
      <c r="GM317" s="16"/>
      <c r="GN317" s="16" t="n">
        <f aca="false">2.11*4+0.52*2</f>
        <v>9.48</v>
      </c>
      <c r="GO317" s="16"/>
      <c r="GP317" s="16"/>
      <c r="GQ317" s="16"/>
      <c r="GR317" s="16"/>
      <c r="GS317" s="16"/>
      <c r="GT317" s="16"/>
      <c r="GU317" s="16" t="n">
        <v>2.63</v>
      </c>
      <c r="GV317" s="16" t="n">
        <v>2.6</v>
      </c>
      <c r="GW317" s="16" t="n">
        <v>0</v>
      </c>
      <c r="GX317" s="16" t="n">
        <v>0</v>
      </c>
      <c r="GY317" s="16" t="n">
        <v>0</v>
      </c>
      <c r="GZ317" s="16" t="n">
        <v>0</v>
      </c>
      <c r="HA317" s="16" t="n">
        <v>0</v>
      </c>
      <c r="HB317" s="0" t="n">
        <v>0</v>
      </c>
      <c r="HC317" s="0" t="s">
        <v>500</v>
      </c>
      <c r="HD317" s="0" t="n">
        <v>48</v>
      </c>
      <c r="HE317" s="16" t="n">
        <v>69.7</v>
      </c>
      <c r="HF317" s="16" t="n">
        <v>80.4</v>
      </c>
      <c r="HG317" s="16" t="n">
        <v>44.5</v>
      </c>
      <c r="HH317" s="0" t="n">
        <v>13.55</v>
      </c>
      <c r="HI317" s="17" t="n">
        <v>0</v>
      </c>
      <c r="HJ317" s="0" t="n">
        <v>0</v>
      </c>
      <c r="HK317" s="0" t="n">
        <v>0</v>
      </c>
      <c r="HL317" s="0" t="n">
        <v>0.1</v>
      </c>
      <c r="HM317" s="0" t="n">
        <v>0</v>
      </c>
      <c r="HN317" s="0" t="n">
        <v>86.34</v>
      </c>
      <c r="HO317" s="0" t="n">
        <v>13.26</v>
      </c>
      <c r="HP317" s="0" t="n">
        <v>28.53</v>
      </c>
      <c r="HQ317" s="0" t="n">
        <v>0</v>
      </c>
      <c r="HR317" s="0" t="n">
        <v>0</v>
      </c>
      <c r="HS317" s="0" t="n">
        <v>0.78</v>
      </c>
      <c r="HT317" s="0" t="n">
        <v>3.48</v>
      </c>
      <c r="HU317" s="0" t="n">
        <v>11.45</v>
      </c>
      <c r="HV317" s="0" t="n">
        <v>6.85</v>
      </c>
      <c r="HW317" s="0" t="n">
        <v>0</v>
      </c>
      <c r="HX317" s="0" t="n">
        <v>0</v>
      </c>
      <c r="HY317" s="0" t="n">
        <v>0</v>
      </c>
      <c r="IL317" s="0" t="n">
        <v>0</v>
      </c>
      <c r="IM317" s="0" t="n">
        <v>0</v>
      </c>
      <c r="IX317" s="18"/>
      <c r="JP317" s="0" t="n">
        <v>0</v>
      </c>
      <c r="LA317" s="16" t="n">
        <v>0.75</v>
      </c>
      <c r="LB317" s="16" t="n">
        <v>1</v>
      </c>
      <c r="LC317" s="16" t="n">
        <v>1</v>
      </c>
      <c r="LD317" s="16"/>
      <c r="LE317" s="16" t="n">
        <f aca="false">2.11+0.37</f>
        <v>2.48</v>
      </c>
      <c r="LF317" s="16"/>
      <c r="LG317" s="16"/>
      <c r="LH317" s="16"/>
      <c r="LI317" s="16"/>
      <c r="LJ317" s="16"/>
      <c r="LK317" s="16"/>
      <c r="LL317" s="16" t="n">
        <v>2.66</v>
      </c>
      <c r="LM317" s="16" t="n">
        <v>2.64</v>
      </c>
      <c r="LN317" s="16" t="n">
        <v>0</v>
      </c>
      <c r="LO317" s="16" t="n">
        <v>0</v>
      </c>
      <c r="LP317" s="16" t="n">
        <v>0</v>
      </c>
      <c r="LQ317" s="16" t="n">
        <v>0</v>
      </c>
      <c r="LR317" s="16" t="n">
        <v>0</v>
      </c>
      <c r="LS317" s="0" t="n">
        <v>0</v>
      </c>
      <c r="LT317" s="0" t="s">
        <v>501</v>
      </c>
      <c r="LU317" s="0" t="n">
        <v>58</v>
      </c>
      <c r="LV317" s="16" t="n">
        <v>79.9</v>
      </c>
      <c r="LW317" s="16" t="n">
        <v>80.4</v>
      </c>
      <c r="LX317" s="16" t="n">
        <v>43.6</v>
      </c>
      <c r="LY317" s="0" t="n">
        <v>26.15</v>
      </c>
      <c r="LZ317" s="17" t="n">
        <v>0</v>
      </c>
      <c r="MA317" s="0" t="n">
        <v>0</v>
      </c>
      <c r="MB317" s="0" t="n">
        <v>0</v>
      </c>
      <c r="MC317" s="0" t="n">
        <v>0</v>
      </c>
      <c r="MD317" s="0" t="n">
        <v>0</v>
      </c>
      <c r="ME317" s="0" t="n">
        <v>73.85</v>
      </c>
      <c r="MF317" s="0" t="n">
        <v>18.43</v>
      </c>
      <c r="MG317" s="0" t="n">
        <v>20.42</v>
      </c>
      <c r="MH317" s="0" t="n">
        <v>0</v>
      </c>
      <c r="MI317" s="0" t="n">
        <v>0</v>
      </c>
      <c r="MJ317" s="0" t="n">
        <v>2.44</v>
      </c>
      <c r="MK317" s="0" t="n">
        <v>0.13</v>
      </c>
      <c r="ML317" s="0" t="n">
        <v>9.71</v>
      </c>
      <c r="MM317" s="0" t="n">
        <v>18.31</v>
      </c>
      <c r="MN317" s="0" t="n">
        <v>0</v>
      </c>
      <c r="MO317" s="0" t="n">
        <v>0</v>
      </c>
      <c r="MP317" s="0" t="n">
        <v>0</v>
      </c>
      <c r="NC317" s="0" t="n">
        <v>9.1</v>
      </c>
      <c r="ND317" s="0" t="n">
        <v>1</v>
      </c>
      <c r="NE317" s="0" t="n">
        <v>68</v>
      </c>
      <c r="NF317" s="0" t="n">
        <v>1</v>
      </c>
      <c r="NG317" s="0" t="n">
        <v>0.05</v>
      </c>
      <c r="NH317" s="0" t="n">
        <v>1</v>
      </c>
      <c r="NI317" s="0" t="n">
        <v>35</v>
      </c>
      <c r="NJ317" s="0" t="n">
        <v>3</v>
      </c>
      <c r="NK317" s="0" t="n">
        <f aca="false">0.76+0.64</f>
        <v>1.4</v>
      </c>
      <c r="NL317" s="0" t="n">
        <v>3</v>
      </c>
      <c r="NM317" s="0" t="n">
        <v>47</v>
      </c>
      <c r="NN317" s="0" t="n">
        <v>2</v>
      </c>
      <c r="NO317" s="18" t="n">
        <v>0.23</v>
      </c>
      <c r="NP317" s="0" t="n">
        <v>3</v>
      </c>
      <c r="OG317" s="0" t="n">
        <v>1</v>
      </c>
      <c r="OH317" s="0" t="n">
        <v>60</v>
      </c>
      <c r="OI317" s="0" t="n">
        <v>2</v>
      </c>
      <c r="OJ317" s="0" t="n">
        <v>0.26</v>
      </c>
      <c r="OK317" s="0" t="n">
        <v>3</v>
      </c>
      <c r="PR317" s="16" t="n">
        <v>0</v>
      </c>
      <c r="PS317" s="16" t="n">
        <v>0</v>
      </c>
      <c r="PT317" s="16"/>
      <c r="PU317" s="16"/>
      <c r="PV317" s="16"/>
      <c r="PW317" s="16"/>
      <c r="PX317" s="16"/>
      <c r="PY317" s="16"/>
      <c r="PZ317" s="16"/>
      <c r="QA317" s="16"/>
      <c r="QB317" s="16"/>
      <c r="QC317" s="16" t="n">
        <v>1.97</v>
      </c>
      <c r="QD317" s="16" t="n">
        <v>1.24</v>
      </c>
      <c r="QE317" s="16" t="n">
        <v>0</v>
      </c>
      <c r="QF317" s="16" t="n">
        <v>0</v>
      </c>
      <c r="QG317" s="16" t="n">
        <v>0</v>
      </c>
      <c r="QH317" s="16" t="n">
        <v>0</v>
      </c>
      <c r="QI317" s="16" t="n">
        <v>3</v>
      </c>
      <c r="QJ317" s="0" t="n">
        <v>0</v>
      </c>
      <c r="QK317" s="0" t="s">
        <v>503</v>
      </c>
      <c r="QL317" s="0" t="n">
        <v>47</v>
      </c>
      <c r="QM317" s="16" t="n">
        <v>54.1</v>
      </c>
      <c r="QN317" s="16" t="n">
        <v>80.4</v>
      </c>
      <c r="QO317" s="16" t="n">
        <v>34.5</v>
      </c>
      <c r="QP317" s="0" t="n">
        <v>71.45</v>
      </c>
      <c r="QQ317" s="17" t="n">
        <v>0</v>
      </c>
      <c r="QR317" s="0" t="n">
        <v>21.93</v>
      </c>
      <c r="QS317" s="0" t="n">
        <v>6.49</v>
      </c>
      <c r="QT317" s="0" t="n">
        <v>0.12</v>
      </c>
      <c r="QU317" s="0" t="n">
        <v>0</v>
      </c>
      <c r="QV317" s="0" t="n">
        <v>0</v>
      </c>
      <c r="QW317" s="0" t="n">
        <v>0</v>
      </c>
      <c r="QX317" s="0" t="n">
        <v>0</v>
      </c>
      <c r="QY317" s="0" t="n">
        <v>0</v>
      </c>
      <c r="QZ317" s="0" t="n">
        <v>0</v>
      </c>
      <c r="RA317" s="0" t="n">
        <v>1.01</v>
      </c>
      <c r="RB317" s="0" t="n">
        <v>0.45</v>
      </c>
      <c r="RC317" s="0" t="n">
        <v>18.4</v>
      </c>
      <c r="RD317" s="0" t="n">
        <v>11.28</v>
      </c>
      <c r="RE317" s="0" t="n">
        <v>0</v>
      </c>
      <c r="RF317" s="0" t="n">
        <v>0</v>
      </c>
      <c r="RG317" s="0" t="n">
        <v>0</v>
      </c>
      <c r="RT317" s="0" t="n">
        <v>6</v>
      </c>
      <c r="RU317" s="0" t="n">
        <v>1</v>
      </c>
      <c r="RV317" s="0" t="n">
        <v>35</v>
      </c>
      <c r="RW317" s="0" t="n">
        <v>8</v>
      </c>
      <c r="RX317" s="0" t="n">
        <f aca="false">0.25+0.25+0.25+0.13+0.13+0.13+0.13</f>
        <v>1.27</v>
      </c>
      <c r="RY317" s="0" t="n">
        <v>3</v>
      </c>
      <c r="SF317" s="18"/>
      <c r="SX317" s="0" t="n">
        <v>1</v>
      </c>
      <c r="SY317" s="0" t="n">
        <v>50</v>
      </c>
      <c r="SZ317" s="0" t="n">
        <v>2</v>
      </c>
      <c r="TA317" s="0" t="n">
        <f aca="false">0.76*2</f>
        <v>1.52</v>
      </c>
      <c r="TB317" s="0" t="n">
        <v>1</v>
      </c>
      <c r="UI317" s="16" t="n">
        <v>0.42</v>
      </c>
      <c r="UJ317" s="16" t="n">
        <v>1</v>
      </c>
      <c r="UK317" s="16" t="n">
        <v>1</v>
      </c>
      <c r="UL317" s="16"/>
      <c r="UM317" s="16" t="n">
        <f aca="false">0.68+0.68+0.03</f>
        <v>1.39</v>
      </c>
      <c r="UN317" s="16"/>
      <c r="UO317" s="16"/>
      <c r="UP317" s="16"/>
      <c r="UQ317" s="16"/>
      <c r="UR317" s="16"/>
      <c r="US317" s="16"/>
      <c r="UT317" s="16" t="n">
        <v>5.21</v>
      </c>
      <c r="UU317" s="16" t="n">
        <v>7.05</v>
      </c>
      <c r="UV317" s="16"/>
      <c r="UW317" s="16"/>
      <c r="UX317" s="16" t="n">
        <v>0</v>
      </c>
      <c r="UY317" s="16" t="n">
        <v>0</v>
      </c>
      <c r="UZ317" s="16" t="n">
        <v>0</v>
      </c>
      <c r="VA317" s="0" t="n">
        <v>0</v>
      </c>
      <c r="VB317" s="0" t="s">
        <v>504</v>
      </c>
      <c r="VC317" s="0" t="n">
        <v>65.5</v>
      </c>
      <c r="VD317" s="16" t="n">
        <v>92.2</v>
      </c>
      <c r="VE317" s="16" t="n">
        <v>80.4</v>
      </c>
      <c r="VF317" s="16" t="n">
        <v>61.7</v>
      </c>
      <c r="VG317" s="0" t="n">
        <v>22.46</v>
      </c>
      <c r="VH317" s="17" t="n">
        <v>0</v>
      </c>
      <c r="VI317" s="0" t="n">
        <v>0</v>
      </c>
      <c r="VJ317" s="0" t="n">
        <v>0</v>
      </c>
      <c r="VK317" s="0" t="n">
        <v>0</v>
      </c>
      <c r="VL317" s="0" t="n">
        <v>0</v>
      </c>
      <c r="VM317" s="0" t="n">
        <v>70.92</v>
      </c>
      <c r="VN317" s="0" t="n">
        <v>9.4</v>
      </c>
      <c r="VO317" s="0" t="n">
        <v>33.69</v>
      </c>
      <c r="VP317" s="0" t="n">
        <v>0</v>
      </c>
      <c r="VQ317" s="0" t="n">
        <v>0</v>
      </c>
      <c r="VR317" s="0" t="n">
        <v>14.46</v>
      </c>
      <c r="VS317" s="0" t="n">
        <v>11.32</v>
      </c>
      <c r="VT317" s="0" t="n">
        <v>6.58</v>
      </c>
      <c r="VU317" s="0" t="n">
        <v>8.88</v>
      </c>
      <c r="VV317" s="0" t="n">
        <v>6.62</v>
      </c>
      <c r="VW317" s="0" t="n">
        <v>0</v>
      </c>
      <c r="VX317" s="0" t="n">
        <v>0</v>
      </c>
      <c r="WK317" s="0" t="n">
        <v>3.2</v>
      </c>
      <c r="WL317" s="0" t="n">
        <v>0</v>
      </c>
      <c r="WW317" s="18"/>
      <c r="XO317" s="0" t="n">
        <v>1</v>
      </c>
      <c r="XP317" s="0" t="n">
        <v>60</v>
      </c>
      <c r="XQ317" s="0" t="n">
        <v>2</v>
      </c>
      <c r="XR317" s="0" t="n">
        <f aca="false">0.76*2</f>
        <v>1.52</v>
      </c>
      <c r="XS317" s="0" t="n">
        <v>3</v>
      </c>
      <c r="YZ317" s="16" t="n">
        <v>0.63</v>
      </c>
      <c r="ZA317" s="16" t="n">
        <v>1</v>
      </c>
      <c r="ZB317" s="16" t="n">
        <v>1</v>
      </c>
      <c r="ZC317" s="16"/>
      <c r="ZD317" s="16" t="n">
        <v>3.17</v>
      </c>
      <c r="ZE317" s="16"/>
      <c r="ZF317" s="16"/>
      <c r="ZG317" s="16"/>
      <c r="ZH317" s="16"/>
      <c r="ZI317" s="16"/>
      <c r="ZJ317" s="16"/>
      <c r="ZK317" s="16" t="n">
        <v>0</v>
      </c>
      <c r="ZL317" s="16" t="n">
        <v>0</v>
      </c>
      <c r="ZM317" s="16"/>
      <c r="ZN317" s="16"/>
      <c r="ZO317" s="16" t="n">
        <v>0</v>
      </c>
      <c r="ZP317" s="16" t="n">
        <v>0</v>
      </c>
      <c r="ZQ317" s="16" t="n">
        <v>0</v>
      </c>
      <c r="ZR317" s="0" t="n">
        <v>0</v>
      </c>
      <c r="ZS317" s="0" t="s">
        <v>505</v>
      </c>
      <c r="ZT317" s="0" t="n">
        <v>59</v>
      </c>
      <c r="ZU317" s="16" t="n">
        <v>90.4</v>
      </c>
      <c r="ZV317" s="16" t="n">
        <v>80.4</v>
      </c>
      <c r="ZW317" s="16" t="n">
        <v>54.7</v>
      </c>
      <c r="ZX317" s="0" t="n">
        <v>26.42</v>
      </c>
      <c r="ZY317" s="17" t="n">
        <v>0</v>
      </c>
      <c r="ZZ317" s="0" t="n">
        <v>0</v>
      </c>
      <c r="AAA317" s="0" t="n">
        <v>0</v>
      </c>
      <c r="AAB317" s="0" t="n">
        <v>0</v>
      </c>
      <c r="AAC317" s="0" t="n">
        <v>0</v>
      </c>
      <c r="AAD317" s="0" t="n">
        <v>66.96</v>
      </c>
      <c r="AAE317" s="0" t="n">
        <v>6.55</v>
      </c>
      <c r="AAF317" s="0" t="n">
        <v>30.83</v>
      </c>
      <c r="AAG317" s="0" t="n">
        <v>0</v>
      </c>
      <c r="AAH317" s="0" t="n">
        <v>0</v>
      </c>
      <c r="AAI317" s="0" t="n">
        <v>14.46</v>
      </c>
      <c r="AAJ317" s="0" t="n">
        <v>11.57</v>
      </c>
      <c r="AAK317" s="0" t="n">
        <v>6.5</v>
      </c>
      <c r="AAL317" s="0" t="n">
        <v>6.03</v>
      </c>
      <c r="AAM317" s="0" t="n">
        <v>6.62</v>
      </c>
      <c r="AAN317" s="0" t="n">
        <v>0</v>
      </c>
      <c r="AAO317" s="0" t="n">
        <v>0</v>
      </c>
      <c r="ABB317" s="0" t="n">
        <v>3.2</v>
      </c>
      <c r="ABC317" s="0" t="n">
        <v>0</v>
      </c>
      <c r="ABN317" s="18"/>
      <c r="ACF317" s="0" t="n">
        <v>1</v>
      </c>
      <c r="ACG317" s="0" t="n">
        <v>60</v>
      </c>
      <c r="ACH317" s="0" t="n">
        <v>2</v>
      </c>
      <c r="ACI317" s="0" t="n">
        <v>1.52</v>
      </c>
      <c r="ACJ317" s="0" t="n">
        <v>3</v>
      </c>
      <c r="ADQ317" s="16" t="n">
        <v>0.63</v>
      </c>
      <c r="ADR317" s="16" t="n">
        <v>1</v>
      </c>
      <c r="ADS317" s="16" t="n">
        <v>1</v>
      </c>
      <c r="ADT317" s="16"/>
      <c r="ADU317" s="16" t="n">
        <v>3.17</v>
      </c>
      <c r="ADV317" s="16"/>
      <c r="ADW317" s="16"/>
      <c r="ADX317" s="16"/>
      <c r="ADY317" s="16"/>
      <c r="ADZ317" s="16"/>
      <c r="AEA317" s="16"/>
      <c r="AEB317" s="16" t="n">
        <v>0</v>
      </c>
      <c r="AEC317" s="16" t="n">
        <v>0</v>
      </c>
      <c r="AED317" s="16"/>
      <c r="AEE317" s="16"/>
      <c r="AEF317" s="16" t="n">
        <v>0</v>
      </c>
      <c r="AEG317" s="16" t="n">
        <v>0</v>
      </c>
      <c r="AEH317" s="16" t="n">
        <v>0</v>
      </c>
      <c r="AEI317" s="0" t="n">
        <v>0</v>
      </c>
      <c r="AEK317" s="15"/>
      <c r="AEL317" s="15"/>
      <c r="AES317" s="15"/>
      <c r="AET317" s="15"/>
      <c r="AFA317" s="15"/>
      <c r="AFB317" s="15"/>
      <c r="AFI317" s="15"/>
      <c r="AFJ317" s="15"/>
      <c r="AFQ317" s="15"/>
      <c r="AFR317" s="15"/>
      <c r="AFY317" s="15"/>
      <c r="AFZ317" s="15"/>
      <c r="AGG317" s="15"/>
      <c r="AGH317" s="15"/>
      <c r="AGO317" s="15"/>
      <c r="AGP317" s="15"/>
      <c r="AGW317" s="15"/>
      <c r="AGX317" s="15"/>
      <c r="AHE317" s="15"/>
      <c r="AHF317" s="15"/>
      <c r="AHM317" s="15"/>
      <c r="AHN317" s="15"/>
      <c r="AHU317" s="15"/>
      <c r="AHV317" s="15"/>
      <c r="AIC317" s="15"/>
      <c r="AID317" s="15"/>
      <c r="AIK317" s="15"/>
      <c r="AIL317" s="15"/>
      <c r="AIS317" s="15"/>
      <c r="AIT317" s="15"/>
      <c r="AJA317" s="15"/>
      <c r="AJB317" s="15"/>
      <c r="AJI317" s="15"/>
      <c r="AJJ317" s="15"/>
      <c r="AJQ317" s="15"/>
      <c r="AJR317" s="15"/>
      <c r="AJY317" s="15"/>
      <c r="AJZ317" s="15"/>
      <c r="AKG317" s="15"/>
      <c r="AKH317" s="15"/>
      <c r="AKO317" s="15"/>
      <c r="AKP317" s="15"/>
      <c r="AKW317" s="15"/>
      <c r="AKX317" s="15"/>
      <c r="ALE317" s="15"/>
      <c r="ALF317" s="15"/>
      <c r="ALM317" s="15"/>
      <c r="ALN317" s="15"/>
      <c r="ALU317" s="15"/>
      <c r="ALV317" s="15"/>
      <c r="AMC317" s="15"/>
      <c r="AMD317" s="15"/>
    </row>
    <row r="318" customFormat="false" ht="13.8" hidden="false" customHeight="false" outlineLevel="0" collapsed="false">
      <c r="A318" s="1" t="s">
        <v>896</v>
      </c>
      <c r="B318" s="12" t="n">
        <v>42905</v>
      </c>
      <c r="C318" s="0" t="n">
        <v>1</v>
      </c>
      <c r="D318" s="13" t="n">
        <v>40738</v>
      </c>
      <c r="E318" s="12" t="n">
        <v>26334</v>
      </c>
      <c r="F318" s="14" t="n">
        <f aca="false">(B318-E318)/365.25</f>
        <v>45.3689253935661</v>
      </c>
      <c r="G318" s="14" t="n">
        <f aca="false">(B318-D318)/365.25</f>
        <v>5.93292265571526</v>
      </c>
      <c r="H318" s="19" t="s">
        <v>181</v>
      </c>
      <c r="I318" s="15" t="s">
        <v>496</v>
      </c>
      <c r="J318" s="15" t="s">
        <v>181</v>
      </c>
      <c r="K318" s="15" t="n">
        <v>8</v>
      </c>
      <c r="L318" s="19" t="n">
        <v>80</v>
      </c>
      <c r="M318" s="0" t="n">
        <v>1.77</v>
      </c>
      <c r="N318" s="16" t="n">
        <f aca="false">L318/(M318*M318)</f>
        <v>25.5354463915222</v>
      </c>
      <c r="O318" s="19" t="n">
        <v>1</v>
      </c>
      <c r="P318" s="19" t="n">
        <v>1</v>
      </c>
      <c r="Q318" s="19" t="s">
        <v>897</v>
      </c>
      <c r="R318" s="26" t="n">
        <v>0</v>
      </c>
      <c r="S318" s="26" t="n">
        <v>0</v>
      </c>
      <c r="T318" s="26" t="n">
        <v>0</v>
      </c>
      <c r="U318" s="19" t="n">
        <v>0</v>
      </c>
      <c r="V318" s="19" t="n">
        <v>0</v>
      </c>
      <c r="W318" s="19" t="n">
        <v>0</v>
      </c>
      <c r="X318" s="19" t="n">
        <v>0</v>
      </c>
      <c r="Y318" s="19" t="n">
        <v>0</v>
      </c>
      <c r="Z318" s="19" t="n">
        <v>0</v>
      </c>
      <c r="AA318" s="19" t="n">
        <v>0</v>
      </c>
      <c r="AB318" s="19" t="n">
        <v>0</v>
      </c>
      <c r="AC318" s="19" t="n">
        <v>0</v>
      </c>
      <c r="AD318" s="19" t="n">
        <v>0</v>
      </c>
      <c r="AE318" s="19" t="n">
        <v>1</v>
      </c>
      <c r="AF318" s="19" t="n">
        <v>0</v>
      </c>
      <c r="AG318" s="19" t="n">
        <v>0</v>
      </c>
      <c r="AH318" s="19" t="n">
        <v>0</v>
      </c>
      <c r="AI318" s="19" t="n">
        <v>1</v>
      </c>
      <c r="AJ318" s="19" t="n">
        <v>1</v>
      </c>
      <c r="AK318" s="19" t="n">
        <v>3</v>
      </c>
      <c r="AL318" s="19" t="n">
        <v>9</v>
      </c>
      <c r="AM318" s="19" t="n">
        <v>6</v>
      </c>
      <c r="AN318" s="19" t="n">
        <v>2</v>
      </c>
      <c r="AO318" s="19" t="n">
        <v>0</v>
      </c>
      <c r="AP318" s="19" t="n">
        <v>0</v>
      </c>
      <c r="AQ318" s="19" t="n">
        <v>0</v>
      </c>
      <c r="AR318" s="19" t="n">
        <v>0</v>
      </c>
      <c r="AS318" s="19" t="n">
        <v>3</v>
      </c>
      <c r="AT318" s="19" t="n">
        <v>0</v>
      </c>
      <c r="AU318" s="19" t="n">
        <v>3</v>
      </c>
      <c r="AV318" s="19" t="n">
        <v>6</v>
      </c>
      <c r="AW318" s="19" t="n">
        <v>6</v>
      </c>
      <c r="AX318" s="19" t="n">
        <v>0</v>
      </c>
      <c r="AY318" s="19" t="n">
        <v>0</v>
      </c>
      <c r="AZ318" s="19" t="n">
        <v>0</v>
      </c>
      <c r="BA318" s="19" t="n">
        <v>0</v>
      </c>
      <c r="BB318" s="19" t="n">
        <v>0</v>
      </c>
      <c r="BC318" s="19" t="n">
        <v>0</v>
      </c>
      <c r="BD318" s="19" t="n">
        <v>0</v>
      </c>
      <c r="BE318" s="19" t="n">
        <v>0</v>
      </c>
      <c r="BF318" s="19" t="n">
        <v>0</v>
      </c>
      <c r="BG318" s="19" t="n">
        <v>0</v>
      </c>
      <c r="BH318" s="19" t="n">
        <v>0</v>
      </c>
      <c r="BI318" s="19" t="n">
        <v>0</v>
      </c>
      <c r="BJ318" s="19" t="n">
        <v>1</v>
      </c>
      <c r="BK318" s="19" t="n">
        <v>0</v>
      </c>
      <c r="BL318" s="19" t="n">
        <v>1</v>
      </c>
      <c r="BM318" s="19" t="n">
        <v>5</v>
      </c>
      <c r="BN318" s="19" t="n">
        <v>0</v>
      </c>
      <c r="BO318" s="19" t="n">
        <v>0</v>
      </c>
      <c r="BP318" s="19" t="n">
        <v>0</v>
      </c>
      <c r="BQ318" s="19" t="n">
        <v>0</v>
      </c>
      <c r="BR318" s="19" t="n">
        <v>3</v>
      </c>
      <c r="BS318" s="19" t="n">
        <v>3</v>
      </c>
      <c r="BT318" s="19" t="n">
        <v>5</v>
      </c>
      <c r="BU318" s="19" t="n">
        <v>5</v>
      </c>
      <c r="BV318" s="19" t="n">
        <v>2</v>
      </c>
      <c r="BW318" s="19" t="n">
        <v>4</v>
      </c>
      <c r="BX318" s="19" t="n">
        <v>3</v>
      </c>
      <c r="BY318" s="19" t="n">
        <v>5</v>
      </c>
      <c r="BZ318" s="19" t="n">
        <v>3</v>
      </c>
      <c r="CA318" s="19" t="n">
        <v>4</v>
      </c>
      <c r="CB318" s="19" t="n">
        <v>4</v>
      </c>
      <c r="CC318" s="19" t="n">
        <v>5</v>
      </c>
      <c r="CD318" s="19" t="n">
        <v>2</v>
      </c>
      <c r="CE318" s="19" t="n">
        <v>4</v>
      </c>
      <c r="CF318" s="19" t="n">
        <v>5</v>
      </c>
      <c r="CG318" s="19" t="n">
        <v>5</v>
      </c>
      <c r="CH318" s="19" t="n">
        <v>4</v>
      </c>
      <c r="CI318" s="19" t="n">
        <v>5</v>
      </c>
      <c r="CJ318" s="19" t="n">
        <v>5</v>
      </c>
      <c r="CK318" s="19" t="n">
        <v>9</v>
      </c>
      <c r="CL318" s="0" t="s">
        <v>498</v>
      </c>
      <c r="CM318" s="0" t="n">
        <v>33</v>
      </c>
      <c r="CN318" s="16" t="n">
        <v>71.2</v>
      </c>
      <c r="CO318" s="16" t="n">
        <v>80.4</v>
      </c>
      <c r="CP318" s="16" t="n">
        <v>16.3</v>
      </c>
      <c r="CQ318" s="0" t="n">
        <v>83.24</v>
      </c>
      <c r="CR318" s="17" t="n">
        <v>0</v>
      </c>
      <c r="CS318" s="0" t="n">
        <v>0</v>
      </c>
      <c r="CT318" s="0" t="n">
        <v>0</v>
      </c>
      <c r="CU318" s="0" t="n">
        <v>14.14</v>
      </c>
      <c r="CV318" s="0" t="n">
        <v>0</v>
      </c>
      <c r="CW318" s="0" t="n">
        <v>2.63</v>
      </c>
      <c r="CX318" s="0" t="n">
        <v>0</v>
      </c>
      <c r="CY318" s="0" t="n">
        <v>0</v>
      </c>
      <c r="CZ318" s="0" t="n">
        <v>0</v>
      </c>
      <c r="DA318" s="0" t="n">
        <v>0</v>
      </c>
      <c r="DB318" s="0" t="n">
        <v>2.63</v>
      </c>
      <c r="DC318" s="0" t="n">
        <v>10.16</v>
      </c>
      <c r="DD318" s="0" t="n">
        <v>20.83</v>
      </c>
      <c r="DE318" s="0" t="n">
        <v>24.81</v>
      </c>
      <c r="DF318" s="0" t="n">
        <v>0</v>
      </c>
      <c r="DG318" s="0" t="n">
        <v>11.2</v>
      </c>
      <c r="DH318" s="0" t="n">
        <v>1</v>
      </c>
      <c r="DI318" s="0" t="n">
        <v>5</v>
      </c>
      <c r="DK318" s="0" t="n">
        <v>1</v>
      </c>
      <c r="DO318" s="0" t="n">
        <v>5</v>
      </c>
      <c r="DQ318" s="0" t="n">
        <v>1</v>
      </c>
      <c r="DU318" s="0" t="n">
        <v>0</v>
      </c>
      <c r="DV318" s="0" t="n">
        <v>0</v>
      </c>
      <c r="EG318" s="18"/>
      <c r="EY318" s="0" t="n">
        <v>0</v>
      </c>
      <c r="GJ318" s="16" t="n">
        <v>2.71</v>
      </c>
      <c r="GK318" s="16" t="n">
        <v>1</v>
      </c>
      <c r="GL318" s="16" t="n">
        <v>1</v>
      </c>
      <c r="GM318" s="16"/>
      <c r="GN318" s="16" t="n">
        <f aca="false">2.11*4+0.52*2</f>
        <v>9.48</v>
      </c>
      <c r="GO318" s="16"/>
      <c r="GP318" s="16"/>
      <c r="GQ318" s="16"/>
      <c r="GR318" s="16"/>
      <c r="GS318" s="16"/>
      <c r="GT318" s="16"/>
      <c r="GU318" s="16" t="n">
        <v>2.63</v>
      </c>
      <c r="GV318" s="16" t="n">
        <v>2.6</v>
      </c>
      <c r="GW318" s="16" t="n">
        <v>0</v>
      </c>
      <c r="GX318" s="16" t="n">
        <v>0</v>
      </c>
      <c r="GY318" s="16" t="n">
        <v>0</v>
      </c>
      <c r="GZ318" s="16" t="n">
        <v>0</v>
      </c>
      <c r="HA318" s="16" t="n">
        <v>0</v>
      </c>
      <c r="HB318" s="0" t="n">
        <v>0</v>
      </c>
      <c r="HC318" s="0" t="s">
        <v>499</v>
      </c>
      <c r="HD318" s="0" t="n">
        <v>40</v>
      </c>
      <c r="HE318" s="16" t="n">
        <v>79.7</v>
      </c>
      <c r="HF318" s="16" t="n">
        <v>80.4</v>
      </c>
      <c r="HG318" s="16" t="n">
        <v>11.2</v>
      </c>
      <c r="HH318" s="0" t="n">
        <v>91.23</v>
      </c>
      <c r="HI318" s="17" t="n">
        <v>0</v>
      </c>
      <c r="HJ318" s="0" t="n">
        <v>0</v>
      </c>
      <c r="HK318" s="0" t="n">
        <v>0</v>
      </c>
      <c r="HL318" s="0" t="n">
        <v>8.77</v>
      </c>
      <c r="HM318" s="0" t="n">
        <v>0</v>
      </c>
      <c r="HN318" s="0" t="n">
        <v>0</v>
      </c>
      <c r="HO318" s="0" t="n">
        <v>0</v>
      </c>
      <c r="HP318" s="0" t="n">
        <v>0</v>
      </c>
      <c r="HQ318" s="0" t="n">
        <v>0</v>
      </c>
      <c r="HR318" s="0" t="n">
        <v>0</v>
      </c>
      <c r="HS318" s="0" t="n">
        <v>0</v>
      </c>
      <c r="HT318" s="0" t="n">
        <v>18.64</v>
      </c>
      <c r="HU318" s="0" t="n">
        <v>42.82</v>
      </c>
      <c r="HV318" s="0" t="n">
        <v>4.61</v>
      </c>
      <c r="HW318" s="0" t="n">
        <v>0</v>
      </c>
      <c r="HX318" s="0" t="n">
        <v>0</v>
      </c>
      <c r="HY318" s="0" t="n">
        <v>0</v>
      </c>
      <c r="IL318" s="0" t="n">
        <v>23.2</v>
      </c>
      <c r="IM318" s="0" t="n">
        <v>1</v>
      </c>
      <c r="IN318" s="0" t="n">
        <v>35</v>
      </c>
      <c r="IO318" s="0" t="n">
        <f aca="false">2+4+2+2+2+4+2+2+1</f>
        <v>21</v>
      </c>
      <c r="IP318" s="0" t="n">
        <f aca="false">1.52+1.49+0.78*2+0.27+0.43+0.12+0.13</f>
        <v>5.52</v>
      </c>
      <c r="IQ318" s="0" t="n">
        <v>3</v>
      </c>
      <c r="IR318" s="0" t="n">
        <v>10</v>
      </c>
      <c r="IS318" s="0" t="n">
        <v>1</v>
      </c>
      <c r="IT318" s="0" t="n">
        <v>0.1</v>
      </c>
      <c r="IU318" s="0" t="n">
        <v>5</v>
      </c>
      <c r="IV318" s="0" t="n">
        <v>25</v>
      </c>
      <c r="IW318" s="0" t="n">
        <v>8</v>
      </c>
      <c r="IX318" s="18" t="n">
        <f aca="false">0.19*2+0.1</f>
        <v>0.48</v>
      </c>
      <c r="IY318" s="0" t="n">
        <v>1</v>
      </c>
      <c r="JP318" s="0" t="n">
        <v>0</v>
      </c>
      <c r="LA318" s="16" t="n">
        <v>1.52</v>
      </c>
      <c r="LB318" s="16" t="n">
        <v>1</v>
      </c>
      <c r="LC318" s="16" t="n">
        <v>1</v>
      </c>
      <c r="LD318" s="16"/>
      <c r="LE318" s="16" t="n">
        <f aca="false">2.11*2+0.19*3+0.1</f>
        <v>4.89</v>
      </c>
      <c r="LF318" s="16"/>
      <c r="LG318" s="16"/>
      <c r="LH318" s="16"/>
      <c r="LI318" s="16"/>
      <c r="LJ318" s="16"/>
      <c r="LK318" s="16"/>
      <c r="LL318" s="16" t="n">
        <v>0</v>
      </c>
      <c r="LM318" s="16" t="n">
        <v>0</v>
      </c>
      <c r="LN318" s="16" t="n">
        <v>0</v>
      </c>
      <c r="LO318" s="16" t="n">
        <v>0</v>
      </c>
      <c r="LP318" s="16" t="n">
        <v>0</v>
      </c>
      <c r="LQ318" s="16" t="n">
        <v>0</v>
      </c>
      <c r="LR318" s="16" t="n">
        <v>0.06</v>
      </c>
      <c r="LS318" s="0" t="n">
        <v>0</v>
      </c>
      <c r="LT318" s="0" t="s">
        <v>500</v>
      </c>
      <c r="LU318" s="0" t="n">
        <v>48</v>
      </c>
      <c r="LV318" s="16" t="n">
        <v>69.7</v>
      </c>
      <c r="LW318" s="16" t="n">
        <v>80.4</v>
      </c>
      <c r="LX318" s="16" t="n">
        <v>44.5</v>
      </c>
      <c r="LY318" s="0" t="n">
        <v>13.55</v>
      </c>
      <c r="LZ318" s="17" t="n">
        <v>0</v>
      </c>
      <c r="MA318" s="0" t="n">
        <v>0</v>
      </c>
      <c r="MB318" s="0" t="n">
        <v>0</v>
      </c>
      <c r="MC318" s="0" t="n">
        <v>0.1</v>
      </c>
      <c r="MD318" s="0" t="n">
        <v>0</v>
      </c>
      <c r="ME318" s="0" t="n">
        <v>86.34</v>
      </c>
      <c r="MF318" s="0" t="n">
        <v>13.26</v>
      </c>
      <c r="MG318" s="0" t="n">
        <v>28.53</v>
      </c>
      <c r="MH318" s="0" t="n">
        <v>0</v>
      </c>
      <c r="MI318" s="0" t="n">
        <v>0</v>
      </c>
      <c r="MJ318" s="0" t="n">
        <v>0.78</v>
      </c>
      <c r="MK318" s="0" t="n">
        <v>3.48</v>
      </c>
      <c r="ML318" s="0" t="n">
        <v>11.45</v>
      </c>
      <c r="MM318" s="0" t="n">
        <v>6.85</v>
      </c>
      <c r="MN318" s="0" t="n">
        <v>0</v>
      </c>
      <c r="MO318" s="0" t="n">
        <v>0</v>
      </c>
      <c r="MP318" s="0" t="n">
        <v>0</v>
      </c>
      <c r="NC318" s="0" t="n">
        <v>0</v>
      </c>
      <c r="ND318" s="0" t="n">
        <v>0</v>
      </c>
      <c r="NO318" s="18"/>
      <c r="OG318" s="0" t="n">
        <v>0</v>
      </c>
      <c r="PR318" s="16" t="n">
        <v>0.75</v>
      </c>
      <c r="PS318" s="16" t="n">
        <v>1</v>
      </c>
      <c r="PT318" s="16" t="n">
        <v>1</v>
      </c>
      <c r="PU318" s="16"/>
      <c r="PV318" s="16" t="n">
        <f aca="false">2.11+0.37</f>
        <v>2.48</v>
      </c>
      <c r="PW318" s="16"/>
      <c r="PX318" s="16"/>
      <c r="PY318" s="16"/>
      <c r="PZ318" s="16"/>
      <c r="QA318" s="16"/>
      <c r="QB318" s="16"/>
      <c r="QC318" s="16" t="n">
        <v>2.66</v>
      </c>
      <c r="QD318" s="16" t="n">
        <v>2.64</v>
      </c>
      <c r="QE318" s="16" t="n">
        <v>0</v>
      </c>
      <c r="QF318" s="16" t="n">
        <v>0</v>
      </c>
      <c r="QG318" s="16" t="n">
        <v>0</v>
      </c>
      <c r="QH318" s="16" t="n">
        <v>0</v>
      </c>
      <c r="QI318" s="16" t="n">
        <v>0</v>
      </c>
      <c r="QJ318" s="0" t="n">
        <v>0</v>
      </c>
      <c r="QK318" s="0" t="s">
        <v>501</v>
      </c>
      <c r="QL318" s="0" t="n">
        <v>58</v>
      </c>
      <c r="QM318" s="16" t="n">
        <v>79.9</v>
      </c>
      <c r="QN318" s="16" t="n">
        <v>80.4</v>
      </c>
      <c r="QO318" s="16" t="n">
        <v>43.6</v>
      </c>
      <c r="QP318" s="0" t="n">
        <v>26.15</v>
      </c>
      <c r="QQ318" s="17" t="n">
        <v>0</v>
      </c>
      <c r="QR318" s="0" t="n">
        <v>0</v>
      </c>
      <c r="QS318" s="0" t="n">
        <v>0</v>
      </c>
      <c r="QT318" s="0" t="n">
        <v>0</v>
      </c>
      <c r="QU318" s="0" t="n">
        <v>0</v>
      </c>
      <c r="QV318" s="0" t="n">
        <v>73.85</v>
      </c>
      <c r="QW318" s="0" t="n">
        <v>18.43</v>
      </c>
      <c r="QX318" s="0" t="n">
        <v>20.42</v>
      </c>
      <c r="QY318" s="0" t="n">
        <v>0</v>
      </c>
      <c r="QZ318" s="0" t="n">
        <v>0</v>
      </c>
      <c r="RA318" s="0" t="n">
        <v>2.44</v>
      </c>
      <c r="RB318" s="0" t="n">
        <v>0.13</v>
      </c>
      <c r="RC318" s="0" t="n">
        <v>9.71</v>
      </c>
      <c r="RD318" s="0" t="n">
        <v>18.31</v>
      </c>
      <c r="RE318" s="0" t="n">
        <v>0</v>
      </c>
      <c r="RF318" s="0" t="n">
        <v>0</v>
      </c>
      <c r="RG318" s="0" t="n">
        <v>0</v>
      </c>
      <c r="RT318" s="0" t="n">
        <v>9.1</v>
      </c>
      <c r="RU318" s="0" t="n">
        <v>1</v>
      </c>
      <c r="RV318" s="0" t="n">
        <v>68</v>
      </c>
      <c r="RW318" s="0" t="n">
        <v>1</v>
      </c>
      <c r="RX318" s="0" t="n">
        <v>0.05</v>
      </c>
      <c r="RY318" s="0" t="n">
        <v>1</v>
      </c>
      <c r="RZ318" s="0" t="n">
        <v>35</v>
      </c>
      <c r="SA318" s="0" t="n">
        <v>3</v>
      </c>
      <c r="SB318" s="0" t="n">
        <f aca="false">0.76+0.64</f>
        <v>1.4</v>
      </c>
      <c r="SC318" s="0" t="n">
        <v>3</v>
      </c>
      <c r="SD318" s="0" t="n">
        <v>47</v>
      </c>
      <c r="SE318" s="0" t="n">
        <v>2</v>
      </c>
      <c r="SF318" s="18" t="n">
        <v>0.23</v>
      </c>
      <c r="SG318" s="0" t="n">
        <v>3</v>
      </c>
      <c r="SX318" s="0" t="n">
        <v>1</v>
      </c>
      <c r="SY318" s="0" t="n">
        <v>60</v>
      </c>
      <c r="SZ318" s="0" t="n">
        <v>2</v>
      </c>
      <c r="TA318" s="0" t="n">
        <v>0.26</v>
      </c>
      <c r="TB318" s="0" t="n">
        <v>3</v>
      </c>
      <c r="UI318" s="16" t="n">
        <v>0</v>
      </c>
      <c r="UJ318" s="16" t="n">
        <v>0</v>
      </c>
      <c r="UK318" s="16"/>
      <c r="UL318" s="16"/>
      <c r="UM318" s="16"/>
      <c r="UN318" s="16"/>
      <c r="UO318" s="16"/>
      <c r="UP318" s="16"/>
      <c r="UQ318" s="16"/>
      <c r="UR318" s="16"/>
      <c r="US318" s="16"/>
      <c r="UT318" s="16" t="n">
        <v>1.97</v>
      </c>
      <c r="UU318" s="16" t="n">
        <v>1.24</v>
      </c>
      <c r="UV318" s="16" t="n">
        <v>0</v>
      </c>
      <c r="UW318" s="16" t="n">
        <v>0</v>
      </c>
      <c r="UX318" s="16" t="n">
        <v>0</v>
      </c>
      <c r="UY318" s="16" t="n">
        <v>0</v>
      </c>
      <c r="UZ318" s="16" t="n">
        <v>3</v>
      </c>
      <c r="VA318" s="0" t="n">
        <v>0</v>
      </c>
      <c r="VB318" s="0" t="s">
        <v>502</v>
      </c>
      <c r="VC318" s="0" t="n">
        <v>34.5</v>
      </c>
      <c r="VD318" s="16" t="n">
        <v>53.2</v>
      </c>
      <c r="VE318" s="16" t="n">
        <v>80.4</v>
      </c>
      <c r="VF318" s="16" t="n">
        <v>8.3</v>
      </c>
      <c r="VG318" s="0" t="n">
        <v>99.94</v>
      </c>
      <c r="VH318" s="17" t="n">
        <v>0</v>
      </c>
      <c r="VI318" s="0" t="n">
        <v>0</v>
      </c>
      <c r="VJ318" s="0" t="n">
        <v>0</v>
      </c>
      <c r="VK318" s="0" t="n">
        <v>0</v>
      </c>
      <c r="VL318" s="0" t="n">
        <v>0</v>
      </c>
      <c r="VM318" s="0" t="n">
        <v>0</v>
      </c>
      <c r="VN318" s="0" t="n">
        <v>0</v>
      </c>
      <c r="VO318" s="0" t="n">
        <v>0</v>
      </c>
      <c r="VP318" s="0" t="n">
        <v>0</v>
      </c>
      <c r="VQ318" s="0" t="n">
        <v>0</v>
      </c>
      <c r="VR318" s="0" t="n">
        <v>0</v>
      </c>
      <c r="VS318" s="0" t="n">
        <v>9.15</v>
      </c>
      <c r="VT318" s="0" t="n">
        <v>18.41</v>
      </c>
      <c r="VU318" s="0" t="n">
        <v>11.73</v>
      </c>
      <c r="VV318" s="0" t="n">
        <v>0</v>
      </c>
      <c r="VW318" s="0" t="n">
        <v>0</v>
      </c>
      <c r="VX318" s="0" t="n">
        <v>0</v>
      </c>
      <c r="WK318" s="0" t="n">
        <v>11.9</v>
      </c>
      <c r="WL318" s="0" t="n">
        <v>1</v>
      </c>
      <c r="WM318" s="0" t="n">
        <v>47</v>
      </c>
      <c r="WN318" s="0" t="n">
        <v>3</v>
      </c>
      <c r="WO318" s="0" t="n">
        <v>1.52</v>
      </c>
      <c r="WP318" s="0" t="n">
        <v>2</v>
      </c>
      <c r="WW318" s="18"/>
      <c r="XO318" s="0" t="n">
        <v>0</v>
      </c>
      <c r="YZ318" s="16" t="n">
        <v>5.7</v>
      </c>
      <c r="ZA318" s="16" t="n">
        <v>1</v>
      </c>
      <c r="ZB318" s="16" t="n">
        <v>1</v>
      </c>
      <c r="ZC318" s="16"/>
      <c r="ZD318" s="16" t="n">
        <f aca="false">2.11+2.11+0.05+0.05+0.37</f>
        <v>4.69</v>
      </c>
      <c r="ZE318" s="16" t="n">
        <v>2</v>
      </c>
      <c r="ZF318" s="16"/>
      <c r="ZG318" s="16" t="n">
        <f aca="false">3.17+3.17+0.56+0.56+0.33</f>
        <v>7.79</v>
      </c>
      <c r="ZH318" s="16"/>
      <c r="ZI318" s="16"/>
      <c r="ZJ318" s="16"/>
      <c r="ZK318" s="16" t="n">
        <v>0</v>
      </c>
      <c r="ZL318" s="16" t="n">
        <v>0</v>
      </c>
      <c r="ZM318" s="16"/>
      <c r="ZN318" s="16"/>
      <c r="ZO318" s="16" t="n">
        <v>5.97</v>
      </c>
      <c r="ZP318" s="16" t="n">
        <v>0</v>
      </c>
      <c r="ZQ318" s="16" t="n">
        <v>0</v>
      </c>
      <c r="ZR318" s="0" t="n">
        <v>1</v>
      </c>
      <c r="ZS318" s="0" t="s">
        <v>503</v>
      </c>
      <c r="ZT318" s="0" t="n">
        <v>47</v>
      </c>
      <c r="ZU318" s="16" t="n">
        <v>54.1</v>
      </c>
      <c r="ZV318" s="16" t="n">
        <v>80.4</v>
      </c>
      <c r="ZW318" s="16" t="n">
        <v>34.5</v>
      </c>
      <c r="ZX318" s="0" t="n">
        <v>71.45</v>
      </c>
      <c r="ZY318" s="17" t="n">
        <v>0</v>
      </c>
      <c r="ZZ318" s="0" t="n">
        <v>21.93</v>
      </c>
      <c r="AAA318" s="0" t="n">
        <v>6.49</v>
      </c>
      <c r="AAB318" s="0" t="n">
        <v>0.12</v>
      </c>
      <c r="AAC318" s="0" t="n">
        <v>0</v>
      </c>
      <c r="AAD318" s="0" t="n">
        <v>0</v>
      </c>
      <c r="AAE318" s="0" t="n">
        <v>0</v>
      </c>
      <c r="AAF318" s="0" t="n">
        <v>0</v>
      </c>
      <c r="AAG318" s="0" t="n">
        <v>0</v>
      </c>
      <c r="AAH318" s="0" t="n">
        <v>0</v>
      </c>
      <c r="AAI318" s="0" t="n">
        <v>1.01</v>
      </c>
      <c r="AAJ318" s="0" t="n">
        <v>0.45</v>
      </c>
      <c r="AAK318" s="0" t="n">
        <v>18.4</v>
      </c>
      <c r="AAL318" s="0" t="n">
        <v>11.28</v>
      </c>
      <c r="AAM318" s="0" t="n">
        <v>0</v>
      </c>
      <c r="AAN318" s="0" t="n">
        <v>0</v>
      </c>
      <c r="AAO318" s="0" t="n">
        <v>0</v>
      </c>
      <c r="ABB318" s="0" t="n">
        <v>6</v>
      </c>
      <c r="ABC318" s="0" t="n">
        <v>1</v>
      </c>
      <c r="ABD318" s="0" t="n">
        <v>35</v>
      </c>
      <c r="ABE318" s="0" t="n">
        <v>8</v>
      </c>
      <c r="ABF318" s="0" t="n">
        <f aca="false">0.25+0.25+0.25+0.13+0.13+0.13+0.13</f>
        <v>1.27</v>
      </c>
      <c r="ABG318" s="0" t="n">
        <v>3</v>
      </c>
      <c r="ABN318" s="18"/>
      <c r="ACF318" s="0" t="n">
        <v>1</v>
      </c>
      <c r="ACG318" s="0" t="n">
        <v>50</v>
      </c>
      <c r="ACH318" s="0" t="n">
        <v>2</v>
      </c>
      <c r="ACI318" s="0" t="n">
        <f aca="false">0.76*2</f>
        <v>1.52</v>
      </c>
      <c r="ACJ318" s="0" t="n">
        <v>1</v>
      </c>
      <c r="ADQ318" s="16" t="n">
        <v>0.42</v>
      </c>
      <c r="ADR318" s="16" t="n">
        <v>1</v>
      </c>
      <c r="ADS318" s="16" t="n">
        <v>1</v>
      </c>
      <c r="ADT318" s="16"/>
      <c r="ADU318" s="16" t="n">
        <f aca="false">0.68+0.68+0.03</f>
        <v>1.39</v>
      </c>
      <c r="ADV318" s="16"/>
      <c r="ADW318" s="16"/>
      <c r="ADX318" s="16"/>
      <c r="ADY318" s="16"/>
      <c r="ADZ318" s="16"/>
      <c r="AEA318" s="16"/>
      <c r="AEB318" s="16" t="n">
        <v>5.21</v>
      </c>
      <c r="AEC318" s="16" t="n">
        <v>7.05</v>
      </c>
      <c r="AED318" s="16"/>
      <c r="AEE318" s="16"/>
      <c r="AEF318" s="16" t="n">
        <v>0</v>
      </c>
      <c r="AEG318" s="16" t="n">
        <v>0</v>
      </c>
      <c r="AEH318" s="16" t="n">
        <v>0</v>
      </c>
      <c r="AEI318" s="0" t="n">
        <v>0</v>
      </c>
      <c r="AEJ318" s="0" t="s">
        <v>504</v>
      </c>
      <c r="AEK318" s="0" t="n">
        <v>65.5</v>
      </c>
      <c r="AEL318" s="16" t="n">
        <v>92.2</v>
      </c>
      <c r="AEM318" s="16" t="n">
        <v>80.4</v>
      </c>
      <c r="AEN318" s="16" t="n">
        <v>61.7</v>
      </c>
      <c r="AEO318" s="0" t="n">
        <v>22.46</v>
      </c>
      <c r="AEP318" s="17" t="n">
        <v>0</v>
      </c>
      <c r="AEQ318" s="0" t="n">
        <v>0</v>
      </c>
      <c r="AER318" s="0" t="n">
        <v>0</v>
      </c>
      <c r="AES318" s="0" t="n">
        <v>0</v>
      </c>
      <c r="AET318" s="0" t="n">
        <v>0</v>
      </c>
      <c r="AEU318" s="0" t="n">
        <v>70.92</v>
      </c>
      <c r="AEV318" s="0" t="n">
        <v>9.4</v>
      </c>
      <c r="AEW318" s="0" t="n">
        <v>33.69</v>
      </c>
      <c r="AEX318" s="0" t="n">
        <v>0</v>
      </c>
      <c r="AEY318" s="0" t="n">
        <v>0</v>
      </c>
      <c r="AEZ318" s="0" t="n">
        <v>14.46</v>
      </c>
      <c r="AFA318" s="0" t="n">
        <v>11.32</v>
      </c>
      <c r="AFB318" s="0" t="n">
        <v>6.58</v>
      </c>
      <c r="AFC318" s="0" t="n">
        <v>8.88</v>
      </c>
      <c r="AFD318" s="0" t="n">
        <v>6.62</v>
      </c>
      <c r="AFE318" s="0" t="n">
        <v>0</v>
      </c>
      <c r="AFF318" s="0" t="n">
        <v>0</v>
      </c>
      <c r="AFS318" s="0" t="n">
        <v>3.2</v>
      </c>
      <c r="AFT318" s="0" t="n">
        <v>0</v>
      </c>
      <c r="AGE318" s="18"/>
      <c r="AGW318" s="0" t="n">
        <v>1</v>
      </c>
      <c r="AGX318" s="0" t="n">
        <v>60</v>
      </c>
      <c r="AGY318" s="0" t="n">
        <v>2</v>
      </c>
      <c r="AGZ318" s="0" t="n">
        <f aca="false">0.76*2</f>
        <v>1.52</v>
      </c>
      <c r="AHA318" s="0" t="n">
        <v>3</v>
      </c>
      <c r="AIH318" s="16" t="n">
        <v>0.63</v>
      </c>
      <c r="AII318" s="16" t="n">
        <v>1</v>
      </c>
      <c r="AIJ318" s="16" t="n">
        <v>1</v>
      </c>
      <c r="AIK318" s="16"/>
      <c r="AIL318" s="16" t="n">
        <v>3.17</v>
      </c>
      <c r="AIM318" s="16"/>
      <c r="AIN318" s="16"/>
      <c r="AIO318" s="16"/>
      <c r="AIP318" s="16"/>
      <c r="AIQ318" s="16"/>
      <c r="AIR318" s="16"/>
      <c r="AIS318" s="16" t="n">
        <v>0</v>
      </c>
      <c r="AIT318" s="16" t="n">
        <v>0</v>
      </c>
      <c r="AIU318" s="16"/>
      <c r="AIV318" s="16"/>
      <c r="AIW318" s="16" t="n">
        <v>0</v>
      </c>
      <c r="AIX318" s="16" t="n">
        <v>0</v>
      </c>
      <c r="AIY318" s="16" t="n">
        <v>0</v>
      </c>
      <c r="AIZ318" s="0" t="n">
        <v>0</v>
      </c>
      <c r="AJA318" s="0" t="s">
        <v>505</v>
      </c>
      <c r="AJB318" s="0" t="n">
        <v>59</v>
      </c>
      <c r="AJC318" s="16" t="n">
        <v>90.4</v>
      </c>
      <c r="AJD318" s="16" t="n">
        <v>80.4</v>
      </c>
      <c r="AJE318" s="16" t="n">
        <v>54.7</v>
      </c>
      <c r="AJF318" s="0" t="n">
        <v>26.42</v>
      </c>
      <c r="AJG318" s="17" t="n">
        <v>0</v>
      </c>
      <c r="AJH318" s="0" t="n">
        <v>0</v>
      </c>
      <c r="AJI318" s="0" t="n">
        <v>0</v>
      </c>
      <c r="AJJ318" s="0" t="n">
        <v>0</v>
      </c>
      <c r="AJK318" s="0" t="n">
        <v>0</v>
      </c>
      <c r="AJL318" s="0" t="n">
        <v>66.96</v>
      </c>
      <c r="AJM318" s="0" t="n">
        <v>6.55</v>
      </c>
      <c r="AJN318" s="0" t="n">
        <v>30.83</v>
      </c>
      <c r="AJO318" s="0" t="n">
        <v>0</v>
      </c>
      <c r="AJP318" s="0" t="n">
        <v>0</v>
      </c>
      <c r="AJQ318" s="0" t="n">
        <v>14.46</v>
      </c>
      <c r="AJR318" s="0" t="n">
        <v>11.57</v>
      </c>
      <c r="AJS318" s="0" t="n">
        <v>6.5</v>
      </c>
      <c r="AJT318" s="0" t="n">
        <v>6.03</v>
      </c>
      <c r="AJU318" s="0" t="n">
        <v>6.62</v>
      </c>
      <c r="AJV318" s="0" t="n">
        <v>0</v>
      </c>
      <c r="AJW318" s="0" t="n">
        <v>0</v>
      </c>
      <c r="AKJ318" s="0" t="n">
        <v>3.2</v>
      </c>
      <c r="AKK318" s="0" t="n">
        <v>0</v>
      </c>
      <c r="AKV318" s="18"/>
      <c r="ALN318" s="0" t="n">
        <v>1</v>
      </c>
      <c r="ALO318" s="0" t="n">
        <v>60</v>
      </c>
      <c r="ALP318" s="0" t="n">
        <v>2</v>
      </c>
      <c r="ALQ318" s="0" t="n">
        <v>1.52</v>
      </c>
      <c r="ALR318" s="0" t="n">
        <v>3</v>
      </c>
    </row>
    <row r="319" customFormat="false" ht="13.8" hidden="false" customHeight="false" outlineLevel="0" collapsed="false">
      <c r="A319" s="1" t="s">
        <v>898</v>
      </c>
      <c r="B319" s="12" t="n">
        <v>42905</v>
      </c>
      <c r="C319" s="0" t="n">
        <v>2</v>
      </c>
      <c r="D319" s="13" t="n">
        <v>42801</v>
      </c>
      <c r="E319" s="12" t="n">
        <v>34735</v>
      </c>
      <c r="F319" s="14" t="n">
        <f aca="false">(B319-E319)/365.25</f>
        <v>22.3682409308693</v>
      </c>
      <c r="G319" s="14" t="n">
        <f aca="false">(B319-D319)/365.25</f>
        <v>0.284736481861739</v>
      </c>
      <c r="H319" s="19" t="s">
        <v>181</v>
      </c>
      <c r="I319" s="15" t="s">
        <v>496</v>
      </c>
      <c r="J319" s="15" t="s">
        <v>181</v>
      </c>
      <c r="K319" s="15" t="n">
        <v>8</v>
      </c>
      <c r="L319" s="19" t="n">
        <v>75</v>
      </c>
      <c r="M319" s="0" t="n">
        <v>1.75</v>
      </c>
      <c r="N319" s="16" t="n">
        <f aca="false">L319/(M319*M319)</f>
        <v>24.4897959183673</v>
      </c>
      <c r="O319" s="19" t="n">
        <v>0</v>
      </c>
      <c r="P319" s="19" t="n">
        <v>0</v>
      </c>
      <c r="Q319" s="19" t="n">
        <v>0</v>
      </c>
      <c r="R319" s="26" t="n">
        <v>0</v>
      </c>
      <c r="S319" s="26" t="n">
        <v>0</v>
      </c>
      <c r="T319" s="26" t="n">
        <v>0</v>
      </c>
      <c r="U319" s="19" t="n">
        <v>0</v>
      </c>
      <c r="V319" s="19" t="n">
        <v>0</v>
      </c>
      <c r="W319" s="19"/>
      <c r="X319" s="19"/>
      <c r="Y319" s="19" t="n">
        <v>1</v>
      </c>
      <c r="Z319" s="19" t="n">
        <v>1</v>
      </c>
      <c r="AA319" s="19" t="n">
        <v>120</v>
      </c>
      <c r="AB319" s="19" t="s">
        <v>899</v>
      </c>
      <c r="AC319" s="19" t="n">
        <v>0</v>
      </c>
      <c r="AD319" s="19" t="n">
        <v>0</v>
      </c>
      <c r="AE319" s="19" t="n">
        <v>0</v>
      </c>
      <c r="AF319" s="19" t="n">
        <v>0</v>
      </c>
      <c r="AG319" s="19" t="n">
        <v>0</v>
      </c>
      <c r="AH319" s="19" t="n">
        <v>0</v>
      </c>
      <c r="AI319" s="19" t="n">
        <v>0</v>
      </c>
      <c r="AJ319" s="19" t="n">
        <v>0</v>
      </c>
      <c r="AK319" s="19" t="n">
        <v>0</v>
      </c>
      <c r="AL319" s="19" t="n">
        <v>0</v>
      </c>
      <c r="AM319" s="19" t="n">
        <v>0</v>
      </c>
      <c r="AN319" s="19" t="n">
        <v>0</v>
      </c>
      <c r="AO319" s="19" t="n">
        <v>0</v>
      </c>
      <c r="AP319" s="19" t="n">
        <v>0</v>
      </c>
      <c r="AQ319" s="19" t="n">
        <v>0</v>
      </c>
      <c r="AR319" s="19" t="n">
        <v>0</v>
      </c>
      <c r="AS319" s="19" t="n">
        <v>1</v>
      </c>
      <c r="AT319" s="19" t="n">
        <v>0</v>
      </c>
      <c r="AU319" s="19" t="n">
        <v>3</v>
      </c>
      <c r="AV319" s="19" t="n">
        <v>7</v>
      </c>
      <c r="AW319" s="19" t="n">
        <v>3</v>
      </c>
      <c r="AX319" s="19" t="n">
        <v>0</v>
      </c>
      <c r="AY319" s="19" t="n">
        <v>0</v>
      </c>
      <c r="AZ319" s="19" t="n">
        <v>0</v>
      </c>
      <c r="BA319" s="19" t="n">
        <v>0</v>
      </c>
      <c r="BB319" s="19" t="n">
        <v>0</v>
      </c>
      <c r="BC319" s="19" t="n">
        <v>0</v>
      </c>
      <c r="BD319" s="19" t="n">
        <v>0</v>
      </c>
      <c r="BE319" s="19" t="n">
        <v>0</v>
      </c>
      <c r="BF319" s="19" t="n">
        <v>0</v>
      </c>
      <c r="BG319" s="19" t="n">
        <v>0</v>
      </c>
      <c r="BH319" s="19" t="n">
        <v>0</v>
      </c>
      <c r="BI319" s="19" t="n">
        <v>0</v>
      </c>
      <c r="BJ319" s="19" t="n">
        <v>1</v>
      </c>
      <c r="BK319" s="19" t="n">
        <v>0</v>
      </c>
      <c r="BL319" s="19" t="n">
        <v>1</v>
      </c>
      <c r="BM319" s="19" t="n">
        <v>8</v>
      </c>
      <c r="BN319" s="19" t="n">
        <v>1</v>
      </c>
      <c r="BO319" s="19" t="n">
        <v>0</v>
      </c>
      <c r="BP319" s="19" t="n">
        <v>1</v>
      </c>
      <c r="BQ319" s="19" t="n">
        <v>8</v>
      </c>
      <c r="BR319" s="19" t="n">
        <v>2</v>
      </c>
      <c r="BS319" s="19" t="n">
        <v>3</v>
      </c>
      <c r="BT319" s="19" t="n">
        <v>3</v>
      </c>
      <c r="BU319" s="19" t="n">
        <v>4</v>
      </c>
      <c r="BV319" s="19" t="n">
        <v>3</v>
      </c>
      <c r="BW319" s="19" t="n">
        <v>2</v>
      </c>
      <c r="BX319" s="19" t="n">
        <v>3</v>
      </c>
      <c r="BY319" s="19" t="n">
        <v>3</v>
      </c>
      <c r="BZ319" s="19" t="n">
        <v>4</v>
      </c>
      <c r="CA319" s="19" t="n">
        <v>4</v>
      </c>
      <c r="CB319" s="19" t="n">
        <v>4</v>
      </c>
      <c r="CC319" s="19" t="n">
        <v>5</v>
      </c>
      <c r="CD319" s="19" t="n">
        <v>3</v>
      </c>
      <c r="CE319" s="19" t="n">
        <v>4</v>
      </c>
      <c r="CF319" s="19" t="n">
        <v>5</v>
      </c>
      <c r="CG319" s="19" t="n">
        <v>5</v>
      </c>
      <c r="CH319" s="19" t="n">
        <v>4</v>
      </c>
      <c r="CI319" s="19" t="n">
        <v>5</v>
      </c>
      <c r="CJ319" s="19" t="n">
        <v>5</v>
      </c>
      <c r="CK319" s="19" t="n">
        <v>10</v>
      </c>
      <c r="CL319" s="0" t="s">
        <v>498</v>
      </c>
      <c r="CM319" s="0" t="n">
        <v>33</v>
      </c>
      <c r="CN319" s="16" t="n">
        <v>71.2</v>
      </c>
      <c r="CO319" s="16" t="n">
        <v>80.4</v>
      </c>
      <c r="CP319" s="16" t="n">
        <v>16.3</v>
      </c>
      <c r="CQ319" s="0" t="n">
        <v>83.24</v>
      </c>
      <c r="CR319" s="17" t="n">
        <v>0</v>
      </c>
      <c r="CS319" s="0" t="n">
        <v>0</v>
      </c>
      <c r="CT319" s="0" t="n">
        <v>0</v>
      </c>
      <c r="CU319" s="0" t="n">
        <v>14.14</v>
      </c>
      <c r="CV319" s="0" t="n">
        <v>0</v>
      </c>
      <c r="CW319" s="0" t="n">
        <v>2.63</v>
      </c>
      <c r="CX319" s="0" t="n">
        <v>0</v>
      </c>
      <c r="CY319" s="0" t="n">
        <v>0</v>
      </c>
      <c r="CZ319" s="0" t="n">
        <v>0</v>
      </c>
      <c r="DA319" s="0" t="n">
        <v>0</v>
      </c>
      <c r="DB319" s="0" t="n">
        <v>2.63</v>
      </c>
      <c r="DC319" s="0" t="n">
        <v>10.16</v>
      </c>
      <c r="DD319" s="0" t="n">
        <v>20.83</v>
      </c>
      <c r="DE319" s="0" t="n">
        <v>24.81</v>
      </c>
      <c r="DF319" s="0" t="n">
        <v>0</v>
      </c>
      <c r="DG319" s="0" t="n">
        <v>11.2</v>
      </c>
      <c r="DH319" s="0" t="n">
        <v>1</v>
      </c>
      <c r="DI319" s="0" t="n">
        <v>5</v>
      </c>
      <c r="DK319" s="0" t="n">
        <v>1</v>
      </c>
      <c r="DO319" s="0" t="n">
        <v>5</v>
      </c>
      <c r="DQ319" s="0" t="n">
        <v>1</v>
      </c>
      <c r="DU319" s="0" t="n">
        <v>0</v>
      </c>
      <c r="DV319" s="0" t="n">
        <v>0</v>
      </c>
      <c r="EG319" s="18"/>
      <c r="EY319" s="0" t="n">
        <v>0</v>
      </c>
      <c r="GJ319" s="16" t="n">
        <v>2.71</v>
      </c>
      <c r="GK319" s="16" t="n">
        <v>1</v>
      </c>
      <c r="GL319" s="16" t="n">
        <v>1</v>
      </c>
      <c r="GM319" s="16"/>
      <c r="GN319" s="16" t="n">
        <f aca="false">2.11*4+0.52*2</f>
        <v>9.48</v>
      </c>
      <c r="GO319" s="16"/>
      <c r="GP319" s="16"/>
      <c r="GQ319" s="16"/>
      <c r="GR319" s="16"/>
      <c r="GS319" s="16"/>
      <c r="GT319" s="16"/>
      <c r="GU319" s="16" t="n">
        <v>2.63</v>
      </c>
      <c r="GV319" s="16" t="n">
        <v>2.6</v>
      </c>
      <c r="GW319" s="16" t="n">
        <v>0</v>
      </c>
      <c r="GX319" s="16" t="n">
        <v>0</v>
      </c>
      <c r="GY319" s="16" t="n">
        <v>0</v>
      </c>
      <c r="GZ319" s="16" t="n">
        <v>0</v>
      </c>
      <c r="HA319" s="16" t="n">
        <v>0</v>
      </c>
      <c r="HB319" s="0" t="n">
        <v>0</v>
      </c>
      <c r="HC319" s="0" t="s">
        <v>500</v>
      </c>
      <c r="HD319" s="0" t="n">
        <v>48</v>
      </c>
      <c r="HE319" s="16" t="n">
        <v>69.7</v>
      </c>
      <c r="HF319" s="16" t="n">
        <v>80.4</v>
      </c>
      <c r="HG319" s="16" t="n">
        <v>44.5</v>
      </c>
      <c r="HH319" s="0" t="n">
        <v>13.55</v>
      </c>
      <c r="HI319" s="17" t="n">
        <v>0</v>
      </c>
      <c r="HJ319" s="0" t="n">
        <v>0</v>
      </c>
      <c r="HK319" s="0" t="n">
        <v>0</v>
      </c>
      <c r="HL319" s="0" t="n">
        <v>0.1</v>
      </c>
      <c r="HM319" s="0" t="n">
        <v>0</v>
      </c>
      <c r="HN319" s="0" t="n">
        <v>86.34</v>
      </c>
      <c r="HO319" s="0" t="n">
        <v>13.26</v>
      </c>
      <c r="HP319" s="0" t="n">
        <v>28.53</v>
      </c>
      <c r="HQ319" s="0" t="n">
        <v>0</v>
      </c>
      <c r="HR319" s="0" t="n">
        <v>0</v>
      </c>
      <c r="HS319" s="0" t="n">
        <v>0.78</v>
      </c>
      <c r="HT319" s="0" t="n">
        <v>3.48</v>
      </c>
      <c r="HU319" s="0" t="n">
        <v>11.45</v>
      </c>
      <c r="HV319" s="0" t="n">
        <v>6.85</v>
      </c>
      <c r="HW319" s="0" t="n">
        <v>0</v>
      </c>
      <c r="HX319" s="0" t="n">
        <v>0</v>
      </c>
      <c r="HY319" s="0" t="n">
        <v>0</v>
      </c>
      <c r="IL319" s="0" t="n">
        <v>0</v>
      </c>
      <c r="IM319" s="0" t="n">
        <v>0</v>
      </c>
      <c r="IX319" s="18"/>
      <c r="JP319" s="0" t="n">
        <v>0</v>
      </c>
      <c r="LA319" s="16" t="n">
        <v>0.75</v>
      </c>
      <c r="LB319" s="16" t="n">
        <v>1</v>
      </c>
      <c r="LC319" s="16" t="n">
        <v>1</v>
      </c>
      <c r="LD319" s="16"/>
      <c r="LE319" s="16" t="n">
        <f aca="false">2.11+0.37</f>
        <v>2.48</v>
      </c>
      <c r="LF319" s="16"/>
      <c r="LG319" s="16"/>
      <c r="LH319" s="16"/>
      <c r="LI319" s="16"/>
      <c r="LJ319" s="16"/>
      <c r="LK319" s="16"/>
      <c r="LL319" s="16" t="n">
        <v>2.66</v>
      </c>
      <c r="LM319" s="16" t="n">
        <v>2.64</v>
      </c>
      <c r="LN319" s="16" t="n">
        <v>0</v>
      </c>
      <c r="LO319" s="16" t="n">
        <v>0</v>
      </c>
      <c r="LP319" s="16" t="n">
        <v>0</v>
      </c>
      <c r="LQ319" s="16" t="n">
        <v>0</v>
      </c>
      <c r="LR319" s="16" t="n">
        <v>0</v>
      </c>
      <c r="LS319" s="0" t="n">
        <v>0</v>
      </c>
      <c r="LT319" s="0" t="s">
        <v>499</v>
      </c>
      <c r="LU319" s="0" t="n">
        <v>40</v>
      </c>
      <c r="LV319" s="16" t="n">
        <v>79.7</v>
      </c>
      <c r="LW319" s="16" t="n">
        <v>80.4</v>
      </c>
      <c r="LX319" s="16" t="n">
        <v>11.2</v>
      </c>
      <c r="LY319" s="0" t="n">
        <v>91.23</v>
      </c>
      <c r="LZ319" s="17" t="n">
        <v>0</v>
      </c>
      <c r="MA319" s="0" t="n">
        <v>0</v>
      </c>
      <c r="MB319" s="0" t="n">
        <v>0</v>
      </c>
      <c r="MC319" s="0" t="n">
        <v>8.77</v>
      </c>
      <c r="MD319" s="0" t="n">
        <v>0</v>
      </c>
      <c r="ME319" s="0" t="n">
        <v>0</v>
      </c>
      <c r="MF319" s="0" t="n">
        <v>0</v>
      </c>
      <c r="MG319" s="0" t="n">
        <v>0</v>
      </c>
      <c r="MH319" s="0" t="n">
        <v>0</v>
      </c>
      <c r="MI319" s="0" t="n">
        <v>0</v>
      </c>
      <c r="MJ319" s="0" t="n">
        <v>0</v>
      </c>
      <c r="MK319" s="0" t="n">
        <v>18.64</v>
      </c>
      <c r="ML319" s="0" t="n">
        <v>42.82</v>
      </c>
      <c r="MM319" s="0" t="n">
        <v>4.61</v>
      </c>
      <c r="MN319" s="0" t="n">
        <v>0</v>
      </c>
      <c r="MO319" s="0" t="n">
        <v>0</v>
      </c>
      <c r="MP319" s="0" t="n">
        <v>0</v>
      </c>
      <c r="NC319" s="0" t="n">
        <v>23.2</v>
      </c>
      <c r="ND319" s="0" t="n">
        <v>1</v>
      </c>
      <c r="NE319" s="0" t="n">
        <v>35</v>
      </c>
      <c r="NF319" s="0" t="n">
        <f aca="false">2+4+2+2+2+4+2+2+1</f>
        <v>21</v>
      </c>
      <c r="NG319" s="0" t="n">
        <f aca="false">1.52+1.49+0.78*2+0.27+0.43+0.12+0.13</f>
        <v>5.52</v>
      </c>
      <c r="NH319" s="0" t="n">
        <v>3</v>
      </c>
      <c r="NI319" s="0" t="n">
        <v>10</v>
      </c>
      <c r="NJ319" s="0" t="n">
        <v>1</v>
      </c>
      <c r="NK319" s="0" t="n">
        <v>0.1</v>
      </c>
      <c r="NL319" s="0" t="n">
        <v>5</v>
      </c>
      <c r="NM319" s="0" t="n">
        <v>25</v>
      </c>
      <c r="NN319" s="0" t="n">
        <v>8</v>
      </c>
      <c r="NO319" s="18" t="n">
        <f aca="false">0.19*2+0.1</f>
        <v>0.48</v>
      </c>
      <c r="NP319" s="0" t="n">
        <v>1</v>
      </c>
      <c r="OG319" s="0" t="n">
        <v>0</v>
      </c>
      <c r="PR319" s="16" t="n">
        <v>1.52</v>
      </c>
      <c r="PS319" s="16" t="n">
        <v>1</v>
      </c>
      <c r="PT319" s="16" t="n">
        <v>1</v>
      </c>
      <c r="PU319" s="16"/>
      <c r="PV319" s="16" t="n">
        <f aca="false">2.11*2+0.19*3+0.1</f>
        <v>4.89</v>
      </c>
      <c r="PW319" s="16"/>
      <c r="PX319" s="16"/>
      <c r="PY319" s="16"/>
      <c r="PZ319" s="16"/>
      <c r="QA319" s="16"/>
      <c r="QB319" s="16"/>
      <c r="QC319" s="16" t="n">
        <v>0</v>
      </c>
      <c r="QD319" s="16" t="n">
        <v>0</v>
      </c>
      <c r="QE319" s="16" t="n">
        <v>0</v>
      </c>
      <c r="QF319" s="16" t="n">
        <v>0</v>
      </c>
      <c r="QG319" s="16" t="n">
        <v>0</v>
      </c>
      <c r="QH319" s="16" t="n">
        <v>0</v>
      </c>
      <c r="QI319" s="16" t="n">
        <v>0.06</v>
      </c>
      <c r="QJ319" s="0" t="n">
        <v>0</v>
      </c>
      <c r="QK319" s="0" t="s">
        <v>501</v>
      </c>
      <c r="QL319" s="0" t="n">
        <v>58</v>
      </c>
      <c r="QM319" s="16" t="n">
        <v>79.9</v>
      </c>
      <c r="QN319" s="16" t="n">
        <v>80.4</v>
      </c>
      <c r="QO319" s="16" t="n">
        <v>43.6</v>
      </c>
      <c r="QP319" s="0" t="n">
        <v>26.15</v>
      </c>
      <c r="QQ319" s="17" t="n">
        <v>0</v>
      </c>
      <c r="QR319" s="0" t="n">
        <v>0</v>
      </c>
      <c r="QS319" s="0" t="n">
        <v>0</v>
      </c>
      <c r="QT319" s="0" t="n">
        <v>0</v>
      </c>
      <c r="QU319" s="0" t="n">
        <v>0</v>
      </c>
      <c r="QV319" s="0" t="n">
        <v>73.85</v>
      </c>
      <c r="QW319" s="0" t="n">
        <v>18.43</v>
      </c>
      <c r="QX319" s="0" t="n">
        <v>20.42</v>
      </c>
      <c r="QY319" s="0" t="n">
        <v>0</v>
      </c>
      <c r="QZ319" s="0" t="n">
        <v>0</v>
      </c>
      <c r="RA319" s="0" t="n">
        <v>2.44</v>
      </c>
      <c r="RB319" s="0" t="n">
        <v>0.13</v>
      </c>
      <c r="RC319" s="0" t="n">
        <v>9.71</v>
      </c>
      <c r="RD319" s="0" t="n">
        <v>18.31</v>
      </c>
      <c r="RE319" s="0" t="n">
        <v>0</v>
      </c>
      <c r="RF319" s="0" t="n">
        <v>0</v>
      </c>
      <c r="RG319" s="0" t="n">
        <v>0</v>
      </c>
      <c r="RT319" s="0" t="n">
        <v>9.1</v>
      </c>
      <c r="RU319" s="0" t="n">
        <v>1</v>
      </c>
      <c r="RV319" s="0" t="n">
        <v>68</v>
      </c>
      <c r="RW319" s="0" t="n">
        <v>1</v>
      </c>
      <c r="RX319" s="0" t="n">
        <v>0.05</v>
      </c>
      <c r="RY319" s="0" t="n">
        <v>1</v>
      </c>
      <c r="RZ319" s="0" t="n">
        <v>35</v>
      </c>
      <c r="SA319" s="0" t="n">
        <v>3</v>
      </c>
      <c r="SB319" s="0" t="n">
        <f aca="false">0.76+0.64</f>
        <v>1.4</v>
      </c>
      <c r="SC319" s="0" t="n">
        <v>3</v>
      </c>
      <c r="SD319" s="0" t="n">
        <v>47</v>
      </c>
      <c r="SE319" s="0" t="n">
        <v>2</v>
      </c>
      <c r="SF319" s="18" t="n">
        <v>0.23</v>
      </c>
      <c r="SG319" s="0" t="n">
        <v>3</v>
      </c>
      <c r="SX319" s="0" t="n">
        <v>1</v>
      </c>
      <c r="SY319" s="0" t="n">
        <v>60</v>
      </c>
      <c r="SZ319" s="0" t="n">
        <v>2</v>
      </c>
      <c r="TA319" s="0" t="n">
        <v>0.26</v>
      </c>
      <c r="TB319" s="0" t="n">
        <v>3</v>
      </c>
      <c r="UI319" s="16" t="n">
        <v>0</v>
      </c>
      <c r="UJ319" s="16" t="n">
        <v>0</v>
      </c>
      <c r="UK319" s="16"/>
      <c r="UL319" s="16"/>
      <c r="UM319" s="16"/>
      <c r="UN319" s="16"/>
      <c r="UO319" s="16"/>
      <c r="UP319" s="16"/>
      <c r="UQ319" s="16"/>
      <c r="UR319" s="16"/>
      <c r="US319" s="16"/>
      <c r="UT319" s="16" t="n">
        <v>1.97</v>
      </c>
      <c r="UU319" s="16" t="n">
        <v>1.24</v>
      </c>
      <c r="UV319" s="16" t="n">
        <v>0</v>
      </c>
      <c r="UW319" s="16" t="n">
        <v>0</v>
      </c>
      <c r="UX319" s="16" t="n">
        <v>0</v>
      </c>
      <c r="UY319" s="16" t="n">
        <v>0</v>
      </c>
      <c r="UZ319" s="16" t="n">
        <v>3</v>
      </c>
      <c r="VA319" s="0" t="n">
        <v>0</v>
      </c>
      <c r="VB319" s="0" t="s">
        <v>502</v>
      </c>
      <c r="VC319" s="0" t="n">
        <v>34.5</v>
      </c>
      <c r="VD319" s="16" t="n">
        <v>53.2</v>
      </c>
      <c r="VE319" s="16" t="n">
        <v>80.4</v>
      </c>
      <c r="VF319" s="16" t="n">
        <v>8.3</v>
      </c>
      <c r="VG319" s="0" t="n">
        <v>99.94</v>
      </c>
      <c r="VH319" s="17" t="n">
        <v>0</v>
      </c>
      <c r="VI319" s="0" t="n">
        <v>0</v>
      </c>
      <c r="VJ319" s="0" t="n">
        <v>0</v>
      </c>
      <c r="VK319" s="0" t="n">
        <v>0</v>
      </c>
      <c r="VL319" s="0" t="n">
        <v>0</v>
      </c>
      <c r="VM319" s="0" t="n">
        <v>0</v>
      </c>
      <c r="VN319" s="0" t="n">
        <v>0</v>
      </c>
      <c r="VO319" s="0" t="n">
        <v>0</v>
      </c>
      <c r="VP319" s="0" t="n">
        <v>0</v>
      </c>
      <c r="VQ319" s="0" t="n">
        <v>0</v>
      </c>
      <c r="VR319" s="0" t="n">
        <v>0</v>
      </c>
      <c r="VS319" s="0" t="n">
        <v>9.15</v>
      </c>
      <c r="VT319" s="0" t="n">
        <v>18.41</v>
      </c>
      <c r="VU319" s="0" t="n">
        <v>11.73</v>
      </c>
      <c r="VV319" s="0" t="n">
        <v>0</v>
      </c>
      <c r="VW319" s="0" t="n">
        <v>0</v>
      </c>
      <c r="VX319" s="0" t="n">
        <v>0</v>
      </c>
      <c r="WK319" s="0" t="n">
        <v>11.9</v>
      </c>
      <c r="WL319" s="0" t="n">
        <v>1</v>
      </c>
      <c r="WM319" s="0" t="n">
        <v>47</v>
      </c>
      <c r="WN319" s="0" t="n">
        <v>3</v>
      </c>
      <c r="WO319" s="0" t="n">
        <v>1.52</v>
      </c>
      <c r="WP319" s="0" t="n">
        <v>2</v>
      </c>
      <c r="WW319" s="18"/>
      <c r="XO319" s="0" t="n">
        <v>0</v>
      </c>
      <c r="YZ319" s="16" t="n">
        <v>5.7</v>
      </c>
      <c r="ZA319" s="16" t="n">
        <v>1</v>
      </c>
      <c r="ZB319" s="16" t="n">
        <v>1</v>
      </c>
      <c r="ZC319" s="16"/>
      <c r="ZD319" s="16" t="n">
        <f aca="false">2.11+2.11+0.05+0.05+0.37</f>
        <v>4.69</v>
      </c>
      <c r="ZE319" s="16" t="n">
        <v>2</v>
      </c>
      <c r="ZF319" s="16"/>
      <c r="ZG319" s="16" t="n">
        <f aca="false">3.17+3.17+0.56+0.56+0.33</f>
        <v>7.79</v>
      </c>
      <c r="ZH319" s="16"/>
      <c r="ZI319" s="16"/>
      <c r="ZJ319" s="16"/>
      <c r="ZK319" s="16" t="n">
        <v>0</v>
      </c>
      <c r="ZL319" s="16" t="n">
        <v>0</v>
      </c>
      <c r="ZM319" s="16"/>
      <c r="ZN319" s="16"/>
      <c r="ZO319" s="16" t="n">
        <v>5.97</v>
      </c>
      <c r="ZP319" s="16" t="n">
        <v>0</v>
      </c>
      <c r="ZQ319" s="16" t="n">
        <v>0</v>
      </c>
      <c r="ZR319" s="0" t="n">
        <v>1</v>
      </c>
      <c r="ZS319" s="0" t="s">
        <v>503</v>
      </c>
      <c r="ZT319" s="0" t="n">
        <v>47</v>
      </c>
      <c r="ZU319" s="16" t="n">
        <v>54.1</v>
      </c>
      <c r="ZV319" s="16" t="n">
        <v>80.4</v>
      </c>
      <c r="ZW319" s="16" t="n">
        <v>34.5</v>
      </c>
      <c r="ZX319" s="0" t="n">
        <v>71.45</v>
      </c>
      <c r="ZY319" s="17" t="n">
        <v>0</v>
      </c>
      <c r="ZZ319" s="0" t="n">
        <v>21.93</v>
      </c>
      <c r="AAA319" s="0" t="n">
        <v>6.49</v>
      </c>
      <c r="AAB319" s="0" t="n">
        <v>0.12</v>
      </c>
      <c r="AAC319" s="0" t="n">
        <v>0</v>
      </c>
      <c r="AAD319" s="0" t="n">
        <v>0</v>
      </c>
      <c r="AAE319" s="0" t="n">
        <v>0</v>
      </c>
      <c r="AAF319" s="0" t="n">
        <v>0</v>
      </c>
      <c r="AAG319" s="0" t="n">
        <v>0</v>
      </c>
      <c r="AAH319" s="0" t="n">
        <v>0</v>
      </c>
      <c r="AAI319" s="0" t="n">
        <v>1.01</v>
      </c>
      <c r="AAJ319" s="0" t="n">
        <v>0.45</v>
      </c>
      <c r="AAK319" s="0" t="n">
        <v>18.4</v>
      </c>
      <c r="AAL319" s="0" t="n">
        <v>11.28</v>
      </c>
      <c r="AAM319" s="0" t="n">
        <v>0</v>
      </c>
      <c r="AAN319" s="0" t="n">
        <v>0</v>
      </c>
      <c r="AAO319" s="0" t="n">
        <v>0</v>
      </c>
      <c r="ABB319" s="0" t="n">
        <v>6</v>
      </c>
      <c r="ABC319" s="0" t="n">
        <v>1</v>
      </c>
      <c r="ABD319" s="0" t="n">
        <v>35</v>
      </c>
      <c r="ABE319" s="0" t="n">
        <v>8</v>
      </c>
      <c r="ABF319" s="0" t="n">
        <f aca="false">0.25+0.25+0.25+0.13+0.13+0.13+0.13</f>
        <v>1.27</v>
      </c>
      <c r="ABG319" s="0" t="n">
        <v>3</v>
      </c>
      <c r="ABN319" s="18"/>
      <c r="ACF319" s="0" t="n">
        <v>1</v>
      </c>
      <c r="ACG319" s="0" t="n">
        <v>50</v>
      </c>
      <c r="ACH319" s="0" t="n">
        <v>2</v>
      </c>
      <c r="ACI319" s="0" t="n">
        <f aca="false">0.76*2</f>
        <v>1.52</v>
      </c>
      <c r="ACJ319" s="0" t="n">
        <v>1</v>
      </c>
      <c r="ADQ319" s="16" t="n">
        <v>0.42</v>
      </c>
      <c r="ADR319" s="16" t="n">
        <v>1</v>
      </c>
      <c r="ADS319" s="16" t="n">
        <v>1</v>
      </c>
      <c r="ADT319" s="16"/>
      <c r="ADU319" s="16" t="n">
        <f aca="false">0.68+0.68+0.03</f>
        <v>1.39</v>
      </c>
      <c r="ADV319" s="16"/>
      <c r="ADW319" s="16"/>
      <c r="ADX319" s="16"/>
      <c r="ADY319" s="16"/>
      <c r="ADZ319" s="16"/>
      <c r="AEA319" s="16"/>
      <c r="AEB319" s="16" t="n">
        <v>5.21</v>
      </c>
      <c r="AEC319" s="16" t="n">
        <v>7.05</v>
      </c>
      <c r="AED319" s="16"/>
      <c r="AEE319" s="16"/>
      <c r="AEF319" s="16" t="n">
        <v>0</v>
      </c>
      <c r="AEG319" s="16" t="n">
        <v>0</v>
      </c>
      <c r="AEH319" s="16" t="n">
        <v>0</v>
      </c>
      <c r="AEI319" s="0" t="n">
        <v>0</v>
      </c>
      <c r="AEJ319" s="0" t="s">
        <v>504</v>
      </c>
      <c r="AEK319" s="0" t="n">
        <v>65.5</v>
      </c>
      <c r="AEL319" s="16" t="n">
        <v>92.2</v>
      </c>
      <c r="AEM319" s="16" t="n">
        <v>80.4</v>
      </c>
      <c r="AEN319" s="16" t="n">
        <v>61.7</v>
      </c>
      <c r="AEO319" s="0" t="n">
        <v>22.46</v>
      </c>
      <c r="AEP319" s="17" t="n">
        <v>0</v>
      </c>
      <c r="AEQ319" s="0" t="n">
        <v>0</v>
      </c>
      <c r="AER319" s="0" t="n">
        <v>0</v>
      </c>
      <c r="AES319" s="0" t="n">
        <v>0</v>
      </c>
      <c r="AET319" s="0" t="n">
        <v>0</v>
      </c>
      <c r="AEU319" s="0" t="n">
        <v>70.92</v>
      </c>
      <c r="AEV319" s="0" t="n">
        <v>9.4</v>
      </c>
      <c r="AEW319" s="0" t="n">
        <v>33.69</v>
      </c>
      <c r="AEX319" s="0" t="n">
        <v>0</v>
      </c>
      <c r="AEY319" s="0" t="n">
        <v>0</v>
      </c>
      <c r="AEZ319" s="0" t="n">
        <v>14.46</v>
      </c>
      <c r="AFA319" s="0" t="n">
        <v>11.32</v>
      </c>
      <c r="AFB319" s="0" t="n">
        <v>6.58</v>
      </c>
      <c r="AFC319" s="0" t="n">
        <v>8.88</v>
      </c>
      <c r="AFD319" s="0" t="n">
        <v>6.62</v>
      </c>
      <c r="AFE319" s="0" t="n">
        <v>0</v>
      </c>
      <c r="AFF319" s="0" t="n">
        <v>0</v>
      </c>
      <c r="AFS319" s="0" t="n">
        <v>3.2</v>
      </c>
      <c r="AFT319" s="0" t="n">
        <v>0</v>
      </c>
      <c r="AGE319" s="18"/>
      <c r="AGW319" s="0" t="n">
        <v>1</v>
      </c>
      <c r="AGX319" s="0" t="n">
        <v>60</v>
      </c>
      <c r="AGY319" s="0" t="n">
        <v>2</v>
      </c>
      <c r="AGZ319" s="0" t="n">
        <f aca="false">0.76*2</f>
        <v>1.52</v>
      </c>
      <c r="AHA319" s="0" t="n">
        <v>3</v>
      </c>
      <c r="AIH319" s="16" t="n">
        <v>0.63</v>
      </c>
      <c r="AII319" s="16" t="n">
        <v>1</v>
      </c>
      <c r="AIJ319" s="16" t="n">
        <v>1</v>
      </c>
      <c r="AIK319" s="16"/>
      <c r="AIL319" s="16" t="n">
        <v>3.17</v>
      </c>
      <c r="AIM319" s="16"/>
      <c r="AIN319" s="16"/>
      <c r="AIO319" s="16"/>
      <c r="AIP319" s="16"/>
      <c r="AIQ319" s="16"/>
      <c r="AIR319" s="16"/>
      <c r="AIS319" s="16" t="n">
        <v>0</v>
      </c>
      <c r="AIT319" s="16" t="n">
        <v>0</v>
      </c>
      <c r="AIU319" s="16"/>
      <c r="AIV319" s="16"/>
      <c r="AIW319" s="16" t="n">
        <v>0</v>
      </c>
      <c r="AIX319" s="16" t="n">
        <v>0</v>
      </c>
      <c r="AIY319" s="16" t="n">
        <v>0</v>
      </c>
      <c r="AIZ319" s="0" t="n">
        <v>0</v>
      </c>
      <c r="AJA319" s="15"/>
      <c r="AJB319" s="15"/>
      <c r="AJD319" s="34"/>
      <c r="AJE319" s="34"/>
      <c r="AJH319" s="34"/>
      <c r="AJI319" s="15"/>
      <c r="AJJ319" s="15"/>
      <c r="AJL319" s="34"/>
      <c r="AJM319" s="34"/>
      <c r="AJP319" s="34"/>
      <c r="AJQ319" s="15"/>
      <c r="AJR319" s="15"/>
      <c r="AJT319" s="34"/>
      <c r="AJU319" s="34"/>
      <c r="AJX319" s="34"/>
      <c r="AJY319" s="15"/>
      <c r="AJZ319" s="15"/>
      <c r="AKB319" s="34"/>
      <c r="AKC319" s="34"/>
      <c r="AKF319" s="34"/>
      <c r="AKG319" s="15"/>
      <c r="AKH319" s="15"/>
      <c r="AKJ319" s="34"/>
      <c r="AKK319" s="34"/>
      <c r="AKN319" s="34"/>
      <c r="AKO319" s="15"/>
      <c r="AKP319" s="15"/>
      <c r="AKR319" s="34"/>
      <c r="AKS319" s="34"/>
      <c r="AKV319" s="34"/>
      <c r="AKW319" s="15"/>
      <c r="AKX319" s="15"/>
      <c r="AKZ319" s="34"/>
      <c r="ALA319" s="34"/>
      <c r="ALD319" s="34"/>
      <c r="ALE319" s="15"/>
      <c r="ALF319" s="15"/>
      <c r="ALH319" s="34"/>
      <c r="ALI319" s="34"/>
      <c r="ALL319" s="34"/>
      <c r="ALM319" s="15"/>
      <c r="ALN319" s="15"/>
      <c r="ALP319" s="34"/>
      <c r="ALQ319" s="34"/>
      <c r="ALT319" s="34"/>
      <c r="ALU319" s="15"/>
      <c r="ALV319" s="15"/>
      <c r="ALX319" s="34"/>
      <c r="ALY319" s="34"/>
      <c r="AMB319" s="34"/>
      <c r="AMC319" s="15"/>
      <c r="AMD319" s="15"/>
      <c r="AMF319" s="34"/>
      <c r="AMG319" s="34"/>
      <c r="AMJ319" s="34"/>
    </row>
    <row r="320" customFormat="false" ht="13.8" hidden="false" customHeight="false" outlineLevel="0" collapsed="false">
      <c r="A320" s="1" t="s">
        <v>900</v>
      </c>
      <c r="B320" s="12" t="n">
        <v>42907</v>
      </c>
      <c r="C320" s="0" t="n">
        <v>2</v>
      </c>
      <c r="D320" s="13" t="n">
        <v>42801</v>
      </c>
      <c r="E320" s="12" t="n">
        <v>33088</v>
      </c>
      <c r="F320" s="14" t="n">
        <f aca="false">(B320-E320)/365.25</f>
        <v>26.8829568788501</v>
      </c>
      <c r="G320" s="14" t="n">
        <f aca="false">(B320-D320)/365.25</f>
        <v>0.290212183436003</v>
      </c>
      <c r="H320" s="19" t="s">
        <v>181</v>
      </c>
      <c r="I320" s="15" t="s">
        <v>496</v>
      </c>
      <c r="J320" s="15" t="s">
        <v>181</v>
      </c>
      <c r="K320" s="15" t="n">
        <v>8</v>
      </c>
      <c r="L320" s="19" t="n">
        <v>69</v>
      </c>
      <c r="M320" s="0" t="n">
        <v>1.74</v>
      </c>
      <c r="N320" s="16" t="n">
        <f aca="false">L320/(M320*M320)</f>
        <v>22.7903289734443</v>
      </c>
      <c r="O320" s="19" t="n">
        <v>0</v>
      </c>
      <c r="P320" s="19" t="n">
        <v>0</v>
      </c>
      <c r="Q320" s="19" t="n">
        <v>0</v>
      </c>
      <c r="R320" s="26" t="n">
        <v>0</v>
      </c>
      <c r="S320" s="26" t="n">
        <v>0</v>
      </c>
      <c r="T320" s="26" t="n">
        <v>0</v>
      </c>
      <c r="U320" s="19" t="n">
        <v>0</v>
      </c>
      <c r="V320" s="19"/>
      <c r="W320" s="19" t="n">
        <v>0</v>
      </c>
      <c r="X320" s="19" t="n">
        <v>0</v>
      </c>
      <c r="Y320" s="19" t="n">
        <v>1</v>
      </c>
      <c r="Z320" s="19" t="n">
        <v>2</v>
      </c>
      <c r="AA320" s="19" t="n">
        <v>60</v>
      </c>
      <c r="AB320" s="19" t="s">
        <v>308</v>
      </c>
      <c r="AC320" s="19" t="n">
        <v>1</v>
      </c>
      <c r="AD320" s="19" t="n">
        <v>10</v>
      </c>
      <c r="AE320" s="19" t="n">
        <v>0</v>
      </c>
      <c r="AF320" s="19" t="n">
        <v>0</v>
      </c>
      <c r="AG320" s="19" t="n">
        <v>0</v>
      </c>
      <c r="AH320" s="19" t="n">
        <v>0</v>
      </c>
      <c r="AI320" s="19" t="n">
        <v>0</v>
      </c>
      <c r="AJ320" s="19" t="n">
        <v>0</v>
      </c>
      <c r="AK320" s="19" t="n">
        <v>0</v>
      </c>
      <c r="AL320" s="19" t="n">
        <v>0</v>
      </c>
      <c r="AM320" s="19" t="n">
        <v>0</v>
      </c>
      <c r="AN320" s="19" t="n">
        <v>0</v>
      </c>
      <c r="AO320" s="19" t="n">
        <v>0</v>
      </c>
      <c r="AP320" s="19" t="n">
        <v>0</v>
      </c>
      <c r="AQ320" s="19" t="n">
        <v>0</v>
      </c>
      <c r="AR320" s="19" t="n">
        <v>0</v>
      </c>
      <c r="AS320" s="19" t="n">
        <v>0</v>
      </c>
      <c r="AT320" s="19" t="n">
        <v>0</v>
      </c>
      <c r="AU320" s="19" t="n">
        <v>0</v>
      </c>
      <c r="AV320" s="19" t="n">
        <v>0</v>
      </c>
      <c r="AW320" s="19" t="n">
        <v>0</v>
      </c>
      <c r="AX320" s="19" t="n">
        <v>0</v>
      </c>
      <c r="AY320" s="19" t="n">
        <v>0</v>
      </c>
      <c r="AZ320" s="19" t="n">
        <v>0</v>
      </c>
      <c r="BA320" s="19" t="n">
        <v>0</v>
      </c>
      <c r="BB320" s="19" t="n">
        <v>0</v>
      </c>
      <c r="BC320" s="19" t="n">
        <v>0</v>
      </c>
      <c r="BD320" s="19" t="n">
        <v>0</v>
      </c>
      <c r="BE320" s="19" t="n">
        <v>0</v>
      </c>
      <c r="BF320" s="19" t="n">
        <v>0</v>
      </c>
      <c r="BG320" s="19" t="n">
        <v>0</v>
      </c>
      <c r="BH320" s="19" t="n">
        <v>0</v>
      </c>
      <c r="BI320" s="19" t="n">
        <v>0</v>
      </c>
      <c r="BJ320" s="19" t="n">
        <v>0</v>
      </c>
      <c r="BK320" s="19" t="n">
        <v>0</v>
      </c>
      <c r="BL320" s="19" t="n">
        <v>0</v>
      </c>
      <c r="BM320" s="19" t="n">
        <v>0</v>
      </c>
      <c r="BN320" s="19" t="n">
        <v>0</v>
      </c>
      <c r="BO320" s="19" t="n">
        <v>0</v>
      </c>
      <c r="BP320" s="19" t="n">
        <v>0</v>
      </c>
      <c r="BQ320" s="19" t="n">
        <v>0</v>
      </c>
      <c r="BR320" s="19" t="n">
        <v>1</v>
      </c>
      <c r="BS320" s="19" t="n">
        <v>2</v>
      </c>
      <c r="BT320" s="19" t="n">
        <v>3</v>
      </c>
      <c r="BU320" s="19" t="n">
        <v>5</v>
      </c>
      <c r="BV320" s="19" t="n">
        <v>2</v>
      </c>
      <c r="BW320" s="19" t="n">
        <v>2</v>
      </c>
      <c r="BX320" s="19" t="n">
        <v>5</v>
      </c>
      <c r="BY320" s="19" t="n">
        <v>4</v>
      </c>
      <c r="BZ320" s="19" t="n">
        <v>4</v>
      </c>
      <c r="CA320" s="19" t="n">
        <v>5</v>
      </c>
      <c r="CB320" s="19" t="n">
        <v>5</v>
      </c>
      <c r="CC320" s="19" t="n">
        <v>5</v>
      </c>
      <c r="CD320" s="19" t="n">
        <v>5</v>
      </c>
      <c r="CE320" s="19" t="n">
        <v>5</v>
      </c>
      <c r="CF320" s="19" t="n">
        <v>4</v>
      </c>
      <c r="CG320" s="19" t="n">
        <v>5</v>
      </c>
      <c r="CH320" s="19" t="n">
        <v>5</v>
      </c>
      <c r="CI320" s="19" t="n">
        <v>5</v>
      </c>
      <c r="CJ320" s="19" t="n">
        <v>5</v>
      </c>
      <c r="CK320" s="19" t="n">
        <v>10</v>
      </c>
      <c r="CL320" s="0" t="s">
        <v>498</v>
      </c>
      <c r="CM320" s="0" t="n">
        <v>33</v>
      </c>
      <c r="CN320" s="16" t="n">
        <v>71.2</v>
      </c>
      <c r="CO320" s="16" t="n">
        <v>80.4</v>
      </c>
      <c r="CP320" s="16" t="n">
        <v>16.3</v>
      </c>
      <c r="CQ320" s="0" t="n">
        <v>83.24</v>
      </c>
      <c r="CR320" s="17" t="n">
        <v>0</v>
      </c>
      <c r="CS320" s="0" t="n">
        <v>0</v>
      </c>
      <c r="CT320" s="0" t="n">
        <v>0</v>
      </c>
      <c r="CU320" s="0" t="n">
        <v>14.14</v>
      </c>
      <c r="CV320" s="0" t="n">
        <v>0</v>
      </c>
      <c r="CW320" s="0" t="n">
        <v>2.63</v>
      </c>
      <c r="CX320" s="0" t="n">
        <v>0</v>
      </c>
      <c r="CY320" s="0" t="n">
        <v>0</v>
      </c>
      <c r="CZ320" s="0" t="n">
        <v>0</v>
      </c>
      <c r="DA320" s="0" t="n">
        <v>0</v>
      </c>
      <c r="DB320" s="0" t="n">
        <v>2.63</v>
      </c>
      <c r="DC320" s="0" t="n">
        <v>10.16</v>
      </c>
      <c r="DD320" s="0" t="n">
        <v>20.83</v>
      </c>
      <c r="DE320" s="0" t="n">
        <v>24.81</v>
      </c>
      <c r="DF320" s="0" t="n">
        <v>0</v>
      </c>
      <c r="DG320" s="0" t="n">
        <v>11.2</v>
      </c>
      <c r="DH320" s="0" t="n">
        <v>1</v>
      </c>
      <c r="DI320" s="0" t="n">
        <v>5</v>
      </c>
      <c r="DK320" s="0" t="n">
        <v>1</v>
      </c>
      <c r="DO320" s="0" t="n">
        <v>5</v>
      </c>
      <c r="DQ320" s="0" t="n">
        <v>1</v>
      </c>
      <c r="DU320" s="0" t="n">
        <v>0</v>
      </c>
      <c r="DV320" s="0" t="n">
        <v>0</v>
      </c>
      <c r="EG320" s="18"/>
      <c r="EY320" s="0" t="n">
        <v>0</v>
      </c>
      <c r="GJ320" s="16" t="n">
        <v>2.71</v>
      </c>
      <c r="GK320" s="16" t="n">
        <v>1</v>
      </c>
      <c r="GL320" s="16" t="n">
        <v>1</v>
      </c>
      <c r="GM320" s="16"/>
      <c r="GN320" s="16" t="n">
        <f aca="false">2.11*4+0.52*2</f>
        <v>9.48</v>
      </c>
      <c r="GO320" s="16"/>
      <c r="GP320" s="16"/>
      <c r="GQ320" s="16"/>
      <c r="GR320" s="16"/>
      <c r="GS320" s="16"/>
      <c r="GT320" s="16"/>
      <c r="GU320" s="16" t="n">
        <v>2.63</v>
      </c>
      <c r="GV320" s="16" t="n">
        <v>2.6</v>
      </c>
      <c r="GW320" s="16" t="n">
        <v>0</v>
      </c>
      <c r="GX320" s="16" t="n">
        <v>0</v>
      </c>
      <c r="GY320" s="16" t="n">
        <v>0</v>
      </c>
      <c r="GZ320" s="16" t="n">
        <v>0</v>
      </c>
      <c r="HA320" s="16" t="n">
        <v>0</v>
      </c>
      <c r="HB320" s="0" t="n">
        <v>0</v>
      </c>
      <c r="HC320" s="0" t="s">
        <v>500</v>
      </c>
      <c r="HD320" s="0" t="n">
        <v>48</v>
      </c>
      <c r="HE320" s="16" t="n">
        <v>69.7</v>
      </c>
      <c r="HF320" s="16" t="n">
        <v>80.4</v>
      </c>
      <c r="HG320" s="16" t="n">
        <v>44.5</v>
      </c>
      <c r="HH320" s="0" t="n">
        <v>13.55</v>
      </c>
      <c r="HI320" s="17" t="n">
        <v>0</v>
      </c>
      <c r="HJ320" s="0" t="n">
        <v>0</v>
      </c>
      <c r="HK320" s="0" t="n">
        <v>0</v>
      </c>
      <c r="HL320" s="0" t="n">
        <v>0.1</v>
      </c>
      <c r="HM320" s="0" t="n">
        <v>0</v>
      </c>
      <c r="HN320" s="0" t="n">
        <v>86.34</v>
      </c>
      <c r="HO320" s="0" t="n">
        <v>13.26</v>
      </c>
      <c r="HP320" s="0" t="n">
        <v>28.53</v>
      </c>
      <c r="HQ320" s="0" t="n">
        <v>0</v>
      </c>
      <c r="HR320" s="0" t="n">
        <v>0</v>
      </c>
      <c r="HS320" s="0" t="n">
        <v>0.78</v>
      </c>
      <c r="HT320" s="0" t="n">
        <v>3.48</v>
      </c>
      <c r="HU320" s="0" t="n">
        <v>11.45</v>
      </c>
      <c r="HV320" s="0" t="n">
        <v>6.85</v>
      </c>
      <c r="HW320" s="0" t="n">
        <v>0</v>
      </c>
      <c r="HX320" s="0" t="n">
        <v>0</v>
      </c>
      <c r="HY320" s="0" t="n">
        <v>0</v>
      </c>
      <c r="IL320" s="0" t="n">
        <v>0</v>
      </c>
      <c r="IM320" s="0" t="n">
        <v>0</v>
      </c>
      <c r="IX320" s="18"/>
      <c r="JP320" s="0" t="n">
        <v>0</v>
      </c>
      <c r="LA320" s="16" t="n">
        <v>0.75</v>
      </c>
      <c r="LB320" s="16" t="n">
        <v>1</v>
      </c>
      <c r="LC320" s="16" t="n">
        <v>1</v>
      </c>
      <c r="LD320" s="16"/>
      <c r="LE320" s="16" t="n">
        <f aca="false">2.11+0.37</f>
        <v>2.48</v>
      </c>
      <c r="LF320" s="16"/>
      <c r="LG320" s="16"/>
      <c r="LH320" s="16"/>
      <c r="LI320" s="16"/>
      <c r="LJ320" s="16"/>
      <c r="LK320" s="16"/>
      <c r="LL320" s="16" t="n">
        <v>2.66</v>
      </c>
      <c r="LM320" s="16" t="n">
        <v>2.64</v>
      </c>
      <c r="LN320" s="16" t="n">
        <v>0</v>
      </c>
      <c r="LO320" s="16" t="n">
        <v>0</v>
      </c>
      <c r="LP320" s="16" t="n">
        <v>0</v>
      </c>
      <c r="LQ320" s="16" t="n">
        <v>0</v>
      </c>
      <c r="LR320" s="16" t="n">
        <v>0</v>
      </c>
      <c r="LS320" s="0" t="n">
        <v>0</v>
      </c>
      <c r="LT320" s="0" t="s">
        <v>502</v>
      </c>
      <c r="LU320" s="0" t="n">
        <v>34.5</v>
      </c>
      <c r="LV320" s="16" t="n">
        <v>53.2</v>
      </c>
      <c r="LW320" s="16" t="n">
        <v>80.4</v>
      </c>
      <c r="LX320" s="16" t="n">
        <v>8.3</v>
      </c>
      <c r="LY320" s="0" t="n">
        <v>99.94</v>
      </c>
      <c r="LZ320" s="17" t="n">
        <v>0</v>
      </c>
      <c r="MA320" s="0" t="n">
        <v>0</v>
      </c>
      <c r="MB320" s="0" t="n">
        <v>0</v>
      </c>
      <c r="MC320" s="0" t="n">
        <v>0</v>
      </c>
      <c r="MD320" s="0" t="n">
        <v>0</v>
      </c>
      <c r="ME320" s="0" t="n">
        <v>0</v>
      </c>
      <c r="MF320" s="0" t="n">
        <v>0</v>
      </c>
      <c r="MG320" s="0" t="n">
        <v>0</v>
      </c>
      <c r="MH320" s="0" t="n">
        <v>0</v>
      </c>
      <c r="MI320" s="0" t="n">
        <v>0</v>
      </c>
      <c r="MJ320" s="0" t="n">
        <v>0</v>
      </c>
      <c r="MK320" s="0" t="n">
        <v>9.15</v>
      </c>
      <c r="ML320" s="0" t="n">
        <v>18.41</v>
      </c>
      <c r="MM320" s="0" t="n">
        <v>11.73</v>
      </c>
      <c r="MN320" s="0" t="n">
        <v>0</v>
      </c>
      <c r="MO320" s="0" t="n">
        <v>0</v>
      </c>
      <c r="MP320" s="0" t="n">
        <v>0</v>
      </c>
      <c r="NC320" s="0" t="n">
        <v>11.9</v>
      </c>
      <c r="ND320" s="0" t="n">
        <v>1</v>
      </c>
      <c r="NE320" s="0" t="n">
        <v>47</v>
      </c>
      <c r="NF320" s="0" t="n">
        <v>3</v>
      </c>
      <c r="NG320" s="0" t="n">
        <v>1.52</v>
      </c>
      <c r="NH320" s="0" t="n">
        <v>2</v>
      </c>
      <c r="NO320" s="18"/>
      <c r="OG320" s="0" t="n">
        <v>0</v>
      </c>
      <c r="PR320" s="16" t="n">
        <v>5.7</v>
      </c>
      <c r="PS320" s="16" t="n">
        <v>1</v>
      </c>
      <c r="PT320" s="16" t="n">
        <v>1</v>
      </c>
      <c r="PU320" s="16"/>
      <c r="PV320" s="16" t="n">
        <f aca="false">2.11+2.11+0.05+0.05+0.37</f>
        <v>4.69</v>
      </c>
      <c r="PW320" s="16" t="n">
        <v>2</v>
      </c>
      <c r="PX320" s="16"/>
      <c r="PY320" s="16" t="n">
        <f aca="false">3.17+3.17+0.56+0.56+0.33</f>
        <v>7.79</v>
      </c>
      <c r="PZ320" s="16"/>
      <c r="QA320" s="16"/>
      <c r="QB320" s="16"/>
      <c r="QC320" s="16" t="n">
        <v>0</v>
      </c>
      <c r="QD320" s="16" t="n">
        <v>0</v>
      </c>
      <c r="QE320" s="16"/>
      <c r="QF320" s="16"/>
      <c r="QG320" s="16" t="n">
        <v>5.97</v>
      </c>
      <c r="QH320" s="16" t="n">
        <v>0</v>
      </c>
      <c r="QI320" s="16" t="n">
        <v>0</v>
      </c>
      <c r="QJ320" s="0" t="n">
        <v>1</v>
      </c>
      <c r="QK320" s="0" t="s">
        <v>503</v>
      </c>
      <c r="QL320" s="0" t="n">
        <v>47</v>
      </c>
      <c r="QM320" s="16" t="n">
        <v>54.1</v>
      </c>
      <c r="QN320" s="16" t="n">
        <v>80.4</v>
      </c>
      <c r="QO320" s="16" t="n">
        <v>34.5</v>
      </c>
      <c r="QP320" s="0" t="n">
        <v>71.45</v>
      </c>
      <c r="QQ320" s="17" t="n">
        <v>0</v>
      </c>
      <c r="QR320" s="0" t="n">
        <v>21.93</v>
      </c>
      <c r="QS320" s="0" t="n">
        <v>6.49</v>
      </c>
      <c r="QT320" s="0" t="n">
        <v>0.12</v>
      </c>
      <c r="QU320" s="0" t="n">
        <v>0</v>
      </c>
      <c r="QV320" s="0" t="n">
        <v>0</v>
      </c>
      <c r="QW320" s="0" t="n">
        <v>0</v>
      </c>
      <c r="QX320" s="0" t="n">
        <v>0</v>
      </c>
      <c r="QY320" s="0" t="n">
        <v>0</v>
      </c>
      <c r="QZ320" s="0" t="n">
        <v>0</v>
      </c>
      <c r="RA320" s="0" t="n">
        <v>1.01</v>
      </c>
      <c r="RB320" s="0" t="n">
        <v>0.45</v>
      </c>
      <c r="RC320" s="0" t="n">
        <v>18.4</v>
      </c>
      <c r="RD320" s="0" t="n">
        <v>11.28</v>
      </c>
      <c r="RE320" s="0" t="n">
        <v>0</v>
      </c>
      <c r="RF320" s="0" t="n">
        <v>0</v>
      </c>
      <c r="RG320" s="0" t="n">
        <v>0</v>
      </c>
      <c r="RT320" s="0" t="n">
        <v>6</v>
      </c>
      <c r="RU320" s="0" t="n">
        <v>1</v>
      </c>
      <c r="RV320" s="0" t="n">
        <v>35</v>
      </c>
      <c r="RW320" s="0" t="n">
        <v>8</v>
      </c>
      <c r="RX320" s="0" t="n">
        <f aca="false">0.25+0.25+0.25+0.13+0.13+0.13+0.13</f>
        <v>1.27</v>
      </c>
      <c r="RY320" s="0" t="n">
        <v>3</v>
      </c>
      <c r="SF320" s="18"/>
      <c r="SX320" s="0" t="n">
        <v>1</v>
      </c>
      <c r="SY320" s="0" t="n">
        <v>50</v>
      </c>
      <c r="SZ320" s="0" t="n">
        <v>2</v>
      </c>
      <c r="TA320" s="0" t="n">
        <f aca="false">0.76*2</f>
        <v>1.52</v>
      </c>
      <c r="TB320" s="0" t="n">
        <v>1</v>
      </c>
      <c r="UI320" s="16" t="n">
        <v>0.42</v>
      </c>
      <c r="UJ320" s="16" t="n">
        <v>1</v>
      </c>
      <c r="UK320" s="16" t="n">
        <v>1</v>
      </c>
      <c r="UL320" s="16"/>
      <c r="UM320" s="16" t="n">
        <f aca="false">0.68+0.68+0.03</f>
        <v>1.39</v>
      </c>
      <c r="UN320" s="16"/>
      <c r="UO320" s="16"/>
      <c r="UP320" s="16"/>
      <c r="UQ320" s="16"/>
      <c r="UR320" s="16"/>
      <c r="US320" s="16"/>
      <c r="UT320" s="16" t="n">
        <v>5.21</v>
      </c>
      <c r="UU320" s="16" t="n">
        <v>7.05</v>
      </c>
      <c r="UV320" s="16"/>
      <c r="UW320" s="16"/>
      <c r="UX320" s="16" t="n">
        <v>0</v>
      </c>
      <c r="UY320" s="16" t="n">
        <v>0</v>
      </c>
      <c r="UZ320" s="16" t="n">
        <v>0</v>
      </c>
      <c r="VA320" s="0" t="n">
        <v>0</v>
      </c>
      <c r="VB320" s="0" t="s">
        <v>505</v>
      </c>
      <c r="VC320" s="0" t="n">
        <v>59</v>
      </c>
      <c r="VD320" s="16" t="n">
        <v>90.4</v>
      </c>
      <c r="VE320" s="16" t="n">
        <v>80.4</v>
      </c>
      <c r="VF320" s="16" t="n">
        <v>54.7</v>
      </c>
      <c r="VG320" s="0" t="n">
        <v>26.42</v>
      </c>
      <c r="VH320" s="17" t="n">
        <v>0</v>
      </c>
      <c r="VI320" s="0" t="n">
        <v>0</v>
      </c>
      <c r="VJ320" s="0" t="n">
        <v>0</v>
      </c>
      <c r="VK320" s="0" t="n">
        <v>0</v>
      </c>
      <c r="VL320" s="0" t="n">
        <v>0</v>
      </c>
      <c r="VM320" s="0" t="n">
        <v>66.96</v>
      </c>
      <c r="VN320" s="0" t="n">
        <v>6.55</v>
      </c>
      <c r="VO320" s="0" t="n">
        <v>30.83</v>
      </c>
      <c r="VP320" s="0" t="n">
        <v>0</v>
      </c>
      <c r="VQ320" s="0" t="n">
        <v>0</v>
      </c>
      <c r="VR320" s="0" t="n">
        <v>14.46</v>
      </c>
      <c r="VS320" s="0" t="n">
        <v>11.57</v>
      </c>
      <c r="VT320" s="0" t="n">
        <v>6.5</v>
      </c>
      <c r="VU320" s="0" t="n">
        <v>6.03</v>
      </c>
      <c r="VV320" s="0" t="n">
        <v>6.62</v>
      </c>
      <c r="VW320" s="0" t="n">
        <v>0</v>
      </c>
      <c r="VX320" s="0" t="n">
        <v>0</v>
      </c>
      <c r="WK320" s="0" t="n">
        <v>3.2</v>
      </c>
      <c r="WL320" s="0" t="n">
        <v>0</v>
      </c>
      <c r="WW320" s="18"/>
      <c r="XO320" s="0" t="n">
        <v>1</v>
      </c>
      <c r="XP320" s="0" t="n">
        <v>60</v>
      </c>
      <c r="XQ320" s="0" t="n">
        <v>2</v>
      </c>
      <c r="XR320" s="0" t="n">
        <v>1.52</v>
      </c>
      <c r="XS320" s="0" t="n">
        <v>3</v>
      </c>
      <c r="YZ320" s="16" t="n">
        <v>0.63</v>
      </c>
      <c r="ZA320" s="16" t="n">
        <v>1</v>
      </c>
      <c r="ZB320" s="16" t="n">
        <v>1</v>
      </c>
      <c r="ZC320" s="16"/>
      <c r="ZD320" s="16" t="n">
        <v>3.17</v>
      </c>
      <c r="ZE320" s="16"/>
      <c r="ZF320" s="16"/>
      <c r="ZG320" s="16"/>
      <c r="ZH320" s="16"/>
      <c r="ZI320" s="16"/>
      <c r="ZJ320" s="16"/>
      <c r="ZK320" s="16" t="n">
        <v>0</v>
      </c>
      <c r="ZL320" s="16" t="n">
        <v>0</v>
      </c>
      <c r="ZM320" s="16"/>
      <c r="ZN320" s="16"/>
      <c r="ZO320" s="16" t="n">
        <v>0</v>
      </c>
      <c r="ZP320" s="16" t="n">
        <v>0</v>
      </c>
      <c r="ZQ320" s="16" t="n">
        <v>0</v>
      </c>
      <c r="ZR320" s="0" t="n">
        <v>0</v>
      </c>
      <c r="ZS320" s="0" t="s">
        <v>619</v>
      </c>
      <c r="ZT320" s="0" t="n">
        <v>42</v>
      </c>
      <c r="ZU320" s="16" t="n">
        <v>97.3</v>
      </c>
      <c r="ZV320" s="16" t="n">
        <v>80.4</v>
      </c>
      <c r="ZW320" s="16" t="n">
        <v>14.9</v>
      </c>
      <c r="ZX320" s="0" t="n">
        <v>88.72</v>
      </c>
      <c r="ZY320" s="17" t="n">
        <v>0</v>
      </c>
      <c r="ZZ320" s="0" t="n">
        <v>0</v>
      </c>
      <c r="AAA320" s="0" t="n">
        <v>0</v>
      </c>
      <c r="AAB320" s="0" t="n">
        <v>11.28</v>
      </c>
      <c r="AAC320" s="0" t="n">
        <v>0</v>
      </c>
      <c r="AAD320" s="0" t="n">
        <v>0</v>
      </c>
      <c r="AAE320" s="0" t="n">
        <v>0</v>
      </c>
      <c r="AAF320" s="0" t="n">
        <v>0</v>
      </c>
      <c r="AAG320" s="0" t="n">
        <v>0</v>
      </c>
      <c r="AAH320" s="0" t="n">
        <v>0</v>
      </c>
      <c r="AAI320" s="0" t="n">
        <v>0</v>
      </c>
      <c r="AAJ320" s="0" t="n">
        <v>1.14</v>
      </c>
      <c r="AAK320" s="0" t="n">
        <v>50.12</v>
      </c>
      <c r="AAL320" s="0" t="n">
        <v>30.38</v>
      </c>
      <c r="AAM320" s="0" t="n">
        <v>0</v>
      </c>
      <c r="AAN320" s="0" t="n">
        <v>0</v>
      </c>
      <c r="AAO320" s="0" t="n">
        <v>1</v>
      </c>
      <c r="AAP320" s="0" t="n">
        <v>2</v>
      </c>
      <c r="AAR320" s="0" t="n">
        <v>4</v>
      </c>
      <c r="AAV320" s="0" t="n">
        <v>2</v>
      </c>
      <c r="AAX320" s="0" t="n">
        <v>4</v>
      </c>
      <c r="ABB320" s="0" t="n">
        <v>0</v>
      </c>
      <c r="ABC320" s="0" t="n">
        <v>0</v>
      </c>
      <c r="ABN320" s="18"/>
      <c r="ACF320" s="0" t="n">
        <v>0</v>
      </c>
      <c r="ADQ320" s="16" t="n">
        <v>9.53</v>
      </c>
      <c r="ADR320" s="16" t="n">
        <v>1</v>
      </c>
      <c r="ADS320" s="16" t="n">
        <v>1</v>
      </c>
      <c r="ADT320" s="16"/>
      <c r="ADU320" s="16" t="n">
        <f aca="false">3.17+6.34+4.23+0.56+1.12</f>
        <v>15.42</v>
      </c>
      <c r="ADV320" s="16" t="n">
        <v>2</v>
      </c>
      <c r="ADW320" s="16"/>
      <c r="ADX320" s="16" t="n">
        <f aca="false">8.46+1.59+1.59+1.49+0.28+1.49</f>
        <v>14.9</v>
      </c>
      <c r="ADY320" s="16"/>
      <c r="ADZ320" s="16"/>
      <c r="AEA320" s="16"/>
      <c r="AEB320" s="16" t="n">
        <v>14.15</v>
      </c>
      <c r="AEC320" s="16" t="n">
        <v>35.37</v>
      </c>
      <c r="AED320" s="16"/>
      <c r="AEE320" s="16"/>
      <c r="AEF320" s="16" t="n">
        <v>0</v>
      </c>
      <c r="AEG320" s="16" t="n">
        <v>0</v>
      </c>
      <c r="AEH320" s="16" t="n">
        <v>0</v>
      </c>
      <c r="AEI320" s="0" t="n">
        <v>0</v>
      </c>
      <c r="AEJ320" s="0" t="s">
        <v>887</v>
      </c>
      <c r="AEK320" s="0" t="n">
        <v>19</v>
      </c>
      <c r="AEL320" s="16" t="n">
        <v>85.1</v>
      </c>
      <c r="AEM320" s="16" t="n">
        <v>80.4</v>
      </c>
      <c r="AEN320" s="16" t="n">
        <v>10.3</v>
      </c>
      <c r="AEO320" s="0" t="n">
        <v>100</v>
      </c>
      <c r="AEP320" s="17" t="n">
        <v>0</v>
      </c>
      <c r="AEQ320" s="0" t="n">
        <v>0</v>
      </c>
      <c r="AER320" s="0" t="n">
        <v>0</v>
      </c>
      <c r="AES320" s="0" t="n">
        <v>0</v>
      </c>
      <c r="AET320" s="0" t="n">
        <v>0</v>
      </c>
      <c r="AEU320" s="0" t="n">
        <v>0</v>
      </c>
      <c r="AEV320" s="0" t="n">
        <v>0</v>
      </c>
      <c r="AEW320" s="0" t="n">
        <v>0</v>
      </c>
      <c r="AEX320" s="0" t="n">
        <v>0</v>
      </c>
      <c r="AEY320" s="0" t="n">
        <v>0</v>
      </c>
      <c r="AEZ320" s="0" t="n">
        <v>0</v>
      </c>
      <c r="AFA320" s="0" t="n">
        <v>0</v>
      </c>
      <c r="AFB320" s="0" t="n">
        <v>16.76</v>
      </c>
      <c r="AFC320" s="0" t="n">
        <v>22.28</v>
      </c>
      <c r="AFD320" s="0" t="n">
        <v>0</v>
      </c>
      <c r="AFE320" s="0" t="n">
        <v>0</v>
      </c>
      <c r="AFF320" s="0" t="n">
        <v>0</v>
      </c>
      <c r="AFS320" s="0" t="n">
        <v>0</v>
      </c>
      <c r="AFT320" s="0" t="n">
        <v>0</v>
      </c>
      <c r="AGE320" s="18"/>
      <c r="AGW320" s="0" t="n">
        <v>0</v>
      </c>
      <c r="AIH320" s="16" t="n">
        <v>0.99</v>
      </c>
      <c r="AII320" s="16" t="n">
        <v>1</v>
      </c>
      <c r="AIJ320" s="16" t="n">
        <v>1</v>
      </c>
      <c r="AIK320" s="16"/>
      <c r="AIL320" s="16" t="n">
        <f aca="false">2.11+0.37+0.27*3</f>
        <v>3.29</v>
      </c>
      <c r="AIM320" s="16"/>
      <c r="AIN320" s="16"/>
      <c r="AIO320" s="16"/>
      <c r="AIP320" s="16"/>
      <c r="AIQ320" s="16"/>
      <c r="AIR320" s="16"/>
      <c r="AIS320" s="16" t="n">
        <v>5.78</v>
      </c>
      <c r="AIT320" s="16" t="n">
        <v>12.6</v>
      </c>
      <c r="AIU320" s="16"/>
      <c r="AIV320" s="16"/>
      <c r="AIW320" s="16" t="n">
        <v>0</v>
      </c>
      <c r="AIX320" s="16" t="n">
        <v>0</v>
      </c>
      <c r="AIY320" s="16" t="n">
        <v>0</v>
      </c>
      <c r="AIZ320" s="0" t="n">
        <v>0</v>
      </c>
      <c r="AJA320" s="0" t="s">
        <v>710</v>
      </c>
      <c r="AJB320" s="0" t="n">
        <v>69.5</v>
      </c>
      <c r="AJC320" s="16" t="n">
        <v>70.9</v>
      </c>
      <c r="AJD320" s="16" t="n">
        <v>80.4</v>
      </c>
      <c r="AJE320" s="16" t="n">
        <v>23.6</v>
      </c>
      <c r="AJF320" s="0" t="n">
        <v>19.15</v>
      </c>
      <c r="AJG320" s="17" t="n">
        <v>0</v>
      </c>
      <c r="AJH320" s="0" t="n">
        <v>0</v>
      </c>
      <c r="AJI320" s="0" t="n">
        <v>0</v>
      </c>
      <c r="AJJ320" s="0" t="n">
        <v>0</v>
      </c>
      <c r="AJK320" s="0" t="n">
        <v>0</v>
      </c>
      <c r="AJL320" s="0" t="n">
        <v>71.09</v>
      </c>
      <c r="AJM320" s="0" t="n">
        <v>0</v>
      </c>
      <c r="AJN320" s="0" t="n">
        <v>0</v>
      </c>
      <c r="AJO320" s="0" t="n">
        <v>2.25</v>
      </c>
      <c r="AJP320" s="0" t="n">
        <v>0</v>
      </c>
      <c r="AJQ320" s="0" t="n">
        <v>14.15</v>
      </c>
      <c r="AJR320" s="0" t="n">
        <v>0.83</v>
      </c>
      <c r="AJS320" s="0" t="n">
        <v>20.78</v>
      </c>
      <c r="AJT320" s="0" t="n">
        <v>13.14</v>
      </c>
      <c r="AJU320" s="0" t="n">
        <v>9.76</v>
      </c>
      <c r="AJV320" s="0" t="n">
        <v>0</v>
      </c>
      <c r="AJW320" s="0" t="n">
        <v>0</v>
      </c>
      <c r="AKJ320" s="0" t="n">
        <v>24.4</v>
      </c>
      <c r="AKK320" s="0" t="n">
        <v>1</v>
      </c>
      <c r="AKL320" s="0" t="n">
        <v>70</v>
      </c>
      <c r="AKM320" s="0" t="n">
        <v>1</v>
      </c>
      <c r="AKN320" s="0" t="n">
        <v>1.5</v>
      </c>
      <c r="AKO320" s="0" t="n">
        <v>3</v>
      </c>
      <c r="AKP320" s="0" t="n">
        <v>68</v>
      </c>
      <c r="AKQ320" s="0" t="n">
        <v>2.25</v>
      </c>
      <c r="AKR320" s="0" t="n">
        <v>1</v>
      </c>
      <c r="AKS320" s="0" t="n">
        <v>1</v>
      </c>
      <c r="AKT320" s="0" t="n">
        <v>47</v>
      </c>
      <c r="AKU320" s="0" t="n">
        <v>1</v>
      </c>
      <c r="AKV320" s="18" t="n">
        <v>1.5</v>
      </c>
      <c r="AKW320" s="0" t="n">
        <v>3</v>
      </c>
      <c r="ALN320" s="0" t="n">
        <v>0</v>
      </c>
    </row>
    <row r="321" customFormat="false" ht="13.8" hidden="false" customHeight="false" outlineLevel="0" collapsed="false">
      <c r="A321" s="1" t="s">
        <v>901</v>
      </c>
      <c r="B321" s="12" t="n">
        <v>42909</v>
      </c>
      <c r="C321" s="0" t="n">
        <v>2</v>
      </c>
      <c r="D321" s="13" t="n">
        <v>42793</v>
      </c>
      <c r="E321" s="12" t="n">
        <v>32767</v>
      </c>
      <c r="F321" s="14" t="n">
        <f aca="false">(B321-E321)/365.25</f>
        <v>27.7672826830938</v>
      </c>
      <c r="G321" s="14" t="n">
        <f aca="false">(B321-D321)/365.25</f>
        <v>0.317590691307324</v>
      </c>
      <c r="H321" s="19" t="s">
        <v>181</v>
      </c>
      <c r="I321" s="15" t="s">
        <v>182</v>
      </c>
      <c r="J321" s="15" t="s">
        <v>181</v>
      </c>
      <c r="K321" s="15" t="n">
        <v>4</v>
      </c>
      <c r="L321" s="19" t="n">
        <v>125</v>
      </c>
      <c r="M321" s="0" t="n">
        <v>1.87</v>
      </c>
      <c r="N321" s="16" t="n">
        <f aca="false">L321/(M321*M321)</f>
        <v>35.7459464096771</v>
      </c>
      <c r="O321" s="19" t="n">
        <v>0</v>
      </c>
      <c r="P321" s="19" t="n">
        <v>0</v>
      </c>
      <c r="Q321" s="19" t="n">
        <v>0</v>
      </c>
      <c r="R321" s="26" t="n">
        <v>0</v>
      </c>
      <c r="S321" s="26" t="n">
        <v>0</v>
      </c>
      <c r="T321" s="26" t="n">
        <v>0</v>
      </c>
      <c r="U321" s="19" t="n">
        <v>1</v>
      </c>
      <c r="V321" s="19" t="n">
        <v>5</v>
      </c>
      <c r="W321" s="19" t="n">
        <v>0</v>
      </c>
      <c r="X321" s="19" t="n">
        <v>0</v>
      </c>
      <c r="Y321" s="19" t="n">
        <v>1</v>
      </c>
      <c r="Z321" s="19" t="n">
        <v>1</v>
      </c>
      <c r="AA321" s="19" t="n">
        <v>60</v>
      </c>
      <c r="AB321" s="19" t="s">
        <v>345</v>
      </c>
      <c r="AC321" s="19" t="n">
        <v>0</v>
      </c>
      <c r="AD321" s="19" t="n">
        <v>0</v>
      </c>
      <c r="AE321" s="19" t="n">
        <v>0</v>
      </c>
      <c r="AF321" s="19" t="n">
        <v>0</v>
      </c>
      <c r="AG321" s="19" t="n">
        <v>0</v>
      </c>
      <c r="AH321" s="19" t="n">
        <v>0</v>
      </c>
      <c r="AI321" s="19" t="n">
        <v>0</v>
      </c>
      <c r="AJ321" s="19" t="n">
        <v>0</v>
      </c>
      <c r="AK321" s="19" t="n">
        <v>0</v>
      </c>
      <c r="AL321" s="19" t="n">
        <v>0</v>
      </c>
      <c r="AM321" s="19" t="n">
        <v>0</v>
      </c>
      <c r="AN321" s="19" t="n">
        <v>0</v>
      </c>
      <c r="AO321" s="19" t="n">
        <v>0</v>
      </c>
      <c r="AP321" s="19" t="n">
        <v>0</v>
      </c>
      <c r="AQ321" s="19" t="n">
        <v>0</v>
      </c>
      <c r="AR321" s="19" t="n">
        <v>0</v>
      </c>
      <c r="AS321" s="19" t="n">
        <v>0</v>
      </c>
      <c r="AT321" s="19" t="n">
        <v>0</v>
      </c>
      <c r="AU321" s="19" t="n">
        <v>0</v>
      </c>
      <c r="AV321" s="19" t="n">
        <v>0</v>
      </c>
      <c r="AW321" s="19" t="n">
        <v>0</v>
      </c>
      <c r="AX321" s="19" t="n">
        <v>0</v>
      </c>
      <c r="AY321" s="19" t="n">
        <v>0</v>
      </c>
      <c r="AZ321" s="19" t="n">
        <v>0</v>
      </c>
      <c r="BA321" s="19" t="n">
        <v>0</v>
      </c>
      <c r="BB321" s="19" t="n">
        <v>0</v>
      </c>
      <c r="BC321" s="19" t="n">
        <v>0</v>
      </c>
      <c r="BD321" s="19" t="n">
        <v>0</v>
      </c>
      <c r="BE321" s="19" t="n">
        <v>0</v>
      </c>
      <c r="BF321" s="19" t="n">
        <v>0</v>
      </c>
      <c r="BG321" s="19" t="n">
        <v>0</v>
      </c>
      <c r="BH321" s="19" t="n">
        <v>0</v>
      </c>
      <c r="BI321" s="19" t="n">
        <v>0</v>
      </c>
      <c r="BJ321" s="19" t="n">
        <v>0</v>
      </c>
      <c r="BK321" s="19" t="n">
        <v>0</v>
      </c>
      <c r="BL321" s="19" t="n">
        <v>0</v>
      </c>
      <c r="BM321" s="19" t="n">
        <v>0</v>
      </c>
      <c r="BN321" s="19" t="n">
        <v>0</v>
      </c>
      <c r="BO321" s="19" t="n">
        <v>0</v>
      </c>
      <c r="BP321" s="19" t="n">
        <v>0</v>
      </c>
      <c r="BQ321" s="19" t="n">
        <v>0</v>
      </c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0" t="s">
        <v>498</v>
      </c>
      <c r="CM321" s="0" t="n">
        <v>33</v>
      </c>
      <c r="CN321" s="16" t="n">
        <v>71.2</v>
      </c>
      <c r="CO321" s="16" t="n">
        <v>80.4</v>
      </c>
      <c r="CP321" s="16" t="n">
        <v>16.3</v>
      </c>
      <c r="CQ321" s="0" t="n">
        <v>83.24</v>
      </c>
      <c r="CR321" s="17" t="n">
        <v>0</v>
      </c>
      <c r="CS321" s="0" t="n">
        <v>0</v>
      </c>
      <c r="CT321" s="0" t="n">
        <v>0</v>
      </c>
      <c r="CU321" s="0" t="n">
        <v>14.14</v>
      </c>
      <c r="CV321" s="0" t="n">
        <v>0</v>
      </c>
      <c r="CW321" s="0" t="n">
        <v>2.63</v>
      </c>
      <c r="CX321" s="0" t="n">
        <v>0</v>
      </c>
      <c r="CY321" s="0" t="n">
        <v>0</v>
      </c>
      <c r="CZ321" s="0" t="n">
        <v>0</v>
      </c>
      <c r="DA321" s="0" t="n">
        <v>0</v>
      </c>
      <c r="DB321" s="0" t="n">
        <v>2.63</v>
      </c>
      <c r="DC321" s="0" t="n">
        <v>10.16</v>
      </c>
      <c r="DD321" s="0" t="n">
        <v>20.83</v>
      </c>
      <c r="DE321" s="0" t="n">
        <v>24.81</v>
      </c>
      <c r="DF321" s="0" t="n">
        <v>0</v>
      </c>
      <c r="DG321" s="0" t="n">
        <v>11.2</v>
      </c>
      <c r="DH321" s="0" t="n">
        <v>1</v>
      </c>
      <c r="DI321" s="0" t="n">
        <v>5</v>
      </c>
      <c r="DK321" s="0" t="n">
        <v>1</v>
      </c>
      <c r="DO321" s="0" t="n">
        <v>5</v>
      </c>
      <c r="DQ321" s="0" t="n">
        <v>1</v>
      </c>
      <c r="DU321" s="0" t="n">
        <v>0</v>
      </c>
      <c r="DV321" s="0" t="n">
        <v>0</v>
      </c>
      <c r="EG321" s="18"/>
      <c r="EY321" s="0" t="n">
        <v>0</v>
      </c>
      <c r="GJ321" s="16" t="n">
        <v>2.71</v>
      </c>
      <c r="GK321" s="16" t="n">
        <v>1</v>
      </c>
      <c r="GL321" s="16" t="n">
        <v>1</v>
      </c>
      <c r="GM321" s="16"/>
      <c r="GN321" s="16" t="n">
        <f aca="false">2.11*4+0.52*2</f>
        <v>9.48</v>
      </c>
      <c r="GO321" s="16"/>
      <c r="GP321" s="16"/>
      <c r="GQ321" s="16"/>
      <c r="GR321" s="16"/>
      <c r="GS321" s="16"/>
      <c r="GT321" s="16"/>
      <c r="GU321" s="16" t="n">
        <v>2.63</v>
      </c>
      <c r="GV321" s="16" t="n">
        <v>2.6</v>
      </c>
      <c r="GW321" s="16" t="n">
        <v>0</v>
      </c>
      <c r="GX321" s="16" t="n">
        <v>0</v>
      </c>
      <c r="GY321" s="16" t="n">
        <v>0</v>
      </c>
      <c r="GZ321" s="16" t="n">
        <v>0</v>
      </c>
      <c r="HA321" s="16" t="n">
        <v>0</v>
      </c>
      <c r="HB321" s="0" t="n">
        <v>0</v>
      </c>
      <c r="HC321" s="0" t="s">
        <v>502</v>
      </c>
      <c r="HD321" s="0" t="n">
        <v>34.5</v>
      </c>
      <c r="HE321" s="16" t="n">
        <v>53.2</v>
      </c>
      <c r="HF321" s="16" t="n">
        <v>80.4</v>
      </c>
      <c r="HG321" s="16" t="n">
        <v>8.3</v>
      </c>
      <c r="HH321" s="0" t="n">
        <v>99.94</v>
      </c>
      <c r="HI321" s="17" t="n">
        <v>0</v>
      </c>
      <c r="HJ321" s="0" t="n">
        <v>0</v>
      </c>
      <c r="HK321" s="0" t="n">
        <v>0</v>
      </c>
      <c r="HL321" s="0" t="n">
        <v>0</v>
      </c>
      <c r="HM321" s="0" t="n">
        <v>0</v>
      </c>
      <c r="HN321" s="0" t="n">
        <v>0</v>
      </c>
      <c r="HO321" s="0" t="n">
        <v>0</v>
      </c>
      <c r="HP321" s="0" t="n">
        <v>0</v>
      </c>
      <c r="HQ321" s="0" t="n">
        <v>0</v>
      </c>
      <c r="HR321" s="0" t="n">
        <v>0</v>
      </c>
      <c r="HS321" s="0" t="n">
        <v>0</v>
      </c>
      <c r="HT321" s="0" t="n">
        <v>9.15</v>
      </c>
      <c r="HU321" s="0" t="n">
        <v>18.41</v>
      </c>
      <c r="HV321" s="0" t="n">
        <v>11.73</v>
      </c>
      <c r="HW321" s="0" t="n">
        <v>0</v>
      </c>
      <c r="HX321" s="0" t="n">
        <v>0</v>
      </c>
      <c r="HY321" s="0" t="n">
        <v>0</v>
      </c>
      <c r="IL321" s="0" t="n">
        <v>11.9</v>
      </c>
      <c r="IM321" s="0" t="n">
        <v>1</v>
      </c>
      <c r="IN321" s="0" t="n">
        <v>47</v>
      </c>
      <c r="IO321" s="0" t="n">
        <v>3</v>
      </c>
      <c r="IP321" s="0" t="n">
        <v>1.52</v>
      </c>
      <c r="IQ321" s="0" t="n">
        <v>2</v>
      </c>
      <c r="IX321" s="18"/>
      <c r="JP321" s="0" t="n">
        <v>0</v>
      </c>
      <c r="LA321" s="16" t="n">
        <v>5.7</v>
      </c>
      <c r="LB321" s="16" t="n">
        <v>1</v>
      </c>
      <c r="LC321" s="16" t="n">
        <v>1</v>
      </c>
      <c r="LD321" s="16"/>
      <c r="LE321" s="16" t="n">
        <f aca="false">2.11+2.11+0.05+0.05+0.37</f>
        <v>4.69</v>
      </c>
      <c r="LF321" s="16" t="n">
        <v>2</v>
      </c>
      <c r="LG321" s="16"/>
      <c r="LH321" s="16" t="n">
        <f aca="false">3.17+3.17+0.56+0.56+0.33</f>
        <v>7.79</v>
      </c>
      <c r="LI321" s="16"/>
      <c r="LJ321" s="16"/>
      <c r="LK321" s="16"/>
      <c r="LL321" s="16" t="n">
        <v>0</v>
      </c>
      <c r="LM321" s="16" t="n">
        <v>0</v>
      </c>
      <c r="LN321" s="16"/>
      <c r="LO321" s="16"/>
      <c r="LP321" s="16" t="n">
        <v>5.97</v>
      </c>
      <c r="LQ321" s="16" t="n">
        <v>0</v>
      </c>
      <c r="LR321" s="16" t="n">
        <v>0</v>
      </c>
      <c r="LS321" s="0" t="n">
        <v>1</v>
      </c>
      <c r="LT321" s="0" t="s">
        <v>503</v>
      </c>
      <c r="LU321" s="0" t="n">
        <v>47</v>
      </c>
      <c r="LV321" s="16" t="n">
        <v>54.1</v>
      </c>
      <c r="LW321" s="16" t="n">
        <v>80.4</v>
      </c>
      <c r="LX321" s="16" t="n">
        <v>34.5</v>
      </c>
      <c r="LY321" s="0" t="n">
        <v>71.45</v>
      </c>
      <c r="LZ321" s="17" t="n">
        <v>0</v>
      </c>
      <c r="MA321" s="0" t="n">
        <v>21.93</v>
      </c>
      <c r="MB321" s="0" t="n">
        <v>6.49</v>
      </c>
      <c r="MC321" s="0" t="n">
        <v>0.12</v>
      </c>
      <c r="MD321" s="0" t="n">
        <v>0</v>
      </c>
      <c r="ME321" s="0" t="n">
        <v>0</v>
      </c>
      <c r="MF321" s="0" t="n">
        <v>0</v>
      </c>
      <c r="MG321" s="0" t="n">
        <v>0</v>
      </c>
      <c r="MH321" s="0" t="n">
        <v>0</v>
      </c>
      <c r="MI321" s="0" t="n">
        <v>0</v>
      </c>
      <c r="MJ321" s="0" t="n">
        <v>1.01</v>
      </c>
      <c r="MK321" s="0" t="n">
        <v>0.45</v>
      </c>
      <c r="ML321" s="0" t="n">
        <v>18.4</v>
      </c>
      <c r="MM321" s="0" t="n">
        <v>11.28</v>
      </c>
      <c r="MN321" s="0" t="n">
        <v>0</v>
      </c>
      <c r="MO321" s="0" t="n">
        <v>0</v>
      </c>
      <c r="MP321" s="0" t="n">
        <v>0</v>
      </c>
      <c r="NC321" s="0" t="n">
        <v>6</v>
      </c>
      <c r="ND321" s="0" t="n">
        <v>1</v>
      </c>
      <c r="NE321" s="0" t="n">
        <v>35</v>
      </c>
      <c r="NF321" s="0" t="n">
        <v>8</v>
      </c>
      <c r="NG321" s="0" t="n">
        <f aca="false">0.25+0.25+0.25+0.13+0.13+0.13+0.13</f>
        <v>1.27</v>
      </c>
      <c r="NH321" s="0" t="n">
        <v>3</v>
      </c>
      <c r="NO321" s="18"/>
      <c r="OG321" s="0" t="n">
        <v>1</v>
      </c>
      <c r="OH321" s="0" t="n">
        <v>50</v>
      </c>
      <c r="OI321" s="0" t="n">
        <v>2</v>
      </c>
      <c r="OJ321" s="0" t="n">
        <f aca="false">0.76*2</f>
        <v>1.52</v>
      </c>
      <c r="OK321" s="0" t="n">
        <v>1</v>
      </c>
      <c r="PR321" s="16" t="n">
        <v>0.42</v>
      </c>
      <c r="PS321" s="16" t="n">
        <v>1</v>
      </c>
      <c r="PT321" s="16" t="n">
        <v>1</v>
      </c>
      <c r="PU321" s="16"/>
      <c r="PV321" s="16" t="n">
        <f aca="false">0.68+0.68+0.03</f>
        <v>1.39</v>
      </c>
      <c r="PW321" s="16"/>
      <c r="PX321" s="16"/>
      <c r="PY321" s="16"/>
      <c r="PZ321" s="16"/>
      <c r="QA321" s="16"/>
      <c r="QB321" s="16"/>
      <c r="QC321" s="16" t="n">
        <v>5.21</v>
      </c>
      <c r="QD321" s="16" t="n">
        <v>7.05</v>
      </c>
      <c r="QE321" s="16"/>
      <c r="QF321" s="16"/>
      <c r="QG321" s="16" t="n">
        <v>0</v>
      </c>
      <c r="QH321" s="16" t="n">
        <v>0</v>
      </c>
      <c r="QI321" s="16" t="n">
        <v>0</v>
      </c>
      <c r="QJ321" s="0" t="n">
        <v>0</v>
      </c>
      <c r="QK321" s="0" t="s">
        <v>619</v>
      </c>
      <c r="QL321" s="0" t="n">
        <v>42</v>
      </c>
      <c r="QM321" s="16" t="n">
        <v>97.3</v>
      </c>
      <c r="QN321" s="16" t="n">
        <v>80.4</v>
      </c>
      <c r="QO321" s="16" t="n">
        <v>14.9</v>
      </c>
      <c r="QP321" s="0" t="n">
        <v>88.72</v>
      </c>
      <c r="QQ321" s="17" t="n">
        <v>0</v>
      </c>
      <c r="QR321" s="0" t="n">
        <v>0</v>
      </c>
      <c r="QS321" s="0" t="n">
        <v>0</v>
      </c>
      <c r="QT321" s="0" t="n">
        <v>11.28</v>
      </c>
      <c r="QU321" s="0" t="n">
        <v>0</v>
      </c>
      <c r="QV321" s="0" t="n">
        <v>0</v>
      </c>
      <c r="QW321" s="0" t="n">
        <v>0</v>
      </c>
      <c r="QX321" s="0" t="n">
        <v>0</v>
      </c>
      <c r="QY321" s="0" t="n">
        <v>0</v>
      </c>
      <c r="QZ321" s="0" t="n">
        <v>0</v>
      </c>
      <c r="RA321" s="0" t="n">
        <v>0</v>
      </c>
      <c r="RB321" s="0" t="n">
        <v>1.14</v>
      </c>
      <c r="RC321" s="0" t="n">
        <v>50.12</v>
      </c>
      <c r="RD321" s="0" t="n">
        <v>30.38</v>
      </c>
      <c r="RE321" s="0" t="n">
        <v>0</v>
      </c>
      <c r="RF321" s="0" t="n">
        <v>0</v>
      </c>
      <c r="RG321" s="0" t="n">
        <v>1</v>
      </c>
      <c r="RH321" s="0" t="n">
        <v>2</v>
      </c>
      <c r="RJ321" s="0" t="n">
        <v>4</v>
      </c>
      <c r="RN321" s="0" t="n">
        <v>2</v>
      </c>
      <c r="RP321" s="0" t="n">
        <v>4</v>
      </c>
      <c r="RT321" s="0" t="n">
        <v>0</v>
      </c>
      <c r="RU321" s="0" t="n">
        <v>0</v>
      </c>
      <c r="SF321" s="18"/>
      <c r="SX321" s="0" t="n">
        <v>0</v>
      </c>
      <c r="UI321" s="16" t="n">
        <v>9.53</v>
      </c>
      <c r="UJ321" s="16" t="n">
        <v>1</v>
      </c>
      <c r="UK321" s="16" t="n">
        <v>1</v>
      </c>
      <c r="UL321" s="16"/>
      <c r="UM321" s="16" t="n">
        <f aca="false">3.17+6.34+4.23+0.56+1.12</f>
        <v>15.42</v>
      </c>
      <c r="UN321" s="16" t="n">
        <v>2</v>
      </c>
      <c r="UO321" s="16"/>
      <c r="UP321" s="16" t="n">
        <f aca="false">8.46+1.59+1.59+1.49+0.28+1.49</f>
        <v>14.9</v>
      </c>
      <c r="UQ321" s="16"/>
      <c r="UR321" s="16"/>
      <c r="US321" s="16"/>
      <c r="UT321" s="16" t="n">
        <v>14.15</v>
      </c>
      <c r="UU321" s="16" t="n">
        <v>35.37</v>
      </c>
      <c r="UV321" s="16"/>
      <c r="UW321" s="16"/>
      <c r="UX321" s="16" t="n">
        <v>0</v>
      </c>
      <c r="UY321" s="16" t="n">
        <v>0</v>
      </c>
      <c r="UZ321" s="16" t="n">
        <v>0</v>
      </c>
      <c r="VA321" s="0" t="n">
        <v>0</v>
      </c>
      <c r="VE321" s="15"/>
      <c r="VF321" s="15"/>
      <c r="VM321" s="15"/>
      <c r="VN321" s="15"/>
      <c r="VU321" s="15"/>
      <c r="VV321" s="15"/>
      <c r="WC321" s="15"/>
      <c r="WD321" s="15"/>
      <c r="WK321" s="15"/>
      <c r="WL321" s="15"/>
      <c r="WS321" s="15"/>
      <c r="WT321" s="15"/>
      <c r="XA321" s="15"/>
      <c r="XB321" s="15"/>
      <c r="XI321" s="15"/>
      <c r="XJ321" s="15"/>
      <c r="XQ321" s="15"/>
      <c r="XR321" s="15"/>
      <c r="XY321" s="15"/>
      <c r="XZ321" s="15"/>
      <c r="YG321" s="15"/>
      <c r="YH321" s="15"/>
      <c r="YO321" s="15"/>
      <c r="YP321" s="15"/>
      <c r="YW321" s="15"/>
      <c r="YX321" s="15"/>
      <c r="ZE321" s="15"/>
      <c r="ZF321" s="15"/>
      <c r="ZM321" s="15"/>
      <c r="ZN321" s="15"/>
      <c r="ZU321" s="15"/>
      <c r="ZV321" s="15"/>
      <c r="AAC321" s="15"/>
      <c r="AAD321" s="15"/>
      <c r="AAK321" s="15"/>
      <c r="AAL321" s="15"/>
      <c r="AAS321" s="15"/>
      <c r="AAT321" s="15"/>
      <c r="ABA321" s="15"/>
      <c r="ABB321" s="15"/>
      <c r="ABI321" s="15"/>
      <c r="ABJ321" s="15"/>
      <c r="ABQ321" s="15"/>
      <c r="ABR321" s="15"/>
      <c r="ABY321" s="15"/>
      <c r="ABZ321" s="15"/>
      <c r="ACG321" s="15"/>
      <c r="ACH321" s="15"/>
      <c r="ACO321" s="15"/>
      <c r="ACP321" s="15"/>
      <c r="ACW321" s="15"/>
      <c r="ACX321" s="15"/>
      <c r="ADE321" s="15"/>
      <c r="ADF321" s="15"/>
      <c r="ADM321" s="15"/>
      <c r="ADN321" s="15"/>
      <c r="ADU321" s="15"/>
      <c r="ADV321" s="15"/>
      <c r="AEC321" s="15"/>
      <c r="AED321" s="15"/>
      <c r="AEK321" s="15"/>
      <c r="AEL321" s="15"/>
      <c r="AES321" s="15"/>
      <c r="AET321" s="15"/>
      <c r="AFA321" s="15"/>
      <c r="AFB321" s="15"/>
      <c r="AFI321" s="15"/>
      <c r="AFJ321" s="15"/>
      <c r="AFQ321" s="15"/>
      <c r="AFR321" s="15"/>
      <c r="AFY321" s="15"/>
      <c r="AFZ321" s="15"/>
      <c r="AGG321" s="15"/>
      <c r="AGH321" s="15"/>
      <c r="AGO321" s="15"/>
      <c r="AGP321" s="15"/>
      <c r="AGW321" s="15"/>
      <c r="AGX321" s="15"/>
      <c r="AHE321" s="15"/>
      <c r="AHF321" s="15"/>
      <c r="AHM321" s="15"/>
      <c r="AHN321" s="15"/>
      <c r="AHU321" s="15"/>
      <c r="AHV321" s="15"/>
      <c r="AIC321" s="15"/>
      <c r="AID321" s="15"/>
      <c r="AIK321" s="15"/>
      <c r="AIL321" s="15"/>
      <c r="AIS321" s="15"/>
      <c r="AIT321" s="15"/>
      <c r="AJA321" s="15"/>
      <c r="AJB321" s="15"/>
      <c r="AJI321" s="15"/>
      <c r="AJJ321" s="15"/>
      <c r="AJQ321" s="15"/>
      <c r="AJR321" s="15"/>
      <c r="AJY321" s="15"/>
      <c r="AJZ321" s="15"/>
      <c r="AKG321" s="15"/>
      <c r="AKH321" s="15"/>
      <c r="AKO321" s="15"/>
      <c r="AKP321" s="15"/>
      <c r="AKW321" s="15"/>
      <c r="AKX321" s="15"/>
      <c r="ALE321" s="15"/>
      <c r="ALF321" s="15"/>
      <c r="ALM321" s="15"/>
      <c r="ALN321" s="15"/>
      <c r="ALU321" s="15"/>
      <c r="ALV321" s="15"/>
      <c r="AMC321" s="15"/>
      <c r="AMD321" s="15"/>
    </row>
    <row r="322" customFormat="false" ht="13.8" hidden="false" customHeight="false" outlineLevel="0" collapsed="false">
      <c r="A322" s="1" t="s">
        <v>902</v>
      </c>
      <c r="B322" s="12" t="n">
        <v>42902</v>
      </c>
      <c r="C322" s="0" t="n">
        <v>2</v>
      </c>
      <c r="D322" s="13" t="n">
        <v>40672</v>
      </c>
      <c r="E322" s="12" t="n">
        <v>32497</v>
      </c>
      <c r="F322" s="14" t="n">
        <f aca="false">(B322-E322)/365.25</f>
        <v>28.4873374401095</v>
      </c>
      <c r="G322" s="14" t="n">
        <f aca="false">(B322-D322)/365.25</f>
        <v>6.10540725530459</v>
      </c>
      <c r="H322" s="19" t="s">
        <v>181</v>
      </c>
      <c r="I322" s="15" t="s">
        <v>182</v>
      </c>
      <c r="J322" s="15" t="s">
        <v>181</v>
      </c>
      <c r="K322" s="15" t="n">
        <v>8</v>
      </c>
      <c r="L322" s="19" t="n">
        <v>65.7</v>
      </c>
      <c r="M322" s="0" t="n">
        <v>1.7</v>
      </c>
      <c r="N322" s="16" t="n">
        <f aca="false">L322/(M322*M322)</f>
        <v>22.7335640138408</v>
      </c>
      <c r="O322" s="19" t="n">
        <v>0</v>
      </c>
      <c r="P322" s="19" t="n">
        <v>0</v>
      </c>
      <c r="Q322" s="19" t="n">
        <v>0</v>
      </c>
      <c r="R322" s="26" t="n">
        <v>0</v>
      </c>
      <c r="S322" s="26" t="n">
        <v>0</v>
      </c>
      <c r="T322" s="26" t="n">
        <v>0</v>
      </c>
      <c r="U322" s="19" t="n">
        <v>1</v>
      </c>
      <c r="V322" s="19" t="n">
        <v>2</v>
      </c>
      <c r="W322" s="19" t="n">
        <v>0</v>
      </c>
      <c r="X322" s="19" t="n">
        <v>0</v>
      </c>
      <c r="Y322" s="19" t="n">
        <v>1</v>
      </c>
      <c r="Z322" s="19" t="n">
        <v>1</v>
      </c>
      <c r="AA322" s="19" t="n">
        <v>30</v>
      </c>
      <c r="AB322" s="19" t="s">
        <v>284</v>
      </c>
      <c r="AC322" s="19" t="n">
        <v>0</v>
      </c>
      <c r="AD322" s="19" t="n">
        <v>0</v>
      </c>
      <c r="AE322" s="19" t="n">
        <v>0</v>
      </c>
      <c r="AF322" s="19" t="n">
        <v>0</v>
      </c>
      <c r="AG322" s="19" t="n">
        <v>0</v>
      </c>
      <c r="AH322" s="19" t="n">
        <v>0</v>
      </c>
      <c r="AI322" s="19" t="n">
        <v>0</v>
      </c>
      <c r="AJ322" s="19" t="n">
        <v>0</v>
      </c>
      <c r="AK322" s="19" t="n">
        <v>0</v>
      </c>
      <c r="AL322" s="19" t="n">
        <v>0</v>
      </c>
      <c r="AM322" s="19" t="n">
        <v>0</v>
      </c>
      <c r="AN322" s="19" t="n">
        <v>0</v>
      </c>
      <c r="AO322" s="19" t="n">
        <v>0</v>
      </c>
      <c r="AP322" s="19" t="n">
        <v>0</v>
      </c>
      <c r="AQ322" s="19" t="n">
        <v>0</v>
      </c>
      <c r="AR322" s="19" t="n">
        <v>0</v>
      </c>
      <c r="AS322" s="19" t="n">
        <v>0</v>
      </c>
      <c r="AT322" s="19" t="n">
        <v>0</v>
      </c>
      <c r="AU322" s="19" t="n">
        <v>0</v>
      </c>
      <c r="AV322" s="19" t="n">
        <v>0</v>
      </c>
      <c r="AW322" s="19" t="n">
        <v>0</v>
      </c>
      <c r="AX322" s="19" t="n">
        <v>0</v>
      </c>
      <c r="AY322" s="19" t="n">
        <v>0</v>
      </c>
      <c r="AZ322" s="19" t="n">
        <v>0</v>
      </c>
      <c r="BA322" s="19" t="n">
        <v>0</v>
      </c>
      <c r="BB322" s="19" t="n">
        <v>0</v>
      </c>
      <c r="BC322" s="19" t="n">
        <v>0</v>
      </c>
      <c r="BD322" s="19" t="n">
        <v>0</v>
      </c>
      <c r="BE322" s="19" t="n">
        <v>0</v>
      </c>
      <c r="BF322" s="19" t="n">
        <v>0</v>
      </c>
      <c r="BG322" s="19" t="n">
        <v>0</v>
      </c>
      <c r="BH322" s="19" t="n">
        <v>0</v>
      </c>
      <c r="BI322" s="19" t="n">
        <v>0</v>
      </c>
      <c r="BJ322" s="19" t="n">
        <v>0</v>
      </c>
      <c r="BK322" s="19" t="n">
        <v>0</v>
      </c>
      <c r="BL322" s="19" t="n">
        <v>0</v>
      </c>
      <c r="BM322" s="19" t="n">
        <v>0</v>
      </c>
      <c r="BN322" s="19" t="n">
        <v>0</v>
      </c>
      <c r="BO322" s="19" t="n">
        <v>0</v>
      </c>
      <c r="BP322" s="19" t="n">
        <v>0</v>
      </c>
      <c r="BQ322" s="19" t="n">
        <v>0</v>
      </c>
      <c r="BR322" s="19" t="n">
        <v>3</v>
      </c>
      <c r="BS322" s="19" t="n">
        <v>3</v>
      </c>
      <c r="BT322" s="19" t="n">
        <v>3</v>
      </c>
      <c r="BU322" s="19" t="n">
        <v>4</v>
      </c>
      <c r="BV322" s="19" t="n">
        <v>2</v>
      </c>
      <c r="BW322" s="19" t="n">
        <v>2</v>
      </c>
      <c r="BX322" s="19" t="n">
        <v>2</v>
      </c>
      <c r="BY322" s="19" t="n">
        <v>4</v>
      </c>
      <c r="BZ322" s="19" t="n">
        <v>2</v>
      </c>
      <c r="CA322" s="19" t="n">
        <v>2</v>
      </c>
      <c r="CB322" s="19" t="n">
        <v>4</v>
      </c>
      <c r="CC322" s="19" t="n">
        <v>4</v>
      </c>
      <c r="CD322" s="19" t="n">
        <v>4</v>
      </c>
      <c r="CE322" s="19" t="n">
        <v>4</v>
      </c>
      <c r="CF322" s="19" t="n">
        <v>4</v>
      </c>
      <c r="CG322" s="19" t="n">
        <v>4</v>
      </c>
      <c r="CH322" s="19" t="n">
        <v>4</v>
      </c>
      <c r="CI322" s="19" t="n">
        <v>4</v>
      </c>
      <c r="CJ322" s="19" t="n">
        <v>4</v>
      </c>
      <c r="CK322" s="19" t="n">
        <v>8</v>
      </c>
      <c r="CL322" s="0" t="s">
        <v>185</v>
      </c>
      <c r="CM322" s="0" t="n">
        <v>21.5</v>
      </c>
      <c r="CN322" s="16" t="n">
        <v>54.9</v>
      </c>
      <c r="CO322" s="16" t="n">
        <v>80.4</v>
      </c>
      <c r="CP322" s="16" t="n">
        <v>17.9</v>
      </c>
      <c r="CQ322" s="0" t="n">
        <v>90.61</v>
      </c>
      <c r="CR322" s="17" t="n">
        <v>0</v>
      </c>
      <c r="CS322" s="0" t="n">
        <v>0</v>
      </c>
      <c r="CT322" s="0" t="n">
        <v>2.45</v>
      </c>
      <c r="CU322" s="0" t="n">
        <v>6.94</v>
      </c>
      <c r="CV322" s="0" t="n">
        <v>0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0</v>
      </c>
      <c r="DB322" s="0" t="n">
        <v>12.16</v>
      </c>
      <c r="DC322" s="0" t="n">
        <v>24.45</v>
      </c>
      <c r="DD322" s="0" t="n">
        <v>4.8</v>
      </c>
      <c r="DE322" s="0" t="n">
        <v>5.11</v>
      </c>
      <c r="DF322" s="0" t="n">
        <v>0</v>
      </c>
      <c r="DG322" s="0" t="n">
        <v>0</v>
      </c>
      <c r="DH322" s="0" t="n">
        <v>0</v>
      </c>
      <c r="DU322" s="0" t="n">
        <v>2.9</v>
      </c>
      <c r="DV322" s="0" t="n">
        <v>1</v>
      </c>
      <c r="DW322" s="0" t="n">
        <v>68</v>
      </c>
      <c r="DX322" s="0" t="n">
        <v>2</v>
      </c>
      <c r="DY322" s="0" t="n">
        <f aca="false">0.38+0.07</f>
        <v>0.45</v>
      </c>
      <c r="DZ322" s="0" t="n">
        <v>1</v>
      </c>
      <c r="EG322" s="18"/>
      <c r="EY322" s="0" t="n">
        <v>1</v>
      </c>
      <c r="EZ322" s="0" t="n">
        <v>40</v>
      </c>
      <c r="FA322" s="0" t="n">
        <v>1</v>
      </c>
      <c r="FB322" s="0" t="n">
        <v>0.06</v>
      </c>
      <c r="FC322" s="0" t="n">
        <v>1</v>
      </c>
      <c r="FD322" s="0" t="n">
        <v>60</v>
      </c>
      <c r="FE322" s="0" t="n">
        <v>1</v>
      </c>
      <c r="FF322" s="0" t="n">
        <v>0.11</v>
      </c>
      <c r="FG322" s="0" t="n">
        <v>1</v>
      </c>
      <c r="FH322" s="0" t="n">
        <v>40</v>
      </c>
      <c r="FI322" s="0" t="n">
        <v>1</v>
      </c>
      <c r="FJ322" s="0" t="n">
        <v>0.58</v>
      </c>
      <c r="FK322" s="0" t="n">
        <v>6</v>
      </c>
      <c r="GJ322" s="16" t="n">
        <v>0</v>
      </c>
      <c r="GK322" s="16" t="n">
        <v>0</v>
      </c>
      <c r="GL322" s="16"/>
      <c r="GM322" s="16"/>
      <c r="GN322" s="16"/>
      <c r="GO322" s="16"/>
      <c r="GP322" s="16"/>
      <c r="GQ322" s="16"/>
      <c r="GR322" s="16"/>
      <c r="GS322" s="16"/>
      <c r="GT322" s="16"/>
      <c r="GU322" s="16" t="n">
        <v>0.67</v>
      </c>
      <c r="GV322" s="16" t="n">
        <v>0.65</v>
      </c>
      <c r="GW322" s="16"/>
      <c r="GX322" s="16"/>
      <c r="GY322" s="16" t="n">
        <v>0</v>
      </c>
      <c r="GZ322" s="16" t="n">
        <v>0</v>
      </c>
      <c r="HA322" s="16" t="n">
        <v>0</v>
      </c>
      <c r="HB322" s="0" t="n">
        <v>0</v>
      </c>
      <c r="HC322" s="0" t="s">
        <v>186</v>
      </c>
      <c r="HD322" s="0" t="n">
        <v>52.5</v>
      </c>
      <c r="HE322" s="16" t="n">
        <v>78.3</v>
      </c>
      <c r="HF322" s="16" t="n">
        <v>80.4</v>
      </c>
      <c r="HG322" s="16" t="n">
        <v>33.2</v>
      </c>
      <c r="HH322" s="0" t="n">
        <v>67.5</v>
      </c>
      <c r="HI322" s="17" t="n">
        <v>0</v>
      </c>
      <c r="HJ322" s="0" t="n">
        <v>21.37</v>
      </c>
      <c r="HK322" s="0" t="n">
        <v>0</v>
      </c>
      <c r="HL322" s="0" t="n">
        <v>3.99</v>
      </c>
      <c r="HM322" s="0" t="n">
        <v>0</v>
      </c>
      <c r="HN322" s="0" t="n">
        <v>0</v>
      </c>
      <c r="HO322" s="0" t="n">
        <v>0</v>
      </c>
      <c r="HP322" s="0" t="n">
        <v>0</v>
      </c>
      <c r="HQ322" s="0" t="n">
        <v>0</v>
      </c>
      <c r="HR322" s="0" t="n">
        <v>0</v>
      </c>
      <c r="HS322" s="0" t="n">
        <v>0</v>
      </c>
      <c r="HT322" s="0" t="n">
        <v>5.93</v>
      </c>
      <c r="HU322" s="0" t="n">
        <v>42.2</v>
      </c>
      <c r="HV322" s="0" t="n">
        <v>15.97</v>
      </c>
      <c r="HW322" s="0" t="n">
        <v>7.14</v>
      </c>
      <c r="HX322" s="0" t="n">
        <v>0</v>
      </c>
      <c r="HY322" s="0" t="n">
        <v>0</v>
      </c>
      <c r="IL322" s="0" t="n">
        <v>1.7</v>
      </c>
      <c r="IM322" s="0" t="n">
        <v>1</v>
      </c>
      <c r="IN322" s="0" t="n">
        <v>34</v>
      </c>
      <c r="IO322" s="0" t="n">
        <v>5</v>
      </c>
      <c r="IP322" s="0" t="n">
        <v>0.21</v>
      </c>
      <c r="IQ322" s="0" t="n">
        <v>1</v>
      </c>
      <c r="IR322" s="0" t="n">
        <v>68</v>
      </c>
      <c r="IS322" s="0" t="n">
        <v>3</v>
      </c>
      <c r="IT322" s="0" t="n">
        <v>0.3</v>
      </c>
      <c r="IU322" s="0" t="n">
        <v>1</v>
      </c>
      <c r="IV322" s="0" t="n">
        <v>47</v>
      </c>
      <c r="IW322" s="0" t="n">
        <v>4</v>
      </c>
      <c r="IX322" s="18" t="n">
        <v>0.11</v>
      </c>
      <c r="IY322" s="0" t="n">
        <v>1</v>
      </c>
      <c r="IZ322" s="0" t="n">
        <v>35</v>
      </c>
      <c r="JA322" s="0" t="n">
        <v>2</v>
      </c>
      <c r="JB322" s="0" t="n">
        <v>0.1</v>
      </c>
      <c r="JC322" s="0" t="n">
        <v>1</v>
      </c>
      <c r="JP322" s="0" t="n">
        <v>0</v>
      </c>
      <c r="LA322" s="16" t="n">
        <v>1.04</v>
      </c>
      <c r="LB322" s="16" t="n">
        <v>1</v>
      </c>
      <c r="LC322" s="16" t="n">
        <v>1</v>
      </c>
      <c r="LD322" s="16"/>
      <c r="LE322" s="16" t="n">
        <f aca="false">3.74+3.17+0.1</f>
        <v>7.01</v>
      </c>
      <c r="LF322" s="16"/>
      <c r="LG322" s="16"/>
      <c r="LH322" s="16"/>
      <c r="LI322" s="16"/>
      <c r="LJ322" s="16"/>
      <c r="LK322" s="16"/>
      <c r="LL322" s="16" t="n">
        <v>8.9</v>
      </c>
      <c r="LM322" s="16" t="n">
        <v>9.79</v>
      </c>
      <c r="LN322" s="16"/>
      <c r="LO322" s="16"/>
      <c r="LP322" s="16" t="n">
        <v>2.99</v>
      </c>
      <c r="LQ322" s="16" t="n">
        <v>4</v>
      </c>
      <c r="LR322" s="16" t="n">
        <v>3</v>
      </c>
      <c r="LS322" s="0" t="n">
        <v>0</v>
      </c>
      <c r="LT322" s="0" t="s">
        <v>187</v>
      </c>
      <c r="LU322" s="0" t="n">
        <v>53.5</v>
      </c>
      <c r="LV322" s="16" t="n">
        <v>73.5</v>
      </c>
      <c r="LW322" s="16" t="n">
        <v>80.4</v>
      </c>
      <c r="LX322" s="16" t="n">
        <v>26.1</v>
      </c>
      <c r="LY322" s="0" t="n">
        <v>78.89</v>
      </c>
      <c r="LZ322" s="17" t="n">
        <v>0</v>
      </c>
      <c r="MA322" s="0" t="n">
        <v>2.36</v>
      </c>
      <c r="MB322" s="0" t="n">
        <v>0</v>
      </c>
      <c r="MC322" s="0" t="n">
        <v>11.6</v>
      </c>
      <c r="MD322" s="0" t="n">
        <v>0</v>
      </c>
      <c r="ME322" s="0" t="n">
        <v>0</v>
      </c>
      <c r="MF322" s="0" t="n">
        <v>0</v>
      </c>
      <c r="MG322" s="0" t="n">
        <v>0</v>
      </c>
      <c r="MH322" s="0" t="n">
        <v>0</v>
      </c>
      <c r="MI322" s="0" t="n">
        <v>0</v>
      </c>
      <c r="MJ322" s="0" t="n">
        <v>7.86</v>
      </c>
      <c r="MK322" s="0" t="n">
        <v>12.08</v>
      </c>
      <c r="ML322" s="0" t="n">
        <v>18.1</v>
      </c>
      <c r="MM322" s="0" t="n">
        <v>28.51</v>
      </c>
      <c r="MN322" s="0" t="n">
        <v>7.14</v>
      </c>
      <c r="MO322" s="0" t="n">
        <v>0</v>
      </c>
      <c r="MP322" s="0" t="n">
        <v>0</v>
      </c>
      <c r="NC322" s="0" t="n">
        <v>11.6</v>
      </c>
      <c r="ND322" s="0" t="n">
        <v>1</v>
      </c>
      <c r="NE322" s="0" t="n">
        <v>47</v>
      </c>
      <c r="NF322" s="0" t="n">
        <v>4</v>
      </c>
      <c r="NG322" s="0" t="n">
        <f aca="false">1.15+0.34</f>
        <v>1.49</v>
      </c>
      <c r="NH322" s="0" t="n">
        <v>3</v>
      </c>
      <c r="NO322" s="18"/>
      <c r="OG322" s="0" t="n">
        <v>1</v>
      </c>
      <c r="OH322" s="0" t="n">
        <v>50</v>
      </c>
      <c r="OI322" s="0" t="n">
        <v>1</v>
      </c>
      <c r="OJ322" s="0" t="n">
        <v>0.19</v>
      </c>
      <c r="OK322" s="0" t="n">
        <v>3</v>
      </c>
      <c r="PR322" s="16" t="n">
        <v>7.27</v>
      </c>
      <c r="PS322" s="16" t="n">
        <v>1</v>
      </c>
      <c r="PT322" s="16" t="n">
        <v>1</v>
      </c>
      <c r="PU322" s="16"/>
      <c r="PV322" s="16" t="n">
        <f aca="false">2.11*2+0.37*2</f>
        <v>4.96</v>
      </c>
      <c r="PW322" s="16" t="n">
        <v>3</v>
      </c>
      <c r="PX322" s="16"/>
      <c r="PY322" s="16" t="n">
        <f aca="false">1.44+0.72</f>
        <v>2.16</v>
      </c>
      <c r="PZ322" s="16"/>
      <c r="QA322" s="16"/>
      <c r="QB322" s="16"/>
      <c r="QC322" s="16" t="n">
        <v>5.39</v>
      </c>
      <c r="QD322" s="16" t="n">
        <v>8.11</v>
      </c>
      <c r="QE322" s="16"/>
      <c r="QF322" s="16"/>
      <c r="QG322" s="16" t="n">
        <v>0</v>
      </c>
      <c r="QH322" s="16" t="n">
        <v>0</v>
      </c>
      <c r="QI322" s="16" t="n">
        <v>3</v>
      </c>
      <c r="QJ322" s="0" t="n">
        <v>0</v>
      </c>
      <c r="QK322" s="0" t="s">
        <v>188</v>
      </c>
      <c r="QL322" s="0" t="n">
        <v>40</v>
      </c>
      <c r="QM322" s="16" t="n">
        <v>84.1</v>
      </c>
      <c r="QN322" s="16" t="n">
        <v>80.4</v>
      </c>
      <c r="QO322" s="16" t="n">
        <v>35.1</v>
      </c>
      <c r="QP322" s="0" t="n">
        <v>66.11</v>
      </c>
      <c r="QQ322" s="17" t="n">
        <v>0</v>
      </c>
      <c r="QR322" s="0" t="n">
        <v>13.11</v>
      </c>
      <c r="QS322" s="0" t="n">
        <v>6.27</v>
      </c>
      <c r="QT322" s="0" t="n">
        <v>8.02</v>
      </c>
      <c r="QU322" s="0" t="n">
        <v>0</v>
      </c>
      <c r="QV322" s="0" t="n">
        <v>6.47</v>
      </c>
      <c r="QW322" s="0" t="n">
        <v>2.85</v>
      </c>
      <c r="QX322" s="0" t="n">
        <v>3.1</v>
      </c>
      <c r="QY322" s="0" t="n">
        <v>0</v>
      </c>
      <c r="QZ322" s="0" t="n">
        <v>0</v>
      </c>
      <c r="RA322" s="0" t="n">
        <v>10.49</v>
      </c>
      <c r="RB322" s="0" t="n">
        <v>26.72</v>
      </c>
      <c r="RC322" s="0" t="n">
        <v>13.38</v>
      </c>
      <c r="RD322" s="0" t="n">
        <v>10.67</v>
      </c>
      <c r="RE322" s="0" t="n">
        <v>0</v>
      </c>
      <c r="RF322" s="0" t="n">
        <v>0</v>
      </c>
      <c r="RG322" s="0" t="n">
        <v>0</v>
      </c>
      <c r="RT322" s="0" t="n">
        <v>3.9</v>
      </c>
      <c r="RU322" s="0" t="n">
        <v>1</v>
      </c>
      <c r="RV322" s="0" t="n">
        <v>68</v>
      </c>
      <c r="RW322" s="0" t="n">
        <v>4</v>
      </c>
      <c r="RX322" s="0" t="n">
        <f aca="false">1.9+0.34</f>
        <v>2.24</v>
      </c>
      <c r="RY322" s="0" t="n">
        <v>1</v>
      </c>
      <c r="RZ322" s="0" t="n">
        <v>34</v>
      </c>
      <c r="SA322" s="0" t="n">
        <v>8</v>
      </c>
      <c r="SB322" s="0" t="n">
        <v>0.27</v>
      </c>
      <c r="SC322" s="0" t="n">
        <v>1</v>
      </c>
      <c r="SF322" s="18"/>
      <c r="SX322" s="0" t="n">
        <v>1</v>
      </c>
      <c r="SY322" s="0" t="n">
        <v>50</v>
      </c>
      <c r="SZ322" s="0" t="n">
        <v>4</v>
      </c>
      <c r="TA322" s="0" t="n">
        <f aca="false">1.52*2</f>
        <v>3.04</v>
      </c>
      <c r="TB322" s="0" t="n">
        <v>3</v>
      </c>
      <c r="UI322" s="16" t="n">
        <v>0.04</v>
      </c>
      <c r="UJ322" s="16" t="n">
        <v>1</v>
      </c>
      <c r="UK322" s="16" t="n">
        <v>1</v>
      </c>
      <c r="UL322" s="16"/>
      <c r="UM322" s="16" t="n">
        <f aca="false">0.3</f>
        <v>0.3</v>
      </c>
      <c r="UN322" s="16"/>
      <c r="UO322" s="16"/>
      <c r="UP322" s="16"/>
      <c r="UQ322" s="16"/>
      <c r="UR322" s="16"/>
      <c r="US322" s="16"/>
      <c r="UT322" s="16" t="n">
        <v>0.03</v>
      </c>
      <c r="UU322" s="16" t="n">
        <v>0.03</v>
      </c>
      <c r="UV322" s="16"/>
      <c r="UW322" s="16"/>
      <c r="UX322" s="16" t="n">
        <v>0</v>
      </c>
      <c r="UY322" s="16" t="n">
        <v>0</v>
      </c>
      <c r="UZ322" s="16" t="n">
        <v>0</v>
      </c>
      <c r="VA322" s="0" t="n">
        <v>0</v>
      </c>
      <c r="VB322" s="0" t="s">
        <v>189</v>
      </c>
      <c r="VC322" s="0" t="n">
        <v>31</v>
      </c>
      <c r="VD322" s="16" t="n">
        <v>80.2</v>
      </c>
      <c r="VE322" s="16" t="n">
        <v>80.4</v>
      </c>
      <c r="VF322" s="16" t="n">
        <v>6.5</v>
      </c>
      <c r="VG322" s="0" t="n">
        <v>99.3</v>
      </c>
      <c r="VH322" s="17" t="n">
        <v>0</v>
      </c>
      <c r="VI322" s="0" t="n">
        <v>0.7</v>
      </c>
      <c r="VJ322" s="0" t="n">
        <v>0</v>
      </c>
      <c r="VK322" s="0" t="n">
        <v>0</v>
      </c>
      <c r="VL322" s="0" t="n">
        <v>0</v>
      </c>
      <c r="VM322" s="0" t="n">
        <v>0</v>
      </c>
      <c r="VN322" s="0" t="n">
        <v>0</v>
      </c>
      <c r="VO322" s="0" t="n">
        <v>0</v>
      </c>
      <c r="VP322" s="0" t="n">
        <v>0</v>
      </c>
      <c r="VQ322" s="0" t="n">
        <v>0</v>
      </c>
      <c r="VR322" s="0" t="n">
        <v>0</v>
      </c>
      <c r="VS322" s="0" t="n">
        <v>31.92</v>
      </c>
      <c r="VT322" s="0" t="n">
        <v>23.7</v>
      </c>
      <c r="VU322" s="0" t="n">
        <v>1.95</v>
      </c>
      <c r="VV322" s="0" t="n">
        <v>0</v>
      </c>
      <c r="VW322" s="0" t="n">
        <v>18.7</v>
      </c>
      <c r="VX322" s="0" t="n">
        <v>4</v>
      </c>
      <c r="VY322" s="0" t="n">
        <v>49</v>
      </c>
      <c r="WA322" s="0" t="n">
        <v>1</v>
      </c>
      <c r="WE322" s="0" t="n">
        <v>49</v>
      </c>
      <c r="WG322" s="0" t="n">
        <v>1</v>
      </c>
      <c r="WK322" s="0" t="n">
        <v>0</v>
      </c>
      <c r="WL322" s="0" t="n">
        <v>0</v>
      </c>
      <c r="WW322" s="18"/>
      <c r="XO322" s="0" t="n">
        <v>0</v>
      </c>
      <c r="YZ322" s="16" t="n">
        <v>0</v>
      </c>
      <c r="ZA322" s="16" t="n">
        <v>0</v>
      </c>
      <c r="ZB322" s="16"/>
      <c r="ZC322" s="16"/>
      <c r="ZD322" s="16"/>
      <c r="ZE322" s="16"/>
      <c r="ZF322" s="16"/>
      <c r="ZG322" s="16"/>
      <c r="ZH322" s="16"/>
      <c r="ZI322" s="16"/>
      <c r="ZJ322" s="16"/>
      <c r="ZK322" s="16" t="n">
        <v>5.42</v>
      </c>
      <c r="ZL322" s="16" t="n">
        <v>6.61</v>
      </c>
      <c r="ZM322" s="16"/>
      <c r="ZN322" s="16"/>
      <c r="ZO322" s="16" t="n">
        <v>0</v>
      </c>
      <c r="ZP322" s="16" t="n">
        <v>0</v>
      </c>
      <c r="ZQ322" s="16" t="n">
        <v>0</v>
      </c>
      <c r="ZR322" s="0" t="n">
        <v>0</v>
      </c>
      <c r="ZS322" s="0" t="s">
        <v>190</v>
      </c>
      <c r="ZT322" s="0" t="n">
        <v>38.5</v>
      </c>
      <c r="ZU322" s="16" t="n">
        <v>92</v>
      </c>
      <c r="ZV322" s="16" t="n">
        <v>80.4</v>
      </c>
      <c r="ZW322" s="16" t="n">
        <v>11</v>
      </c>
      <c r="ZX322" s="0" t="n">
        <v>95.37</v>
      </c>
      <c r="ZY322" s="17" t="n">
        <v>0</v>
      </c>
      <c r="ZZ322" s="0" t="n">
        <v>4.63</v>
      </c>
      <c r="AAA322" s="0" t="n">
        <v>0</v>
      </c>
      <c r="AAB322" s="0" t="n">
        <v>0</v>
      </c>
      <c r="AAC322" s="0" t="n">
        <v>0</v>
      </c>
      <c r="AAD322" s="0" t="n">
        <v>0</v>
      </c>
      <c r="AAE322" s="0" t="n">
        <v>0</v>
      </c>
      <c r="AAF322" s="0" t="n">
        <v>0</v>
      </c>
      <c r="AAG322" s="0" t="n">
        <v>0</v>
      </c>
      <c r="AAH322" s="0" t="n">
        <v>0</v>
      </c>
      <c r="AAI322" s="0" t="n">
        <v>2.85</v>
      </c>
      <c r="AAJ322" s="0" t="n">
        <v>16.15</v>
      </c>
      <c r="AAK322" s="0" t="n">
        <v>42.55</v>
      </c>
      <c r="AAL322" s="0" t="n">
        <v>4.63</v>
      </c>
      <c r="AAM322" s="0" t="n">
        <v>0</v>
      </c>
      <c r="AAN322" s="0" t="n">
        <v>5.7</v>
      </c>
      <c r="AAO322" s="0" t="n">
        <v>1</v>
      </c>
      <c r="AAP322" s="0" t="n">
        <v>3</v>
      </c>
      <c r="AAR322" s="0" t="n">
        <v>1</v>
      </c>
      <c r="AAV322" s="0" t="n">
        <v>3</v>
      </c>
      <c r="AAX322" s="0" t="n">
        <v>1</v>
      </c>
      <c r="ABB322" s="0" t="n">
        <v>4.8</v>
      </c>
      <c r="ABC322" s="0" t="n">
        <v>0</v>
      </c>
      <c r="ABN322" s="18"/>
      <c r="ACF322" s="0" t="n">
        <v>1</v>
      </c>
      <c r="ACG322" s="0" t="n">
        <v>70</v>
      </c>
      <c r="ACH322" s="0" t="n">
        <v>3</v>
      </c>
      <c r="ACI322" s="0" t="n">
        <f aca="false">14.97+0.86+0.7</f>
        <v>16.53</v>
      </c>
      <c r="ACJ322" s="0" t="n">
        <v>3</v>
      </c>
      <c r="ACK322" s="0" t="n">
        <v>60</v>
      </c>
      <c r="ACL322" s="0" t="n">
        <v>3</v>
      </c>
      <c r="ACM322" s="0" t="n">
        <f aca="false">3.02+0.97+0.6</f>
        <v>4.59</v>
      </c>
      <c r="ACN322" s="0" t="n">
        <v>3</v>
      </c>
      <c r="ADQ322" s="16" t="n">
        <v>2.82</v>
      </c>
      <c r="ADR322" s="16" t="n">
        <v>1</v>
      </c>
      <c r="ADS322" s="16" t="n">
        <v>1</v>
      </c>
      <c r="ADT322" s="16"/>
      <c r="ADU322" s="16" t="n">
        <f aca="false">0.93*2</f>
        <v>1.86</v>
      </c>
      <c r="ADV322" s="16" t="n">
        <v>2</v>
      </c>
      <c r="ADW322" s="16"/>
      <c r="ADX322" s="16" t="n">
        <f aca="false">9.6+1.93</f>
        <v>11.53</v>
      </c>
      <c r="ADY322" s="16"/>
      <c r="ADZ322" s="16"/>
      <c r="AEA322" s="16"/>
      <c r="AEB322" s="16" t="n">
        <v>13.91</v>
      </c>
      <c r="AEC322" s="16" t="n">
        <v>17.31</v>
      </c>
      <c r="AED322" s="16"/>
      <c r="AEE322" s="16"/>
      <c r="AEF322" s="16" t="n">
        <v>0</v>
      </c>
      <c r="AEG322" s="16" t="n">
        <v>0</v>
      </c>
      <c r="AEH322" s="16" t="n">
        <v>0</v>
      </c>
      <c r="AEI322" s="0" t="n">
        <v>0</v>
      </c>
      <c r="AEJ322" s="0" t="s">
        <v>191</v>
      </c>
      <c r="AEK322" s="0" t="n">
        <v>44</v>
      </c>
      <c r="AEL322" s="16" t="n">
        <v>75.8</v>
      </c>
      <c r="AEM322" s="16" t="n">
        <v>80.4</v>
      </c>
      <c r="AEN322" s="16" t="n">
        <v>12.2</v>
      </c>
      <c r="AEO322" s="0" t="n">
        <v>90.24</v>
      </c>
      <c r="AEP322" s="17" t="n">
        <v>0</v>
      </c>
      <c r="AEQ322" s="0" t="n">
        <v>6.27</v>
      </c>
      <c r="AER322" s="0" t="n">
        <v>0</v>
      </c>
      <c r="AES322" s="0" t="n">
        <v>3.49</v>
      </c>
      <c r="AET322" s="0" t="n">
        <v>0</v>
      </c>
      <c r="AEU322" s="0" t="n">
        <v>0</v>
      </c>
      <c r="AEV322" s="0" t="n">
        <v>0</v>
      </c>
      <c r="AEW322" s="0" t="n">
        <v>0</v>
      </c>
      <c r="AEX322" s="0" t="n">
        <v>0</v>
      </c>
      <c r="AEY322" s="0" t="n">
        <v>0</v>
      </c>
      <c r="AEZ322" s="0" t="n">
        <v>0</v>
      </c>
      <c r="AFA322" s="0" t="n">
        <v>24.37</v>
      </c>
      <c r="AFB322" s="0" t="n">
        <v>32.21</v>
      </c>
      <c r="AFC322" s="0" t="n">
        <v>3.56</v>
      </c>
      <c r="AFD322" s="0" t="n">
        <v>0</v>
      </c>
      <c r="AFE322" s="0" t="n">
        <v>0</v>
      </c>
      <c r="AFF322" s="0" t="n">
        <v>0</v>
      </c>
      <c r="AFS322" s="0" t="n">
        <v>20.3</v>
      </c>
      <c r="AFT322" s="0" t="n">
        <v>1</v>
      </c>
      <c r="AFU322" s="0" t="n">
        <v>30</v>
      </c>
      <c r="AFV322" s="0" t="n">
        <v>4</v>
      </c>
      <c r="AFW322" s="0" t="n">
        <v>3.01</v>
      </c>
      <c r="AFX322" s="0" t="n">
        <v>5</v>
      </c>
      <c r="AFY322" s="0" t="n">
        <v>68</v>
      </c>
      <c r="AFZ322" s="0" t="n">
        <v>2</v>
      </c>
      <c r="AGA322" s="0" t="n">
        <v>1.52</v>
      </c>
      <c r="AGB322" s="0" t="n">
        <v>1</v>
      </c>
      <c r="AGC322" s="0" t="n">
        <v>47</v>
      </c>
      <c r="AGD322" s="0" t="n">
        <v>1</v>
      </c>
      <c r="AGE322" s="18" t="n">
        <v>0.07</v>
      </c>
      <c r="AGF322" s="0" t="n">
        <v>3</v>
      </c>
      <c r="AGW322" s="0" t="n">
        <v>0</v>
      </c>
      <c r="AIH322" s="16" t="n">
        <v>1.88</v>
      </c>
      <c r="AII322" s="16" t="n">
        <v>1</v>
      </c>
      <c r="AIJ322" s="16" t="n">
        <v>2</v>
      </c>
      <c r="AIK322" s="16"/>
      <c r="AIL322" s="16" t="n">
        <v>4.18</v>
      </c>
      <c r="AIM322" s="16"/>
      <c r="AIN322" s="16"/>
      <c r="AIO322" s="16"/>
      <c r="AIP322" s="16"/>
      <c r="AIQ322" s="16"/>
      <c r="AIR322" s="16"/>
      <c r="AIS322" s="16" t="n">
        <v>7.15</v>
      </c>
      <c r="AIT322" s="16" t="n">
        <v>6.06</v>
      </c>
      <c r="AIU322" s="16"/>
      <c r="AIV322" s="16"/>
      <c r="AIW322" s="16" t="n">
        <v>0</v>
      </c>
      <c r="AIX322" s="16" t="n">
        <v>0</v>
      </c>
      <c r="AIY322" s="16" t="n">
        <v>0</v>
      </c>
      <c r="AIZ322" s="0" t="n">
        <v>0</v>
      </c>
      <c r="AJA322" s="0" t="s">
        <v>192</v>
      </c>
      <c r="AJB322" s="0" t="n">
        <v>47.5</v>
      </c>
      <c r="AJC322" s="16" t="n">
        <v>79.3</v>
      </c>
      <c r="AJD322" s="16" t="n">
        <v>80.4</v>
      </c>
      <c r="AJE322" s="16" t="n">
        <v>36.3</v>
      </c>
      <c r="AJF322" s="0" t="n">
        <v>66.23</v>
      </c>
      <c r="AJG322" s="17" t="n">
        <v>0</v>
      </c>
      <c r="AJH322" s="0" t="n">
        <v>33.77</v>
      </c>
      <c r="AJI322" s="0" t="n">
        <v>0</v>
      </c>
      <c r="AJJ322" s="0" t="n">
        <v>0</v>
      </c>
      <c r="AJK322" s="0" t="n">
        <v>0</v>
      </c>
      <c r="AJL322" s="0" t="n">
        <v>0</v>
      </c>
      <c r="AJM322" s="0" t="n">
        <v>0</v>
      </c>
      <c r="AJN322" s="0" t="n">
        <v>0</v>
      </c>
      <c r="AJO322" s="0" t="n">
        <v>0</v>
      </c>
      <c r="AJP322" s="0" t="n">
        <v>0</v>
      </c>
      <c r="AJQ322" s="0" t="n">
        <v>0</v>
      </c>
      <c r="AJR322" s="0" t="n">
        <v>38.37</v>
      </c>
      <c r="AJS322" s="0" t="n">
        <v>20.04</v>
      </c>
      <c r="AJT322" s="0" t="n">
        <v>11.21</v>
      </c>
      <c r="AJU322" s="0" t="n">
        <v>0</v>
      </c>
      <c r="AJV322" s="0" t="n">
        <v>0</v>
      </c>
      <c r="AJW322" s="0" t="n">
        <v>0</v>
      </c>
      <c r="AKJ322" s="0" t="n">
        <v>6.9</v>
      </c>
      <c r="AKK322" s="0" t="n">
        <v>1</v>
      </c>
      <c r="AKL322" s="0" t="n">
        <v>47</v>
      </c>
      <c r="AKM322" s="0" t="n">
        <v>3</v>
      </c>
      <c r="AKN322" s="0" t="n">
        <f aca="false">0.11+0.74+0.08</f>
        <v>0.93</v>
      </c>
      <c r="AKO322" s="0" t="n">
        <v>3</v>
      </c>
      <c r="AKP322" s="0" t="n">
        <v>68</v>
      </c>
      <c r="AKQ322" s="0" t="n">
        <v>1</v>
      </c>
      <c r="AKR322" s="0" t="n">
        <v>0.76</v>
      </c>
      <c r="AKS322" s="0" t="n">
        <v>1</v>
      </c>
      <c r="AKV322" s="18"/>
      <c r="ALN322" s="0" t="n">
        <v>0</v>
      </c>
    </row>
    <row r="323" s="24" customFormat="true" ht="13.8" hidden="false" customHeight="false" outlineLevel="0" collapsed="false">
      <c r="A323" s="22" t="s">
        <v>903</v>
      </c>
      <c r="B323" s="23" t="n">
        <v>42905</v>
      </c>
      <c r="C323" s="24" t="n">
        <v>2</v>
      </c>
      <c r="D323" s="25" t="n">
        <v>40693</v>
      </c>
      <c r="E323" s="23" t="n">
        <v>28483</v>
      </c>
      <c r="F323" s="14" t="n">
        <f aca="false">(B323-E323)/365.25</f>
        <v>39.4852840520192</v>
      </c>
      <c r="G323" s="14" t="n">
        <f aca="false">(B323-D323)/365.25</f>
        <v>6.05612594113621</v>
      </c>
      <c r="H323" s="26" t="s">
        <v>181</v>
      </c>
      <c r="I323" s="21" t="s">
        <v>283</v>
      </c>
      <c r="J323" s="21" t="s">
        <v>181</v>
      </c>
      <c r="K323" s="21" t="n">
        <v>8</v>
      </c>
      <c r="L323" s="26" t="n">
        <v>75</v>
      </c>
      <c r="M323" s="24" t="n">
        <v>1.97</v>
      </c>
      <c r="N323" s="27" t="n">
        <f aca="false">L323/(M323*M323)</f>
        <v>19.3254142080445</v>
      </c>
      <c r="O323" s="26" t="n">
        <v>0</v>
      </c>
      <c r="P323" s="26" t="n">
        <v>0</v>
      </c>
      <c r="Q323" s="26" t="n">
        <v>0</v>
      </c>
      <c r="R323" s="26" t="n">
        <v>0</v>
      </c>
      <c r="S323" s="26" t="n">
        <v>0</v>
      </c>
      <c r="T323" s="26" t="n">
        <v>0</v>
      </c>
      <c r="U323" s="26" t="n">
        <v>1</v>
      </c>
      <c r="V323" s="26" t="n">
        <v>3</v>
      </c>
      <c r="W323" s="26" t="n">
        <v>1</v>
      </c>
      <c r="X323" s="26" t="n">
        <v>0</v>
      </c>
      <c r="Y323" s="26" t="n">
        <v>1</v>
      </c>
      <c r="Z323" s="26" t="n">
        <v>1</v>
      </c>
      <c r="AA323" s="26" t="n">
        <v>45</v>
      </c>
      <c r="AB323" s="26" t="s">
        <v>284</v>
      </c>
      <c r="AC323" s="26" t="n">
        <v>1</v>
      </c>
      <c r="AD323" s="26" t="n">
        <v>5</v>
      </c>
      <c r="AE323" s="26" t="n">
        <v>1</v>
      </c>
      <c r="AF323" s="19" t="n">
        <v>0</v>
      </c>
      <c r="AG323" s="19" t="n">
        <v>0</v>
      </c>
      <c r="AH323" s="19" t="n">
        <v>0</v>
      </c>
      <c r="AI323" s="26" t="n">
        <v>1</v>
      </c>
      <c r="AJ323" s="26" t="n">
        <v>0</v>
      </c>
      <c r="AK323" s="26" t="n">
        <v>0</v>
      </c>
      <c r="AL323" s="26" t="n">
        <v>0</v>
      </c>
      <c r="AM323" s="26" t="n">
        <v>0</v>
      </c>
      <c r="AN323" s="26" t="n">
        <v>0</v>
      </c>
      <c r="AO323" s="19" t="n">
        <v>0</v>
      </c>
      <c r="AP323" s="19" t="n">
        <v>0</v>
      </c>
      <c r="AQ323" s="19" t="n">
        <v>0</v>
      </c>
      <c r="AR323" s="19" t="n">
        <v>0</v>
      </c>
      <c r="AS323" s="26" t="n">
        <v>0</v>
      </c>
      <c r="AT323" s="26" t="n">
        <v>0</v>
      </c>
      <c r="AU323" s="26" t="n">
        <v>0</v>
      </c>
      <c r="AV323" s="26" t="n">
        <v>0</v>
      </c>
      <c r="AW323" s="26" t="n">
        <v>0</v>
      </c>
      <c r="AX323" s="26" t="n">
        <v>0</v>
      </c>
      <c r="AY323" s="26" t="n">
        <v>0</v>
      </c>
      <c r="AZ323" s="26" t="n">
        <v>0</v>
      </c>
      <c r="BA323" s="26" t="n">
        <v>0</v>
      </c>
      <c r="BB323" s="26" t="n">
        <v>1</v>
      </c>
      <c r="BC323" s="26"/>
      <c r="BD323" s="26"/>
      <c r="BE323" s="26"/>
      <c r="BF323" s="26" t="n">
        <v>0</v>
      </c>
      <c r="BG323" s="26" t="n">
        <v>0</v>
      </c>
      <c r="BH323" s="26" t="n">
        <v>0</v>
      </c>
      <c r="BI323" s="26" t="n">
        <v>0</v>
      </c>
      <c r="BJ323" s="26" t="n">
        <v>1</v>
      </c>
      <c r="BK323" s="26" t="n">
        <v>0</v>
      </c>
      <c r="BL323" s="26" t="n">
        <v>1</v>
      </c>
      <c r="BM323" s="26" t="n">
        <v>5</v>
      </c>
      <c r="BN323" s="26" t="n">
        <v>1</v>
      </c>
      <c r="BO323" s="26" t="n">
        <v>0</v>
      </c>
      <c r="BP323" s="26" t="n">
        <v>1</v>
      </c>
      <c r="BQ323" s="26" t="n">
        <v>5</v>
      </c>
      <c r="BR323" s="26" t="n">
        <v>3</v>
      </c>
      <c r="BS323" s="26" t="n">
        <v>2</v>
      </c>
      <c r="BT323" s="26" t="n">
        <v>3</v>
      </c>
      <c r="BU323" s="26" t="n">
        <v>5</v>
      </c>
      <c r="BV323" s="26" t="n">
        <v>1</v>
      </c>
      <c r="BW323" s="26" t="n">
        <v>4</v>
      </c>
      <c r="BX323" s="26" t="n">
        <v>3</v>
      </c>
      <c r="BY323" s="26" t="n">
        <v>4</v>
      </c>
      <c r="BZ323" s="26" t="n">
        <v>4</v>
      </c>
      <c r="CA323" s="26" t="n">
        <v>3</v>
      </c>
      <c r="CB323" s="26" t="n">
        <v>3</v>
      </c>
      <c r="CC323" s="26" t="n">
        <v>5</v>
      </c>
      <c r="CD323" s="26" t="n">
        <v>3</v>
      </c>
      <c r="CE323" s="26" t="n">
        <v>4</v>
      </c>
      <c r="CF323" s="26" t="n">
        <v>4</v>
      </c>
      <c r="CG323" s="26" t="n">
        <v>5</v>
      </c>
      <c r="CH323" s="26" t="n">
        <v>5</v>
      </c>
      <c r="CI323" s="26" t="n">
        <v>5</v>
      </c>
      <c r="CJ323" s="26" t="n">
        <v>5</v>
      </c>
      <c r="CK323" s="26" t="n">
        <v>10</v>
      </c>
      <c r="CL323" s="24" t="s">
        <v>288</v>
      </c>
      <c r="CM323" s="24" t="n">
        <v>77.5</v>
      </c>
      <c r="CN323" s="27" t="n">
        <v>87.4</v>
      </c>
      <c r="CO323" s="27" t="n">
        <v>80.4</v>
      </c>
      <c r="CP323" s="27" t="n">
        <v>53.5</v>
      </c>
      <c r="CQ323" s="24" t="n">
        <v>51.28</v>
      </c>
      <c r="CR323" s="29" t="n">
        <v>0</v>
      </c>
      <c r="CS323" s="24" t="n">
        <v>27.27</v>
      </c>
      <c r="CT323" s="24" t="n">
        <v>21.22</v>
      </c>
      <c r="CU323" s="24" t="n">
        <v>0</v>
      </c>
      <c r="CV323" s="24" t="n">
        <v>0</v>
      </c>
      <c r="CW323" s="24" t="n">
        <v>0</v>
      </c>
      <c r="CX323" s="24" t="n">
        <v>0</v>
      </c>
      <c r="CY323" s="24" t="n">
        <v>0</v>
      </c>
      <c r="CZ323" s="24" t="n">
        <v>0</v>
      </c>
      <c r="DA323" s="24" t="n">
        <v>0</v>
      </c>
      <c r="DB323" s="24" t="n">
        <v>0</v>
      </c>
      <c r="DC323" s="24" t="n">
        <v>5.93</v>
      </c>
      <c r="DD323" s="24" t="n">
        <v>4.61</v>
      </c>
      <c r="DE323" s="24" t="n">
        <v>5.38</v>
      </c>
      <c r="DF323" s="24" t="n">
        <v>0</v>
      </c>
      <c r="DG323" s="24" t="n">
        <v>15.4</v>
      </c>
      <c r="DH323" s="24" t="n">
        <v>1</v>
      </c>
      <c r="DI323" s="24" t="n">
        <v>4</v>
      </c>
      <c r="DK323" s="24" t="n">
        <v>2</v>
      </c>
      <c r="DO323" s="24" t="n">
        <v>4</v>
      </c>
      <c r="DQ323" s="24" t="n">
        <v>2</v>
      </c>
      <c r="DU323" s="24" t="n">
        <v>6.7</v>
      </c>
      <c r="DV323" s="24" t="n">
        <v>1</v>
      </c>
      <c r="DW323" s="24" t="n">
        <v>35</v>
      </c>
      <c r="DX323" s="24" t="n">
        <v>6</v>
      </c>
      <c r="DY323" s="24" t="n">
        <v>0.8</v>
      </c>
      <c r="DZ323" s="24" t="n">
        <v>3</v>
      </c>
      <c r="EA323" s="24" t="n">
        <v>47</v>
      </c>
      <c r="EB323" s="24" t="n">
        <v>1</v>
      </c>
      <c r="EC323" s="24" t="n">
        <v>0.13</v>
      </c>
      <c r="ED323" s="24" t="n">
        <v>3</v>
      </c>
      <c r="EG323" s="28"/>
      <c r="EY323" s="24" t="n">
        <v>1</v>
      </c>
      <c r="EZ323" s="24" t="n">
        <v>60</v>
      </c>
      <c r="FA323" s="24" t="n">
        <v>3</v>
      </c>
      <c r="FB323" s="24" t="n">
        <v>1.35</v>
      </c>
      <c r="FC323" s="24" t="n">
        <v>2</v>
      </c>
      <c r="GJ323" s="27" t="n">
        <v>0</v>
      </c>
      <c r="GK323" s="27" t="n">
        <v>0</v>
      </c>
      <c r="GL323" s="27"/>
      <c r="GM323" s="27"/>
      <c r="GN323" s="27"/>
      <c r="GO323" s="27"/>
      <c r="GP323" s="27"/>
      <c r="GQ323" s="27"/>
      <c r="GR323" s="27"/>
      <c r="GS323" s="27"/>
      <c r="GT323" s="27"/>
      <c r="GU323" s="27" t="n">
        <v>0</v>
      </c>
      <c r="GV323" s="27" t="n">
        <v>0</v>
      </c>
      <c r="GW323" s="27"/>
      <c r="GX323" s="27"/>
      <c r="GY323" s="27" t="n">
        <v>0</v>
      </c>
      <c r="GZ323" s="27" t="n">
        <v>0</v>
      </c>
      <c r="HA323" s="27" t="n">
        <v>0</v>
      </c>
      <c r="HB323" s="24" t="n">
        <v>0</v>
      </c>
      <c r="HC323" s="24" t="s">
        <v>289</v>
      </c>
      <c r="HD323" s="24" t="n">
        <v>44</v>
      </c>
      <c r="HE323" s="27" t="n">
        <v>69.9</v>
      </c>
      <c r="HF323" s="27" t="n">
        <v>80.4</v>
      </c>
      <c r="HG323" s="27" t="n">
        <v>41</v>
      </c>
      <c r="HH323" s="24" t="n">
        <v>68.16</v>
      </c>
      <c r="HI323" s="29" t="n">
        <v>0</v>
      </c>
      <c r="HJ323" s="24" t="n">
        <v>11.52</v>
      </c>
      <c r="HK323" s="24" t="n">
        <v>20.32</v>
      </c>
      <c r="HL323" s="24" t="n">
        <v>0</v>
      </c>
      <c r="HM323" s="24" t="n">
        <v>0</v>
      </c>
      <c r="HN323" s="24" t="n">
        <v>0</v>
      </c>
      <c r="HO323" s="24" t="n">
        <v>0</v>
      </c>
      <c r="HP323" s="24" t="n">
        <v>0</v>
      </c>
      <c r="HQ323" s="24" t="n">
        <v>0</v>
      </c>
      <c r="HR323" s="24" t="n">
        <v>0</v>
      </c>
      <c r="HS323" s="24" t="n">
        <v>0</v>
      </c>
      <c r="HT323" s="24" t="n">
        <v>13.13</v>
      </c>
      <c r="HU323" s="24" t="n">
        <v>8.66</v>
      </c>
      <c r="HV323" s="24" t="n">
        <v>0</v>
      </c>
      <c r="HW323" s="24" t="n">
        <v>0</v>
      </c>
      <c r="HX323" s="24" t="n">
        <v>0</v>
      </c>
      <c r="HY323" s="24" t="n">
        <v>0</v>
      </c>
      <c r="IL323" s="24" t="n">
        <v>1.5</v>
      </c>
      <c r="IM323" s="24" t="n">
        <v>1</v>
      </c>
      <c r="IN323" s="24" t="n">
        <v>47</v>
      </c>
      <c r="IO323" s="24" t="n">
        <v>5</v>
      </c>
      <c r="IP323" s="24" t="n">
        <f aca="false">0.15+0.04</f>
        <v>0.19</v>
      </c>
      <c r="IQ323" s="24" t="n">
        <v>3</v>
      </c>
      <c r="IR323" s="24" t="n">
        <v>25</v>
      </c>
      <c r="IS323" s="24" t="n">
        <v>1</v>
      </c>
      <c r="IT323" s="24" t="n">
        <v>0.4</v>
      </c>
      <c r="IU323" s="24" t="n">
        <v>1</v>
      </c>
      <c r="IX323" s="28"/>
      <c r="JP323" s="24" t="n">
        <v>0</v>
      </c>
      <c r="LA323" s="27" t="n">
        <v>0.11</v>
      </c>
      <c r="LB323" s="27" t="n">
        <v>1</v>
      </c>
      <c r="LC323" s="27" t="n">
        <v>1</v>
      </c>
      <c r="LD323" s="27"/>
      <c r="LE323" s="27" t="n">
        <v>0.56</v>
      </c>
      <c r="LF323" s="27"/>
      <c r="LG323" s="27"/>
      <c r="LH323" s="27"/>
      <c r="LI323" s="27"/>
      <c r="LJ323" s="27"/>
      <c r="LK323" s="27"/>
      <c r="LL323" s="27" t="n">
        <v>0</v>
      </c>
      <c r="LM323" s="27" t="n">
        <v>0</v>
      </c>
      <c r="LN323" s="27"/>
      <c r="LO323" s="27"/>
      <c r="LP323" s="27" t="n">
        <v>0</v>
      </c>
      <c r="LQ323" s="27" t="n">
        <v>0</v>
      </c>
      <c r="LR323" s="27" t="n">
        <v>0</v>
      </c>
      <c r="LS323" s="24" t="n">
        <v>0</v>
      </c>
      <c r="LT323" s="24" t="s">
        <v>290</v>
      </c>
      <c r="LU323" s="24" t="n">
        <v>43</v>
      </c>
      <c r="LV323" s="27" t="n">
        <v>49.3</v>
      </c>
      <c r="LW323" s="27" t="n">
        <v>80.4</v>
      </c>
      <c r="LX323" s="27" t="n">
        <v>32.9</v>
      </c>
      <c r="LY323" s="24" t="n">
        <v>73.52</v>
      </c>
      <c r="LZ323" s="29" t="n">
        <v>0</v>
      </c>
      <c r="MA323" s="24" t="n">
        <v>16.84</v>
      </c>
      <c r="MB323" s="24" t="n">
        <v>9.64</v>
      </c>
      <c r="MC323" s="24" t="n">
        <v>0</v>
      </c>
      <c r="MD323" s="24" t="n">
        <v>0</v>
      </c>
      <c r="ME323" s="24" t="n">
        <v>0</v>
      </c>
      <c r="MF323" s="24" t="n">
        <v>0</v>
      </c>
      <c r="MG323" s="24" t="n">
        <v>0</v>
      </c>
      <c r="MH323" s="24" t="n">
        <v>0</v>
      </c>
      <c r="MI323" s="24" t="n">
        <v>0</v>
      </c>
      <c r="MJ323" s="24" t="n">
        <v>0</v>
      </c>
      <c r="MK323" s="24" t="n">
        <v>13.52</v>
      </c>
      <c r="ML323" s="24" t="n">
        <v>3.69</v>
      </c>
      <c r="MM323" s="24" t="n">
        <v>3.85</v>
      </c>
      <c r="MN323" s="24" t="n">
        <v>0</v>
      </c>
      <c r="MO323" s="24" t="n">
        <v>0</v>
      </c>
      <c r="MP323" s="24" t="n">
        <v>0</v>
      </c>
      <c r="NC323" s="24" t="n">
        <v>7.4</v>
      </c>
      <c r="ND323" s="24" t="n">
        <v>1</v>
      </c>
      <c r="NE323" s="24" t="n">
        <v>47</v>
      </c>
      <c r="NF323" s="24" t="n">
        <v>11</v>
      </c>
      <c r="NG323" s="24" t="n">
        <f aca="false">2.09+0.15+0.04</f>
        <v>2.28</v>
      </c>
      <c r="NH323" s="24" t="n">
        <v>3</v>
      </c>
      <c r="NO323" s="28"/>
      <c r="OG323" s="24" t="n">
        <v>0</v>
      </c>
      <c r="PR323" s="27" t="n">
        <v>0.28</v>
      </c>
      <c r="PS323" s="27" t="n">
        <v>1</v>
      </c>
      <c r="PT323" s="27" t="n">
        <v>1</v>
      </c>
      <c r="PU323" s="27"/>
      <c r="PV323" s="27" t="n">
        <v>0.56</v>
      </c>
      <c r="PW323" s="27"/>
      <c r="PX323" s="27"/>
      <c r="PY323" s="27"/>
      <c r="PZ323" s="27"/>
      <c r="QA323" s="27"/>
      <c r="QB323" s="27"/>
      <c r="QC323" s="27" t="n">
        <v>0.99</v>
      </c>
      <c r="QD323" s="27" t="n">
        <v>0.39</v>
      </c>
      <c r="QE323" s="27"/>
      <c r="QF323" s="27"/>
      <c r="QG323" s="27" t="n">
        <v>0</v>
      </c>
      <c r="QH323" s="27" t="n">
        <v>0</v>
      </c>
      <c r="QI323" s="27" t="n">
        <v>0</v>
      </c>
      <c r="QJ323" s="24" t="n">
        <v>0</v>
      </c>
      <c r="QK323" s="24" t="n">
        <v>56</v>
      </c>
      <c r="QL323" s="24" t="n">
        <v>26.5</v>
      </c>
      <c r="QM323" s="27" t="n">
        <v>66.1</v>
      </c>
      <c r="QN323" s="27" t="n">
        <v>80.4</v>
      </c>
      <c r="QO323" s="27" t="n">
        <v>15</v>
      </c>
      <c r="QP323" s="24" t="n">
        <v>89</v>
      </c>
      <c r="QQ323" s="29" t="n">
        <v>0</v>
      </c>
      <c r="QR323" s="24" t="n">
        <v>7.09</v>
      </c>
      <c r="QS323" s="24" t="n">
        <v>2.12</v>
      </c>
      <c r="QT323" s="24" t="n">
        <v>0</v>
      </c>
      <c r="QU323" s="24" t="n">
        <v>0</v>
      </c>
      <c r="QV323" s="24" t="n">
        <v>0</v>
      </c>
      <c r="QW323" s="24" t="n">
        <v>0</v>
      </c>
      <c r="QX323" s="24" t="n">
        <v>0</v>
      </c>
      <c r="QY323" s="24" t="n">
        <v>0</v>
      </c>
      <c r="QZ323" s="24" t="n">
        <v>0</v>
      </c>
      <c r="RA323" s="24" t="n">
        <v>0</v>
      </c>
      <c r="RB323" s="24" t="n">
        <v>4.26</v>
      </c>
      <c r="RC323" s="24" t="n">
        <v>32.68</v>
      </c>
      <c r="RD323" s="24" t="n">
        <v>1.91</v>
      </c>
      <c r="RE323" s="24" t="n">
        <v>0</v>
      </c>
      <c r="RF323" s="24" t="n">
        <v>0</v>
      </c>
      <c r="RG323" s="24" t="n">
        <v>0</v>
      </c>
      <c r="RT323" s="24" t="n">
        <v>0</v>
      </c>
      <c r="RU323" s="24" t="n">
        <v>0</v>
      </c>
      <c r="SF323" s="28"/>
      <c r="SX323" s="24" t="n">
        <v>0</v>
      </c>
      <c r="UI323" s="27" t="n">
        <v>3.52</v>
      </c>
      <c r="UJ323" s="27" t="n">
        <v>1</v>
      </c>
      <c r="UK323" s="27" t="n">
        <v>1</v>
      </c>
      <c r="UL323" s="27"/>
      <c r="UM323" s="27" t="n">
        <f aca="false">3.13+3.17*4</f>
        <v>15.81</v>
      </c>
      <c r="UN323" s="27" t="n">
        <v>2</v>
      </c>
      <c r="UO323" s="27"/>
      <c r="UP323" s="27" t="n">
        <v>0.87</v>
      </c>
      <c r="UQ323" s="27"/>
      <c r="UR323" s="27"/>
      <c r="US323" s="27"/>
      <c r="UT323" s="27" t="n">
        <v>5.36</v>
      </c>
      <c r="UU323" s="27" t="n">
        <v>8.39</v>
      </c>
      <c r="UV323" s="27"/>
      <c r="UW323" s="27"/>
      <c r="UX323" s="27" t="n">
        <v>0</v>
      </c>
      <c r="UY323" s="27" t="n">
        <v>0</v>
      </c>
      <c r="UZ323" s="27" t="n">
        <v>0</v>
      </c>
      <c r="VA323" s="24" t="n">
        <v>0</v>
      </c>
      <c r="VB323" s="24" t="s">
        <v>757</v>
      </c>
      <c r="VC323" s="24" t="n">
        <v>36</v>
      </c>
      <c r="VD323" s="27" t="n">
        <v>87.4</v>
      </c>
      <c r="VE323" s="27" t="n">
        <v>80.4</v>
      </c>
      <c r="VF323" s="27" t="n">
        <v>27.8</v>
      </c>
      <c r="VG323" s="24" t="n">
        <v>71.12</v>
      </c>
      <c r="VH323" s="29" t="n">
        <v>0</v>
      </c>
      <c r="VI323" s="24" t="n">
        <v>26.39</v>
      </c>
      <c r="VJ323" s="24" t="n">
        <v>2.49</v>
      </c>
      <c r="VK323" s="24" t="n">
        <v>0</v>
      </c>
      <c r="VL323" s="24" t="n">
        <v>0</v>
      </c>
      <c r="VM323" s="24" t="n">
        <v>0</v>
      </c>
      <c r="VN323" s="24" t="n">
        <v>0</v>
      </c>
      <c r="VO323" s="24" t="n">
        <v>0</v>
      </c>
      <c r="VP323" s="24" t="n">
        <v>0</v>
      </c>
      <c r="VQ323" s="24" t="n">
        <v>0</v>
      </c>
      <c r="VR323" s="24" t="n">
        <v>0</v>
      </c>
      <c r="VS323" s="24" t="n">
        <v>49.1</v>
      </c>
      <c r="VT323" s="24" t="n">
        <v>13.54</v>
      </c>
      <c r="VU323" s="24" t="n">
        <v>0</v>
      </c>
      <c r="VV323" s="24" t="n">
        <v>0</v>
      </c>
      <c r="VW323" s="24" t="n">
        <v>0</v>
      </c>
      <c r="VX323" s="24" t="n">
        <v>0</v>
      </c>
      <c r="WK323" s="24" t="n">
        <v>2.4</v>
      </c>
      <c r="WL323" s="24" t="n">
        <v>0</v>
      </c>
      <c r="WW323" s="28"/>
      <c r="XO323" s="24" t="n">
        <v>1</v>
      </c>
      <c r="XP323" s="24" t="n">
        <v>70</v>
      </c>
      <c r="XQ323" s="24" t="n">
        <v>2</v>
      </c>
      <c r="XR323" s="24" t="n">
        <f aca="false">0.83*2</f>
        <v>1.66</v>
      </c>
      <c r="XS323" s="24" t="n">
        <v>2</v>
      </c>
      <c r="XT323" s="24" t="n">
        <v>90</v>
      </c>
      <c r="XU323" s="24" t="n">
        <v>2</v>
      </c>
      <c r="XV323" s="24" t="n">
        <f aca="false">0.41*2</f>
        <v>0.82</v>
      </c>
      <c r="XW323" s="24" t="n">
        <v>1</v>
      </c>
      <c r="YZ323" s="27" t="n">
        <v>1.59</v>
      </c>
      <c r="ZA323" s="27" t="n">
        <v>1</v>
      </c>
      <c r="ZB323" s="27" t="n">
        <v>1</v>
      </c>
      <c r="ZC323" s="27"/>
      <c r="ZD323" s="27" t="n">
        <v>12.69</v>
      </c>
      <c r="ZE323" s="27"/>
      <c r="ZF323" s="27"/>
      <c r="ZG323" s="27"/>
      <c r="ZH323" s="27"/>
      <c r="ZI323" s="27"/>
      <c r="ZJ323" s="27"/>
      <c r="ZK323" s="27" t="n">
        <v>4.19</v>
      </c>
      <c r="ZL323" s="27" t="n">
        <v>4.18</v>
      </c>
      <c r="ZM323" s="27"/>
      <c r="ZN323" s="27"/>
      <c r="ZO323" s="27" t="n">
        <v>0</v>
      </c>
      <c r="ZP323" s="27" t="n">
        <v>0</v>
      </c>
      <c r="ZQ323" s="27" t="n">
        <v>0</v>
      </c>
      <c r="ZR323" s="24" t="n">
        <v>0</v>
      </c>
      <c r="ZS323" s="24" t="s">
        <v>904</v>
      </c>
      <c r="ZT323" s="24" t="n">
        <v>38.5</v>
      </c>
      <c r="ZU323" s="27" t="n">
        <v>90.9</v>
      </c>
      <c r="ZV323" s="27" t="n">
        <v>80.4</v>
      </c>
      <c r="ZW323" s="27" t="n">
        <v>26.3</v>
      </c>
      <c r="ZX323" s="24" t="n">
        <v>74.67</v>
      </c>
      <c r="ZY323" s="29" t="n">
        <v>0</v>
      </c>
      <c r="ZZ323" s="24" t="n">
        <v>11.23</v>
      </c>
      <c r="AAA323" s="24" t="n">
        <v>0</v>
      </c>
      <c r="AAB323" s="24" t="n">
        <v>14.1</v>
      </c>
      <c r="AAC323" s="24" t="n">
        <v>0</v>
      </c>
      <c r="AAD323" s="24" t="n">
        <v>0</v>
      </c>
      <c r="AAE323" s="24" t="n">
        <v>0</v>
      </c>
      <c r="AAF323" s="24" t="n">
        <v>0</v>
      </c>
      <c r="AAG323" s="24" t="n">
        <v>0</v>
      </c>
      <c r="AAH323" s="24" t="n">
        <v>0</v>
      </c>
      <c r="AAI323" s="24" t="n">
        <v>0</v>
      </c>
      <c r="AAJ323" s="24" t="n">
        <v>15.12</v>
      </c>
      <c r="AAK323" s="24" t="n">
        <v>9.72</v>
      </c>
      <c r="AAL323" s="24" t="n">
        <v>49.95</v>
      </c>
      <c r="AAM323" s="24" t="n">
        <v>0</v>
      </c>
      <c r="AAN323" s="24" t="n">
        <v>0</v>
      </c>
      <c r="AAO323" s="24" t="n">
        <v>0</v>
      </c>
      <c r="ABB323" s="24" t="n">
        <v>7.1</v>
      </c>
      <c r="ABC323" s="24" t="n">
        <v>1</v>
      </c>
      <c r="ABD323" s="24" t="n">
        <v>34</v>
      </c>
      <c r="ABE323" s="24" t="n">
        <v>2</v>
      </c>
      <c r="ABF323" s="24" t="n">
        <f aca="false">0.76+0.13</f>
        <v>0.89</v>
      </c>
      <c r="ABG323" s="24" t="n">
        <v>1</v>
      </c>
      <c r="ABH323" s="24" t="n">
        <v>35</v>
      </c>
      <c r="ABI323" s="24" t="n">
        <v>2</v>
      </c>
      <c r="ABJ323" s="24" t="n">
        <v>2.28</v>
      </c>
      <c r="ABK323" s="24" t="n">
        <v>3</v>
      </c>
      <c r="ABL323" s="24" t="n">
        <v>23</v>
      </c>
      <c r="ABM323" s="24" t="n">
        <v>1</v>
      </c>
      <c r="ABN323" s="28" t="n">
        <v>0.43</v>
      </c>
      <c r="ABO323" s="24" t="n">
        <v>1</v>
      </c>
      <c r="ACF323" s="24" t="n">
        <v>0</v>
      </c>
      <c r="ADQ323" s="27" t="n">
        <v>1.94</v>
      </c>
      <c r="ADR323" s="27" t="n">
        <v>1</v>
      </c>
      <c r="ADS323" s="27" t="n">
        <v>1</v>
      </c>
      <c r="ADT323" s="27"/>
      <c r="ADU323" s="27" t="n">
        <f aca="false">2.11+3.17</f>
        <v>5.28</v>
      </c>
      <c r="ADV323" s="27" t="n">
        <v>2</v>
      </c>
      <c r="ADW323" s="27"/>
      <c r="ADX323" s="27" t="n">
        <f aca="false">1.5</f>
        <v>1.5</v>
      </c>
      <c r="ADY323" s="27"/>
      <c r="ADZ323" s="27"/>
      <c r="AEA323" s="27"/>
      <c r="AEB323" s="27" t="n">
        <v>0</v>
      </c>
      <c r="AEC323" s="27" t="n">
        <v>0</v>
      </c>
      <c r="AED323" s="27"/>
      <c r="AEE323" s="27"/>
      <c r="AEF323" s="27" t="n">
        <v>0</v>
      </c>
      <c r="AEG323" s="27" t="n">
        <v>0</v>
      </c>
      <c r="AEH323" s="27" t="n">
        <v>0</v>
      </c>
      <c r="AEI323" s="24" t="n">
        <v>0</v>
      </c>
      <c r="AEJ323" s="24" t="s">
        <v>775</v>
      </c>
      <c r="AEK323" s="24" t="n">
        <v>32.5</v>
      </c>
      <c r="AEL323" s="27" t="n">
        <v>88.1</v>
      </c>
      <c r="AEM323" s="27" t="n">
        <v>80.4</v>
      </c>
      <c r="AEN323" s="27" t="n">
        <v>21.1</v>
      </c>
      <c r="AEO323" s="24" t="n">
        <v>85.64</v>
      </c>
      <c r="AEP323" s="29" t="n">
        <v>0</v>
      </c>
      <c r="AEQ323" s="24" t="n">
        <v>5.22</v>
      </c>
      <c r="AER323" s="24" t="n">
        <v>0</v>
      </c>
      <c r="AES323" s="24" t="n">
        <v>9.14</v>
      </c>
      <c r="AET323" s="24" t="n">
        <v>0</v>
      </c>
      <c r="AEU323" s="24" t="n">
        <v>0</v>
      </c>
      <c r="AEV323" s="24" t="n">
        <v>0</v>
      </c>
      <c r="AEW323" s="24" t="n">
        <v>0</v>
      </c>
      <c r="AEX323" s="24" t="n">
        <v>0</v>
      </c>
      <c r="AEY323" s="24" t="n">
        <v>0</v>
      </c>
      <c r="AEZ323" s="24" t="n">
        <v>0</v>
      </c>
      <c r="AFA323" s="24" t="n">
        <v>34.2</v>
      </c>
      <c r="AFB323" s="24" t="n">
        <v>7.52</v>
      </c>
      <c r="AFC323" s="24" t="n">
        <v>31.17</v>
      </c>
      <c r="AFD323" s="24" t="n">
        <v>0</v>
      </c>
      <c r="AFE323" s="24" t="n">
        <v>0</v>
      </c>
      <c r="AFF323" s="24" t="n">
        <v>0</v>
      </c>
      <c r="AFS323" s="24" t="n">
        <v>3.8</v>
      </c>
      <c r="AFT323" s="24" t="n">
        <v>1</v>
      </c>
      <c r="AFU323" s="24" t="n">
        <v>34</v>
      </c>
      <c r="AFV323" s="24" t="n">
        <v>2</v>
      </c>
      <c r="AFW323" s="24" t="n">
        <f aca="false">0.76+0.13</f>
        <v>0.89</v>
      </c>
      <c r="AFX323" s="24" t="n">
        <v>1</v>
      </c>
      <c r="AFY323" s="24" t="n">
        <v>23</v>
      </c>
      <c r="AFZ323" s="24" t="n">
        <v>3</v>
      </c>
      <c r="AGA323" s="24" t="n">
        <v>2.28</v>
      </c>
      <c r="AGB323" s="24" t="n">
        <v>3</v>
      </c>
      <c r="AGC323" s="24" t="n">
        <v>47</v>
      </c>
      <c r="AGD323" s="24" t="n">
        <v>1</v>
      </c>
      <c r="AGE323" s="28" t="n">
        <v>0.76</v>
      </c>
      <c r="AGF323" s="24" t="n">
        <v>3</v>
      </c>
      <c r="AGW323" s="24" t="n">
        <v>0</v>
      </c>
      <c r="AIH323" s="27" t="n">
        <v>0</v>
      </c>
      <c r="AII323" s="27" t="n">
        <v>0</v>
      </c>
      <c r="AIJ323" s="27"/>
      <c r="AIK323" s="27"/>
      <c r="AIL323" s="27"/>
      <c r="AIM323" s="27"/>
      <c r="AIN323" s="27"/>
      <c r="AIO323" s="27"/>
      <c r="AIP323" s="27"/>
      <c r="AIQ323" s="27"/>
      <c r="AIR323" s="27"/>
      <c r="AIS323" s="27" t="n">
        <v>5.4</v>
      </c>
      <c r="AIT323" s="27" t="n">
        <v>9.72</v>
      </c>
      <c r="AIU323" s="27"/>
      <c r="AIV323" s="27"/>
      <c r="AIW323" s="27" t="n">
        <v>0</v>
      </c>
      <c r="AIX323" s="27" t="n">
        <v>0</v>
      </c>
      <c r="AIY323" s="27" t="n">
        <v>0</v>
      </c>
      <c r="AIZ323" s="24" t="n">
        <v>0</v>
      </c>
      <c r="AJA323" s="21"/>
      <c r="AJB323" s="21"/>
      <c r="AJD323" s="33"/>
      <c r="AJE323" s="33"/>
      <c r="AJH323" s="33"/>
      <c r="AJI323" s="21"/>
      <c r="AJJ323" s="21"/>
      <c r="AJL323" s="33"/>
      <c r="AJM323" s="33"/>
      <c r="AJP323" s="33"/>
      <c r="AJQ323" s="21"/>
      <c r="AJR323" s="21"/>
      <c r="AJT323" s="33"/>
      <c r="AJU323" s="33"/>
      <c r="AJX323" s="33"/>
      <c r="AJY323" s="21"/>
      <c r="AJZ323" s="21"/>
      <c r="AKB323" s="33"/>
      <c r="AKC323" s="33"/>
      <c r="AKF323" s="33"/>
      <c r="AKG323" s="21"/>
      <c r="AKH323" s="21"/>
      <c r="AKJ323" s="33"/>
      <c r="AKK323" s="33"/>
      <c r="AKN323" s="33"/>
      <c r="AKO323" s="21"/>
      <c r="AKP323" s="21"/>
      <c r="AKR323" s="33"/>
      <c r="AKS323" s="33"/>
      <c r="AKV323" s="33"/>
      <c r="AKW323" s="21"/>
      <c r="AKX323" s="21"/>
      <c r="AKZ323" s="33"/>
      <c r="ALA323" s="33"/>
      <c r="ALD323" s="33"/>
      <c r="ALE323" s="21"/>
      <c r="ALF323" s="21"/>
      <c r="ALH323" s="33"/>
      <c r="ALI323" s="33"/>
      <c r="ALL323" s="33"/>
      <c r="ALM323" s="21"/>
      <c r="ALN323" s="21"/>
      <c r="ALP323" s="33"/>
      <c r="ALQ323" s="33"/>
      <c r="ALT323" s="33"/>
      <c r="ALU323" s="21"/>
      <c r="ALV323" s="21"/>
      <c r="ALX323" s="33"/>
      <c r="ALY323" s="33"/>
      <c r="AMB323" s="33"/>
      <c r="AMC323" s="21"/>
      <c r="AMD323" s="21"/>
      <c r="AMF323" s="33"/>
      <c r="AMG323" s="33"/>
      <c r="AMJ323" s="33"/>
    </row>
    <row r="324" customFormat="false" ht="13.8" hidden="false" customHeight="false" outlineLevel="0" collapsed="false">
      <c r="A324" s="22" t="s">
        <v>905</v>
      </c>
      <c r="B324" s="23" t="n">
        <v>42905</v>
      </c>
      <c r="C324" s="24" t="n">
        <v>2</v>
      </c>
      <c r="D324" s="25" t="n">
        <v>42786</v>
      </c>
      <c r="E324" s="23" t="n">
        <v>34502</v>
      </c>
      <c r="F324" s="14" t="n">
        <f aca="false">(B324-E324)/365.25</f>
        <v>23.006160164271</v>
      </c>
      <c r="G324" s="14" t="n">
        <f aca="false">(B324-D324)/365.25</f>
        <v>0.32580424366872</v>
      </c>
      <c r="H324" s="26" t="s">
        <v>181</v>
      </c>
      <c r="I324" s="21" t="s">
        <v>283</v>
      </c>
      <c r="J324" s="21" t="s">
        <v>181</v>
      </c>
      <c r="K324" s="21" t="n">
        <v>8</v>
      </c>
      <c r="L324" s="26" t="n">
        <v>52</v>
      </c>
      <c r="M324" s="24" t="n">
        <v>1.68</v>
      </c>
      <c r="N324" s="27" t="n">
        <f aca="false">L324/(M324*M324)</f>
        <v>18.4240362811791</v>
      </c>
      <c r="O324" s="26" t="n">
        <v>0</v>
      </c>
      <c r="P324" s="26" t="n">
        <v>0</v>
      </c>
      <c r="Q324" s="26" t="n">
        <v>0</v>
      </c>
      <c r="R324" s="26" t="n">
        <v>0</v>
      </c>
      <c r="S324" s="26" t="n">
        <v>0</v>
      </c>
      <c r="T324" s="26" t="n">
        <v>0</v>
      </c>
      <c r="U324" s="26" t="n">
        <v>0</v>
      </c>
      <c r="V324" s="26" t="n">
        <v>0</v>
      </c>
      <c r="W324" s="26" t="n">
        <v>0</v>
      </c>
      <c r="X324" s="26" t="n">
        <v>0</v>
      </c>
      <c r="Y324" s="26" t="n">
        <v>0</v>
      </c>
      <c r="Z324" s="26" t="n">
        <v>0</v>
      </c>
      <c r="AA324" s="26" t="n">
        <v>0</v>
      </c>
      <c r="AB324" s="26" t="n">
        <v>0</v>
      </c>
      <c r="AC324" s="26" t="n">
        <v>1</v>
      </c>
      <c r="AD324" s="26" t="n">
        <v>10</v>
      </c>
      <c r="AE324" s="26" t="n">
        <v>0</v>
      </c>
      <c r="AF324" s="19" t="n">
        <v>0</v>
      </c>
      <c r="AG324" s="19" t="n">
        <v>0</v>
      </c>
      <c r="AH324" s="19" t="n">
        <v>0</v>
      </c>
      <c r="AI324" s="26" t="n">
        <v>0</v>
      </c>
      <c r="AJ324" s="26" t="n">
        <v>0</v>
      </c>
      <c r="AK324" s="26" t="n">
        <v>0</v>
      </c>
      <c r="AL324" s="26" t="n">
        <v>0</v>
      </c>
      <c r="AM324" s="26" t="n">
        <v>0</v>
      </c>
      <c r="AN324" s="26" t="n">
        <v>0</v>
      </c>
      <c r="AO324" s="19" t="n">
        <v>0</v>
      </c>
      <c r="AP324" s="19" t="n">
        <v>0</v>
      </c>
      <c r="AQ324" s="19" t="n">
        <v>0</v>
      </c>
      <c r="AR324" s="19" t="n">
        <v>0</v>
      </c>
      <c r="AS324" s="26" t="n">
        <v>0</v>
      </c>
      <c r="AT324" s="26" t="n">
        <v>0</v>
      </c>
      <c r="AU324" s="26" t="n">
        <v>0</v>
      </c>
      <c r="AV324" s="26" t="n">
        <v>0</v>
      </c>
      <c r="AW324" s="26" t="n">
        <v>0</v>
      </c>
      <c r="AX324" s="26" t="n">
        <v>0</v>
      </c>
      <c r="AY324" s="26" t="n">
        <v>0</v>
      </c>
      <c r="AZ324" s="26" t="n">
        <v>0</v>
      </c>
      <c r="BA324" s="26" t="n">
        <v>0</v>
      </c>
      <c r="BB324" s="26" t="n">
        <v>0</v>
      </c>
      <c r="BC324" s="26" t="n">
        <v>0</v>
      </c>
      <c r="BD324" s="26" t="n">
        <v>0</v>
      </c>
      <c r="BE324" s="26" t="n">
        <v>0</v>
      </c>
      <c r="BF324" s="26" t="n">
        <v>0</v>
      </c>
      <c r="BG324" s="26" t="n">
        <v>0</v>
      </c>
      <c r="BH324" s="26" t="n">
        <v>0</v>
      </c>
      <c r="BI324" s="26" t="n">
        <v>0</v>
      </c>
      <c r="BJ324" s="19" t="n">
        <v>0</v>
      </c>
      <c r="BK324" s="19" t="n">
        <v>0</v>
      </c>
      <c r="BL324" s="19" t="n">
        <v>0</v>
      </c>
      <c r="BM324" s="19" t="n">
        <v>0</v>
      </c>
      <c r="BN324" s="26" t="n">
        <v>0</v>
      </c>
      <c r="BO324" s="26" t="n">
        <v>0</v>
      </c>
      <c r="BP324" s="26" t="n">
        <v>0</v>
      </c>
      <c r="BQ324" s="26" t="n">
        <v>0</v>
      </c>
      <c r="BR324" s="26" t="n">
        <v>1</v>
      </c>
      <c r="BS324" s="26" t="n">
        <v>1</v>
      </c>
      <c r="BT324" s="26" t="n">
        <v>3</v>
      </c>
      <c r="BU324" s="26" t="n">
        <v>4</v>
      </c>
      <c r="BV324" s="26" t="n">
        <v>1</v>
      </c>
      <c r="BW324" s="26" t="n">
        <v>5</v>
      </c>
      <c r="BX324" s="26" t="n">
        <v>5</v>
      </c>
      <c r="BY324" s="26" t="n">
        <v>5</v>
      </c>
      <c r="BZ324" s="26" t="n">
        <v>5</v>
      </c>
      <c r="CA324" s="26" t="n">
        <v>5</v>
      </c>
      <c r="CB324" s="26" t="n">
        <v>5</v>
      </c>
      <c r="CC324" s="26" t="n">
        <v>5</v>
      </c>
      <c r="CD324" s="26" t="n">
        <v>3</v>
      </c>
      <c r="CE324" s="26" t="n">
        <v>3</v>
      </c>
      <c r="CF324" s="26" t="n">
        <v>2</v>
      </c>
      <c r="CG324" s="26" t="n">
        <v>4</v>
      </c>
      <c r="CH324" s="26" t="n">
        <v>5</v>
      </c>
      <c r="CI324" s="26" t="n">
        <v>5</v>
      </c>
      <c r="CJ324" s="26" t="n">
        <v>5</v>
      </c>
      <c r="CK324" s="26" t="n">
        <v>10</v>
      </c>
      <c r="CL324" s="24" t="s">
        <v>287</v>
      </c>
      <c r="CM324" s="24" t="n">
        <v>61.5</v>
      </c>
      <c r="CN324" s="27" t="n">
        <v>83.5</v>
      </c>
      <c r="CO324" s="27" t="n">
        <v>80.4</v>
      </c>
      <c r="CP324" s="27" t="n">
        <v>56.1</v>
      </c>
      <c r="CQ324" s="24" t="n">
        <v>51.73</v>
      </c>
      <c r="CR324" s="29" t="n">
        <v>0</v>
      </c>
      <c r="CS324" s="24" t="n">
        <v>30.08</v>
      </c>
      <c r="CT324" s="24" t="n">
        <v>18.19</v>
      </c>
      <c r="CU324" s="24" t="n">
        <v>0</v>
      </c>
      <c r="CV324" s="24" t="n">
        <v>0</v>
      </c>
      <c r="CW324" s="24" t="n">
        <v>0</v>
      </c>
      <c r="CX324" s="24" t="n">
        <v>0</v>
      </c>
      <c r="CY324" s="24" t="n">
        <v>0</v>
      </c>
      <c r="CZ324" s="24" t="n">
        <v>0</v>
      </c>
      <c r="DA324" s="24" t="n">
        <v>0</v>
      </c>
      <c r="DB324" s="24" t="n">
        <v>0</v>
      </c>
      <c r="DC324" s="24" t="n">
        <v>0.3</v>
      </c>
      <c r="DD324" s="24" t="n">
        <v>27.59</v>
      </c>
      <c r="DE324" s="24" t="n">
        <v>0</v>
      </c>
      <c r="DF324" s="24" t="n">
        <v>0</v>
      </c>
      <c r="DG324" s="24" t="n">
        <v>0</v>
      </c>
      <c r="DH324" s="24" t="n">
        <v>0</v>
      </c>
      <c r="DU324" s="24" t="n">
        <v>0</v>
      </c>
      <c r="DV324" s="24" t="n">
        <v>0</v>
      </c>
      <c r="EG324" s="28"/>
      <c r="EY324" s="24" t="n">
        <v>0</v>
      </c>
      <c r="GJ324" s="27" t="n">
        <v>1.96</v>
      </c>
      <c r="GK324" s="27" t="n">
        <v>1</v>
      </c>
      <c r="GL324" s="27" t="n">
        <v>1</v>
      </c>
      <c r="GM324" s="27"/>
      <c r="GN324" s="27" t="n">
        <f aca="false">5.53+3.68+1.71+1.12+0.74</f>
        <v>12.78</v>
      </c>
      <c r="GO324" s="27"/>
      <c r="GP324" s="27"/>
      <c r="GQ324" s="27"/>
      <c r="GR324" s="27"/>
      <c r="GS324" s="27"/>
      <c r="GT324" s="27"/>
      <c r="GU324" s="27" t="n">
        <v>0.94</v>
      </c>
      <c r="GV324" s="27" t="n">
        <v>0.94</v>
      </c>
      <c r="GW324" s="27"/>
      <c r="GX324" s="27"/>
      <c r="GY324" s="27" t="n">
        <v>0</v>
      </c>
      <c r="GZ324" s="27" t="n">
        <v>0</v>
      </c>
      <c r="HA324" s="27" t="n">
        <v>0</v>
      </c>
      <c r="HB324" s="24" t="n">
        <v>0</v>
      </c>
      <c r="HC324" s="24" t="s">
        <v>288</v>
      </c>
      <c r="HD324" s="24" t="n">
        <v>77.5</v>
      </c>
      <c r="HE324" s="27" t="n">
        <v>87.4</v>
      </c>
      <c r="HF324" s="27" t="n">
        <v>80.4</v>
      </c>
      <c r="HG324" s="27" t="n">
        <v>53.5</v>
      </c>
      <c r="HH324" s="24" t="n">
        <v>51.28</v>
      </c>
      <c r="HI324" s="29" t="n">
        <v>0</v>
      </c>
      <c r="HJ324" s="24" t="n">
        <v>27.27</v>
      </c>
      <c r="HK324" s="24" t="n">
        <v>21.22</v>
      </c>
      <c r="HL324" s="24" t="n">
        <v>0</v>
      </c>
      <c r="HM324" s="24" t="n">
        <v>0</v>
      </c>
      <c r="HN324" s="24" t="n">
        <v>0</v>
      </c>
      <c r="HO324" s="24" t="n">
        <v>0</v>
      </c>
      <c r="HP324" s="24" t="n">
        <v>0</v>
      </c>
      <c r="HQ324" s="24" t="n">
        <v>0</v>
      </c>
      <c r="HR324" s="24" t="n">
        <v>0</v>
      </c>
      <c r="HS324" s="24" t="n">
        <v>0</v>
      </c>
      <c r="HT324" s="24" t="n">
        <v>5.93</v>
      </c>
      <c r="HU324" s="24" t="n">
        <v>4.61</v>
      </c>
      <c r="HV324" s="24" t="n">
        <v>5.38</v>
      </c>
      <c r="HW324" s="24" t="n">
        <v>0</v>
      </c>
      <c r="HX324" s="24" t="n">
        <v>15.4</v>
      </c>
      <c r="HY324" s="24" t="n">
        <v>1</v>
      </c>
      <c r="HZ324" s="24" t="n">
        <v>4</v>
      </c>
      <c r="IB324" s="24" t="n">
        <v>2</v>
      </c>
      <c r="IF324" s="24" t="n">
        <v>4</v>
      </c>
      <c r="IH324" s="24" t="n">
        <v>2</v>
      </c>
      <c r="IL324" s="24" t="n">
        <v>6.7</v>
      </c>
      <c r="IM324" s="24" t="n">
        <v>1</v>
      </c>
      <c r="IN324" s="24" t="n">
        <v>35</v>
      </c>
      <c r="IO324" s="24" t="n">
        <v>6</v>
      </c>
      <c r="IP324" s="24" t="n">
        <v>0.8</v>
      </c>
      <c r="IQ324" s="24" t="n">
        <v>3</v>
      </c>
      <c r="IR324" s="24" t="n">
        <v>47</v>
      </c>
      <c r="IS324" s="24" t="n">
        <v>1</v>
      </c>
      <c r="IT324" s="24" t="n">
        <v>0.13</v>
      </c>
      <c r="IU324" s="24" t="n">
        <v>3</v>
      </c>
      <c r="IX324" s="28"/>
      <c r="JP324" s="24" t="n">
        <v>1</v>
      </c>
      <c r="JQ324" s="24" t="n">
        <v>60</v>
      </c>
      <c r="JR324" s="24" t="n">
        <v>3</v>
      </c>
      <c r="JS324" s="24" t="n">
        <v>1.35</v>
      </c>
      <c r="JT324" s="24" t="n">
        <v>2</v>
      </c>
      <c r="LA324" s="27" t="n">
        <v>0</v>
      </c>
      <c r="LB324" s="27" t="n">
        <v>0</v>
      </c>
      <c r="LC324" s="27"/>
      <c r="LD324" s="27"/>
      <c r="LE324" s="27"/>
      <c r="LF324" s="27"/>
      <c r="LG324" s="27"/>
      <c r="LH324" s="27"/>
      <c r="LI324" s="27"/>
      <c r="LJ324" s="27"/>
      <c r="LK324" s="27"/>
      <c r="LL324" s="27" t="n">
        <v>0</v>
      </c>
      <c r="LM324" s="27" t="n">
        <v>0</v>
      </c>
      <c r="LN324" s="27"/>
      <c r="LO324" s="27"/>
      <c r="LP324" s="27" t="n">
        <v>0</v>
      </c>
      <c r="LQ324" s="27" t="n">
        <v>0</v>
      </c>
      <c r="LR324" s="27" t="n">
        <v>0</v>
      </c>
      <c r="LS324" s="24" t="n">
        <v>0</v>
      </c>
      <c r="LT324" s="24" t="s">
        <v>289</v>
      </c>
      <c r="LU324" s="24" t="n">
        <v>44</v>
      </c>
      <c r="LV324" s="27" t="n">
        <v>69.9</v>
      </c>
      <c r="LW324" s="27" t="n">
        <v>80.4</v>
      </c>
      <c r="LX324" s="27" t="n">
        <v>41</v>
      </c>
      <c r="LY324" s="24" t="n">
        <v>68.16</v>
      </c>
      <c r="LZ324" s="29" t="n">
        <v>0</v>
      </c>
      <c r="MA324" s="24" t="n">
        <v>11.52</v>
      </c>
      <c r="MB324" s="24" t="n">
        <v>20.32</v>
      </c>
      <c r="MC324" s="24" t="n">
        <v>0</v>
      </c>
      <c r="MD324" s="24" t="n">
        <v>0</v>
      </c>
      <c r="ME324" s="24" t="n">
        <v>0</v>
      </c>
      <c r="MF324" s="24" t="n">
        <v>0</v>
      </c>
      <c r="MG324" s="24" t="n">
        <v>0</v>
      </c>
      <c r="MH324" s="24" t="n">
        <v>0</v>
      </c>
      <c r="MI324" s="24" t="n">
        <v>0</v>
      </c>
      <c r="MJ324" s="24" t="n">
        <v>0</v>
      </c>
      <c r="MK324" s="24" t="n">
        <v>13.13</v>
      </c>
      <c r="ML324" s="24" t="n">
        <v>8.66</v>
      </c>
      <c r="MM324" s="24" t="n">
        <v>0</v>
      </c>
      <c r="MN324" s="24" t="n">
        <v>0</v>
      </c>
      <c r="MO324" s="24" t="n">
        <v>0</v>
      </c>
      <c r="MP324" s="24" t="n">
        <v>0</v>
      </c>
      <c r="NC324" s="24" t="n">
        <v>1.5</v>
      </c>
      <c r="ND324" s="24" t="n">
        <v>1</v>
      </c>
      <c r="NE324" s="24" t="n">
        <v>47</v>
      </c>
      <c r="NF324" s="24" t="n">
        <v>5</v>
      </c>
      <c r="NG324" s="24" t="n">
        <f aca="false">0.15+0.04</f>
        <v>0.19</v>
      </c>
      <c r="NH324" s="24" t="n">
        <v>3</v>
      </c>
      <c r="NI324" s="24" t="n">
        <v>25</v>
      </c>
      <c r="NJ324" s="24" t="n">
        <v>1</v>
      </c>
      <c r="NK324" s="24" t="n">
        <v>0.4</v>
      </c>
      <c r="NL324" s="24" t="n">
        <v>1</v>
      </c>
      <c r="NO324" s="28"/>
      <c r="OG324" s="24" t="n">
        <v>0</v>
      </c>
      <c r="PR324" s="27" t="n">
        <v>0.11</v>
      </c>
      <c r="PS324" s="27" t="n">
        <v>1</v>
      </c>
      <c r="PT324" s="27" t="n">
        <v>1</v>
      </c>
      <c r="PU324" s="27"/>
      <c r="PV324" s="27" t="n">
        <v>0.56</v>
      </c>
      <c r="PW324" s="27"/>
      <c r="PX324" s="27"/>
      <c r="PY324" s="27"/>
      <c r="PZ324" s="27"/>
      <c r="QA324" s="27"/>
      <c r="QB324" s="27"/>
      <c r="QC324" s="27" t="n">
        <v>0</v>
      </c>
      <c r="QD324" s="27" t="n">
        <v>0</v>
      </c>
      <c r="QE324" s="27"/>
      <c r="QF324" s="27"/>
      <c r="QG324" s="27" t="n">
        <v>0</v>
      </c>
      <c r="QH324" s="27" t="n">
        <v>0</v>
      </c>
      <c r="QI324" s="27" t="n">
        <v>0</v>
      </c>
      <c r="QJ324" s="24" t="n">
        <v>0</v>
      </c>
      <c r="QK324" s="24" t="s">
        <v>290</v>
      </c>
      <c r="QL324" s="24" t="n">
        <v>43</v>
      </c>
      <c r="QM324" s="27" t="n">
        <v>49.3</v>
      </c>
      <c r="QN324" s="27" t="n">
        <v>80.4</v>
      </c>
      <c r="QO324" s="27" t="n">
        <v>32.9</v>
      </c>
      <c r="QP324" s="24" t="n">
        <v>73.52</v>
      </c>
      <c r="QQ324" s="29" t="n">
        <v>0</v>
      </c>
      <c r="QR324" s="24" t="n">
        <v>16.84</v>
      </c>
      <c r="QS324" s="24" t="n">
        <v>9.64</v>
      </c>
      <c r="QT324" s="24" t="n">
        <v>0</v>
      </c>
      <c r="QU324" s="24" t="n">
        <v>0</v>
      </c>
      <c r="QV324" s="24" t="n">
        <v>0</v>
      </c>
      <c r="QW324" s="24" t="n">
        <v>0</v>
      </c>
      <c r="QX324" s="24" t="n">
        <v>0</v>
      </c>
      <c r="QY324" s="24" t="n">
        <v>0</v>
      </c>
      <c r="QZ324" s="24" t="n">
        <v>0</v>
      </c>
      <c r="RA324" s="24" t="n">
        <v>0</v>
      </c>
      <c r="RB324" s="24" t="n">
        <v>13.52</v>
      </c>
      <c r="RC324" s="24" t="n">
        <v>3.69</v>
      </c>
      <c r="RD324" s="24" t="n">
        <v>3.85</v>
      </c>
      <c r="RE324" s="24" t="n">
        <v>0</v>
      </c>
      <c r="RF324" s="24" t="n">
        <v>0</v>
      </c>
      <c r="RG324" s="24" t="n">
        <v>0</v>
      </c>
      <c r="RT324" s="24" t="n">
        <v>7.4</v>
      </c>
      <c r="RU324" s="24" t="n">
        <v>1</v>
      </c>
      <c r="RV324" s="24" t="n">
        <v>47</v>
      </c>
      <c r="RW324" s="24" t="n">
        <v>11</v>
      </c>
      <c r="RX324" s="24" t="n">
        <f aca="false">2.09+0.15+0.04</f>
        <v>2.28</v>
      </c>
      <c r="RY324" s="24" t="n">
        <v>3</v>
      </c>
      <c r="SF324" s="28"/>
      <c r="SX324" s="24" t="n">
        <v>0</v>
      </c>
      <c r="UI324" s="27" t="n">
        <v>0.28</v>
      </c>
      <c r="UJ324" s="27" t="n">
        <v>1</v>
      </c>
      <c r="UK324" s="27" t="n">
        <v>1</v>
      </c>
      <c r="UL324" s="27"/>
      <c r="UM324" s="27" t="n">
        <v>0.56</v>
      </c>
      <c r="UN324" s="27"/>
      <c r="UO324" s="27"/>
      <c r="UP324" s="27"/>
      <c r="UQ324" s="27"/>
      <c r="UR324" s="27"/>
      <c r="US324" s="27"/>
      <c r="UT324" s="27" t="n">
        <v>0.99</v>
      </c>
      <c r="UU324" s="27" t="n">
        <v>0.39</v>
      </c>
      <c r="UV324" s="27"/>
      <c r="UW324" s="27"/>
      <c r="UX324" s="27" t="n">
        <v>0</v>
      </c>
      <c r="UY324" s="27" t="n">
        <v>0</v>
      </c>
      <c r="UZ324" s="27" t="n">
        <v>0</v>
      </c>
      <c r="VA324" s="24" t="n">
        <v>0</v>
      </c>
      <c r="VB324" s="24" t="n">
        <v>56</v>
      </c>
      <c r="VC324" s="24" t="n">
        <v>26.5</v>
      </c>
      <c r="VD324" s="27" t="n">
        <v>66.1</v>
      </c>
      <c r="VE324" s="27" t="n">
        <v>80.4</v>
      </c>
      <c r="VF324" s="27" t="n">
        <v>15</v>
      </c>
      <c r="VG324" s="24" t="n">
        <v>89</v>
      </c>
      <c r="VH324" s="29" t="n">
        <v>0</v>
      </c>
      <c r="VI324" s="24" t="n">
        <v>7.09</v>
      </c>
      <c r="VJ324" s="24" t="n">
        <v>2.12</v>
      </c>
      <c r="VK324" s="24" t="n">
        <v>0</v>
      </c>
      <c r="VL324" s="24" t="n">
        <v>0</v>
      </c>
      <c r="VM324" s="24" t="n">
        <v>0</v>
      </c>
      <c r="VN324" s="24" t="n">
        <v>0</v>
      </c>
      <c r="VO324" s="24" t="n">
        <v>0</v>
      </c>
      <c r="VP324" s="24" t="n">
        <v>0</v>
      </c>
      <c r="VQ324" s="24" t="n">
        <v>0</v>
      </c>
      <c r="VR324" s="24" t="n">
        <v>0</v>
      </c>
      <c r="VS324" s="24" t="n">
        <v>4.26</v>
      </c>
      <c r="VT324" s="24" t="n">
        <v>32.68</v>
      </c>
      <c r="VU324" s="24" t="n">
        <v>1.91</v>
      </c>
      <c r="VV324" s="24" t="n">
        <v>0</v>
      </c>
      <c r="VW324" s="24" t="n">
        <v>0</v>
      </c>
      <c r="VX324" s="24" t="n">
        <v>0</v>
      </c>
      <c r="WK324" s="24" t="n">
        <v>0</v>
      </c>
      <c r="WL324" s="24" t="n">
        <v>0</v>
      </c>
      <c r="WW324" s="28"/>
      <c r="XO324" s="24" t="n">
        <v>0</v>
      </c>
      <c r="YZ324" s="27" t="n">
        <v>3.52</v>
      </c>
      <c r="ZA324" s="27" t="n">
        <v>1</v>
      </c>
      <c r="ZB324" s="27" t="n">
        <v>1</v>
      </c>
      <c r="ZC324" s="27"/>
      <c r="ZD324" s="27" t="n">
        <f aca="false">3.13+3.17*4</f>
        <v>15.81</v>
      </c>
      <c r="ZE324" s="27" t="n">
        <v>2</v>
      </c>
      <c r="ZF324" s="27"/>
      <c r="ZG324" s="27" t="n">
        <v>0.87</v>
      </c>
      <c r="ZH324" s="27"/>
      <c r="ZI324" s="27"/>
      <c r="ZJ324" s="27"/>
      <c r="ZK324" s="27" t="n">
        <v>5.36</v>
      </c>
      <c r="ZL324" s="27" t="n">
        <v>8.39</v>
      </c>
      <c r="ZM324" s="27"/>
      <c r="ZN324" s="27"/>
      <c r="ZO324" s="27" t="n">
        <v>0</v>
      </c>
      <c r="ZP324" s="27" t="n">
        <v>0</v>
      </c>
      <c r="ZQ324" s="27" t="n">
        <v>0</v>
      </c>
      <c r="ZR324" s="24" t="n">
        <v>0</v>
      </c>
      <c r="ZT324" s="33"/>
      <c r="ZU324" s="21"/>
      <c r="ZV324" s="21"/>
      <c r="ZX324" s="33"/>
      <c r="ZY324" s="33"/>
      <c r="AAB324" s="33"/>
      <c r="AAC324" s="21"/>
      <c r="AAD324" s="21"/>
      <c r="AAF324" s="33"/>
      <c r="AAG324" s="33"/>
      <c r="AAJ324" s="33"/>
      <c r="AAK324" s="21"/>
      <c r="AAL324" s="21"/>
      <c r="AAN324" s="33"/>
      <c r="AAO324" s="33"/>
      <c r="AAR324" s="33"/>
      <c r="AAS324" s="21"/>
      <c r="AAT324" s="21"/>
      <c r="AAV324" s="33"/>
      <c r="AAW324" s="33"/>
      <c r="AAZ324" s="33"/>
      <c r="ABA324" s="21"/>
      <c r="ABB324" s="21"/>
      <c r="ABD324" s="33"/>
      <c r="ABE324" s="33"/>
      <c r="ABH324" s="33"/>
      <c r="ABI324" s="21"/>
      <c r="ABJ324" s="21"/>
      <c r="ABL324" s="33"/>
      <c r="ABM324" s="33"/>
      <c r="ABP324" s="33"/>
      <c r="ABQ324" s="21"/>
      <c r="ABR324" s="21"/>
      <c r="ABT324" s="33"/>
      <c r="ABU324" s="33"/>
      <c r="ABX324" s="33"/>
      <c r="ABY324" s="21"/>
      <c r="ABZ324" s="21"/>
      <c r="ACB324" s="33"/>
      <c r="ACC324" s="33"/>
      <c r="ACF324" s="33"/>
      <c r="ACG324" s="21"/>
      <c r="ACH324" s="21"/>
      <c r="ACJ324" s="33"/>
      <c r="ACK324" s="33"/>
      <c r="ACN324" s="33"/>
      <c r="ACO324" s="21"/>
      <c r="ACP324" s="21"/>
      <c r="ACR324" s="33"/>
      <c r="ACS324" s="33"/>
      <c r="ACV324" s="33"/>
      <c r="ACW324" s="21"/>
      <c r="ACX324" s="21"/>
      <c r="ACZ324" s="33"/>
      <c r="ADA324" s="33"/>
      <c r="ADD324" s="33"/>
      <c r="ADE324" s="21"/>
      <c r="ADF324" s="21"/>
      <c r="ADH324" s="33"/>
      <c r="ADI324" s="33"/>
      <c r="ADL324" s="33"/>
      <c r="ADM324" s="21"/>
      <c r="ADN324" s="21"/>
      <c r="ADP324" s="33"/>
      <c r="ADQ324" s="33"/>
      <c r="ADT324" s="33"/>
      <c r="ADU324" s="21"/>
      <c r="ADV324" s="21"/>
      <c r="ADX324" s="33"/>
      <c r="ADY324" s="33"/>
      <c r="AEB324" s="33"/>
      <c r="AEC324" s="21"/>
      <c r="AED324" s="21"/>
      <c r="AEF324" s="33"/>
      <c r="AEG324" s="33"/>
      <c r="AEJ324" s="33"/>
      <c r="AEK324" s="21"/>
      <c r="AEL324" s="21"/>
      <c r="AEN324" s="33"/>
      <c r="AEO324" s="33"/>
      <c r="AER324" s="33"/>
      <c r="AES324" s="21"/>
      <c r="AET324" s="21"/>
      <c r="AEV324" s="33"/>
      <c r="AEW324" s="33"/>
      <c r="AEZ324" s="33"/>
      <c r="AFA324" s="21"/>
      <c r="AFB324" s="21"/>
      <c r="AFD324" s="33"/>
      <c r="AFE324" s="33"/>
      <c r="AFH324" s="33"/>
      <c r="AFI324" s="21"/>
      <c r="AFJ324" s="21"/>
      <c r="AFL324" s="33"/>
      <c r="AFM324" s="33"/>
      <c r="AFP324" s="33"/>
      <c r="AFQ324" s="21"/>
      <c r="AFR324" s="21"/>
      <c r="AFT324" s="33"/>
      <c r="AFU324" s="33"/>
      <c r="AFX324" s="33"/>
      <c r="AFY324" s="21"/>
      <c r="AFZ324" s="21"/>
      <c r="AGB324" s="33"/>
      <c r="AGC324" s="33"/>
      <c r="AGF324" s="33"/>
      <c r="AGG324" s="21"/>
      <c r="AGH324" s="21"/>
      <c r="AGJ324" s="33"/>
      <c r="AGK324" s="33"/>
      <c r="AGN324" s="33"/>
      <c r="AGO324" s="21"/>
      <c r="AGP324" s="21"/>
      <c r="AGR324" s="33"/>
      <c r="AGS324" s="33"/>
      <c r="AGV324" s="33"/>
      <c r="AGW324" s="21"/>
      <c r="AGX324" s="21"/>
      <c r="AGZ324" s="33"/>
      <c r="AHA324" s="33"/>
      <c r="AHD324" s="33"/>
      <c r="AHE324" s="21"/>
      <c r="AHF324" s="21"/>
      <c r="AHH324" s="33"/>
      <c r="AHI324" s="33"/>
      <c r="AHL324" s="33"/>
      <c r="AHM324" s="21"/>
      <c r="AHN324" s="21"/>
      <c r="AHP324" s="33"/>
      <c r="AHQ324" s="33"/>
      <c r="AHT324" s="33"/>
      <c r="AHU324" s="21"/>
      <c r="AHV324" s="21"/>
      <c r="AHX324" s="33"/>
      <c r="AHY324" s="33"/>
      <c r="AIB324" s="33"/>
      <c r="AIC324" s="21"/>
      <c r="AID324" s="21"/>
      <c r="AIF324" s="33"/>
      <c r="AIG324" s="33"/>
      <c r="AIJ324" s="33"/>
      <c r="AIK324" s="21"/>
      <c r="AIL324" s="21"/>
      <c r="AIN324" s="33"/>
      <c r="AIO324" s="33"/>
      <c r="AIR324" s="33"/>
      <c r="AIS324" s="21"/>
      <c r="AIT324" s="21"/>
      <c r="AIV324" s="33"/>
      <c r="AIW324" s="33"/>
      <c r="AIZ324" s="33"/>
      <c r="AJA324" s="21"/>
      <c r="AJB324" s="21"/>
      <c r="AJD324" s="33"/>
      <c r="AJE324" s="33"/>
      <c r="AJH324" s="33"/>
      <c r="AJI324" s="21"/>
      <c r="AJJ324" s="21"/>
      <c r="AJL324" s="33"/>
      <c r="AJM324" s="33"/>
      <c r="AJP324" s="33"/>
      <c r="AJQ324" s="21"/>
      <c r="AJR324" s="21"/>
      <c r="AJT324" s="33"/>
      <c r="AJU324" s="33"/>
      <c r="AJX324" s="33"/>
      <c r="AJY324" s="21"/>
      <c r="AJZ324" s="21"/>
      <c r="AKB324" s="33"/>
      <c r="AKC324" s="33"/>
      <c r="AKF324" s="33"/>
      <c r="AKG324" s="21"/>
      <c r="AKH324" s="21"/>
      <c r="AKJ324" s="33"/>
      <c r="AKK324" s="33"/>
      <c r="AKN324" s="33"/>
      <c r="AKO324" s="21"/>
      <c r="AKP324" s="21"/>
      <c r="AKR324" s="33"/>
      <c r="AKS324" s="33"/>
      <c r="AKV324" s="33"/>
      <c r="AKW324" s="21"/>
      <c r="AKX324" s="21"/>
      <c r="AKZ324" s="33"/>
      <c r="ALA324" s="33"/>
      <c r="ALD324" s="33"/>
      <c r="ALE324" s="21"/>
      <c r="ALF324" s="21"/>
      <c r="ALH324" s="33"/>
      <c r="ALI324" s="33"/>
      <c r="ALL324" s="33"/>
      <c r="ALM324" s="21"/>
      <c r="ALN324" s="21"/>
      <c r="ALP324" s="33"/>
      <c r="ALQ324" s="33"/>
      <c r="ALT324" s="33"/>
      <c r="ALU324" s="21"/>
      <c r="ALV324" s="21"/>
      <c r="ALX324" s="33"/>
      <c r="ALY324" s="33"/>
      <c r="AMB324" s="33"/>
      <c r="AMC324" s="21"/>
      <c r="AMD324" s="21"/>
      <c r="AMF324" s="33"/>
      <c r="AMG324" s="33"/>
      <c r="AMJ324" s="33"/>
    </row>
    <row r="325" customFormat="false" ht="13.8" hidden="false" customHeight="false" outlineLevel="0" collapsed="false">
      <c r="A325" s="22" t="s">
        <v>906</v>
      </c>
      <c r="B325" s="23" t="n">
        <v>42905</v>
      </c>
      <c r="C325" s="24" t="n">
        <v>2</v>
      </c>
      <c r="D325" s="25" t="n">
        <v>42804</v>
      </c>
      <c r="E325" s="23" t="n">
        <v>30223</v>
      </c>
      <c r="F325" s="14" t="n">
        <f aca="false">(B325-E325)/365.25</f>
        <v>34.7214236824093</v>
      </c>
      <c r="G325" s="14" t="n">
        <f aca="false">(B325-D325)/365.25</f>
        <v>0.276522929500342</v>
      </c>
      <c r="H325" s="26" t="s">
        <v>181</v>
      </c>
      <c r="I325" s="21" t="s">
        <v>283</v>
      </c>
      <c r="J325" s="21" t="s">
        <v>181</v>
      </c>
      <c r="K325" s="21" t="n">
        <v>8</v>
      </c>
      <c r="L325" s="26" t="n">
        <v>84</v>
      </c>
      <c r="M325" s="24" t="n">
        <v>1.81</v>
      </c>
      <c r="N325" s="27" t="n">
        <f aca="false">L325/(M325*M325)</f>
        <v>25.6402429718263</v>
      </c>
      <c r="O325" s="26" t="n">
        <v>0</v>
      </c>
      <c r="P325" s="26" t="n">
        <v>0</v>
      </c>
      <c r="Q325" s="26" t="n">
        <v>0</v>
      </c>
      <c r="R325" s="26" t="n">
        <v>0</v>
      </c>
      <c r="S325" s="26" t="n">
        <v>0</v>
      </c>
      <c r="T325" s="26" t="n">
        <v>0</v>
      </c>
      <c r="U325" s="26" t="n">
        <v>0</v>
      </c>
      <c r="V325" s="26" t="n">
        <v>0</v>
      </c>
      <c r="W325" s="26" t="n">
        <v>0</v>
      </c>
      <c r="X325" s="26" t="n">
        <v>0</v>
      </c>
      <c r="Y325" s="26" t="n">
        <v>0</v>
      </c>
      <c r="Z325" s="26" t="n">
        <v>0</v>
      </c>
      <c r="AA325" s="26" t="n">
        <v>0</v>
      </c>
      <c r="AB325" s="26" t="n">
        <v>0</v>
      </c>
      <c r="AC325" s="26" t="n">
        <v>0</v>
      </c>
      <c r="AD325" s="26" t="n">
        <v>0</v>
      </c>
      <c r="AE325" s="26" t="n">
        <v>0</v>
      </c>
      <c r="AF325" s="19" t="n">
        <v>0</v>
      </c>
      <c r="AG325" s="19" t="n">
        <v>0</v>
      </c>
      <c r="AH325" s="19" t="n">
        <v>0</v>
      </c>
      <c r="AI325" s="26" t="n">
        <v>2</v>
      </c>
      <c r="AJ325" s="26"/>
      <c r="AK325" s="26"/>
      <c r="AL325" s="26"/>
      <c r="AM325" s="26"/>
      <c r="AN325" s="26" t="n">
        <v>0</v>
      </c>
      <c r="AO325" s="19" t="n">
        <v>0</v>
      </c>
      <c r="AP325" s="19" t="n">
        <v>0</v>
      </c>
      <c r="AQ325" s="19" t="n">
        <v>0</v>
      </c>
      <c r="AR325" s="19" t="n">
        <v>0</v>
      </c>
      <c r="AS325" s="26" t="n">
        <v>0</v>
      </c>
      <c r="AT325" s="26" t="n">
        <v>0</v>
      </c>
      <c r="AU325" s="26" t="n">
        <v>0</v>
      </c>
      <c r="AV325" s="26" t="n">
        <v>0</v>
      </c>
      <c r="AW325" s="26" t="n">
        <v>0</v>
      </c>
      <c r="AX325" s="26" t="n">
        <v>0</v>
      </c>
      <c r="AY325" s="26" t="n">
        <v>0</v>
      </c>
      <c r="AZ325" s="26" t="n">
        <v>0</v>
      </c>
      <c r="BA325" s="26" t="n">
        <v>0</v>
      </c>
      <c r="BB325" s="26" t="n">
        <v>0</v>
      </c>
      <c r="BC325" s="26" t="n">
        <v>0</v>
      </c>
      <c r="BD325" s="26" t="n">
        <v>0</v>
      </c>
      <c r="BE325" s="26" t="n">
        <v>0</v>
      </c>
      <c r="BF325" s="26" t="n">
        <v>0</v>
      </c>
      <c r="BG325" s="26" t="n">
        <v>0</v>
      </c>
      <c r="BH325" s="26" t="n">
        <v>0</v>
      </c>
      <c r="BI325" s="26" t="n">
        <v>0</v>
      </c>
      <c r="BJ325" s="19" t="n">
        <v>0</v>
      </c>
      <c r="BK325" s="19" t="n">
        <v>0</v>
      </c>
      <c r="BL325" s="19" t="n">
        <v>0</v>
      </c>
      <c r="BM325" s="19" t="n">
        <v>0</v>
      </c>
      <c r="BN325" s="26" t="n">
        <v>0</v>
      </c>
      <c r="BO325" s="26" t="n">
        <v>0</v>
      </c>
      <c r="BP325" s="26" t="n">
        <v>0</v>
      </c>
      <c r="BQ325" s="26" t="n">
        <v>0</v>
      </c>
      <c r="BR325" s="26" t="n">
        <v>1</v>
      </c>
      <c r="BS325" s="26" t="n">
        <v>2</v>
      </c>
      <c r="BT325" s="26" t="n">
        <v>2</v>
      </c>
      <c r="BU325" s="26" t="n">
        <v>4</v>
      </c>
      <c r="BV325" s="26" t="n">
        <v>2</v>
      </c>
      <c r="BW325" s="26" t="n">
        <v>1</v>
      </c>
      <c r="BX325" s="26" t="n">
        <v>1</v>
      </c>
      <c r="BY325" s="26" t="n">
        <v>4</v>
      </c>
      <c r="BZ325" s="26" t="n">
        <v>5</v>
      </c>
      <c r="CA325" s="26" t="n">
        <v>5</v>
      </c>
      <c r="CB325" s="26" t="n">
        <v>5</v>
      </c>
      <c r="CC325" s="26" t="n">
        <v>5</v>
      </c>
      <c r="CD325" s="26" t="n">
        <v>2</v>
      </c>
      <c r="CE325" s="26" t="n">
        <v>4</v>
      </c>
      <c r="CF325" s="26" t="n">
        <v>4</v>
      </c>
      <c r="CG325" s="26" t="n">
        <v>4</v>
      </c>
      <c r="CH325" s="26" t="n">
        <v>4</v>
      </c>
      <c r="CI325" s="26" t="n">
        <v>4</v>
      </c>
      <c r="CJ325" s="26" t="n">
        <v>4</v>
      </c>
      <c r="CK325" s="26" t="n">
        <v>8</v>
      </c>
      <c r="CL325" s="24" t="s">
        <v>285</v>
      </c>
      <c r="CM325" s="24" t="n">
        <v>70</v>
      </c>
      <c r="CN325" s="27" t="n">
        <v>79.8</v>
      </c>
      <c r="CO325" s="27" t="n">
        <v>80.4</v>
      </c>
      <c r="CP325" s="27" t="n">
        <v>62.1</v>
      </c>
      <c r="CQ325" s="24" t="n">
        <v>39.51</v>
      </c>
      <c r="CR325" s="29" t="n">
        <v>0</v>
      </c>
      <c r="CS325" s="24" t="n">
        <v>47.45</v>
      </c>
      <c r="CT325" s="24" t="n">
        <v>13.05</v>
      </c>
      <c r="CU325" s="24" t="n">
        <v>0</v>
      </c>
      <c r="CV325" s="24" t="n">
        <v>0</v>
      </c>
      <c r="CW325" s="24" t="n">
        <v>0</v>
      </c>
      <c r="CX325" s="24" t="n">
        <v>0</v>
      </c>
      <c r="CY325" s="24" t="n">
        <v>0</v>
      </c>
      <c r="CZ325" s="24" t="n">
        <v>0</v>
      </c>
      <c r="DA325" s="24" t="n">
        <v>0</v>
      </c>
      <c r="DB325" s="24" t="n">
        <v>0</v>
      </c>
      <c r="DC325" s="24" t="n">
        <v>0</v>
      </c>
      <c r="DD325" s="24" t="n">
        <v>30.76</v>
      </c>
      <c r="DE325" s="24" t="n">
        <v>14.19</v>
      </c>
      <c r="DF325" s="24" t="n">
        <v>0</v>
      </c>
      <c r="DG325" s="24" t="n">
        <v>0</v>
      </c>
      <c r="DH325" s="24" t="n">
        <v>0</v>
      </c>
      <c r="DU325" s="24" t="n">
        <v>0.3</v>
      </c>
      <c r="DV325" s="24" t="n">
        <v>1</v>
      </c>
      <c r="DW325" s="24" t="n">
        <v>68</v>
      </c>
      <c r="DX325" s="24" t="n">
        <v>1</v>
      </c>
      <c r="DY325" s="24" t="n">
        <v>0.13</v>
      </c>
      <c r="DZ325" s="24" t="n">
        <v>1</v>
      </c>
      <c r="EG325" s="28"/>
      <c r="EY325" s="24" t="n">
        <v>0</v>
      </c>
      <c r="GJ325" s="27" t="n">
        <v>0.63</v>
      </c>
      <c r="GK325" s="27" t="n">
        <v>1</v>
      </c>
      <c r="GL325" s="27" t="n">
        <v>1</v>
      </c>
      <c r="GM325" s="27"/>
      <c r="GN325" s="27" t="n">
        <v>1.52</v>
      </c>
      <c r="GO325" s="27"/>
      <c r="GP325" s="27"/>
      <c r="GQ325" s="27"/>
      <c r="GR325" s="27"/>
      <c r="GS325" s="27"/>
      <c r="GT325" s="27"/>
      <c r="GU325" s="27" t="n">
        <v>3.55</v>
      </c>
      <c r="GV325" s="27" t="n">
        <v>4.46</v>
      </c>
      <c r="GW325" s="27"/>
      <c r="GX325" s="27"/>
      <c r="GY325" s="27" t="n">
        <v>0</v>
      </c>
      <c r="GZ325" s="27" t="n">
        <v>0</v>
      </c>
      <c r="HA325" s="27" t="n">
        <v>0</v>
      </c>
      <c r="HB325" s="24" t="n">
        <v>0</v>
      </c>
      <c r="HC325" s="24" t="s">
        <v>287</v>
      </c>
      <c r="HD325" s="24" t="n">
        <v>61.5</v>
      </c>
      <c r="HE325" s="27" t="n">
        <v>83.5</v>
      </c>
      <c r="HF325" s="27" t="n">
        <v>80.4</v>
      </c>
      <c r="HG325" s="27" t="n">
        <v>56.1</v>
      </c>
      <c r="HH325" s="24" t="n">
        <v>51.73</v>
      </c>
      <c r="HI325" s="29" t="n">
        <v>0</v>
      </c>
      <c r="HJ325" s="24" t="n">
        <v>30.08</v>
      </c>
      <c r="HK325" s="24" t="n">
        <v>18.19</v>
      </c>
      <c r="HL325" s="24" t="n">
        <v>0</v>
      </c>
      <c r="HM325" s="24" t="n">
        <v>0</v>
      </c>
      <c r="HN325" s="24" t="n">
        <v>0</v>
      </c>
      <c r="HO325" s="24" t="n">
        <v>0</v>
      </c>
      <c r="HP325" s="24" t="n">
        <v>0</v>
      </c>
      <c r="HQ325" s="24" t="n">
        <v>0</v>
      </c>
      <c r="HR325" s="24" t="n">
        <v>0</v>
      </c>
      <c r="HS325" s="24" t="n">
        <v>0</v>
      </c>
      <c r="HT325" s="24" t="n">
        <v>0.3</v>
      </c>
      <c r="HU325" s="24" t="n">
        <v>27.59</v>
      </c>
      <c r="HV325" s="24" t="n">
        <v>0</v>
      </c>
      <c r="HW325" s="24" t="n">
        <v>0</v>
      </c>
      <c r="HX325" s="24" t="n">
        <v>0</v>
      </c>
      <c r="HY325" s="24" t="n">
        <v>0</v>
      </c>
      <c r="IL325" s="24" t="n">
        <v>0</v>
      </c>
      <c r="IM325" s="24" t="n">
        <v>0</v>
      </c>
      <c r="IX325" s="28"/>
      <c r="JP325" s="24" t="n">
        <v>0</v>
      </c>
      <c r="LA325" s="27" t="n">
        <v>1.96</v>
      </c>
      <c r="LB325" s="27" t="n">
        <v>1</v>
      </c>
      <c r="LC325" s="27" t="n">
        <v>1</v>
      </c>
      <c r="LD325" s="27"/>
      <c r="LE325" s="27" t="n">
        <f aca="false">5.53+3.68+1.71+1.12+0.74</f>
        <v>12.78</v>
      </c>
      <c r="LF325" s="27"/>
      <c r="LG325" s="27"/>
      <c r="LH325" s="27"/>
      <c r="LI325" s="27"/>
      <c r="LJ325" s="27"/>
      <c r="LK325" s="27"/>
      <c r="LL325" s="27" t="n">
        <v>0.94</v>
      </c>
      <c r="LM325" s="27" t="n">
        <v>0.94</v>
      </c>
      <c r="LN325" s="27"/>
      <c r="LO325" s="27"/>
      <c r="LP325" s="27" t="n">
        <v>0</v>
      </c>
      <c r="LQ325" s="27" t="n">
        <v>0</v>
      </c>
      <c r="LR325" s="27" t="n">
        <v>0</v>
      </c>
      <c r="LS325" s="24" t="n">
        <v>0</v>
      </c>
      <c r="LT325" s="24" t="s">
        <v>288</v>
      </c>
      <c r="LU325" s="24" t="n">
        <v>77.5</v>
      </c>
      <c r="LV325" s="27" t="n">
        <v>87.4</v>
      </c>
      <c r="LW325" s="27" t="n">
        <v>80.4</v>
      </c>
      <c r="LX325" s="27" t="n">
        <v>53.5</v>
      </c>
      <c r="LY325" s="24" t="n">
        <v>51.28</v>
      </c>
      <c r="LZ325" s="29" t="n">
        <v>0</v>
      </c>
      <c r="MA325" s="24" t="n">
        <v>27.27</v>
      </c>
      <c r="MB325" s="24" t="n">
        <v>21.22</v>
      </c>
      <c r="MC325" s="24" t="n">
        <v>0</v>
      </c>
      <c r="MD325" s="24" t="n">
        <v>0</v>
      </c>
      <c r="ME325" s="24" t="n">
        <v>0</v>
      </c>
      <c r="MF325" s="24" t="n">
        <v>0</v>
      </c>
      <c r="MG325" s="24" t="n">
        <v>0</v>
      </c>
      <c r="MH325" s="24" t="n">
        <v>0</v>
      </c>
      <c r="MI325" s="24" t="n">
        <v>0</v>
      </c>
      <c r="MJ325" s="24" t="n">
        <v>0</v>
      </c>
      <c r="MK325" s="24" t="n">
        <v>5.93</v>
      </c>
      <c r="ML325" s="24" t="n">
        <v>4.61</v>
      </c>
      <c r="MM325" s="24" t="n">
        <v>5.38</v>
      </c>
      <c r="MN325" s="24" t="n">
        <v>0</v>
      </c>
      <c r="MO325" s="24" t="n">
        <v>15.4</v>
      </c>
      <c r="MP325" s="24" t="n">
        <v>1</v>
      </c>
      <c r="MQ325" s="24" t="n">
        <v>4</v>
      </c>
      <c r="MS325" s="24" t="n">
        <v>2</v>
      </c>
      <c r="MW325" s="24" t="n">
        <v>4</v>
      </c>
      <c r="MY325" s="24" t="n">
        <v>2</v>
      </c>
      <c r="NC325" s="24" t="n">
        <v>6.7</v>
      </c>
      <c r="ND325" s="24" t="n">
        <v>1</v>
      </c>
      <c r="NE325" s="24" t="n">
        <v>35</v>
      </c>
      <c r="NF325" s="24" t="n">
        <v>6</v>
      </c>
      <c r="NG325" s="24" t="n">
        <v>0.8</v>
      </c>
      <c r="NH325" s="24" t="n">
        <v>3</v>
      </c>
      <c r="NI325" s="24" t="n">
        <v>47</v>
      </c>
      <c r="NJ325" s="24" t="n">
        <v>1</v>
      </c>
      <c r="NK325" s="24" t="n">
        <v>0.13</v>
      </c>
      <c r="NL325" s="24" t="n">
        <v>3</v>
      </c>
      <c r="NO325" s="28"/>
      <c r="OG325" s="24" t="n">
        <v>1</v>
      </c>
      <c r="OH325" s="24" t="n">
        <v>60</v>
      </c>
      <c r="OI325" s="24" t="n">
        <v>3</v>
      </c>
      <c r="OJ325" s="24" t="n">
        <v>1.35</v>
      </c>
      <c r="OK325" s="24" t="n">
        <v>2</v>
      </c>
      <c r="PR325" s="27" t="n">
        <v>0</v>
      </c>
      <c r="PS325" s="27" t="n">
        <v>0</v>
      </c>
      <c r="PT325" s="27"/>
      <c r="PU325" s="27"/>
      <c r="PV325" s="27"/>
      <c r="PW325" s="27"/>
      <c r="PX325" s="27"/>
      <c r="PY325" s="27"/>
      <c r="PZ325" s="27"/>
      <c r="QA325" s="27"/>
      <c r="QB325" s="27"/>
      <c r="QC325" s="27" t="n">
        <v>0</v>
      </c>
      <c r="QD325" s="27" t="n">
        <v>0</v>
      </c>
      <c r="QE325" s="27"/>
      <c r="QF325" s="27"/>
      <c r="QG325" s="27" t="n">
        <v>0</v>
      </c>
      <c r="QH325" s="27" t="n">
        <v>0</v>
      </c>
      <c r="QI325" s="27" t="n">
        <v>0</v>
      </c>
      <c r="QJ325" s="24" t="n">
        <v>0</v>
      </c>
      <c r="QK325" s="24" t="s">
        <v>289</v>
      </c>
      <c r="QL325" s="24" t="n">
        <v>44</v>
      </c>
      <c r="QM325" s="27" t="n">
        <v>69.9</v>
      </c>
      <c r="QN325" s="27" t="n">
        <v>80.4</v>
      </c>
      <c r="QO325" s="27" t="n">
        <v>41</v>
      </c>
      <c r="QP325" s="24" t="n">
        <v>68.16</v>
      </c>
      <c r="QQ325" s="29" t="n">
        <v>0</v>
      </c>
      <c r="QR325" s="24" t="n">
        <v>11.52</v>
      </c>
      <c r="QS325" s="24" t="n">
        <v>20.32</v>
      </c>
      <c r="QT325" s="24" t="n">
        <v>0</v>
      </c>
      <c r="QU325" s="24" t="n">
        <v>0</v>
      </c>
      <c r="QV325" s="24" t="n">
        <v>0</v>
      </c>
      <c r="QW325" s="24" t="n">
        <v>0</v>
      </c>
      <c r="QX325" s="24" t="n">
        <v>0</v>
      </c>
      <c r="QY325" s="24" t="n">
        <v>0</v>
      </c>
      <c r="QZ325" s="24" t="n">
        <v>0</v>
      </c>
      <c r="RA325" s="24" t="n">
        <v>0</v>
      </c>
      <c r="RB325" s="24" t="n">
        <v>13.13</v>
      </c>
      <c r="RC325" s="24" t="n">
        <v>8.66</v>
      </c>
      <c r="RD325" s="24" t="n">
        <v>0</v>
      </c>
      <c r="RE325" s="24" t="n">
        <v>0</v>
      </c>
      <c r="RF325" s="24" t="n">
        <v>0</v>
      </c>
      <c r="RG325" s="24" t="n">
        <v>0</v>
      </c>
      <c r="RT325" s="24" t="n">
        <v>1.5</v>
      </c>
      <c r="RU325" s="24" t="n">
        <v>1</v>
      </c>
      <c r="RV325" s="24" t="n">
        <v>47</v>
      </c>
      <c r="RW325" s="24" t="n">
        <v>5</v>
      </c>
      <c r="RX325" s="24" t="n">
        <f aca="false">0.15+0.04</f>
        <v>0.19</v>
      </c>
      <c r="RY325" s="24" t="n">
        <v>3</v>
      </c>
      <c r="RZ325" s="24" t="n">
        <v>25</v>
      </c>
      <c r="SA325" s="24" t="n">
        <v>1</v>
      </c>
      <c r="SB325" s="24" t="n">
        <v>0.4</v>
      </c>
      <c r="SC325" s="24" t="n">
        <v>1</v>
      </c>
      <c r="SF325" s="28"/>
      <c r="SX325" s="24" t="n">
        <v>0</v>
      </c>
      <c r="UI325" s="27" t="n">
        <v>0.11</v>
      </c>
      <c r="UJ325" s="27" t="n">
        <v>1</v>
      </c>
      <c r="UK325" s="27" t="n">
        <v>1</v>
      </c>
      <c r="UL325" s="27"/>
      <c r="UM325" s="27" t="n">
        <v>0.56</v>
      </c>
      <c r="UN325" s="27"/>
      <c r="UO325" s="27"/>
      <c r="UP325" s="27"/>
      <c r="UQ325" s="27"/>
      <c r="UR325" s="27"/>
      <c r="US325" s="27"/>
      <c r="UT325" s="27" t="n">
        <v>0</v>
      </c>
      <c r="UU325" s="27" t="n">
        <v>0</v>
      </c>
      <c r="UV325" s="27"/>
      <c r="UW325" s="27"/>
      <c r="UX325" s="27" t="n">
        <v>0</v>
      </c>
      <c r="UY325" s="27" t="n">
        <v>0</v>
      </c>
      <c r="UZ325" s="27" t="n">
        <v>0</v>
      </c>
      <c r="VA325" s="24" t="n">
        <v>0</v>
      </c>
      <c r="VB325" s="24" t="s">
        <v>290</v>
      </c>
      <c r="VC325" s="24" t="n">
        <v>43</v>
      </c>
      <c r="VD325" s="27" t="n">
        <v>49.3</v>
      </c>
      <c r="VE325" s="27" t="n">
        <v>80.4</v>
      </c>
      <c r="VF325" s="27" t="n">
        <v>32.9</v>
      </c>
      <c r="VG325" s="24" t="n">
        <v>73.52</v>
      </c>
      <c r="VH325" s="29" t="n">
        <v>0</v>
      </c>
      <c r="VI325" s="24" t="n">
        <v>16.84</v>
      </c>
      <c r="VJ325" s="24" t="n">
        <v>9.64</v>
      </c>
      <c r="VK325" s="24" t="n">
        <v>0</v>
      </c>
      <c r="VL325" s="24" t="n">
        <v>0</v>
      </c>
      <c r="VM325" s="24" t="n">
        <v>0</v>
      </c>
      <c r="VN325" s="24" t="n">
        <v>0</v>
      </c>
      <c r="VO325" s="24" t="n">
        <v>0</v>
      </c>
      <c r="VP325" s="24" t="n">
        <v>0</v>
      </c>
      <c r="VQ325" s="24" t="n">
        <v>0</v>
      </c>
      <c r="VR325" s="24" t="n">
        <v>0</v>
      </c>
      <c r="VS325" s="24" t="n">
        <v>13.52</v>
      </c>
      <c r="VT325" s="24" t="n">
        <v>3.69</v>
      </c>
      <c r="VU325" s="24" t="n">
        <v>3.85</v>
      </c>
      <c r="VV325" s="24" t="n">
        <v>0</v>
      </c>
      <c r="VW325" s="24" t="n">
        <v>0</v>
      </c>
      <c r="VX325" s="24" t="n">
        <v>0</v>
      </c>
      <c r="WK325" s="24" t="n">
        <v>7.4</v>
      </c>
      <c r="WL325" s="24" t="n">
        <v>1</v>
      </c>
      <c r="WM325" s="24" t="n">
        <v>47</v>
      </c>
      <c r="WN325" s="24" t="n">
        <v>11</v>
      </c>
      <c r="WO325" s="24" t="n">
        <f aca="false">2.09+0.15+0.04</f>
        <v>2.28</v>
      </c>
      <c r="WP325" s="24" t="n">
        <v>3</v>
      </c>
      <c r="WW325" s="28"/>
      <c r="XO325" s="24" t="n">
        <v>0</v>
      </c>
      <c r="YZ325" s="27" t="n">
        <v>0.28</v>
      </c>
      <c r="ZA325" s="27" t="n">
        <v>1</v>
      </c>
      <c r="ZB325" s="27" t="n">
        <v>1</v>
      </c>
      <c r="ZC325" s="27"/>
      <c r="ZD325" s="27" t="n">
        <v>0.56</v>
      </c>
      <c r="ZE325" s="27"/>
      <c r="ZF325" s="27"/>
      <c r="ZG325" s="27"/>
      <c r="ZH325" s="27"/>
      <c r="ZI325" s="27"/>
      <c r="ZJ325" s="27"/>
      <c r="ZK325" s="27" t="n">
        <v>0.99</v>
      </c>
      <c r="ZL325" s="27" t="n">
        <v>0.39</v>
      </c>
      <c r="ZM325" s="27"/>
      <c r="ZN325" s="27"/>
      <c r="ZO325" s="27" t="n">
        <v>0</v>
      </c>
      <c r="ZP325" s="27" t="n">
        <v>0</v>
      </c>
      <c r="ZQ325" s="27" t="n">
        <v>0</v>
      </c>
      <c r="ZR325" s="24" t="n">
        <v>0</v>
      </c>
      <c r="ZS325" s="24" t="n">
        <v>56</v>
      </c>
      <c r="ZT325" s="24" t="n">
        <v>26.5</v>
      </c>
      <c r="ZU325" s="27" t="n">
        <v>66.1</v>
      </c>
      <c r="ZV325" s="27" t="n">
        <v>80.4</v>
      </c>
      <c r="ZW325" s="27" t="n">
        <v>15</v>
      </c>
      <c r="ZX325" s="24" t="n">
        <v>89</v>
      </c>
      <c r="ZY325" s="29" t="n">
        <v>0</v>
      </c>
      <c r="ZZ325" s="24" t="n">
        <v>7.09</v>
      </c>
      <c r="AAA325" s="24" t="n">
        <v>2.12</v>
      </c>
      <c r="AAB325" s="24" t="n">
        <v>0</v>
      </c>
      <c r="AAC325" s="24" t="n">
        <v>0</v>
      </c>
      <c r="AAD325" s="24" t="n">
        <v>0</v>
      </c>
      <c r="AAE325" s="24" t="n">
        <v>0</v>
      </c>
      <c r="AAF325" s="24" t="n">
        <v>0</v>
      </c>
      <c r="AAG325" s="24" t="n">
        <v>0</v>
      </c>
      <c r="AAH325" s="24" t="n">
        <v>0</v>
      </c>
      <c r="AAI325" s="24" t="n">
        <v>0</v>
      </c>
      <c r="AAJ325" s="24" t="n">
        <v>4.26</v>
      </c>
      <c r="AAK325" s="24" t="n">
        <v>32.68</v>
      </c>
      <c r="AAL325" s="24" t="n">
        <v>1.91</v>
      </c>
      <c r="AAM325" s="24" t="n">
        <v>0</v>
      </c>
      <c r="AAN325" s="24" t="n">
        <v>0</v>
      </c>
      <c r="AAO325" s="24" t="n">
        <v>0</v>
      </c>
      <c r="ABB325" s="24" t="n">
        <v>0</v>
      </c>
      <c r="ABC325" s="24" t="n">
        <v>0</v>
      </c>
      <c r="ABN325" s="28"/>
      <c r="ACF325" s="24" t="n">
        <v>0</v>
      </c>
      <c r="ADQ325" s="27" t="n">
        <v>3.52</v>
      </c>
      <c r="ADR325" s="27" t="n">
        <v>1</v>
      </c>
      <c r="ADS325" s="27" t="n">
        <v>1</v>
      </c>
      <c r="ADT325" s="27"/>
      <c r="ADU325" s="27" t="n">
        <f aca="false">3.13+3.17*4</f>
        <v>15.81</v>
      </c>
      <c r="ADV325" s="27" t="n">
        <v>2</v>
      </c>
      <c r="ADW325" s="27"/>
      <c r="ADX325" s="27" t="n">
        <v>0.87</v>
      </c>
      <c r="ADY325" s="27"/>
      <c r="ADZ325" s="27"/>
      <c r="AEA325" s="27"/>
      <c r="AEB325" s="27" t="n">
        <v>5.36</v>
      </c>
      <c r="AEC325" s="27" t="n">
        <v>8.39</v>
      </c>
      <c r="AED325" s="27"/>
      <c r="AEE325" s="27"/>
      <c r="AEF325" s="27" t="n">
        <v>0</v>
      </c>
      <c r="AEG325" s="27" t="n">
        <v>0</v>
      </c>
      <c r="AEH325" s="27" t="n">
        <v>0</v>
      </c>
      <c r="AEI325" s="24" t="n">
        <v>0</v>
      </c>
      <c r="AEJ325" s="24" t="s">
        <v>773</v>
      </c>
      <c r="AEK325" s="24" t="n">
        <v>36.5</v>
      </c>
      <c r="AEL325" s="27" t="n">
        <v>76.3</v>
      </c>
      <c r="AEM325" s="27" t="n">
        <v>80.4</v>
      </c>
      <c r="AEN325" s="27" t="n">
        <v>14.5</v>
      </c>
      <c r="AEO325" s="24" t="n">
        <v>91.16</v>
      </c>
      <c r="AEP325" s="29" t="n">
        <v>0</v>
      </c>
      <c r="AEQ325" s="24" t="n">
        <v>6.16</v>
      </c>
      <c r="AER325" s="24" t="n">
        <v>2.69</v>
      </c>
      <c r="AES325" s="24" t="n">
        <v>0</v>
      </c>
      <c r="AET325" s="24" t="n">
        <v>0</v>
      </c>
      <c r="AEU325" s="24" t="n">
        <v>0</v>
      </c>
      <c r="AEV325" s="24" t="n">
        <v>0</v>
      </c>
      <c r="AEW325" s="24" t="n">
        <v>0</v>
      </c>
      <c r="AEX325" s="24" t="n">
        <v>0</v>
      </c>
      <c r="AEY325" s="24" t="n">
        <v>0</v>
      </c>
      <c r="AEZ325" s="24" t="n">
        <v>0</v>
      </c>
      <c r="AFA325" s="24" t="n">
        <v>15.05</v>
      </c>
      <c r="AFB325" s="24" t="n">
        <v>31.49</v>
      </c>
      <c r="AFC325" s="24" t="n">
        <v>9.19</v>
      </c>
      <c r="AFD325" s="24" t="n">
        <v>0</v>
      </c>
      <c r="AFE325" s="24" t="n">
        <v>0</v>
      </c>
      <c r="AFF325" s="24" t="n">
        <v>0</v>
      </c>
      <c r="AFS325" s="24" t="n">
        <v>4.4</v>
      </c>
      <c r="AFT325" s="24" t="n">
        <v>1</v>
      </c>
      <c r="AFU325" s="24" t="n">
        <v>34</v>
      </c>
      <c r="AFV325" s="24" t="n">
        <v>10</v>
      </c>
      <c r="AFW325" s="24" t="n">
        <f aca="false">8.56+1.51</f>
        <v>10.07</v>
      </c>
      <c r="AFX325" s="24" t="n">
        <v>1</v>
      </c>
      <c r="AFY325" s="24" t="n">
        <v>68</v>
      </c>
      <c r="AFZ325" s="24" t="n">
        <v>6</v>
      </c>
      <c r="AGA325" s="24" t="n">
        <f aca="false">3.43+0.6</f>
        <v>4.03</v>
      </c>
      <c r="AGB325" s="24" t="n">
        <v>1</v>
      </c>
      <c r="AGE325" s="28"/>
      <c r="AGW325" s="24" t="n">
        <v>0</v>
      </c>
      <c r="AIH325" s="27" t="n">
        <v>0</v>
      </c>
      <c r="AII325" s="27" t="n">
        <v>0</v>
      </c>
      <c r="AIJ325" s="27"/>
      <c r="AIK325" s="27"/>
      <c r="AIL325" s="27"/>
      <c r="AIM325" s="27"/>
      <c r="AIN325" s="27"/>
      <c r="AIO325" s="27"/>
      <c r="AIP325" s="27"/>
      <c r="AIQ325" s="27"/>
      <c r="AIR325" s="27"/>
      <c r="AIS325" s="27" t="n">
        <v>14.52</v>
      </c>
      <c r="AIT325" s="27" t="n">
        <v>36.5</v>
      </c>
      <c r="AIU325" s="27"/>
      <c r="AIV325" s="27"/>
      <c r="AIW325" s="27" t="n">
        <v>0</v>
      </c>
      <c r="AIX325" s="27" t="n">
        <v>0</v>
      </c>
      <c r="AIY325" s="27" t="n">
        <v>0</v>
      </c>
      <c r="AIZ325" s="24" t="n">
        <v>0</v>
      </c>
      <c r="AJA325" s="24" t="s">
        <v>757</v>
      </c>
      <c r="AJB325" s="24" t="n">
        <v>36</v>
      </c>
      <c r="AJC325" s="27" t="n">
        <v>87.4</v>
      </c>
      <c r="AJD325" s="27" t="n">
        <v>80.4</v>
      </c>
      <c r="AJE325" s="27" t="n">
        <v>27.8</v>
      </c>
      <c r="AJF325" s="24" t="n">
        <v>71.12</v>
      </c>
      <c r="AJG325" s="29" t="n">
        <v>0</v>
      </c>
      <c r="AJH325" s="24" t="n">
        <v>26.39</v>
      </c>
      <c r="AJI325" s="24" t="n">
        <v>2.49</v>
      </c>
      <c r="AJJ325" s="24" t="n">
        <v>0</v>
      </c>
      <c r="AJK325" s="24" t="n">
        <v>0</v>
      </c>
      <c r="AJL325" s="24" t="n">
        <v>0</v>
      </c>
      <c r="AJM325" s="24" t="n">
        <v>0</v>
      </c>
      <c r="AJN325" s="24" t="n">
        <v>0</v>
      </c>
      <c r="AJO325" s="24" t="n">
        <v>0</v>
      </c>
      <c r="AJP325" s="24" t="n">
        <v>0</v>
      </c>
      <c r="AJQ325" s="24" t="n">
        <v>0</v>
      </c>
      <c r="AJR325" s="24" t="n">
        <v>49.1</v>
      </c>
      <c r="AJS325" s="24" t="n">
        <v>13.54</v>
      </c>
      <c r="AJT325" s="24" t="n">
        <v>0</v>
      </c>
      <c r="AJU325" s="24" t="n">
        <v>0</v>
      </c>
      <c r="AJV325" s="24" t="n">
        <v>0</v>
      </c>
      <c r="AJW325" s="24" t="n">
        <v>0</v>
      </c>
      <c r="AKJ325" s="24" t="n">
        <v>2.4</v>
      </c>
      <c r="AKK325" s="24" t="n">
        <v>0</v>
      </c>
      <c r="AKV325" s="28"/>
      <c r="ALN325" s="24" t="n">
        <v>1</v>
      </c>
      <c r="ALO325" s="24" t="n">
        <v>70</v>
      </c>
      <c r="ALP325" s="24" t="n">
        <v>2</v>
      </c>
      <c r="ALQ325" s="24" t="n">
        <f aca="false">0.83*2</f>
        <v>1.66</v>
      </c>
      <c r="ALR325" s="24" t="n">
        <v>2</v>
      </c>
      <c r="ALS325" s="24" t="n">
        <v>90</v>
      </c>
      <c r="ALT325" s="24" t="n">
        <v>2</v>
      </c>
      <c r="ALU325" s="24" t="n">
        <f aca="false">0.41*2</f>
        <v>0.82</v>
      </c>
      <c r="ALV325" s="24" t="n">
        <v>1</v>
      </c>
    </row>
    <row r="326" customFormat="false" ht="13.8" hidden="false" customHeight="false" outlineLevel="0" collapsed="false">
      <c r="A326" s="22" t="s">
        <v>907</v>
      </c>
      <c r="B326" s="23" t="n">
        <v>42905</v>
      </c>
      <c r="C326" s="24" t="n">
        <v>2</v>
      </c>
      <c r="D326" s="25" t="n">
        <v>40513</v>
      </c>
      <c r="E326" s="23" t="n">
        <v>31500</v>
      </c>
      <c r="F326" s="14" t="n">
        <f aca="false">(B326-E326)/365.25</f>
        <v>31.2251882272416</v>
      </c>
      <c r="G326" s="14" t="n">
        <f aca="false">(B326-D326)/365.25</f>
        <v>6.54893908281999</v>
      </c>
      <c r="H326" s="26" t="s">
        <v>181</v>
      </c>
      <c r="I326" s="21" t="s">
        <v>283</v>
      </c>
      <c r="J326" s="21" t="s">
        <v>181</v>
      </c>
      <c r="K326" s="21" t="n">
        <v>8</v>
      </c>
      <c r="L326" s="26" t="n">
        <v>68</v>
      </c>
      <c r="M326" s="24" t="n">
        <v>1.77</v>
      </c>
      <c r="N326" s="27" t="n">
        <f aca="false">L326/(M326*M326)</f>
        <v>21.7051294327939</v>
      </c>
      <c r="O326" s="26" t="n">
        <v>0</v>
      </c>
      <c r="P326" s="26" t="n">
        <v>0</v>
      </c>
      <c r="Q326" s="26" t="n">
        <v>0</v>
      </c>
      <c r="R326" s="26" t="n">
        <v>0</v>
      </c>
      <c r="S326" s="26" t="n">
        <v>0</v>
      </c>
      <c r="T326" s="26" t="n">
        <v>0</v>
      </c>
      <c r="U326" s="26" t="n">
        <v>0</v>
      </c>
      <c r="V326" s="26" t="n">
        <v>0</v>
      </c>
      <c r="W326" s="26" t="n">
        <v>0</v>
      </c>
      <c r="X326" s="26" t="n">
        <v>0</v>
      </c>
      <c r="Y326" s="26" t="n">
        <v>1</v>
      </c>
      <c r="Z326" s="26" t="n">
        <v>2</v>
      </c>
      <c r="AA326" s="26" t="n">
        <v>60</v>
      </c>
      <c r="AB326" s="26" t="s">
        <v>908</v>
      </c>
      <c r="AC326" s="26" t="n">
        <v>0</v>
      </c>
      <c r="AD326" s="26" t="n">
        <v>0</v>
      </c>
      <c r="AE326" s="26" t="n">
        <v>1</v>
      </c>
      <c r="AF326" s="19" t="n">
        <v>0</v>
      </c>
      <c r="AG326" s="19" t="n">
        <v>0</v>
      </c>
      <c r="AH326" s="19" t="n">
        <v>0</v>
      </c>
      <c r="AI326" s="26" t="n">
        <v>3</v>
      </c>
      <c r="AJ326" s="26" t="n">
        <v>0</v>
      </c>
      <c r="AK326" s="26" t="n">
        <v>3</v>
      </c>
      <c r="AL326" s="26" t="n">
        <v>4</v>
      </c>
      <c r="AM326" s="26" t="n">
        <v>4</v>
      </c>
      <c r="AN326" s="26" t="n">
        <v>0</v>
      </c>
      <c r="AO326" s="19" t="n">
        <v>0</v>
      </c>
      <c r="AP326" s="19" t="n">
        <v>0</v>
      </c>
      <c r="AQ326" s="19" t="n">
        <v>0</v>
      </c>
      <c r="AR326" s="19" t="n">
        <v>0</v>
      </c>
      <c r="AS326" s="26" t="n">
        <v>3</v>
      </c>
      <c r="AT326" s="26" t="n">
        <v>0</v>
      </c>
      <c r="AU326" s="26" t="n">
        <v>3</v>
      </c>
      <c r="AV326" s="26" t="n">
        <v>2</v>
      </c>
      <c r="AW326" s="26" t="n">
        <v>2</v>
      </c>
      <c r="AX326" s="26" t="n">
        <v>0</v>
      </c>
      <c r="AY326" s="26" t="n">
        <v>0</v>
      </c>
      <c r="AZ326" s="26" t="n">
        <v>0</v>
      </c>
      <c r="BA326" s="26" t="n">
        <v>0</v>
      </c>
      <c r="BB326" s="26" t="n">
        <v>1</v>
      </c>
      <c r="BC326" s="26" t="n">
        <v>0</v>
      </c>
      <c r="BD326" s="26" t="n">
        <v>0</v>
      </c>
      <c r="BE326" s="26" t="n">
        <v>0</v>
      </c>
      <c r="BF326" s="26" t="n">
        <v>0</v>
      </c>
      <c r="BG326" s="26" t="n">
        <v>0</v>
      </c>
      <c r="BH326" s="26" t="n">
        <v>0</v>
      </c>
      <c r="BI326" s="26" t="n">
        <v>0</v>
      </c>
      <c r="BJ326" s="19" t="n">
        <v>0</v>
      </c>
      <c r="BK326" s="19" t="n">
        <v>0</v>
      </c>
      <c r="BL326" s="19" t="n">
        <v>0</v>
      </c>
      <c r="BM326" s="19" t="n">
        <v>0</v>
      </c>
      <c r="BN326" s="26" t="n">
        <v>0</v>
      </c>
      <c r="BO326" s="26" t="n">
        <v>0</v>
      </c>
      <c r="BP326" s="26" t="n">
        <v>0</v>
      </c>
      <c r="BQ326" s="26" t="n">
        <v>0</v>
      </c>
      <c r="BR326" s="26" t="n">
        <v>4</v>
      </c>
      <c r="BS326" s="26" t="n">
        <v>2</v>
      </c>
      <c r="BT326" s="26" t="n">
        <v>3</v>
      </c>
      <c r="BU326" s="26" t="n">
        <v>3</v>
      </c>
      <c r="BV326" s="26" t="n">
        <v>2</v>
      </c>
      <c r="BW326" s="26" t="n">
        <v>1</v>
      </c>
      <c r="BX326" s="26" t="n">
        <v>3</v>
      </c>
      <c r="BY326" s="26" t="n">
        <v>2</v>
      </c>
      <c r="BZ326" s="26" t="n">
        <v>1</v>
      </c>
      <c r="CA326" s="26" t="n">
        <v>2</v>
      </c>
      <c r="CB326" s="26" t="n">
        <v>2</v>
      </c>
      <c r="CC326" s="26" t="n">
        <v>3</v>
      </c>
      <c r="CD326" s="26" t="n">
        <v>1</v>
      </c>
      <c r="CE326" s="26" t="n">
        <v>2</v>
      </c>
      <c r="CF326" s="26" t="n">
        <v>3</v>
      </c>
      <c r="CG326" s="26" t="n">
        <v>2</v>
      </c>
      <c r="CH326" s="26" t="n">
        <v>3</v>
      </c>
      <c r="CI326" s="26" t="n">
        <v>3</v>
      </c>
      <c r="CJ326" s="26" t="n">
        <v>3</v>
      </c>
      <c r="CK326" s="26" t="n">
        <v>8</v>
      </c>
      <c r="CL326" s="24" t="s">
        <v>285</v>
      </c>
      <c r="CM326" s="24" t="n">
        <v>70</v>
      </c>
      <c r="CN326" s="27" t="n">
        <v>79.8</v>
      </c>
      <c r="CO326" s="27" t="n">
        <v>80.4</v>
      </c>
      <c r="CP326" s="27" t="n">
        <v>62.1</v>
      </c>
      <c r="CQ326" s="24" t="n">
        <v>39.51</v>
      </c>
      <c r="CR326" s="29" t="n">
        <v>0</v>
      </c>
      <c r="CS326" s="24" t="n">
        <v>47.45</v>
      </c>
      <c r="CT326" s="24" t="n">
        <v>13.05</v>
      </c>
      <c r="CU326" s="24" t="n">
        <v>0</v>
      </c>
      <c r="CV326" s="24" t="n">
        <v>0</v>
      </c>
      <c r="CW326" s="24" t="n">
        <v>0</v>
      </c>
      <c r="CX326" s="24" t="n">
        <v>0</v>
      </c>
      <c r="CY326" s="24" t="n">
        <v>0</v>
      </c>
      <c r="CZ326" s="24" t="n">
        <v>0</v>
      </c>
      <c r="DA326" s="24" t="n">
        <v>0</v>
      </c>
      <c r="DB326" s="24" t="n">
        <v>0</v>
      </c>
      <c r="DC326" s="24" t="n">
        <v>0</v>
      </c>
      <c r="DD326" s="24" t="n">
        <v>30.76</v>
      </c>
      <c r="DE326" s="24" t="n">
        <v>14.19</v>
      </c>
      <c r="DF326" s="24" t="n">
        <v>0</v>
      </c>
      <c r="DG326" s="24" t="n">
        <v>0</v>
      </c>
      <c r="DH326" s="24" t="n">
        <v>0</v>
      </c>
      <c r="DU326" s="24" t="n">
        <v>0.3</v>
      </c>
      <c r="DV326" s="24" t="n">
        <v>1</v>
      </c>
      <c r="DW326" s="24" t="n">
        <v>68</v>
      </c>
      <c r="DX326" s="24" t="n">
        <v>1</v>
      </c>
      <c r="DY326" s="24" t="n">
        <v>0.13</v>
      </c>
      <c r="DZ326" s="24" t="n">
        <v>1</v>
      </c>
      <c r="EG326" s="28"/>
      <c r="EY326" s="24" t="n">
        <v>0</v>
      </c>
      <c r="GJ326" s="27" t="n">
        <v>0.63</v>
      </c>
      <c r="GK326" s="27" t="n">
        <v>1</v>
      </c>
      <c r="GL326" s="27" t="n">
        <v>1</v>
      </c>
      <c r="GM326" s="27"/>
      <c r="GN326" s="27" t="n">
        <v>1.52</v>
      </c>
      <c r="GO326" s="27"/>
      <c r="GP326" s="27"/>
      <c r="GQ326" s="27"/>
      <c r="GR326" s="27"/>
      <c r="GS326" s="27"/>
      <c r="GT326" s="27"/>
      <c r="GU326" s="27" t="n">
        <v>3.55</v>
      </c>
      <c r="GV326" s="27" t="n">
        <v>4.46</v>
      </c>
      <c r="GW326" s="27"/>
      <c r="GX326" s="27"/>
      <c r="GY326" s="27" t="n">
        <v>0</v>
      </c>
      <c r="GZ326" s="27" t="n">
        <v>0</v>
      </c>
      <c r="HA326" s="27" t="n">
        <v>0</v>
      </c>
      <c r="HB326" s="24" t="n">
        <v>0</v>
      </c>
      <c r="HC326" s="24" t="s">
        <v>286</v>
      </c>
      <c r="HD326" s="24" t="n">
        <v>95.5</v>
      </c>
      <c r="HE326" s="27" t="n">
        <v>99.1</v>
      </c>
      <c r="HF326" s="27" t="n">
        <v>80.4</v>
      </c>
      <c r="HG326" s="27" t="n">
        <v>90.4</v>
      </c>
      <c r="HH326" s="24" t="n">
        <v>24.15</v>
      </c>
      <c r="HI326" s="29" t="n">
        <v>0</v>
      </c>
      <c r="HJ326" s="24" t="n">
        <v>31.26</v>
      </c>
      <c r="HK326" s="24" t="n">
        <v>44.6</v>
      </c>
      <c r="HL326" s="24" t="n">
        <v>0</v>
      </c>
      <c r="HM326" s="24" t="n">
        <v>0</v>
      </c>
      <c r="HN326" s="24" t="n">
        <v>0</v>
      </c>
      <c r="HO326" s="24" t="n">
        <v>0</v>
      </c>
      <c r="HP326" s="24" t="n">
        <v>0</v>
      </c>
      <c r="HQ326" s="24" t="n">
        <v>0</v>
      </c>
      <c r="HR326" s="24" t="n">
        <v>0</v>
      </c>
      <c r="HS326" s="24" t="n">
        <v>0</v>
      </c>
      <c r="HT326" s="24" t="n">
        <v>0</v>
      </c>
      <c r="HU326" s="24" t="n">
        <v>24.75</v>
      </c>
      <c r="HV326" s="24" t="n">
        <v>2.47</v>
      </c>
      <c r="HW326" s="24" t="n">
        <v>0</v>
      </c>
      <c r="HX326" s="24" t="n">
        <v>0</v>
      </c>
      <c r="HY326" s="24" t="n">
        <v>0</v>
      </c>
      <c r="IL326" s="24" t="n">
        <v>0.2</v>
      </c>
      <c r="IM326" s="24" t="n">
        <v>1</v>
      </c>
      <c r="IN326" s="24" t="n">
        <v>34</v>
      </c>
      <c r="IO326" s="24" t="n">
        <v>16</v>
      </c>
      <c r="IP326" s="24" t="n">
        <f aca="false">6.09+1.07</f>
        <v>7.16</v>
      </c>
      <c r="IQ326" s="24" t="n">
        <v>1</v>
      </c>
      <c r="IR326" s="24" t="n">
        <v>68</v>
      </c>
      <c r="IS326" s="24" t="n">
        <v>1</v>
      </c>
      <c r="IT326" s="24" t="n">
        <v>0.13</v>
      </c>
      <c r="IU326" s="24" t="n">
        <v>1</v>
      </c>
      <c r="IX326" s="28"/>
      <c r="JP326" s="24" t="n">
        <v>0</v>
      </c>
      <c r="LA326" s="27" t="n">
        <v>0.63</v>
      </c>
      <c r="LB326" s="27" t="n">
        <v>1</v>
      </c>
      <c r="LC326" s="27" t="n">
        <v>1</v>
      </c>
      <c r="LD326" s="27"/>
      <c r="LE326" s="27" t="n">
        <v>1.52</v>
      </c>
      <c r="LF326" s="27"/>
      <c r="LG326" s="27"/>
      <c r="LH326" s="27"/>
      <c r="LI326" s="27"/>
      <c r="LJ326" s="27"/>
      <c r="LK326" s="27"/>
      <c r="LL326" s="27" t="n">
        <v>0</v>
      </c>
      <c r="LM326" s="27" t="n">
        <v>0</v>
      </c>
      <c r="LN326" s="27"/>
      <c r="LO326" s="27"/>
      <c r="LP326" s="27" t="n">
        <v>0</v>
      </c>
      <c r="LQ326" s="27" t="n">
        <v>0</v>
      </c>
      <c r="LR326" s="27" t="n">
        <v>0</v>
      </c>
      <c r="LS326" s="24" t="n">
        <v>0</v>
      </c>
      <c r="LT326" s="24" t="s">
        <v>287</v>
      </c>
      <c r="LU326" s="24" t="n">
        <v>61.5</v>
      </c>
      <c r="LV326" s="27" t="n">
        <v>83.5</v>
      </c>
      <c r="LW326" s="27" t="n">
        <v>80.4</v>
      </c>
      <c r="LX326" s="27" t="n">
        <v>56.1</v>
      </c>
      <c r="LY326" s="24" t="n">
        <v>51.73</v>
      </c>
      <c r="LZ326" s="29" t="n">
        <v>0</v>
      </c>
      <c r="MA326" s="24" t="n">
        <v>30.08</v>
      </c>
      <c r="MB326" s="24" t="n">
        <v>18.19</v>
      </c>
      <c r="MC326" s="24" t="n">
        <v>0</v>
      </c>
      <c r="MD326" s="24" t="n">
        <v>0</v>
      </c>
      <c r="ME326" s="24" t="n">
        <v>0</v>
      </c>
      <c r="MF326" s="24" t="n">
        <v>0</v>
      </c>
      <c r="MG326" s="24" t="n">
        <v>0</v>
      </c>
      <c r="MH326" s="24" t="n">
        <v>0</v>
      </c>
      <c r="MI326" s="24" t="n">
        <v>0</v>
      </c>
      <c r="MJ326" s="24" t="n">
        <v>0</v>
      </c>
      <c r="MK326" s="24" t="n">
        <v>0.3</v>
      </c>
      <c r="ML326" s="24" t="n">
        <v>27.59</v>
      </c>
      <c r="MM326" s="24" t="n">
        <v>0</v>
      </c>
      <c r="MN326" s="24" t="n">
        <v>0</v>
      </c>
      <c r="MO326" s="24" t="n">
        <v>0</v>
      </c>
      <c r="MP326" s="24" t="n">
        <v>0</v>
      </c>
      <c r="NC326" s="24" t="n">
        <v>0</v>
      </c>
      <c r="ND326" s="24" t="n">
        <v>0</v>
      </c>
      <c r="NO326" s="28"/>
      <c r="OG326" s="24" t="n">
        <v>0</v>
      </c>
      <c r="PR326" s="27" t="n">
        <v>1.96</v>
      </c>
      <c r="PS326" s="27" t="n">
        <v>1</v>
      </c>
      <c r="PT326" s="27" t="n">
        <v>1</v>
      </c>
      <c r="PU326" s="27"/>
      <c r="PV326" s="27" t="n">
        <f aca="false">5.53+3.68+1.71+1.12+0.74</f>
        <v>12.78</v>
      </c>
      <c r="PW326" s="27"/>
      <c r="PX326" s="27"/>
      <c r="PY326" s="27"/>
      <c r="PZ326" s="27"/>
      <c r="QA326" s="27"/>
      <c r="QB326" s="27"/>
      <c r="QC326" s="27" t="n">
        <v>0.94</v>
      </c>
      <c r="QD326" s="27" t="n">
        <v>0.94</v>
      </c>
      <c r="QE326" s="27"/>
      <c r="QF326" s="27"/>
      <c r="QG326" s="27" t="n">
        <v>0</v>
      </c>
      <c r="QH326" s="27" t="n">
        <v>0</v>
      </c>
      <c r="QI326" s="27" t="n">
        <v>0</v>
      </c>
      <c r="QJ326" s="24" t="n">
        <v>0</v>
      </c>
      <c r="QK326" s="24" t="s">
        <v>288</v>
      </c>
      <c r="QL326" s="24" t="n">
        <v>77.5</v>
      </c>
      <c r="QM326" s="27" t="n">
        <v>87.4</v>
      </c>
      <c r="QN326" s="27" t="n">
        <v>80.4</v>
      </c>
      <c r="QO326" s="27" t="n">
        <v>53.5</v>
      </c>
      <c r="QP326" s="24" t="n">
        <v>51.28</v>
      </c>
      <c r="QQ326" s="29" t="n">
        <v>0</v>
      </c>
      <c r="QR326" s="24" t="n">
        <v>27.27</v>
      </c>
      <c r="QS326" s="24" t="n">
        <v>21.22</v>
      </c>
      <c r="QT326" s="24" t="n">
        <v>0</v>
      </c>
      <c r="QU326" s="24" t="n">
        <v>0</v>
      </c>
      <c r="QV326" s="24" t="n">
        <v>0</v>
      </c>
      <c r="QW326" s="24" t="n">
        <v>0</v>
      </c>
      <c r="QX326" s="24" t="n">
        <v>0</v>
      </c>
      <c r="QY326" s="24" t="n">
        <v>0</v>
      </c>
      <c r="QZ326" s="24" t="n">
        <v>0</v>
      </c>
      <c r="RA326" s="24" t="n">
        <v>0</v>
      </c>
      <c r="RB326" s="24" t="n">
        <v>5.93</v>
      </c>
      <c r="RC326" s="24" t="n">
        <v>4.61</v>
      </c>
      <c r="RD326" s="24" t="n">
        <v>5.38</v>
      </c>
      <c r="RE326" s="24" t="n">
        <v>0</v>
      </c>
      <c r="RF326" s="24" t="n">
        <v>15.4</v>
      </c>
      <c r="RG326" s="24" t="n">
        <v>1</v>
      </c>
      <c r="RH326" s="24" t="n">
        <v>4</v>
      </c>
      <c r="RJ326" s="24" t="n">
        <v>2</v>
      </c>
      <c r="RN326" s="24" t="n">
        <v>4</v>
      </c>
      <c r="RP326" s="24" t="n">
        <v>2</v>
      </c>
      <c r="RT326" s="24" t="n">
        <v>6.7</v>
      </c>
      <c r="RU326" s="24" t="n">
        <v>1</v>
      </c>
      <c r="RV326" s="24" t="n">
        <v>35</v>
      </c>
      <c r="RW326" s="24" t="n">
        <v>6</v>
      </c>
      <c r="RX326" s="24" t="n">
        <v>0.8</v>
      </c>
      <c r="RY326" s="24" t="n">
        <v>3</v>
      </c>
      <c r="RZ326" s="24" t="n">
        <v>47</v>
      </c>
      <c r="SA326" s="24" t="n">
        <v>1</v>
      </c>
      <c r="SB326" s="24" t="n">
        <v>0.13</v>
      </c>
      <c r="SC326" s="24" t="n">
        <v>3</v>
      </c>
      <c r="SF326" s="28"/>
      <c r="SX326" s="24" t="n">
        <v>1</v>
      </c>
      <c r="SY326" s="24" t="n">
        <v>60</v>
      </c>
      <c r="SZ326" s="24" t="n">
        <v>3</v>
      </c>
      <c r="TA326" s="24" t="n">
        <v>1.35</v>
      </c>
      <c r="TB326" s="24" t="n">
        <v>2</v>
      </c>
      <c r="UI326" s="27" t="n">
        <v>0</v>
      </c>
      <c r="UJ326" s="27" t="n">
        <v>0</v>
      </c>
      <c r="UK326" s="27"/>
      <c r="UL326" s="27"/>
      <c r="UM326" s="27"/>
      <c r="UN326" s="27"/>
      <c r="UO326" s="27"/>
      <c r="UP326" s="27"/>
      <c r="UQ326" s="27"/>
      <c r="UR326" s="27"/>
      <c r="US326" s="27"/>
      <c r="UT326" s="27" t="n">
        <v>0</v>
      </c>
      <c r="UU326" s="27" t="n">
        <v>0</v>
      </c>
      <c r="UV326" s="27"/>
      <c r="UW326" s="27"/>
      <c r="UX326" s="27" t="n">
        <v>0</v>
      </c>
      <c r="UY326" s="27" t="n">
        <v>0</v>
      </c>
      <c r="UZ326" s="27" t="n">
        <v>0</v>
      </c>
      <c r="VA326" s="24" t="n">
        <v>0</v>
      </c>
      <c r="VB326" s="24" t="s">
        <v>289</v>
      </c>
      <c r="VC326" s="24" t="n">
        <v>44</v>
      </c>
      <c r="VD326" s="27" t="n">
        <v>69.9</v>
      </c>
      <c r="VE326" s="27" t="n">
        <v>80.4</v>
      </c>
      <c r="VF326" s="27" t="n">
        <v>41</v>
      </c>
      <c r="VG326" s="24" t="n">
        <v>68.16</v>
      </c>
      <c r="VH326" s="29" t="n">
        <v>0</v>
      </c>
      <c r="VI326" s="24" t="n">
        <v>11.52</v>
      </c>
      <c r="VJ326" s="24" t="n">
        <v>20.32</v>
      </c>
      <c r="VK326" s="24" t="n">
        <v>0</v>
      </c>
      <c r="VL326" s="24" t="n">
        <v>0</v>
      </c>
      <c r="VM326" s="24" t="n">
        <v>0</v>
      </c>
      <c r="VN326" s="24" t="n">
        <v>0</v>
      </c>
      <c r="VO326" s="24" t="n">
        <v>0</v>
      </c>
      <c r="VP326" s="24" t="n">
        <v>0</v>
      </c>
      <c r="VQ326" s="24" t="n">
        <v>0</v>
      </c>
      <c r="VR326" s="24" t="n">
        <v>0</v>
      </c>
      <c r="VS326" s="24" t="n">
        <v>13.13</v>
      </c>
      <c r="VT326" s="24" t="n">
        <v>8.66</v>
      </c>
      <c r="VU326" s="24" t="n">
        <v>0</v>
      </c>
      <c r="VV326" s="24" t="n">
        <v>0</v>
      </c>
      <c r="VW326" s="24" t="n">
        <v>0</v>
      </c>
      <c r="VX326" s="24" t="n">
        <v>0</v>
      </c>
      <c r="WK326" s="24" t="n">
        <v>1.5</v>
      </c>
      <c r="WL326" s="24" t="n">
        <v>1</v>
      </c>
      <c r="WM326" s="24" t="n">
        <v>47</v>
      </c>
      <c r="WN326" s="24" t="n">
        <v>5</v>
      </c>
      <c r="WO326" s="24" t="n">
        <f aca="false">0.15+0.04</f>
        <v>0.19</v>
      </c>
      <c r="WP326" s="24" t="n">
        <v>3</v>
      </c>
      <c r="WQ326" s="24" t="n">
        <v>25</v>
      </c>
      <c r="WR326" s="24" t="n">
        <v>1</v>
      </c>
      <c r="WS326" s="24" t="n">
        <v>0.4</v>
      </c>
      <c r="WT326" s="24" t="n">
        <v>1</v>
      </c>
      <c r="WW326" s="28"/>
      <c r="XO326" s="24" t="n">
        <v>0</v>
      </c>
      <c r="YZ326" s="27" t="n">
        <v>0.11</v>
      </c>
      <c r="ZA326" s="27" t="n">
        <v>1</v>
      </c>
      <c r="ZB326" s="27" t="n">
        <v>1</v>
      </c>
      <c r="ZC326" s="27"/>
      <c r="ZD326" s="27" t="n">
        <v>0.56</v>
      </c>
      <c r="ZE326" s="27"/>
      <c r="ZF326" s="27"/>
      <c r="ZG326" s="27"/>
      <c r="ZH326" s="27"/>
      <c r="ZI326" s="27"/>
      <c r="ZJ326" s="27"/>
      <c r="ZK326" s="27" t="n">
        <v>0</v>
      </c>
      <c r="ZL326" s="27" t="n">
        <v>0</v>
      </c>
      <c r="ZM326" s="27"/>
      <c r="ZN326" s="27"/>
      <c r="ZO326" s="27" t="n">
        <v>0</v>
      </c>
      <c r="ZP326" s="27" t="n">
        <v>0</v>
      </c>
      <c r="ZQ326" s="27" t="n">
        <v>0</v>
      </c>
      <c r="ZR326" s="24" t="n">
        <v>0</v>
      </c>
      <c r="ZS326" s="24" t="s">
        <v>290</v>
      </c>
      <c r="ZT326" s="24" t="n">
        <v>43</v>
      </c>
      <c r="ZU326" s="27" t="n">
        <v>49.3</v>
      </c>
      <c r="ZV326" s="27" t="n">
        <v>80.4</v>
      </c>
      <c r="ZW326" s="27" t="n">
        <v>32.9</v>
      </c>
      <c r="ZX326" s="24" t="n">
        <v>73.52</v>
      </c>
      <c r="ZY326" s="29" t="n">
        <v>0</v>
      </c>
      <c r="ZZ326" s="24" t="n">
        <v>16.84</v>
      </c>
      <c r="AAA326" s="24" t="n">
        <v>9.64</v>
      </c>
      <c r="AAB326" s="24" t="n">
        <v>0</v>
      </c>
      <c r="AAC326" s="24" t="n">
        <v>0</v>
      </c>
      <c r="AAD326" s="24" t="n">
        <v>0</v>
      </c>
      <c r="AAE326" s="24" t="n">
        <v>0</v>
      </c>
      <c r="AAF326" s="24" t="n">
        <v>0</v>
      </c>
      <c r="AAG326" s="24" t="n">
        <v>0</v>
      </c>
      <c r="AAH326" s="24" t="n">
        <v>0</v>
      </c>
      <c r="AAI326" s="24" t="n">
        <v>0</v>
      </c>
      <c r="AAJ326" s="24" t="n">
        <v>13.52</v>
      </c>
      <c r="AAK326" s="24" t="n">
        <v>3.69</v>
      </c>
      <c r="AAL326" s="24" t="n">
        <v>3.85</v>
      </c>
      <c r="AAM326" s="24" t="n">
        <v>0</v>
      </c>
      <c r="AAN326" s="24" t="n">
        <v>0</v>
      </c>
      <c r="AAO326" s="24" t="n">
        <v>0</v>
      </c>
      <c r="ABB326" s="24" t="n">
        <v>7.4</v>
      </c>
      <c r="ABC326" s="24" t="n">
        <v>1</v>
      </c>
      <c r="ABD326" s="24" t="n">
        <v>47</v>
      </c>
      <c r="ABE326" s="24" t="n">
        <v>11</v>
      </c>
      <c r="ABF326" s="24" t="n">
        <f aca="false">2.09+0.15+0.04</f>
        <v>2.28</v>
      </c>
      <c r="ABG326" s="24" t="n">
        <v>3</v>
      </c>
      <c r="ABN326" s="28"/>
      <c r="ACF326" s="24" t="n">
        <v>0</v>
      </c>
      <c r="ADQ326" s="27" t="n">
        <v>0.28</v>
      </c>
      <c r="ADR326" s="27" t="n">
        <v>1</v>
      </c>
      <c r="ADS326" s="27" t="n">
        <v>1</v>
      </c>
      <c r="ADT326" s="27"/>
      <c r="ADU326" s="27" t="n">
        <v>0.56</v>
      </c>
      <c r="ADV326" s="27"/>
      <c r="ADW326" s="27"/>
      <c r="ADX326" s="27"/>
      <c r="ADY326" s="27"/>
      <c r="ADZ326" s="27"/>
      <c r="AEA326" s="27"/>
      <c r="AEB326" s="27" t="n">
        <v>0.99</v>
      </c>
      <c r="AEC326" s="27" t="n">
        <v>0.39</v>
      </c>
      <c r="AED326" s="27"/>
      <c r="AEE326" s="27"/>
      <c r="AEF326" s="27" t="n">
        <v>0</v>
      </c>
      <c r="AEG326" s="27" t="n">
        <v>0</v>
      </c>
      <c r="AEH326" s="27" t="n">
        <v>0</v>
      </c>
      <c r="AEI326" s="24" t="n">
        <v>0</v>
      </c>
      <c r="AEJ326" s="24" t="n">
        <v>56</v>
      </c>
      <c r="AEK326" s="24" t="n">
        <v>26.5</v>
      </c>
      <c r="AEL326" s="27" t="n">
        <v>66.1</v>
      </c>
      <c r="AEM326" s="27" t="n">
        <v>80.4</v>
      </c>
      <c r="AEN326" s="27" t="n">
        <v>15</v>
      </c>
      <c r="AEO326" s="24" t="n">
        <v>89</v>
      </c>
      <c r="AEP326" s="29" t="n">
        <v>0</v>
      </c>
      <c r="AEQ326" s="24" t="n">
        <v>7.09</v>
      </c>
      <c r="AER326" s="24" t="n">
        <v>2.12</v>
      </c>
      <c r="AES326" s="24" t="n">
        <v>0</v>
      </c>
      <c r="AET326" s="24" t="n">
        <v>0</v>
      </c>
      <c r="AEU326" s="24" t="n">
        <v>0</v>
      </c>
      <c r="AEV326" s="24" t="n">
        <v>0</v>
      </c>
      <c r="AEW326" s="24" t="n">
        <v>0</v>
      </c>
      <c r="AEX326" s="24" t="n">
        <v>0</v>
      </c>
      <c r="AEY326" s="24" t="n">
        <v>0</v>
      </c>
      <c r="AEZ326" s="24" t="n">
        <v>0</v>
      </c>
      <c r="AFA326" s="24" t="n">
        <v>4.26</v>
      </c>
      <c r="AFB326" s="24" t="n">
        <v>32.68</v>
      </c>
      <c r="AFC326" s="24" t="n">
        <v>1.91</v>
      </c>
      <c r="AFD326" s="24" t="n">
        <v>0</v>
      </c>
      <c r="AFE326" s="24" t="n">
        <v>0</v>
      </c>
      <c r="AFF326" s="24" t="n">
        <v>0</v>
      </c>
      <c r="AFS326" s="24" t="n">
        <v>0</v>
      </c>
      <c r="AFT326" s="24" t="n">
        <v>0</v>
      </c>
      <c r="AGE326" s="28"/>
      <c r="AGW326" s="24" t="n">
        <v>0</v>
      </c>
      <c r="AIH326" s="27" t="n">
        <v>3.52</v>
      </c>
      <c r="AII326" s="27" t="n">
        <v>1</v>
      </c>
      <c r="AIJ326" s="27" t="n">
        <v>1</v>
      </c>
      <c r="AIK326" s="27"/>
      <c r="AIL326" s="27" t="n">
        <f aca="false">3.13+3.17*4</f>
        <v>15.81</v>
      </c>
      <c r="AIM326" s="27" t="n">
        <v>2</v>
      </c>
      <c r="AIN326" s="27"/>
      <c r="AIO326" s="27" t="n">
        <v>0.87</v>
      </c>
      <c r="AIP326" s="27"/>
      <c r="AIQ326" s="27"/>
      <c r="AIR326" s="27"/>
      <c r="AIS326" s="27" t="n">
        <v>5.36</v>
      </c>
      <c r="AIT326" s="27" t="n">
        <v>8.39</v>
      </c>
      <c r="AIU326" s="27"/>
      <c r="AIV326" s="27"/>
      <c r="AIW326" s="27" t="n">
        <v>0</v>
      </c>
      <c r="AIX326" s="27" t="n">
        <v>0</v>
      </c>
      <c r="AIY326" s="27" t="n">
        <v>0</v>
      </c>
      <c r="AIZ326" s="24" t="n">
        <v>0</v>
      </c>
      <c r="AJA326" s="24" t="s">
        <v>291</v>
      </c>
      <c r="AJB326" s="24" t="n">
        <v>35.5</v>
      </c>
      <c r="AJC326" s="27" t="n">
        <v>84</v>
      </c>
      <c r="AJD326" s="27" t="n">
        <v>80.4</v>
      </c>
      <c r="AJE326" s="27" t="n">
        <v>10.5</v>
      </c>
      <c r="AJF326" s="24" t="n">
        <v>95.42</v>
      </c>
      <c r="AJG326" s="29" t="n">
        <v>0</v>
      </c>
      <c r="AJH326" s="24" t="n">
        <v>4.58</v>
      </c>
      <c r="AJI326" s="24" t="n">
        <v>0</v>
      </c>
      <c r="AJJ326" s="24" t="n">
        <v>0</v>
      </c>
      <c r="AJK326" s="24" t="n">
        <v>0</v>
      </c>
      <c r="AJL326" s="24" t="n">
        <v>0</v>
      </c>
      <c r="AJM326" s="24" t="n">
        <v>0</v>
      </c>
      <c r="AJN326" s="24" t="n">
        <v>0</v>
      </c>
      <c r="AJO326" s="24" t="n">
        <v>0</v>
      </c>
      <c r="AJP326" s="24" t="n">
        <v>0</v>
      </c>
      <c r="AJQ326" s="24" t="n">
        <v>0</v>
      </c>
      <c r="AJR326" s="24" t="n">
        <v>17.83</v>
      </c>
      <c r="AJS326" s="24" t="n">
        <v>40.99</v>
      </c>
      <c r="AJT326" s="24" t="n">
        <v>9.34</v>
      </c>
      <c r="AJU326" s="24" t="n">
        <v>0</v>
      </c>
      <c r="AJV326" s="24" t="n">
        <v>0</v>
      </c>
      <c r="AJW326" s="24" t="n">
        <v>0</v>
      </c>
      <c r="AKJ326" s="24" t="n">
        <v>4.4</v>
      </c>
      <c r="AKK326" s="24" t="n">
        <v>1</v>
      </c>
      <c r="AKL326" s="24" t="n">
        <v>34</v>
      </c>
      <c r="AKM326" s="24" t="n">
        <v>10</v>
      </c>
      <c r="AKN326" s="24" t="n">
        <f aca="false">8.56+1.51</f>
        <v>10.07</v>
      </c>
      <c r="AKO326" s="24" t="n">
        <v>1</v>
      </c>
      <c r="AKP326" s="24" t="n">
        <v>68</v>
      </c>
      <c r="AKQ326" s="24" t="n">
        <v>6</v>
      </c>
      <c r="AKR326" s="24" t="n">
        <f aca="false">3.43+0.6</f>
        <v>4.03</v>
      </c>
      <c r="AKS326" s="24" t="n">
        <v>1</v>
      </c>
      <c r="AKV326" s="28"/>
      <c r="ALN326" s="24" t="n">
        <v>0</v>
      </c>
    </row>
    <row r="327" customFormat="false" ht="13.8" hidden="false" customHeight="false" outlineLevel="0" collapsed="false">
      <c r="A327" s="22" t="s">
        <v>909</v>
      </c>
      <c r="B327" s="23" t="n">
        <v>42905</v>
      </c>
      <c r="C327" s="24" t="n">
        <v>1</v>
      </c>
      <c r="D327" s="25" t="n">
        <v>42801</v>
      </c>
      <c r="E327" s="23" t="n">
        <v>42978</v>
      </c>
      <c r="F327" s="14" t="n">
        <f aca="false">(B327-E327)/365.25</f>
        <v>-0.199863107460643</v>
      </c>
      <c r="G327" s="14" t="n">
        <f aca="false">(B327-D327)/365.25</f>
        <v>0.284736481861739</v>
      </c>
      <c r="H327" s="26" t="s">
        <v>181</v>
      </c>
      <c r="I327" s="21" t="s">
        <v>283</v>
      </c>
      <c r="J327" s="21" t="s">
        <v>181</v>
      </c>
      <c r="K327" s="21" t="n">
        <v>8</v>
      </c>
      <c r="L327" s="26" t="n">
        <v>63</v>
      </c>
      <c r="M327" s="24" t="n">
        <v>1.67</v>
      </c>
      <c r="N327" s="27" t="n">
        <f aca="false">L327/(M327*M327)</f>
        <v>22.5895514360501</v>
      </c>
      <c r="O327" s="26" t="n">
        <v>0</v>
      </c>
      <c r="P327" s="26" t="n">
        <v>0</v>
      </c>
      <c r="Q327" s="26" t="n">
        <v>0</v>
      </c>
      <c r="R327" s="26" t="n">
        <v>0</v>
      </c>
      <c r="S327" s="26" t="n">
        <v>0</v>
      </c>
      <c r="T327" s="26" t="n">
        <v>0</v>
      </c>
      <c r="U327" s="26"/>
      <c r="V327" s="26"/>
      <c r="W327" s="26" t="n">
        <v>0</v>
      </c>
      <c r="X327" s="26" t="n">
        <v>0</v>
      </c>
      <c r="Y327" s="26" t="n">
        <v>0</v>
      </c>
      <c r="Z327" s="26" t="n">
        <v>0</v>
      </c>
      <c r="AA327" s="26" t="n">
        <v>0</v>
      </c>
      <c r="AB327" s="26" t="n">
        <v>0</v>
      </c>
      <c r="AC327" s="26" t="n">
        <v>0</v>
      </c>
      <c r="AD327" s="26" t="n">
        <v>0</v>
      </c>
      <c r="AE327" s="26" t="n">
        <v>0</v>
      </c>
      <c r="AF327" s="19" t="n">
        <v>0</v>
      </c>
      <c r="AG327" s="19" t="n">
        <v>0</v>
      </c>
      <c r="AH327" s="19" t="n">
        <v>0</v>
      </c>
      <c r="AI327" s="26" t="n">
        <v>0</v>
      </c>
      <c r="AJ327" s="26" t="n">
        <v>0</v>
      </c>
      <c r="AK327" s="26" t="n">
        <v>0</v>
      </c>
      <c r="AL327" s="26" t="n">
        <v>0</v>
      </c>
      <c r="AM327" s="26" t="n">
        <v>0</v>
      </c>
      <c r="AN327" s="26" t="n">
        <v>0</v>
      </c>
      <c r="AO327" s="19" t="n">
        <v>0</v>
      </c>
      <c r="AP327" s="19" t="n">
        <v>0</v>
      </c>
      <c r="AQ327" s="19" t="n">
        <v>0</v>
      </c>
      <c r="AR327" s="19" t="n">
        <v>0</v>
      </c>
      <c r="AS327" s="26" t="n">
        <v>0</v>
      </c>
      <c r="AT327" s="26" t="n">
        <v>0</v>
      </c>
      <c r="AU327" s="26" t="n">
        <v>0</v>
      </c>
      <c r="AV327" s="26" t="n">
        <v>0</v>
      </c>
      <c r="AW327" s="26" t="n">
        <v>0</v>
      </c>
      <c r="AX327" s="26" t="n">
        <v>0</v>
      </c>
      <c r="AY327" s="26" t="n">
        <v>0</v>
      </c>
      <c r="AZ327" s="26" t="n">
        <v>0</v>
      </c>
      <c r="BA327" s="26" t="n">
        <v>0</v>
      </c>
      <c r="BB327" s="26" t="n">
        <v>0</v>
      </c>
      <c r="BC327" s="26" t="n">
        <v>0</v>
      </c>
      <c r="BD327" s="26" t="n">
        <v>0</v>
      </c>
      <c r="BE327" s="26" t="n">
        <v>0</v>
      </c>
      <c r="BF327" s="26" t="n">
        <v>0</v>
      </c>
      <c r="BG327" s="26" t="n">
        <v>0</v>
      </c>
      <c r="BH327" s="26" t="n">
        <v>0</v>
      </c>
      <c r="BI327" s="26" t="n">
        <v>0</v>
      </c>
      <c r="BJ327" s="19" t="n">
        <v>0</v>
      </c>
      <c r="BK327" s="19" t="n">
        <v>0</v>
      </c>
      <c r="BL327" s="19" t="n">
        <v>0</v>
      </c>
      <c r="BM327" s="19" t="n">
        <v>0</v>
      </c>
      <c r="BN327" s="26" t="n">
        <v>0</v>
      </c>
      <c r="BO327" s="26" t="n">
        <v>0</v>
      </c>
      <c r="BP327" s="26" t="n">
        <v>0</v>
      </c>
      <c r="BQ327" s="26" t="n">
        <v>0</v>
      </c>
      <c r="BR327" s="26" t="n">
        <v>2</v>
      </c>
      <c r="BS327" s="26" t="n">
        <v>1</v>
      </c>
      <c r="BT327" s="26" t="n">
        <v>2</v>
      </c>
      <c r="BU327" s="26" t="n">
        <v>4</v>
      </c>
      <c r="BV327" s="26" t="n">
        <v>2</v>
      </c>
      <c r="BW327" s="26" t="n">
        <v>2</v>
      </c>
      <c r="BX327" s="26" t="n">
        <v>3</v>
      </c>
      <c r="BY327" s="26" t="n">
        <v>3</v>
      </c>
      <c r="BZ327" s="26" t="n">
        <v>4</v>
      </c>
      <c r="CA327" s="26" t="n">
        <v>5</v>
      </c>
      <c r="CB327" s="26" t="n">
        <v>4</v>
      </c>
      <c r="CC327" s="26" t="n">
        <v>4</v>
      </c>
      <c r="CD327" s="26" t="n">
        <v>5</v>
      </c>
      <c r="CE327" s="26" t="n">
        <v>2</v>
      </c>
      <c r="CF327" s="26" t="n">
        <v>5</v>
      </c>
      <c r="CG327" s="26" t="n">
        <v>4</v>
      </c>
      <c r="CH327" s="26" t="n">
        <v>4</v>
      </c>
      <c r="CI327" s="26" t="n">
        <v>4</v>
      </c>
      <c r="CJ327" s="26" t="n">
        <v>4</v>
      </c>
      <c r="CK327" s="26" t="n">
        <v>9</v>
      </c>
      <c r="CL327" s="24" t="s">
        <v>285</v>
      </c>
      <c r="CM327" s="24" t="n">
        <v>70</v>
      </c>
      <c r="CN327" s="27" t="n">
        <v>79.8</v>
      </c>
      <c r="CO327" s="27" t="n">
        <v>80.4</v>
      </c>
      <c r="CP327" s="27" t="n">
        <v>62.1</v>
      </c>
      <c r="CQ327" s="24" t="n">
        <v>39.51</v>
      </c>
      <c r="CR327" s="29" t="n">
        <v>0</v>
      </c>
      <c r="CS327" s="24" t="n">
        <v>47.45</v>
      </c>
      <c r="CT327" s="24" t="n">
        <v>13.05</v>
      </c>
      <c r="CU327" s="24" t="n">
        <v>0</v>
      </c>
      <c r="CV327" s="24" t="n">
        <v>0</v>
      </c>
      <c r="CW327" s="24" t="n">
        <v>0</v>
      </c>
      <c r="CX327" s="24" t="n">
        <v>0</v>
      </c>
      <c r="CY327" s="24" t="n">
        <v>0</v>
      </c>
      <c r="CZ327" s="24" t="n">
        <v>0</v>
      </c>
      <c r="DA327" s="24" t="n">
        <v>0</v>
      </c>
      <c r="DB327" s="24" t="n">
        <v>0</v>
      </c>
      <c r="DC327" s="24" t="n">
        <v>0</v>
      </c>
      <c r="DD327" s="24" t="n">
        <v>30.76</v>
      </c>
      <c r="DE327" s="24" t="n">
        <v>14.19</v>
      </c>
      <c r="DF327" s="24" t="n">
        <v>0</v>
      </c>
      <c r="DG327" s="24" t="n">
        <v>0</v>
      </c>
      <c r="DH327" s="24" t="n">
        <v>0</v>
      </c>
      <c r="DU327" s="24" t="n">
        <v>0.3</v>
      </c>
      <c r="DV327" s="24" t="n">
        <v>1</v>
      </c>
      <c r="DW327" s="24" t="n">
        <v>68</v>
      </c>
      <c r="DX327" s="24" t="n">
        <v>1</v>
      </c>
      <c r="DY327" s="24" t="n">
        <v>0.13</v>
      </c>
      <c r="DZ327" s="24" t="n">
        <v>1</v>
      </c>
      <c r="EG327" s="28"/>
      <c r="EY327" s="24" t="n">
        <v>0</v>
      </c>
      <c r="GJ327" s="27" t="n">
        <v>0.63</v>
      </c>
      <c r="GK327" s="27" t="n">
        <v>1</v>
      </c>
      <c r="GL327" s="27" t="n">
        <v>1</v>
      </c>
      <c r="GM327" s="27"/>
      <c r="GN327" s="27" t="n">
        <v>1.52</v>
      </c>
      <c r="GO327" s="27"/>
      <c r="GP327" s="27"/>
      <c r="GQ327" s="27"/>
      <c r="GR327" s="27"/>
      <c r="GS327" s="27"/>
      <c r="GT327" s="27"/>
      <c r="GU327" s="27" t="n">
        <v>3.55</v>
      </c>
      <c r="GV327" s="27" t="n">
        <v>4.46</v>
      </c>
      <c r="GW327" s="27"/>
      <c r="GX327" s="27"/>
      <c r="GY327" s="27" t="n">
        <v>0</v>
      </c>
      <c r="GZ327" s="27" t="n">
        <v>0</v>
      </c>
      <c r="HA327" s="27" t="n">
        <v>0</v>
      </c>
      <c r="HB327" s="24" t="n">
        <v>0</v>
      </c>
      <c r="HC327" s="24" t="s">
        <v>286</v>
      </c>
      <c r="HD327" s="24" t="n">
        <v>95.5</v>
      </c>
      <c r="HE327" s="27" t="n">
        <v>99.1</v>
      </c>
      <c r="HF327" s="27" t="n">
        <v>80.4</v>
      </c>
      <c r="HG327" s="27" t="n">
        <v>90.4</v>
      </c>
      <c r="HH327" s="24" t="n">
        <v>24.15</v>
      </c>
      <c r="HI327" s="29" t="n">
        <v>0</v>
      </c>
      <c r="HJ327" s="24" t="n">
        <v>31.26</v>
      </c>
      <c r="HK327" s="24" t="n">
        <v>44.6</v>
      </c>
      <c r="HL327" s="24" t="n">
        <v>0</v>
      </c>
      <c r="HM327" s="24" t="n">
        <v>0</v>
      </c>
      <c r="HN327" s="24" t="n">
        <v>0</v>
      </c>
      <c r="HO327" s="24" t="n">
        <v>0</v>
      </c>
      <c r="HP327" s="24" t="n">
        <v>0</v>
      </c>
      <c r="HQ327" s="24" t="n">
        <v>0</v>
      </c>
      <c r="HR327" s="24" t="n">
        <v>0</v>
      </c>
      <c r="HS327" s="24" t="n">
        <v>0</v>
      </c>
      <c r="HT327" s="24" t="n">
        <v>0</v>
      </c>
      <c r="HU327" s="24" t="n">
        <v>24.75</v>
      </c>
      <c r="HV327" s="24" t="n">
        <v>2.47</v>
      </c>
      <c r="HW327" s="24" t="n">
        <v>0</v>
      </c>
      <c r="HX327" s="24" t="n">
        <v>0</v>
      </c>
      <c r="HY327" s="24" t="n">
        <v>0</v>
      </c>
      <c r="IL327" s="24" t="n">
        <v>0.2</v>
      </c>
      <c r="IM327" s="24" t="n">
        <v>1</v>
      </c>
      <c r="IN327" s="24" t="n">
        <v>34</v>
      </c>
      <c r="IO327" s="24" t="n">
        <v>16</v>
      </c>
      <c r="IP327" s="24" t="n">
        <f aca="false">6.09+1.07</f>
        <v>7.16</v>
      </c>
      <c r="IQ327" s="24" t="n">
        <v>1</v>
      </c>
      <c r="IR327" s="24" t="n">
        <v>68</v>
      </c>
      <c r="IS327" s="24" t="n">
        <v>1</v>
      </c>
      <c r="IT327" s="24" t="n">
        <v>0.13</v>
      </c>
      <c r="IU327" s="24" t="n">
        <v>1</v>
      </c>
      <c r="IX327" s="28"/>
      <c r="JP327" s="24" t="n">
        <v>0</v>
      </c>
      <c r="LA327" s="27" t="n">
        <v>0.63</v>
      </c>
      <c r="LB327" s="27" t="n">
        <v>1</v>
      </c>
      <c r="LC327" s="27" t="n">
        <v>1</v>
      </c>
      <c r="LD327" s="27"/>
      <c r="LE327" s="27" t="n">
        <v>1.52</v>
      </c>
      <c r="LF327" s="27"/>
      <c r="LG327" s="27"/>
      <c r="LH327" s="27"/>
      <c r="LI327" s="27"/>
      <c r="LJ327" s="27"/>
      <c r="LK327" s="27"/>
      <c r="LL327" s="27" t="n">
        <v>0</v>
      </c>
      <c r="LM327" s="27" t="n">
        <v>0</v>
      </c>
      <c r="LN327" s="27"/>
      <c r="LO327" s="27"/>
      <c r="LP327" s="27" t="n">
        <v>0</v>
      </c>
      <c r="LQ327" s="27" t="n">
        <v>0</v>
      </c>
      <c r="LR327" s="27" t="n">
        <v>0</v>
      </c>
      <c r="LS327" s="24" t="n">
        <v>0</v>
      </c>
      <c r="LT327" s="24" t="s">
        <v>287</v>
      </c>
      <c r="LU327" s="24" t="n">
        <v>61.5</v>
      </c>
      <c r="LV327" s="27" t="n">
        <v>83.5</v>
      </c>
      <c r="LW327" s="27" t="n">
        <v>80.4</v>
      </c>
      <c r="LX327" s="27" t="n">
        <v>56.1</v>
      </c>
      <c r="LY327" s="24" t="n">
        <v>51.73</v>
      </c>
      <c r="LZ327" s="29" t="n">
        <v>0</v>
      </c>
      <c r="MA327" s="24" t="n">
        <v>30.08</v>
      </c>
      <c r="MB327" s="24" t="n">
        <v>18.19</v>
      </c>
      <c r="MC327" s="24" t="n">
        <v>0</v>
      </c>
      <c r="MD327" s="24" t="n">
        <v>0</v>
      </c>
      <c r="ME327" s="24" t="n">
        <v>0</v>
      </c>
      <c r="MF327" s="24" t="n">
        <v>0</v>
      </c>
      <c r="MG327" s="24" t="n">
        <v>0</v>
      </c>
      <c r="MH327" s="24" t="n">
        <v>0</v>
      </c>
      <c r="MI327" s="24" t="n">
        <v>0</v>
      </c>
      <c r="MJ327" s="24" t="n">
        <v>0</v>
      </c>
      <c r="MK327" s="24" t="n">
        <v>0.3</v>
      </c>
      <c r="ML327" s="24" t="n">
        <v>27.59</v>
      </c>
      <c r="MM327" s="24" t="n">
        <v>0</v>
      </c>
      <c r="MN327" s="24" t="n">
        <v>0</v>
      </c>
      <c r="MO327" s="24" t="n">
        <v>0</v>
      </c>
      <c r="MP327" s="24" t="n">
        <v>0</v>
      </c>
      <c r="NC327" s="24" t="n">
        <v>0</v>
      </c>
      <c r="ND327" s="24" t="n">
        <v>0</v>
      </c>
      <c r="NO327" s="28"/>
      <c r="OG327" s="24" t="n">
        <v>0</v>
      </c>
      <c r="PR327" s="27" t="n">
        <v>1.96</v>
      </c>
      <c r="PS327" s="27" t="n">
        <v>1</v>
      </c>
      <c r="PT327" s="27" t="n">
        <v>1</v>
      </c>
      <c r="PU327" s="27"/>
      <c r="PV327" s="27" t="n">
        <f aca="false">5.53+3.68+1.71+1.12+0.74</f>
        <v>12.78</v>
      </c>
      <c r="PW327" s="27"/>
      <c r="PX327" s="27"/>
      <c r="PY327" s="27"/>
      <c r="PZ327" s="27"/>
      <c r="QA327" s="27"/>
      <c r="QB327" s="27"/>
      <c r="QC327" s="27" t="n">
        <v>0.94</v>
      </c>
      <c r="QD327" s="27" t="n">
        <v>0.94</v>
      </c>
      <c r="QE327" s="27"/>
      <c r="QF327" s="27"/>
      <c r="QG327" s="27" t="n">
        <v>0</v>
      </c>
      <c r="QH327" s="27" t="n">
        <v>0</v>
      </c>
      <c r="QI327" s="27" t="n">
        <v>0</v>
      </c>
      <c r="QJ327" s="24" t="n">
        <v>0</v>
      </c>
      <c r="QK327" s="24" t="s">
        <v>288</v>
      </c>
      <c r="QL327" s="24" t="n">
        <v>77.5</v>
      </c>
      <c r="QM327" s="27" t="n">
        <v>87.4</v>
      </c>
      <c r="QN327" s="27" t="n">
        <v>80.4</v>
      </c>
      <c r="QO327" s="27" t="n">
        <v>53.5</v>
      </c>
      <c r="QP327" s="24" t="n">
        <v>51.28</v>
      </c>
      <c r="QQ327" s="29" t="n">
        <v>0</v>
      </c>
      <c r="QR327" s="24" t="n">
        <v>27.27</v>
      </c>
      <c r="QS327" s="24" t="n">
        <v>21.22</v>
      </c>
      <c r="QT327" s="24" t="n">
        <v>0</v>
      </c>
      <c r="QU327" s="24" t="n">
        <v>0</v>
      </c>
      <c r="QV327" s="24" t="n">
        <v>0</v>
      </c>
      <c r="QW327" s="24" t="n">
        <v>0</v>
      </c>
      <c r="QX327" s="24" t="n">
        <v>0</v>
      </c>
      <c r="QY327" s="24" t="n">
        <v>0</v>
      </c>
      <c r="QZ327" s="24" t="n">
        <v>0</v>
      </c>
      <c r="RA327" s="24" t="n">
        <v>0</v>
      </c>
      <c r="RB327" s="24" t="n">
        <v>5.93</v>
      </c>
      <c r="RC327" s="24" t="n">
        <v>4.61</v>
      </c>
      <c r="RD327" s="24" t="n">
        <v>5.38</v>
      </c>
      <c r="RE327" s="24" t="n">
        <v>0</v>
      </c>
      <c r="RF327" s="24" t="n">
        <v>15.4</v>
      </c>
      <c r="RG327" s="24" t="n">
        <v>1</v>
      </c>
      <c r="RH327" s="24" t="n">
        <v>4</v>
      </c>
      <c r="RJ327" s="24" t="n">
        <v>2</v>
      </c>
      <c r="RN327" s="24" t="n">
        <v>4</v>
      </c>
      <c r="RP327" s="24" t="n">
        <v>2</v>
      </c>
      <c r="RT327" s="24" t="n">
        <v>6.7</v>
      </c>
      <c r="RU327" s="24" t="n">
        <v>1</v>
      </c>
      <c r="RV327" s="24" t="n">
        <v>35</v>
      </c>
      <c r="RW327" s="24" t="n">
        <v>6</v>
      </c>
      <c r="RX327" s="24" t="n">
        <v>0.8</v>
      </c>
      <c r="RY327" s="24" t="n">
        <v>3</v>
      </c>
      <c r="RZ327" s="24" t="n">
        <v>47</v>
      </c>
      <c r="SA327" s="24" t="n">
        <v>1</v>
      </c>
      <c r="SB327" s="24" t="n">
        <v>0.13</v>
      </c>
      <c r="SC327" s="24" t="n">
        <v>3</v>
      </c>
      <c r="SF327" s="28"/>
      <c r="SX327" s="24" t="n">
        <v>1</v>
      </c>
      <c r="SY327" s="24" t="n">
        <v>60</v>
      </c>
      <c r="SZ327" s="24" t="n">
        <v>3</v>
      </c>
      <c r="TA327" s="24" t="n">
        <v>1.35</v>
      </c>
      <c r="TB327" s="24" t="n">
        <v>2</v>
      </c>
      <c r="UI327" s="27" t="n">
        <v>0</v>
      </c>
      <c r="UJ327" s="27" t="n">
        <v>0</v>
      </c>
      <c r="UK327" s="27"/>
      <c r="UL327" s="27"/>
      <c r="UM327" s="27"/>
      <c r="UN327" s="27"/>
      <c r="UO327" s="27"/>
      <c r="UP327" s="27"/>
      <c r="UQ327" s="27"/>
      <c r="UR327" s="27"/>
      <c r="US327" s="27"/>
      <c r="UT327" s="27" t="n">
        <v>0</v>
      </c>
      <c r="UU327" s="27" t="n">
        <v>0</v>
      </c>
      <c r="UV327" s="27"/>
      <c r="UW327" s="27"/>
      <c r="UX327" s="27" t="n">
        <v>0</v>
      </c>
      <c r="UY327" s="27" t="n">
        <v>0</v>
      </c>
      <c r="UZ327" s="27" t="n">
        <v>0</v>
      </c>
      <c r="VA327" s="24" t="n">
        <v>0</v>
      </c>
      <c r="VB327" s="24" t="s">
        <v>289</v>
      </c>
      <c r="VC327" s="24" t="n">
        <v>44</v>
      </c>
      <c r="VD327" s="27" t="n">
        <v>69.9</v>
      </c>
      <c r="VE327" s="27" t="n">
        <v>80.4</v>
      </c>
      <c r="VF327" s="27" t="n">
        <v>41</v>
      </c>
      <c r="VG327" s="24" t="n">
        <v>68.16</v>
      </c>
      <c r="VH327" s="29" t="n">
        <v>0</v>
      </c>
      <c r="VI327" s="24" t="n">
        <v>11.52</v>
      </c>
      <c r="VJ327" s="24" t="n">
        <v>20.32</v>
      </c>
      <c r="VK327" s="24" t="n">
        <v>0</v>
      </c>
      <c r="VL327" s="24" t="n">
        <v>0</v>
      </c>
      <c r="VM327" s="24" t="n">
        <v>0</v>
      </c>
      <c r="VN327" s="24" t="n">
        <v>0</v>
      </c>
      <c r="VO327" s="24" t="n">
        <v>0</v>
      </c>
      <c r="VP327" s="24" t="n">
        <v>0</v>
      </c>
      <c r="VQ327" s="24" t="n">
        <v>0</v>
      </c>
      <c r="VR327" s="24" t="n">
        <v>0</v>
      </c>
      <c r="VS327" s="24" t="n">
        <v>13.13</v>
      </c>
      <c r="VT327" s="24" t="n">
        <v>8.66</v>
      </c>
      <c r="VU327" s="24" t="n">
        <v>0</v>
      </c>
      <c r="VV327" s="24" t="n">
        <v>0</v>
      </c>
      <c r="VW327" s="24" t="n">
        <v>0</v>
      </c>
      <c r="VX327" s="24" t="n">
        <v>0</v>
      </c>
      <c r="WK327" s="24" t="n">
        <v>1.5</v>
      </c>
      <c r="WL327" s="24" t="n">
        <v>1</v>
      </c>
      <c r="WM327" s="24" t="n">
        <v>47</v>
      </c>
      <c r="WN327" s="24" t="n">
        <v>5</v>
      </c>
      <c r="WO327" s="24" t="n">
        <f aca="false">0.15+0.04</f>
        <v>0.19</v>
      </c>
      <c r="WP327" s="24" t="n">
        <v>3</v>
      </c>
      <c r="WQ327" s="24" t="n">
        <v>25</v>
      </c>
      <c r="WR327" s="24" t="n">
        <v>1</v>
      </c>
      <c r="WS327" s="24" t="n">
        <v>0.4</v>
      </c>
      <c r="WT327" s="24" t="n">
        <v>1</v>
      </c>
      <c r="WW327" s="28"/>
      <c r="XO327" s="24" t="n">
        <v>0</v>
      </c>
      <c r="YZ327" s="27" t="n">
        <v>0.11</v>
      </c>
      <c r="ZA327" s="27" t="n">
        <v>1</v>
      </c>
      <c r="ZB327" s="27" t="n">
        <v>1</v>
      </c>
      <c r="ZC327" s="27"/>
      <c r="ZD327" s="27" t="n">
        <v>0.56</v>
      </c>
      <c r="ZE327" s="27"/>
      <c r="ZF327" s="27"/>
      <c r="ZG327" s="27"/>
      <c r="ZH327" s="27"/>
      <c r="ZI327" s="27"/>
      <c r="ZJ327" s="27"/>
      <c r="ZK327" s="27" t="n">
        <v>0</v>
      </c>
      <c r="ZL327" s="27" t="n">
        <v>0</v>
      </c>
      <c r="ZM327" s="27"/>
      <c r="ZN327" s="27"/>
      <c r="ZO327" s="27" t="n">
        <v>0</v>
      </c>
      <c r="ZP327" s="27" t="n">
        <v>0</v>
      </c>
      <c r="ZQ327" s="27" t="n">
        <v>0</v>
      </c>
      <c r="ZR327" s="24" t="n">
        <v>0</v>
      </c>
      <c r="ZS327" s="24" t="s">
        <v>290</v>
      </c>
      <c r="ZT327" s="24" t="n">
        <v>43</v>
      </c>
      <c r="ZU327" s="27" t="n">
        <v>49.3</v>
      </c>
      <c r="ZV327" s="27" t="n">
        <v>80.4</v>
      </c>
      <c r="ZW327" s="27" t="n">
        <v>32.9</v>
      </c>
      <c r="ZX327" s="24" t="n">
        <v>73.52</v>
      </c>
      <c r="ZY327" s="29" t="n">
        <v>0</v>
      </c>
      <c r="ZZ327" s="24" t="n">
        <v>16.84</v>
      </c>
      <c r="AAA327" s="24" t="n">
        <v>9.64</v>
      </c>
      <c r="AAB327" s="24" t="n">
        <v>0</v>
      </c>
      <c r="AAC327" s="24" t="n">
        <v>0</v>
      </c>
      <c r="AAD327" s="24" t="n">
        <v>0</v>
      </c>
      <c r="AAE327" s="24" t="n">
        <v>0</v>
      </c>
      <c r="AAF327" s="24" t="n">
        <v>0</v>
      </c>
      <c r="AAG327" s="24" t="n">
        <v>0</v>
      </c>
      <c r="AAH327" s="24" t="n">
        <v>0</v>
      </c>
      <c r="AAI327" s="24" t="n">
        <v>0</v>
      </c>
      <c r="AAJ327" s="24" t="n">
        <v>13.52</v>
      </c>
      <c r="AAK327" s="24" t="n">
        <v>3.69</v>
      </c>
      <c r="AAL327" s="24" t="n">
        <v>3.85</v>
      </c>
      <c r="AAM327" s="24" t="n">
        <v>0</v>
      </c>
      <c r="AAN327" s="24" t="n">
        <v>0</v>
      </c>
      <c r="AAO327" s="24" t="n">
        <v>0</v>
      </c>
      <c r="ABB327" s="24" t="n">
        <v>7.4</v>
      </c>
      <c r="ABC327" s="24" t="n">
        <v>1</v>
      </c>
      <c r="ABD327" s="24" t="n">
        <v>47</v>
      </c>
      <c r="ABE327" s="24" t="n">
        <v>11</v>
      </c>
      <c r="ABF327" s="24" t="n">
        <f aca="false">2.09+0.15+0.04</f>
        <v>2.28</v>
      </c>
      <c r="ABG327" s="24" t="n">
        <v>3</v>
      </c>
      <c r="ABN327" s="28"/>
      <c r="ACF327" s="24" t="n">
        <v>0</v>
      </c>
      <c r="ADQ327" s="27" t="n">
        <v>0.28</v>
      </c>
      <c r="ADR327" s="27" t="n">
        <v>1</v>
      </c>
      <c r="ADS327" s="27" t="n">
        <v>1</v>
      </c>
      <c r="ADT327" s="27"/>
      <c r="ADU327" s="27" t="n">
        <v>0.56</v>
      </c>
      <c r="ADV327" s="27"/>
      <c r="ADW327" s="27"/>
      <c r="ADX327" s="27"/>
      <c r="ADY327" s="27"/>
      <c r="ADZ327" s="27"/>
      <c r="AEA327" s="27"/>
      <c r="AEB327" s="27" t="n">
        <v>0.99</v>
      </c>
      <c r="AEC327" s="27" t="n">
        <v>0.39</v>
      </c>
      <c r="AED327" s="27"/>
      <c r="AEE327" s="27"/>
      <c r="AEF327" s="27" t="n">
        <v>0</v>
      </c>
      <c r="AEG327" s="27" t="n">
        <v>0</v>
      </c>
      <c r="AEH327" s="27" t="n">
        <v>0</v>
      </c>
      <c r="AEI327" s="24" t="n">
        <v>0</v>
      </c>
      <c r="AEJ327" s="24" t="n">
        <v>56</v>
      </c>
      <c r="AEK327" s="24" t="n">
        <v>26.5</v>
      </c>
      <c r="AEL327" s="27" t="n">
        <v>66.1</v>
      </c>
      <c r="AEM327" s="27" t="n">
        <v>80.4</v>
      </c>
      <c r="AEN327" s="27" t="n">
        <v>15</v>
      </c>
      <c r="AEO327" s="24" t="n">
        <v>89</v>
      </c>
      <c r="AEP327" s="29" t="n">
        <v>0</v>
      </c>
      <c r="AEQ327" s="24" t="n">
        <v>7.09</v>
      </c>
      <c r="AER327" s="24" t="n">
        <v>2.12</v>
      </c>
      <c r="AES327" s="24" t="n">
        <v>0</v>
      </c>
      <c r="AET327" s="24" t="n">
        <v>0</v>
      </c>
      <c r="AEU327" s="24" t="n">
        <v>0</v>
      </c>
      <c r="AEV327" s="24" t="n">
        <v>0</v>
      </c>
      <c r="AEW327" s="24" t="n">
        <v>0</v>
      </c>
      <c r="AEX327" s="24" t="n">
        <v>0</v>
      </c>
      <c r="AEY327" s="24" t="n">
        <v>0</v>
      </c>
      <c r="AEZ327" s="24" t="n">
        <v>0</v>
      </c>
      <c r="AFA327" s="24" t="n">
        <v>4.26</v>
      </c>
      <c r="AFB327" s="24" t="n">
        <v>32.68</v>
      </c>
      <c r="AFC327" s="24" t="n">
        <v>1.91</v>
      </c>
      <c r="AFD327" s="24" t="n">
        <v>0</v>
      </c>
      <c r="AFE327" s="24" t="n">
        <v>0</v>
      </c>
      <c r="AFF327" s="24" t="n">
        <v>0</v>
      </c>
      <c r="AFS327" s="24" t="n">
        <v>0</v>
      </c>
      <c r="AFT327" s="24" t="n">
        <v>0</v>
      </c>
      <c r="AGE327" s="28"/>
      <c r="AGW327" s="24" t="n">
        <v>0</v>
      </c>
      <c r="AIH327" s="27" t="n">
        <v>3.52</v>
      </c>
      <c r="AII327" s="27" t="n">
        <v>1</v>
      </c>
      <c r="AIJ327" s="27" t="n">
        <v>1</v>
      </c>
      <c r="AIK327" s="27"/>
      <c r="AIL327" s="27" t="n">
        <f aca="false">3.13+3.17*4</f>
        <v>15.81</v>
      </c>
      <c r="AIM327" s="27" t="n">
        <v>2</v>
      </c>
      <c r="AIN327" s="27"/>
      <c r="AIO327" s="27" t="n">
        <v>0.87</v>
      </c>
      <c r="AIP327" s="27"/>
      <c r="AIQ327" s="27"/>
      <c r="AIR327" s="27"/>
      <c r="AIS327" s="27" t="n">
        <v>5.36</v>
      </c>
      <c r="AIT327" s="27" t="n">
        <v>8.39</v>
      </c>
      <c r="AIU327" s="27"/>
      <c r="AIV327" s="27"/>
      <c r="AIW327" s="27" t="n">
        <v>0</v>
      </c>
      <c r="AIX327" s="27" t="n">
        <v>0</v>
      </c>
      <c r="AIY327" s="27" t="n">
        <v>0</v>
      </c>
      <c r="AIZ327" s="24" t="n">
        <v>0</v>
      </c>
      <c r="AJA327" s="24" t="s">
        <v>291</v>
      </c>
      <c r="AJB327" s="24" t="n">
        <v>35.5</v>
      </c>
      <c r="AJC327" s="27" t="n">
        <v>84</v>
      </c>
      <c r="AJD327" s="27" t="n">
        <v>80.4</v>
      </c>
      <c r="AJE327" s="27" t="n">
        <v>10.5</v>
      </c>
      <c r="AJF327" s="24" t="n">
        <v>95.42</v>
      </c>
      <c r="AJG327" s="29" t="n">
        <v>0</v>
      </c>
      <c r="AJH327" s="24" t="n">
        <v>4.58</v>
      </c>
      <c r="AJI327" s="24" t="n">
        <v>0</v>
      </c>
      <c r="AJJ327" s="24" t="n">
        <v>0</v>
      </c>
      <c r="AJK327" s="24" t="n">
        <v>0</v>
      </c>
      <c r="AJL327" s="24" t="n">
        <v>0</v>
      </c>
      <c r="AJM327" s="24" t="n">
        <v>0</v>
      </c>
      <c r="AJN327" s="24" t="n">
        <v>0</v>
      </c>
      <c r="AJO327" s="24" t="n">
        <v>0</v>
      </c>
      <c r="AJP327" s="24" t="n">
        <v>0</v>
      </c>
      <c r="AJQ327" s="24" t="n">
        <v>0</v>
      </c>
      <c r="AJR327" s="24" t="n">
        <v>17.83</v>
      </c>
      <c r="AJS327" s="24" t="n">
        <v>40.99</v>
      </c>
      <c r="AJT327" s="24" t="n">
        <v>9.34</v>
      </c>
      <c r="AJU327" s="24" t="n">
        <v>0</v>
      </c>
      <c r="AJV327" s="24" t="n">
        <v>0</v>
      </c>
      <c r="AJW327" s="24" t="n">
        <v>0</v>
      </c>
      <c r="AKJ327" s="24" t="n">
        <v>4.4</v>
      </c>
      <c r="AKK327" s="24" t="n">
        <v>1</v>
      </c>
      <c r="AKL327" s="24" t="n">
        <v>34</v>
      </c>
      <c r="AKM327" s="24" t="n">
        <v>10</v>
      </c>
      <c r="AKN327" s="24" t="n">
        <f aca="false">8.56+1.51</f>
        <v>10.07</v>
      </c>
      <c r="AKO327" s="24" t="n">
        <v>1</v>
      </c>
      <c r="AKP327" s="24" t="n">
        <v>68</v>
      </c>
      <c r="AKQ327" s="24" t="n">
        <v>6</v>
      </c>
      <c r="AKR327" s="24" t="n">
        <f aca="false">3.43+0.6</f>
        <v>4.03</v>
      </c>
      <c r="AKS327" s="24" t="n">
        <v>1</v>
      </c>
      <c r="AKV327" s="28"/>
      <c r="ALN327" s="24" t="n">
        <v>0</v>
      </c>
    </row>
    <row r="328" customFormat="false" ht="13.8" hidden="false" customHeight="false" outlineLevel="0" collapsed="false">
      <c r="A328" s="22" t="s">
        <v>910</v>
      </c>
      <c r="B328" s="23" t="n">
        <v>42905</v>
      </c>
      <c r="C328" s="24" t="n">
        <v>2</v>
      </c>
      <c r="D328" s="25" t="n">
        <v>42814</v>
      </c>
      <c r="E328" s="23" t="n">
        <v>34874</v>
      </c>
      <c r="F328" s="14" t="n">
        <f aca="false">(B328-E328)/365.25</f>
        <v>21.9876796714579</v>
      </c>
      <c r="G328" s="14" t="n">
        <f aca="false">(B328-D328)/365.25</f>
        <v>0.249144421629021</v>
      </c>
      <c r="H328" s="26" t="s">
        <v>181</v>
      </c>
      <c r="I328" s="21" t="s">
        <v>283</v>
      </c>
      <c r="J328" s="21" t="s">
        <v>181</v>
      </c>
      <c r="K328" s="21" t="n">
        <v>8</v>
      </c>
      <c r="L328" s="26" t="n">
        <v>65</v>
      </c>
      <c r="M328" s="24" t="n">
        <v>1.72</v>
      </c>
      <c r="N328" s="27" t="n">
        <f aca="false">L328/(M328*M328)</f>
        <v>21.9713358572201</v>
      </c>
      <c r="O328" s="26" t="n">
        <v>0</v>
      </c>
      <c r="P328" s="26" t="n">
        <v>0</v>
      </c>
      <c r="Q328" s="26" t="n">
        <v>0</v>
      </c>
      <c r="R328" s="26" t="n">
        <v>0</v>
      </c>
      <c r="S328" s="26" t="n">
        <v>0</v>
      </c>
      <c r="T328" s="26" t="n">
        <v>0</v>
      </c>
      <c r="U328" s="26" t="n">
        <v>0</v>
      </c>
      <c r="V328" s="26" t="n">
        <v>0</v>
      </c>
      <c r="W328" s="26" t="n">
        <v>0</v>
      </c>
      <c r="X328" s="26" t="n">
        <v>0</v>
      </c>
      <c r="Y328" s="26" t="n">
        <v>1</v>
      </c>
      <c r="Z328" s="26" t="n">
        <v>2</v>
      </c>
      <c r="AA328" s="26" t="n">
        <v>45</v>
      </c>
      <c r="AB328" s="26" t="s">
        <v>911</v>
      </c>
      <c r="AC328" s="26" t="n">
        <v>1</v>
      </c>
      <c r="AD328" s="26" t="n">
        <v>1</v>
      </c>
      <c r="AE328" s="26" t="n">
        <v>0</v>
      </c>
      <c r="AF328" s="19" t="n">
        <v>0</v>
      </c>
      <c r="AG328" s="19" t="n">
        <v>0</v>
      </c>
      <c r="AH328" s="19" t="n">
        <v>0</v>
      </c>
      <c r="AI328" s="26" t="n">
        <v>0</v>
      </c>
      <c r="AJ328" s="26" t="n">
        <v>0</v>
      </c>
      <c r="AK328" s="26" t="n">
        <v>0</v>
      </c>
      <c r="AL328" s="26" t="n">
        <v>0</v>
      </c>
      <c r="AM328" s="26" t="n">
        <v>0</v>
      </c>
      <c r="AN328" s="26" t="n">
        <v>0</v>
      </c>
      <c r="AO328" s="19" t="n">
        <v>0</v>
      </c>
      <c r="AP328" s="19" t="n">
        <v>0</v>
      </c>
      <c r="AQ328" s="19" t="n">
        <v>0</v>
      </c>
      <c r="AR328" s="19" t="n">
        <v>0</v>
      </c>
      <c r="AS328" s="26" t="n">
        <v>0</v>
      </c>
      <c r="AT328" s="26" t="n">
        <v>0</v>
      </c>
      <c r="AU328" s="26" t="n">
        <v>0</v>
      </c>
      <c r="AV328" s="26" t="n">
        <v>0</v>
      </c>
      <c r="AW328" s="26" t="n">
        <v>0</v>
      </c>
      <c r="AX328" s="26" t="n">
        <v>0</v>
      </c>
      <c r="AY328" s="26" t="n">
        <v>0</v>
      </c>
      <c r="AZ328" s="26" t="n">
        <v>0</v>
      </c>
      <c r="BA328" s="26" t="n">
        <v>0</v>
      </c>
      <c r="BB328" s="26" t="n">
        <v>0</v>
      </c>
      <c r="BC328" s="26" t="n">
        <v>0</v>
      </c>
      <c r="BD328" s="26" t="n">
        <v>0</v>
      </c>
      <c r="BE328" s="26" t="n">
        <v>0</v>
      </c>
      <c r="BF328" s="26" t="n">
        <v>0</v>
      </c>
      <c r="BG328" s="26" t="n">
        <v>0</v>
      </c>
      <c r="BH328" s="26" t="n">
        <v>0</v>
      </c>
      <c r="BI328" s="26" t="n">
        <v>0</v>
      </c>
      <c r="BJ328" s="19" t="n">
        <v>0</v>
      </c>
      <c r="BK328" s="19" t="n">
        <v>0</v>
      </c>
      <c r="BL328" s="19" t="n">
        <v>0</v>
      </c>
      <c r="BM328" s="19" t="n">
        <v>0</v>
      </c>
      <c r="BN328" s="26" t="n">
        <v>0</v>
      </c>
      <c r="BO328" s="26" t="n">
        <v>0</v>
      </c>
      <c r="BP328" s="26" t="n">
        <v>0</v>
      </c>
      <c r="BQ328" s="26" t="n">
        <v>0</v>
      </c>
      <c r="BR328" s="26" t="n">
        <v>2</v>
      </c>
      <c r="BS328" s="26" t="n">
        <v>1</v>
      </c>
      <c r="BT328" s="26" t="n">
        <v>2</v>
      </c>
      <c r="BU328" s="26" t="n">
        <v>3</v>
      </c>
      <c r="BV328" s="26" t="n">
        <v>2</v>
      </c>
      <c r="BW328" s="26" t="n">
        <v>2</v>
      </c>
      <c r="BX328" s="26" t="n">
        <v>3</v>
      </c>
      <c r="BY328" s="26" t="n">
        <v>3</v>
      </c>
      <c r="BZ328" s="26" t="n">
        <v>4</v>
      </c>
      <c r="CA328" s="26" t="n">
        <v>4</v>
      </c>
      <c r="CB328" s="26" t="n">
        <v>4</v>
      </c>
      <c r="CC328" s="26" t="n">
        <v>4</v>
      </c>
      <c r="CD328" s="26" t="n">
        <v>3</v>
      </c>
      <c r="CE328" s="26" t="n">
        <v>4</v>
      </c>
      <c r="CF328" s="26" t="n">
        <v>3</v>
      </c>
      <c r="CG328" s="26" t="n">
        <v>4</v>
      </c>
      <c r="CH328" s="26" t="n">
        <v>3</v>
      </c>
      <c r="CI328" s="26" t="n">
        <v>4</v>
      </c>
      <c r="CJ328" s="26" t="n">
        <v>4</v>
      </c>
      <c r="CK328" s="26" t="n">
        <v>8</v>
      </c>
      <c r="CL328" s="24" t="s">
        <v>285</v>
      </c>
      <c r="CM328" s="24" t="n">
        <v>70</v>
      </c>
      <c r="CN328" s="27" t="n">
        <v>79.8</v>
      </c>
      <c r="CO328" s="27" t="n">
        <v>80.4</v>
      </c>
      <c r="CP328" s="27" t="n">
        <v>62.1</v>
      </c>
      <c r="CQ328" s="24" t="n">
        <v>39.51</v>
      </c>
      <c r="CR328" s="29" t="n">
        <v>0</v>
      </c>
      <c r="CS328" s="24" t="n">
        <v>47.45</v>
      </c>
      <c r="CT328" s="24" t="n">
        <v>13.05</v>
      </c>
      <c r="CU328" s="24" t="n">
        <v>0</v>
      </c>
      <c r="CV328" s="24" t="n">
        <v>0</v>
      </c>
      <c r="CW328" s="24" t="n">
        <v>0</v>
      </c>
      <c r="CX328" s="24" t="n">
        <v>0</v>
      </c>
      <c r="CY328" s="24" t="n">
        <v>0</v>
      </c>
      <c r="CZ328" s="24" t="n">
        <v>0</v>
      </c>
      <c r="DA328" s="24" t="n">
        <v>0</v>
      </c>
      <c r="DB328" s="24" t="n">
        <v>0</v>
      </c>
      <c r="DC328" s="24" t="n">
        <v>0</v>
      </c>
      <c r="DD328" s="24" t="n">
        <v>30.76</v>
      </c>
      <c r="DE328" s="24" t="n">
        <v>14.19</v>
      </c>
      <c r="DF328" s="24" t="n">
        <v>0</v>
      </c>
      <c r="DG328" s="24" t="n">
        <v>0</v>
      </c>
      <c r="DH328" s="24" t="n">
        <v>0</v>
      </c>
      <c r="DU328" s="24" t="n">
        <v>0.3</v>
      </c>
      <c r="DV328" s="24" t="n">
        <v>1</v>
      </c>
      <c r="DW328" s="24" t="n">
        <v>68</v>
      </c>
      <c r="DX328" s="24" t="n">
        <v>1</v>
      </c>
      <c r="DY328" s="24" t="n">
        <v>0.13</v>
      </c>
      <c r="DZ328" s="24" t="n">
        <v>1</v>
      </c>
      <c r="EG328" s="28"/>
      <c r="EY328" s="24" t="n">
        <v>0</v>
      </c>
      <c r="GJ328" s="27" t="n">
        <v>0.63</v>
      </c>
      <c r="GK328" s="27" t="n">
        <v>1</v>
      </c>
      <c r="GL328" s="27" t="n">
        <v>1</v>
      </c>
      <c r="GM328" s="27"/>
      <c r="GN328" s="27" t="n">
        <v>1.52</v>
      </c>
      <c r="GO328" s="27"/>
      <c r="GP328" s="27"/>
      <c r="GQ328" s="27"/>
      <c r="GR328" s="27"/>
      <c r="GS328" s="27"/>
      <c r="GT328" s="27"/>
      <c r="GU328" s="27" t="n">
        <v>3.55</v>
      </c>
      <c r="GV328" s="27" t="n">
        <v>4.46</v>
      </c>
      <c r="GW328" s="27"/>
      <c r="GX328" s="27"/>
      <c r="GY328" s="27" t="n">
        <v>0</v>
      </c>
      <c r="GZ328" s="27" t="n">
        <v>0</v>
      </c>
      <c r="HA328" s="27" t="n">
        <v>0</v>
      </c>
      <c r="HB328" s="24" t="n">
        <v>0</v>
      </c>
      <c r="HC328" s="24" t="s">
        <v>286</v>
      </c>
      <c r="HD328" s="24" t="n">
        <v>95.5</v>
      </c>
      <c r="HE328" s="27" t="n">
        <v>99.1</v>
      </c>
      <c r="HF328" s="27" t="n">
        <v>80.4</v>
      </c>
      <c r="HG328" s="27" t="n">
        <v>90.4</v>
      </c>
      <c r="HH328" s="24" t="n">
        <v>24.15</v>
      </c>
      <c r="HI328" s="29" t="n">
        <v>0</v>
      </c>
      <c r="HJ328" s="24" t="n">
        <v>31.26</v>
      </c>
      <c r="HK328" s="24" t="n">
        <v>44.6</v>
      </c>
      <c r="HL328" s="24" t="n">
        <v>0</v>
      </c>
      <c r="HM328" s="24" t="n">
        <v>0</v>
      </c>
      <c r="HN328" s="24" t="n">
        <v>0</v>
      </c>
      <c r="HO328" s="24" t="n">
        <v>0</v>
      </c>
      <c r="HP328" s="24" t="n">
        <v>0</v>
      </c>
      <c r="HQ328" s="24" t="n">
        <v>0</v>
      </c>
      <c r="HR328" s="24" t="n">
        <v>0</v>
      </c>
      <c r="HS328" s="24" t="n">
        <v>0</v>
      </c>
      <c r="HT328" s="24" t="n">
        <v>0</v>
      </c>
      <c r="HU328" s="24" t="n">
        <v>24.75</v>
      </c>
      <c r="HV328" s="24" t="n">
        <v>2.47</v>
      </c>
      <c r="HW328" s="24" t="n">
        <v>0</v>
      </c>
      <c r="HX328" s="24" t="n">
        <v>0</v>
      </c>
      <c r="HY328" s="24" t="n">
        <v>0</v>
      </c>
      <c r="IL328" s="24" t="n">
        <v>0.2</v>
      </c>
      <c r="IM328" s="24" t="n">
        <v>1</v>
      </c>
      <c r="IN328" s="24" t="n">
        <v>34</v>
      </c>
      <c r="IO328" s="24" t="n">
        <v>16</v>
      </c>
      <c r="IP328" s="24" t="n">
        <f aca="false">6.09+1.07</f>
        <v>7.16</v>
      </c>
      <c r="IQ328" s="24" t="n">
        <v>1</v>
      </c>
      <c r="IR328" s="24" t="n">
        <v>68</v>
      </c>
      <c r="IS328" s="24" t="n">
        <v>1</v>
      </c>
      <c r="IT328" s="24" t="n">
        <v>0.13</v>
      </c>
      <c r="IU328" s="24" t="n">
        <v>1</v>
      </c>
      <c r="IX328" s="28"/>
      <c r="JP328" s="24" t="n">
        <v>0</v>
      </c>
      <c r="LA328" s="27" t="n">
        <v>0.63</v>
      </c>
      <c r="LB328" s="27" t="n">
        <v>1</v>
      </c>
      <c r="LC328" s="27" t="n">
        <v>1</v>
      </c>
      <c r="LD328" s="27"/>
      <c r="LE328" s="27" t="n">
        <v>1.52</v>
      </c>
      <c r="LF328" s="27"/>
      <c r="LG328" s="27"/>
      <c r="LH328" s="27"/>
      <c r="LI328" s="27"/>
      <c r="LJ328" s="27"/>
      <c r="LK328" s="27"/>
      <c r="LL328" s="27" t="n">
        <v>0</v>
      </c>
      <c r="LM328" s="27" t="n">
        <v>0</v>
      </c>
      <c r="LN328" s="27"/>
      <c r="LO328" s="27"/>
      <c r="LP328" s="27" t="n">
        <v>0</v>
      </c>
      <c r="LQ328" s="27" t="n">
        <v>0</v>
      </c>
      <c r="LR328" s="27" t="n">
        <v>0</v>
      </c>
      <c r="LS328" s="24" t="n">
        <v>0</v>
      </c>
      <c r="LT328" s="24" t="s">
        <v>287</v>
      </c>
      <c r="LU328" s="24" t="n">
        <v>61.5</v>
      </c>
      <c r="LV328" s="27" t="n">
        <v>83.5</v>
      </c>
      <c r="LW328" s="27" t="n">
        <v>80.4</v>
      </c>
      <c r="LX328" s="27" t="n">
        <v>56.1</v>
      </c>
      <c r="LY328" s="24" t="n">
        <v>51.73</v>
      </c>
      <c r="LZ328" s="29" t="n">
        <v>0</v>
      </c>
      <c r="MA328" s="24" t="n">
        <v>30.08</v>
      </c>
      <c r="MB328" s="24" t="n">
        <v>18.19</v>
      </c>
      <c r="MC328" s="24" t="n">
        <v>0</v>
      </c>
      <c r="MD328" s="24" t="n">
        <v>0</v>
      </c>
      <c r="ME328" s="24" t="n">
        <v>0</v>
      </c>
      <c r="MF328" s="24" t="n">
        <v>0</v>
      </c>
      <c r="MG328" s="24" t="n">
        <v>0</v>
      </c>
      <c r="MH328" s="24" t="n">
        <v>0</v>
      </c>
      <c r="MI328" s="24" t="n">
        <v>0</v>
      </c>
      <c r="MJ328" s="24" t="n">
        <v>0</v>
      </c>
      <c r="MK328" s="24" t="n">
        <v>0.3</v>
      </c>
      <c r="ML328" s="24" t="n">
        <v>27.59</v>
      </c>
      <c r="MM328" s="24" t="n">
        <v>0</v>
      </c>
      <c r="MN328" s="24" t="n">
        <v>0</v>
      </c>
      <c r="MO328" s="24" t="n">
        <v>0</v>
      </c>
      <c r="MP328" s="24" t="n">
        <v>0</v>
      </c>
      <c r="NC328" s="24" t="n">
        <v>0</v>
      </c>
      <c r="ND328" s="24" t="n">
        <v>0</v>
      </c>
      <c r="NO328" s="28"/>
      <c r="OG328" s="24" t="n">
        <v>0</v>
      </c>
      <c r="PR328" s="27" t="n">
        <v>1.96</v>
      </c>
      <c r="PS328" s="27" t="n">
        <v>1</v>
      </c>
      <c r="PT328" s="27" t="n">
        <v>1</v>
      </c>
      <c r="PU328" s="27"/>
      <c r="PV328" s="27" t="n">
        <f aca="false">5.53+3.68+1.71+1.12+0.74</f>
        <v>12.78</v>
      </c>
      <c r="PW328" s="27"/>
      <c r="PX328" s="27"/>
      <c r="PY328" s="27"/>
      <c r="PZ328" s="27"/>
      <c r="QA328" s="27"/>
      <c r="QB328" s="27"/>
      <c r="QC328" s="27" t="n">
        <v>0.94</v>
      </c>
      <c r="QD328" s="27" t="n">
        <v>0.94</v>
      </c>
      <c r="QE328" s="27"/>
      <c r="QF328" s="27"/>
      <c r="QG328" s="27" t="n">
        <v>0</v>
      </c>
      <c r="QH328" s="27" t="n">
        <v>0</v>
      </c>
      <c r="QI328" s="27" t="n">
        <v>0</v>
      </c>
      <c r="QJ328" s="24" t="n">
        <v>0</v>
      </c>
      <c r="QK328" s="24" t="s">
        <v>288</v>
      </c>
      <c r="QL328" s="24" t="n">
        <v>77.5</v>
      </c>
      <c r="QM328" s="27" t="n">
        <v>87.4</v>
      </c>
      <c r="QN328" s="27" t="n">
        <v>80.4</v>
      </c>
      <c r="QO328" s="27" t="n">
        <v>53.5</v>
      </c>
      <c r="QP328" s="24" t="n">
        <v>51.28</v>
      </c>
      <c r="QQ328" s="29" t="n">
        <v>0</v>
      </c>
      <c r="QR328" s="24" t="n">
        <v>27.27</v>
      </c>
      <c r="QS328" s="24" t="n">
        <v>21.22</v>
      </c>
      <c r="QT328" s="24" t="n">
        <v>0</v>
      </c>
      <c r="QU328" s="24" t="n">
        <v>0</v>
      </c>
      <c r="QV328" s="24" t="n">
        <v>0</v>
      </c>
      <c r="QW328" s="24" t="n">
        <v>0</v>
      </c>
      <c r="QX328" s="24" t="n">
        <v>0</v>
      </c>
      <c r="QY328" s="24" t="n">
        <v>0</v>
      </c>
      <c r="QZ328" s="24" t="n">
        <v>0</v>
      </c>
      <c r="RA328" s="24" t="n">
        <v>0</v>
      </c>
      <c r="RB328" s="24" t="n">
        <v>5.93</v>
      </c>
      <c r="RC328" s="24" t="n">
        <v>4.61</v>
      </c>
      <c r="RD328" s="24" t="n">
        <v>5.38</v>
      </c>
      <c r="RE328" s="24" t="n">
        <v>0</v>
      </c>
      <c r="RF328" s="24" t="n">
        <v>15.4</v>
      </c>
      <c r="RG328" s="24" t="n">
        <v>1</v>
      </c>
      <c r="RH328" s="24" t="n">
        <v>4</v>
      </c>
      <c r="RJ328" s="24" t="n">
        <v>2</v>
      </c>
      <c r="RN328" s="24" t="n">
        <v>4</v>
      </c>
      <c r="RP328" s="24" t="n">
        <v>2</v>
      </c>
      <c r="RT328" s="24" t="n">
        <v>6.7</v>
      </c>
      <c r="RU328" s="24" t="n">
        <v>1</v>
      </c>
      <c r="RV328" s="24" t="n">
        <v>35</v>
      </c>
      <c r="RW328" s="24" t="n">
        <v>6</v>
      </c>
      <c r="RX328" s="24" t="n">
        <v>0.8</v>
      </c>
      <c r="RY328" s="24" t="n">
        <v>3</v>
      </c>
      <c r="RZ328" s="24" t="n">
        <v>47</v>
      </c>
      <c r="SA328" s="24" t="n">
        <v>1</v>
      </c>
      <c r="SB328" s="24" t="n">
        <v>0.13</v>
      </c>
      <c r="SC328" s="24" t="n">
        <v>3</v>
      </c>
      <c r="SF328" s="28"/>
      <c r="SX328" s="24" t="n">
        <v>1</v>
      </c>
      <c r="SY328" s="24" t="n">
        <v>60</v>
      </c>
      <c r="SZ328" s="24" t="n">
        <v>3</v>
      </c>
      <c r="TA328" s="24" t="n">
        <v>1.35</v>
      </c>
      <c r="TB328" s="24" t="n">
        <v>2</v>
      </c>
      <c r="UI328" s="27" t="n">
        <v>0</v>
      </c>
      <c r="UJ328" s="27" t="n">
        <v>0</v>
      </c>
      <c r="UK328" s="27"/>
      <c r="UL328" s="27"/>
      <c r="UM328" s="27"/>
      <c r="UN328" s="27"/>
      <c r="UO328" s="27"/>
      <c r="UP328" s="27"/>
      <c r="UQ328" s="27"/>
      <c r="UR328" s="27"/>
      <c r="US328" s="27"/>
      <c r="UT328" s="27" t="n">
        <v>0</v>
      </c>
      <c r="UU328" s="27" t="n">
        <v>0</v>
      </c>
      <c r="UV328" s="27"/>
      <c r="UW328" s="27"/>
      <c r="UX328" s="27" t="n">
        <v>0</v>
      </c>
      <c r="UY328" s="27" t="n">
        <v>0</v>
      </c>
      <c r="UZ328" s="27" t="n">
        <v>0</v>
      </c>
      <c r="VA328" s="24" t="n">
        <v>0</v>
      </c>
      <c r="VB328" s="24" t="s">
        <v>289</v>
      </c>
      <c r="VC328" s="24" t="n">
        <v>44</v>
      </c>
      <c r="VD328" s="27" t="n">
        <v>69.9</v>
      </c>
      <c r="VE328" s="27" t="n">
        <v>80.4</v>
      </c>
      <c r="VF328" s="27" t="n">
        <v>41</v>
      </c>
      <c r="VG328" s="24" t="n">
        <v>68.16</v>
      </c>
      <c r="VH328" s="29" t="n">
        <v>0</v>
      </c>
      <c r="VI328" s="24" t="n">
        <v>11.52</v>
      </c>
      <c r="VJ328" s="24" t="n">
        <v>20.32</v>
      </c>
      <c r="VK328" s="24" t="n">
        <v>0</v>
      </c>
      <c r="VL328" s="24" t="n">
        <v>0</v>
      </c>
      <c r="VM328" s="24" t="n">
        <v>0</v>
      </c>
      <c r="VN328" s="24" t="n">
        <v>0</v>
      </c>
      <c r="VO328" s="24" t="n">
        <v>0</v>
      </c>
      <c r="VP328" s="24" t="n">
        <v>0</v>
      </c>
      <c r="VQ328" s="24" t="n">
        <v>0</v>
      </c>
      <c r="VR328" s="24" t="n">
        <v>0</v>
      </c>
      <c r="VS328" s="24" t="n">
        <v>13.13</v>
      </c>
      <c r="VT328" s="24" t="n">
        <v>8.66</v>
      </c>
      <c r="VU328" s="24" t="n">
        <v>0</v>
      </c>
      <c r="VV328" s="24" t="n">
        <v>0</v>
      </c>
      <c r="VW328" s="24" t="n">
        <v>0</v>
      </c>
      <c r="VX328" s="24" t="n">
        <v>0</v>
      </c>
      <c r="WK328" s="24" t="n">
        <v>1.5</v>
      </c>
      <c r="WL328" s="24" t="n">
        <v>1</v>
      </c>
      <c r="WM328" s="24" t="n">
        <v>47</v>
      </c>
      <c r="WN328" s="24" t="n">
        <v>5</v>
      </c>
      <c r="WO328" s="24" t="n">
        <f aca="false">0.15+0.04</f>
        <v>0.19</v>
      </c>
      <c r="WP328" s="24" t="n">
        <v>3</v>
      </c>
      <c r="WQ328" s="24" t="n">
        <v>25</v>
      </c>
      <c r="WR328" s="24" t="n">
        <v>1</v>
      </c>
      <c r="WS328" s="24" t="n">
        <v>0.4</v>
      </c>
      <c r="WT328" s="24" t="n">
        <v>1</v>
      </c>
      <c r="WW328" s="28"/>
      <c r="XO328" s="24" t="n">
        <v>0</v>
      </c>
      <c r="YZ328" s="27" t="n">
        <v>0.11</v>
      </c>
      <c r="ZA328" s="27" t="n">
        <v>1</v>
      </c>
      <c r="ZB328" s="27" t="n">
        <v>1</v>
      </c>
      <c r="ZC328" s="27"/>
      <c r="ZD328" s="27" t="n">
        <v>0.56</v>
      </c>
      <c r="ZE328" s="27"/>
      <c r="ZF328" s="27"/>
      <c r="ZG328" s="27"/>
      <c r="ZH328" s="27"/>
      <c r="ZI328" s="27"/>
      <c r="ZJ328" s="27"/>
      <c r="ZK328" s="27" t="n">
        <v>0</v>
      </c>
      <c r="ZL328" s="27" t="n">
        <v>0</v>
      </c>
      <c r="ZM328" s="27"/>
      <c r="ZN328" s="27"/>
      <c r="ZO328" s="27" t="n">
        <v>0</v>
      </c>
      <c r="ZP328" s="27" t="n">
        <v>0</v>
      </c>
      <c r="ZQ328" s="27" t="n">
        <v>0</v>
      </c>
      <c r="ZR328" s="24" t="n">
        <v>0</v>
      </c>
      <c r="ZS328" s="24" t="s">
        <v>290</v>
      </c>
      <c r="ZT328" s="24" t="n">
        <v>43</v>
      </c>
      <c r="ZU328" s="27" t="n">
        <v>49.3</v>
      </c>
      <c r="ZV328" s="27" t="n">
        <v>80.4</v>
      </c>
      <c r="ZW328" s="27" t="n">
        <v>32.9</v>
      </c>
      <c r="ZX328" s="24" t="n">
        <v>73.52</v>
      </c>
      <c r="ZY328" s="29" t="n">
        <v>0</v>
      </c>
      <c r="ZZ328" s="24" t="n">
        <v>16.84</v>
      </c>
      <c r="AAA328" s="24" t="n">
        <v>9.64</v>
      </c>
      <c r="AAB328" s="24" t="n">
        <v>0</v>
      </c>
      <c r="AAC328" s="24" t="n">
        <v>0</v>
      </c>
      <c r="AAD328" s="24" t="n">
        <v>0</v>
      </c>
      <c r="AAE328" s="24" t="n">
        <v>0</v>
      </c>
      <c r="AAF328" s="24" t="n">
        <v>0</v>
      </c>
      <c r="AAG328" s="24" t="n">
        <v>0</v>
      </c>
      <c r="AAH328" s="24" t="n">
        <v>0</v>
      </c>
      <c r="AAI328" s="24" t="n">
        <v>0</v>
      </c>
      <c r="AAJ328" s="24" t="n">
        <v>13.52</v>
      </c>
      <c r="AAK328" s="24" t="n">
        <v>3.69</v>
      </c>
      <c r="AAL328" s="24" t="n">
        <v>3.85</v>
      </c>
      <c r="AAM328" s="24" t="n">
        <v>0</v>
      </c>
      <c r="AAN328" s="24" t="n">
        <v>0</v>
      </c>
      <c r="AAO328" s="24" t="n">
        <v>0</v>
      </c>
      <c r="ABB328" s="24" t="n">
        <v>7.4</v>
      </c>
      <c r="ABC328" s="24" t="n">
        <v>1</v>
      </c>
      <c r="ABD328" s="24" t="n">
        <v>47</v>
      </c>
      <c r="ABE328" s="24" t="n">
        <v>11</v>
      </c>
      <c r="ABF328" s="24" t="n">
        <f aca="false">2.09+0.15+0.04</f>
        <v>2.28</v>
      </c>
      <c r="ABG328" s="24" t="n">
        <v>3</v>
      </c>
      <c r="ABN328" s="28"/>
      <c r="ACF328" s="24" t="n">
        <v>0</v>
      </c>
      <c r="ADQ328" s="27" t="n">
        <v>0.28</v>
      </c>
      <c r="ADR328" s="27" t="n">
        <v>1</v>
      </c>
      <c r="ADS328" s="27" t="n">
        <v>1</v>
      </c>
      <c r="ADT328" s="27"/>
      <c r="ADU328" s="27" t="n">
        <v>0.56</v>
      </c>
      <c r="ADV328" s="27"/>
      <c r="ADW328" s="27"/>
      <c r="ADX328" s="27"/>
      <c r="ADY328" s="27"/>
      <c r="ADZ328" s="27"/>
      <c r="AEA328" s="27"/>
      <c r="AEB328" s="27" t="n">
        <v>0.99</v>
      </c>
      <c r="AEC328" s="27" t="n">
        <v>0.39</v>
      </c>
      <c r="AED328" s="27"/>
      <c r="AEE328" s="27"/>
      <c r="AEF328" s="27" t="n">
        <v>0</v>
      </c>
      <c r="AEG328" s="27" t="n">
        <v>0</v>
      </c>
      <c r="AEH328" s="27" t="n">
        <v>0</v>
      </c>
      <c r="AEI328" s="24" t="n">
        <v>0</v>
      </c>
      <c r="AEJ328" s="24" t="n">
        <v>56</v>
      </c>
      <c r="AEK328" s="24" t="n">
        <v>26.5</v>
      </c>
      <c r="AEL328" s="27" t="n">
        <v>66.1</v>
      </c>
      <c r="AEM328" s="27" t="n">
        <v>80.4</v>
      </c>
      <c r="AEN328" s="27" t="n">
        <v>15</v>
      </c>
      <c r="AEO328" s="24" t="n">
        <v>89</v>
      </c>
      <c r="AEP328" s="29" t="n">
        <v>0</v>
      </c>
      <c r="AEQ328" s="24" t="n">
        <v>7.09</v>
      </c>
      <c r="AER328" s="24" t="n">
        <v>2.12</v>
      </c>
      <c r="AES328" s="24" t="n">
        <v>0</v>
      </c>
      <c r="AET328" s="24" t="n">
        <v>0</v>
      </c>
      <c r="AEU328" s="24" t="n">
        <v>0</v>
      </c>
      <c r="AEV328" s="24" t="n">
        <v>0</v>
      </c>
      <c r="AEW328" s="24" t="n">
        <v>0</v>
      </c>
      <c r="AEX328" s="24" t="n">
        <v>0</v>
      </c>
      <c r="AEY328" s="24" t="n">
        <v>0</v>
      </c>
      <c r="AEZ328" s="24" t="n">
        <v>0</v>
      </c>
      <c r="AFA328" s="24" t="n">
        <v>4.26</v>
      </c>
      <c r="AFB328" s="24" t="n">
        <v>32.68</v>
      </c>
      <c r="AFC328" s="24" t="n">
        <v>1.91</v>
      </c>
      <c r="AFD328" s="24" t="n">
        <v>0</v>
      </c>
      <c r="AFE328" s="24" t="n">
        <v>0</v>
      </c>
      <c r="AFF328" s="24" t="n">
        <v>0</v>
      </c>
      <c r="AFS328" s="24" t="n">
        <v>0</v>
      </c>
      <c r="AFT328" s="24" t="n">
        <v>0</v>
      </c>
      <c r="AGE328" s="28"/>
      <c r="AGW328" s="24" t="n">
        <v>0</v>
      </c>
      <c r="AIH328" s="27" t="n">
        <v>3.52</v>
      </c>
      <c r="AII328" s="27" t="n">
        <v>1</v>
      </c>
      <c r="AIJ328" s="27" t="n">
        <v>1</v>
      </c>
      <c r="AIK328" s="27"/>
      <c r="AIL328" s="27" t="n">
        <f aca="false">3.13+3.17*4</f>
        <v>15.81</v>
      </c>
      <c r="AIM328" s="27" t="n">
        <v>2</v>
      </c>
      <c r="AIN328" s="27"/>
      <c r="AIO328" s="27" t="n">
        <v>0.87</v>
      </c>
      <c r="AIP328" s="27"/>
      <c r="AIQ328" s="27"/>
      <c r="AIR328" s="27"/>
      <c r="AIS328" s="27" t="n">
        <v>5.36</v>
      </c>
      <c r="AIT328" s="27" t="n">
        <v>8.39</v>
      </c>
      <c r="AIU328" s="27"/>
      <c r="AIV328" s="27"/>
      <c r="AIW328" s="27" t="n">
        <v>0</v>
      </c>
      <c r="AIX328" s="27" t="n">
        <v>0</v>
      </c>
      <c r="AIY328" s="27" t="n">
        <v>0</v>
      </c>
      <c r="AIZ328" s="24" t="n">
        <v>0</v>
      </c>
      <c r="AJA328" s="24" t="s">
        <v>291</v>
      </c>
      <c r="AJB328" s="24" t="n">
        <v>35.5</v>
      </c>
      <c r="AJC328" s="27" t="n">
        <v>84</v>
      </c>
      <c r="AJD328" s="27" t="n">
        <v>80.4</v>
      </c>
      <c r="AJE328" s="27" t="n">
        <v>10.5</v>
      </c>
      <c r="AJF328" s="24" t="n">
        <v>95.42</v>
      </c>
      <c r="AJG328" s="29" t="n">
        <v>0</v>
      </c>
      <c r="AJH328" s="24" t="n">
        <v>4.58</v>
      </c>
      <c r="AJI328" s="24" t="n">
        <v>0</v>
      </c>
      <c r="AJJ328" s="24" t="n">
        <v>0</v>
      </c>
      <c r="AJK328" s="24" t="n">
        <v>0</v>
      </c>
      <c r="AJL328" s="24" t="n">
        <v>0</v>
      </c>
      <c r="AJM328" s="24" t="n">
        <v>0</v>
      </c>
      <c r="AJN328" s="24" t="n">
        <v>0</v>
      </c>
      <c r="AJO328" s="24" t="n">
        <v>0</v>
      </c>
      <c r="AJP328" s="24" t="n">
        <v>0</v>
      </c>
      <c r="AJQ328" s="24" t="n">
        <v>0</v>
      </c>
      <c r="AJR328" s="24" t="n">
        <v>17.83</v>
      </c>
      <c r="AJS328" s="24" t="n">
        <v>40.99</v>
      </c>
      <c r="AJT328" s="24" t="n">
        <v>9.34</v>
      </c>
      <c r="AJU328" s="24" t="n">
        <v>0</v>
      </c>
      <c r="AJV328" s="24" t="n">
        <v>0</v>
      </c>
      <c r="AJW328" s="24" t="n">
        <v>0</v>
      </c>
      <c r="AKJ328" s="24" t="n">
        <v>4.4</v>
      </c>
      <c r="AKK328" s="24" t="n">
        <v>1</v>
      </c>
      <c r="AKL328" s="24" t="n">
        <v>34</v>
      </c>
      <c r="AKM328" s="24" t="n">
        <v>10</v>
      </c>
      <c r="AKN328" s="24" t="n">
        <f aca="false">8.56+1.51</f>
        <v>10.07</v>
      </c>
      <c r="AKO328" s="24" t="n">
        <v>1</v>
      </c>
      <c r="AKP328" s="24" t="n">
        <v>68</v>
      </c>
      <c r="AKQ328" s="24" t="n">
        <v>6</v>
      </c>
      <c r="AKR328" s="24" t="n">
        <f aca="false">3.43+0.6</f>
        <v>4.03</v>
      </c>
      <c r="AKS328" s="24" t="n">
        <v>1</v>
      </c>
      <c r="AKV328" s="28"/>
      <c r="ALN328" s="24" t="n">
        <v>0</v>
      </c>
    </row>
    <row r="329" customFormat="false" ht="13.8" hidden="false" customHeight="false" outlineLevel="0" collapsed="false">
      <c r="A329" s="1" t="s">
        <v>912</v>
      </c>
      <c r="B329" s="12" t="n">
        <v>42926</v>
      </c>
      <c r="C329" s="0" t="n">
        <v>2</v>
      </c>
      <c r="D329" s="13" t="n">
        <v>39210</v>
      </c>
      <c r="E329" s="12" t="n">
        <v>31263</v>
      </c>
      <c r="F329" s="14" t="n">
        <f aca="false">(B329-E329)/365.25</f>
        <v>31.9315537303217</v>
      </c>
      <c r="G329" s="14" t="n">
        <f aca="false">(B329-D329)/365.25</f>
        <v>10.1738535249829</v>
      </c>
      <c r="H329" s="19" t="s">
        <v>181</v>
      </c>
      <c r="I329" s="15" t="s">
        <v>496</v>
      </c>
      <c r="J329" s="15" t="s">
        <v>181</v>
      </c>
      <c r="K329" s="15" t="s">
        <v>913</v>
      </c>
      <c r="L329" s="19" t="n">
        <v>67</v>
      </c>
      <c r="M329" s="0" t="n">
        <v>1.73</v>
      </c>
      <c r="N329" s="16" t="n">
        <f aca="false">L329/(M329*M329)</f>
        <v>22.3863142771225</v>
      </c>
      <c r="O329" s="19" t="n">
        <v>0</v>
      </c>
      <c r="P329" s="19" t="n">
        <v>0</v>
      </c>
      <c r="Q329" s="19" t="n">
        <v>0</v>
      </c>
      <c r="R329" s="26" t="n">
        <v>0</v>
      </c>
      <c r="S329" s="26" t="n">
        <v>0</v>
      </c>
      <c r="T329" s="26" t="n">
        <v>0</v>
      </c>
      <c r="U329" s="19" t="n">
        <v>1</v>
      </c>
      <c r="V329" s="19" t="n">
        <v>4</v>
      </c>
      <c r="W329" s="19" t="n">
        <v>0</v>
      </c>
      <c r="X329" s="19" t="n">
        <v>0</v>
      </c>
      <c r="Y329" s="19" t="n">
        <v>1</v>
      </c>
      <c r="Z329" s="19" t="n">
        <v>1</v>
      </c>
      <c r="AA329" s="19" t="n">
        <v>60</v>
      </c>
      <c r="AB329" s="19" t="s">
        <v>914</v>
      </c>
      <c r="AC329" s="19" t="n">
        <v>0</v>
      </c>
      <c r="AD329" s="19" t="n">
        <v>0</v>
      </c>
      <c r="AE329" s="19" t="n">
        <v>1</v>
      </c>
      <c r="AF329" s="19" t="n">
        <v>0</v>
      </c>
      <c r="AG329" s="19" t="n">
        <v>0</v>
      </c>
      <c r="AH329" s="19" t="n">
        <v>0</v>
      </c>
      <c r="AI329" s="19" t="n">
        <v>1</v>
      </c>
      <c r="AJ329" s="19" t="n">
        <v>1</v>
      </c>
      <c r="AK329" s="19" t="n">
        <v>1</v>
      </c>
      <c r="AL329" s="19" t="n">
        <v>3</v>
      </c>
      <c r="AM329" s="19" t="n">
        <v>0</v>
      </c>
      <c r="AN329" s="19" t="n">
        <v>0</v>
      </c>
      <c r="AO329" s="19" t="n">
        <v>0</v>
      </c>
      <c r="AP329" s="19" t="n">
        <v>0</v>
      </c>
      <c r="AQ329" s="19" t="n">
        <v>0</v>
      </c>
      <c r="AR329" s="19" t="n">
        <v>0</v>
      </c>
      <c r="AS329" s="19" t="n">
        <v>3</v>
      </c>
      <c r="AT329" s="19" t="n">
        <v>0</v>
      </c>
      <c r="AU329" s="19" t="n">
        <v>3</v>
      </c>
      <c r="AV329" s="19" t="n">
        <v>5</v>
      </c>
      <c r="AW329" s="19" t="n">
        <v>4</v>
      </c>
      <c r="AX329" s="19" t="n">
        <v>0</v>
      </c>
      <c r="AY329" s="19" t="n">
        <v>0</v>
      </c>
      <c r="AZ329" s="19" t="n">
        <v>0</v>
      </c>
      <c r="BA329" s="19" t="n">
        <v>0</v>
      </c>
      <c r="BB329" s="19" t="n">
        <v>1</v>
      </c>
      <c r="BC329" s="19" t="n">
        <v>0</v>
      </c>
      <c r="BD329" s="19" t="n">
        <v>1</v>
      </c>
      <c r="BE329" s="19" t="n">
        <v>2</v>
      </c>
      <c r="BF329" s="19" t="n">
        <v>0</v>
      </c>
      <c r="BG329" s="19" t="n">
        <v>0</v>
      </c>
      <c r="BH329" s="19" t="n">
        <v>0</v>
      </c>
      <c r="BI329" s="19" t="n">
        <v>0</v>
      </c>
      <c r="BJ329" s="19" t="n">
        <v>0</v>
      </c>
      <c r="BK329" s="19" t="n">
        <v>0</v>
      </c>
      <c r="BL329" s="19" t="n">
        <v>0</v>
      </c>
      <c r="BM329" s="19" t="n">
        <v>0</v>
      </c>
      <c r="BN329" s="19" t="n">
        <v>0</v>
      </c>
      <c r="BO329" s="19" t="n">
        <v>0</v>
      </c>
      <c r="BP329" s="19" t="n">
        <v>0</v>
      </c>
      <c r="BQ329" s="19" t="n">
        <v>0</v>
      </c>
      <c r="BR329" s="19" t="n">
        <v>4</v>
      </c>
      <c r="BS329" s="19" t="n">
        <v>3</v>
      </c>
      <c r="BT329" s="19" t="n">
        <v>5</v>
      </c>
      <c r="BU329" s="19" t="n">
        <v>5</v>
      </c>
      <c r="BV329" s="19" t="n">
        <v>2</v>
      </c>
      <c r="BW329" s="19" t="n">
        <v>5</v>
      </c>
      <c r="BX329" s="19" t="n">
        <v>1</v>
      </c>
      <c r="BY329" s="19" t="n">
        <v>2</v>
      </c>
      <c r="BZ329" s="19" t="n">
        <v>1</v>
      </c>
      <c r="CA329" s="19" t="n">
        <v>1</v>
      </c>
      <c r="CB329" s="19" t="n">
        <v>3</v>
      </c>
      <c r="CC329" s="19" t="n">
        <v>3</v>
      </c>
      <c r="CD329" s="19" t="n">
        <v>3</v>
      </c>
      <c r="CE329" s="19" t="n">
        <v>3</v>
      </c>
      <c r="CF329" s="19" t="n">
        <v>5</v>
      </c>
      <c r="CG329" s="19" t="n">
        <v>4</v>
      </c>
      <c r="CH329" s="19" t="n">
        <v>4</v>
      </c>
      <c r="CI329" s="19" t="n">
        <v>3</v>
      </c>
      <c r="CJ329" s="19" t="n">
        <v>1</v>
      </c>
      <c r="CK329" s="19" t="n">
        <v>9</v>
      </c>
      <c r="CL329" s="0" t="s">
        <v>498</v>
      </c>
      <c r="CM329" s="0" t="n">
        <v>33</v>
      </c>
      <c r="CN329" s="16" t="n">
        <v>71.2</v>
      </c>
      <c r="CO329" s="16" t="n">
        <v>80.4</v>
      </c>
      <c r="CP329" s="16" t="n">
        <v>16.3</v>
      </c>
      <c r="CQ329" s="0" t="n">
        <v>83.24</v>
      </c>
      <c r="CR329" s="17" t="n">
        <v>0</v>
      </c>
      <c r="CS329" s="0" t="n">
        <v>0</v>
      </c>
      <c r="CT329" s="0" t="n">
        <v>0</v>
      </c>
      <c r="CU329" s="0" t="n">
        <v>14.14</v>
      </c>
      <c r="CV329" s="0" t="n">
        <v>0</v>
      </c>
      <c r="CW329" s="0" t="n">
        <v>2.63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2.63</v>
      </c>
      <c r="DC329" s="0" t="n">
        <v>10.16</v>
      </c>
      <c r="DD329" s="0" t="n">
        <v>20.83</v>
      </c>
      <c r="DE329" s="0" t="n">
        <v>24.81</v>
      </c>
      <c r="DF329" s="0" t="n">
        <v>0</v>
      </c>
      <c r="DG329" s="0" t="n">
        <v>11.2</v>
      </c>
      <c r="DH329" s="0" t="n">
        <v>1</v>
      </c>
      <c r="DI329" s="0" t="n">
        <v>5</v>
      </c>
      <c r="DK329" s="0" t="n">
        <v>1</v>
      </c>
      <c r="DO329" s="0" t="n">
        <v>5</v>
      </c>
      <c r="DQ329" s="0" t="n">
        <v>1</v>
      </c>
      <c r="DU329" s="0" t="n">
        <v>0</v>
      </c>
      <c r="DV329" s="0" t="n">
        <v>0</v>
      </c>
      <c r="EG329" s="18"/>
      <c r="EY329" s="0" t="n">
        <v>0</v>
      </c>
      <c r="GJ329" s="16" t="n">
        <v>2.71</v>
      </c>
      <c r="GK329" s="16" t="n">
        <v>1</v>
      </c>
      <c r="GL329" s="16" t="n">
        <v>1</v>
      </c>
      <c r="GM329" s="16"/>
      <c r="GN329" s="16" t="n">
        <f aca="false">2.11*4+0.52*2</f>
        <v>9.48</v>
      </c>
      <c r="GO329" s="16"/>
      <c r="GP329" s="16"/>
      <c r="GQ329" s="16"/>
      <c r="GR329" s="16"/>
      <c r="GS329" s="16"/>
      <c r="GT329" s="16"/>
      <c r="GU329" s="16" t="n">
        <v>2.63</v>
      </c>
      <c r="GV329" s="16" t="n">
        <v>2.6</v>
      </c>
      <c r="GW329" s="16" t="n">
        <v>0</v>
      </c>
      <c r="GX329" s="16" t="n">
        <v>0</v>
      </c>
      <c r="GY329" s="16" t="n">
        <v>0</v>
      </c>
      <c r="GZ329" s="16" t="n">
        <v>0</v>
      </c>
      <c r="HA329" s="16" t="n">
        <v>0</v>
      </c>
      <c r="HB329" s="0" t="n">
        <v>0</v>
      </c>
      <c r="HC329" s="0" t="s">
        <v>499</v>
      </c>
      <c r="HD329" s="0" t="n">
        <v>40</v>
      </c>
      <c r="HE329" s="16" t="n">
        <v>79.7</v>
      </c>
      <c r="HF329" s="16" t="n">
        <v>80.4</v>
      </c>
      <c r="HG329" s="16" t="n">
        <v>11.2</v>
      </c>
      <c r="HH329" s="0" t="n">
        <v>91.23</v>
      </c>
      <c r="HI329" s="17" t="n">
        <v>0</v>
      </c>
      <c r="HJ329" s="0" t="n">
        <v>0</v>
      </c>
      <c r="HK329" s="0" t="n">
        <v>0</v>
      </c>
      <c r="HL329" s="0" t="n">
        <v>8.77</v>
      </c>
      <c r="HM329" s="0" t="n">
        <v>0</v>
      </c>
      <c r="HN329" s="0" t="n">
        <v>0</v>
      </c>
      <c r="HO329" s="0" t="n">
        <v>0</v>
      </c>
      <c r="HP329" s="0" t="n">
        <v>0</v>
      </c>
      <c r="HQ329" s="0" t="n">
        <v>0</v>
      </c>
      <c r="HR329" s="0" t="n">
        <v>0</v>
      </c>
      <c r="HS329" s="0" t="n">
        <v>0</v>
      </c>
      <c r="HT329" s="0" t="n">
        <v>18.64</v>
      </c>
      <c r="HU329" s="0" t="n">
        <v>42.82</v>
      </c>
      <c r="HV329" s="0" t="n">
        <v>4.61</v>
      </c>
      <c r="HW329" s="0" t="n">
        <v>0</v>
      </c>
      <c r="HX329" s="0" t="n">
        <v>0</v>
      </c>
      <c r="HY329" s="0" t="n">
        <v>0</v>
      </c>
      <c r="IL329" s="0" t="n">
        <v>23.2</v>
      </c>
      <c r="IM329" s="0" t="n">
        <v>1</v>
      </c>
      <c r="IN329" s="0" t="n">
        <v>35</v>
      </c>
      <c r="IO329" s="0" t="n">
        <f aca="false">2+4+2+2+2+4+2+2+1</f>
        <v>21</v>
      </c>
      <c r="IP329" s="0" t="n">
        <f aca="false">1.52+1.49+0.78*2+0.27+0.43+0.12+0.13</f>
        <v>5.52</v>
      </c>
      <c r="IQ329" s="0" t="n">
        <v>3</v>
      </c>
      <c r="IR329" s="0" t="n">
        <v>10</v>
      </c>
      <c r="IS329" s="0" t="n">
        <v>1</v>
      </c>
      <c r="IT329" s="0" t="n">
        <v>0.1</v>
      </c>
      <c r="IU329" s="0" t="n">
        <v>5</v>
      </c>
      <c r="IV329" s="0" t="n">
        <v>25</v>
      </c>
      <c r="IW329" s="0" t="n">
        <v>8</v>
      </c>
      <c r="IX329" s="18" t="n">
        <f aca="false">0.19*2+0.1</f>
        <v>0.48</v>
      </c>
      <c r="IY329" s="0" t="n">
        <v>1</v>
      </c>
      <c r="JP329" s="0" t="n">
        <v>0</v>
      </c>
      <c r="LA329" s="16" t="n">
        <v>1.52</v>
      </c>
      <c r="LB329" s="16" t="n">
        <v>1</v>
      </c>
      <c r="LC329" s="16" t="n">
        <v>1</v>
      </c>
      <c r="LD329" s="16"/>
      <c r="LE329" s="16" t="n">
        <f aca="false">2.11*2+0.19*3+0.1</f>
        <v>4.89</v>
      </c>
      <c r="LF329" s="16"/>
      <c r="LG329" s="16"/>
      <c r="LH329" s="16"/>
      <c r="LI329" s="16"/>
      <c r="LJ329" s="16"/>
      <c r="LK329" s="16"/>
      <c r="LL329" s="16" t="n">
        <v>0</v>
      </c>
      <c r="LM329" s="16" t="n">
        <v>0</v>
      </c>
      <c r="LN329" s="16" t="n">
        <v>0</v>
      </c>
      <c r="LO329" s="16" t="n">
        <v>0</v>
      </c>
      <c r="LP329" s="16" t="n">
        <v>0</v>
      </c>
      <c r="LQ329" s="16" t="n">
        <v>0</v>
      </c>
      <c r="LR329" s="16" t="n">
        <v>0.06</v>
      </c>
      <c r="LS329" s="0" t="n">
        <v>0</v>
      </c>
      <c r="LT329" s="0" t="s">
        <v>500</v>
      </c>
      <c r="LU329" s="0" t="n">
        <v>48</v>
      </c>
      <c r="LV329" s="16" t="n">
        <v>69.7</v>
      </c>
      <c r="LW329" s="16" t="n">
        <v>80.4</v>
      </c>
      <c r="LX329" s="16" t="n">
        <v>44.5</v>
      </c>
      <c r="LY329" s="0" t="n">
        <v>13.55</v>
      </c>
      <c r="LZ329" s="17" t="n">
        <v>0</v>
      </c>
      <c r="MA329" s="0" t="n">
        <v>0</v>
      </c>
      <c r="MB329" s="0" t="n">
        <v>0</v>
      </c>
      <c r="MC329" s="0" t="n">
        <v>0.1</v>
      </c>
      <c r="MD329" s="0" t="n">
        <v>0</v>
      </c>
      <c r="ME329" s="0" t="n">
        <v>86.34</v>
      </c>
      <c r="MF329" s="0" t="n">
        <v>13.26</v>
      </c>
      <c r="MG329" s="0" t="n">
        <v>28.53</v>
      </c>
      <c r="MH329" s="0" t="n">
        <v>0</v>
      </c>
      <c r="MI329" s="0" t="n">
        <v>0</v>
      </c>
      <c r="MJ329" s="0" t="n">
        <v>0.78</v>
      </c>
      <c r="MK329" s="0" t="n">
        <v>3.48</v>
      </c>
      <c r="ML329" s="0" t="n">
        <v>11.45</v>
      </c>
      <c r="MM329" s="0" t="n">
        <v>6.85</v>
      </c>
      <c r="MN329" s="0" t="n">
        <v>0</v>
      </c>
      <c r="MO329" s="0" t="n">
        <v>0</v>
      </c>
      <c r="MP329" s="0" t="n">
        <v>0</v>
      </c>
      <c r="NC329" s="0" t="n">
        <v>0</v>
      </c>
      <c r="ND329" s="0" t="n">
        <v>0</v>
      </c>
      <c r="NO329" s="18"/>
      <c r="OG329" s="0" t="n">
        <v>0</v>
      </c>
      <c r="PR329" s="16" t="n">
        <v>0.75</v>
      </c>
      <c r="PS329" s="16" t="n">
        <v>1</v>
      </c>
      <c r="PT329" s="16" t="n">
        <v>1</v>
      </c>
      <c r="PU329" s="16"/>
      <c r="PV329" s="16" t="n">
        <f aca="false">2.11+0.37</f>
        <v>2.48</v>
      </c>
      <c r="PW329" s="16"/>
      <c r="PX329" s="16"/>
      <c r="PY329" s="16"/>
      <c r="PZ329" s="16"/>
      <c r="QA329" s="16"/>
      <c r="QB329" s="16"/>
      <c r="QC329" s="16" t="n">
        <v>2.66</v>
      </c>
      <c r="QD329" s="16" t="n">
        <v>2.64</v>
      </c>
      <c r="QE329" s="16" t="n">
        <v>0</v>
      </c>
      <c r="QF329" s="16" t="n">
        <v>0</v>
      </c>
      <c r="QG329" s="16" t="n">
        <v>0</v>
      </c>
      <c r="QH329" s="16" t="n">
        <v>0</v>
      </c>
      <c r="QI329" s="16" t="n">
        <v>0</v>
      </c>
      <c r="QJ329" s="0" t="n">
        <v>0</v>
      </c>
      <c r="QK329" s="0" t="s">
        <v>501</v>
      </c>
      <c r="QL329" s="0" t="n">
        <v>58</v>
      </c>
      <c r="QM329" s="16" t="n">
        <v>79.9</v>
      </c>
      <c r="QN329" s="16" t="n">
        <v>80.4</v>
      </c>
      <c r="QO329" s="16" t="n">
        <v>43.6</v>
      </c>
      <c r="QP329" s="0" t="n">
        <v>26.15</v>
      </c>
      <c r="QQ329" s="17" t="n">
        <v>0</v>
      </c>
      <c r="QR329" s="0" t="n">
        <v>0</v>
      </c>
      <c r="QS329" s="0" t="n">
        <v>0</v>
      </c>
      <c r="QT329" s="0" t="n">
        <v>0</v>
      </c>
      <c r="QU329" s="0" t="n">
        <v>0</v>
      </c>
      <c r="QV329" s="0" t="n">
        <v>73.85</v>
      </c>
      <c r="QW329" s="0" t="n">
        <v>18.43</v>
      </c>
      <c r="QX329" s="0" t="n">
        <v>20.42</v>
      </c>
      <c r="QY329" s="0" t="n">
        <v>0</v>
      </c>
      <c r="QZ329" s="0" t="n">
        <v>0</v>
      </c>
      <c r="RA329" s="0" t="n">
        <v>2.44</v>
      </c>
      <c r="RB329" s="0" t="n">
        <v>0.13</v>
      </c>
      <c r="RC329" s="0" t="n">
        <v>9.71</v>
      </c>
      <c r="RD329" s="0" t="n">
        <v>18.31</v>
      </c>
      <c r="RE329" s="0" t="n">
        <v>0</v>
      </c>
      <c r="RF329" s="0" t="n">
        <v>0</v>
      </c>
      <c r="RG329" s="0" t="n">
        <v>0</v>
      </c>
      <c r="RT329" s="0" t="n">
        <v>9.1</v>
      </c>
      <c r="RU329" s="0" t="n">
        <v>1</v>
      </c>
      <c r="RV329" s="0" t="n">
        <v>68</v>
      </c>
      <c r="RW329" s="0" t="n">
        <v>1</v>
      </c>
      <c r="RX329" s="0" t="n">
        <v>0.05</v>
      </c>
      <c r="RY329" s="0" t="n">
        <v>1</v>
      </c>
      <c r="RZ329" s="0" t="n">
        <v>35</v>
      </c>
      <c r="SA329" s="0" t="n">
        <v>3</v>
      </c>
      <c r="SB329" s="0" t="n">
        <f aca="false">0.76+0.64</f>
        <v>1.4</v>
      </c>
      <c r="SC329" s="0" t="n">
        <v>3</v>
      </c>
      <c r="SD329" s="0" t="n">
        <v>47</v>
      </c>
      <c r="SE329" s="0" t="n">
        <v>2</v>
      </c>
      <c r="SF329" s="18" t="n">
        <v>0.23</v>
      </c>
      <c r="SG329" s="0" t="n">
        <v>3</v>
      </c>
      <c r="SX329" s="0" t="n">
        <v>1</v>
      </c>
      <c r="SY329" s="0" t="n">
        <v>60</v>
      </c>
      <c r="SZ329" s="0" t="n">
        <v>2</v>
      </c>
      <c r="TA329" s="0" t="n">
        <v>0.26</v>
      </c>
      <c r="TB329" s="0" t="n">
        <v>3</v>
      </c>
      <c r="UI329" s="16" t="n">
        <v>0</v>
      </c>
      <c r="UJ329" s="16" t="n">
        <v>0</v>
      </c>
      <c r="UK329" s="16"/>
      <c r="UL329" s="16"/>
      <c r="UM329" s="16"/>
      <c r="UN329" s="16"/>
      <c r="UO329" s="16"/>
      <c r="UP329" s="16"/>
      <c r="UQ329" s="16"/>
      <c r="UR329" s="16"/>
      <c r="US329" s="16"/>
      <c r="UT329" s="16" t="n">
        <v>1.97</v>
      </c>
      <c r="UU329" s="16" t="n">
        <v>1.24</v>
      </c>
      <c r="UV329" s="16" t="n">
        <v>0</v>
      </c>
      <c r="UW329" s="16" t="n">
        <v>0</v>
      </c>
      <c r="UX329" s="16" t="n">
        <v>0</v>
      </c>
      <c r="UY329" s="16" t="n">
        <v>0</v>
      </c>
      <c r="UZ329" s="16" t="n">
        <v>3</v>
      </c>
      <c r="VA329" s="0" t="n">
        <v>0</v>
      </c>
      <c r="VB329" s="0" t="s">
        <v>502</v>
      </c>
      <c r="VC329" s="0" t="n">
        <v>34.5</v>
      </c>
      <c r="VD329" s="16" t="n">
        <v>53.2</v>
      </c>
      <c r="VE329" s="16" t="n">
        <v>80.4</v>
      </c>
      <c r="VF329" s="16" t="n">
        <v>8.3</v>
      </c>
      <c r="VG329" s="0" t="n">
        <v>99.94</v>
      </c>
      <c r="VH329" s="17" t="n">
        <v>0</v>
      </c>
      <c r="VI329" s="0" t="n">
        <v>0</v>
      </c>
      <c r="VJ329" s="0" t="n">
        <v>0</v>
      </c>
      <c r="VK329" s="0" t="n">
        <v>0</v>
      </c>
      <c r="VL329" s="0" t="n">
        <v>0</v>
      </c>
      <c r="VM329" s="0" t="n">
        <v>0</v>
      </c>
      <c r="VN329" s="0" t="n">
        <v>0</v>
      </c>
      <c r="VO329" s="0" t="n">
        <v>0</v>
      </c>
      <c r="VP329" s="0" t="n">
        <v>0</v>
      </c>
      <c r="VQ329" s="0" t="n">
        <v>0</v>
      </c>
      <c r="VR329" s="0" t="n">
        <v>0</v>
      </c>
      <c r="VS329" s="0" t="n">
        <v>9.15</v>
      </c>
      <c r="VT329" s="0" t="n">
        <v>18.41</v>
      </c>
      <c r="VU329" s="0" t="n">
        <v>11.73</v>
      </c>
      <c r="VV329" s="0" t="n">
        <v>0</v>
      </c>
      <c r="VW329" s="0" t="n">
        <v>0</v>
      </c>
      <c r="VX329" s="0" t="n">
        <v>0</v>
      </c>
      <c r="WK329" s="0" t="n">
        <v>11.9</v>
      </c>
      <c r="WL329" s="0" t="n">
        <v>1</v>
      </c>
      <c r="WM329" s="0" t="n">
        <v>47</v>
      </c>
      <c r="WN329" s="0" t="n">
        <v>3</v>
      </c>
      <c r="WO329" s="0" t="n">
        <v>1.52</v>
      </c>
      <c r="WP329" s="0" t="n">
        <v>2</v>
      </c>
      <c r="WW329" s="18"/>
      <c r="XO329" s="0" t="n">
        <v>0</v>
      </c>
      <c r="YZ329" s="16" t="n">
        <v>5.7</v>
      </c>
      <c r="ZA329" s="16" t="n">
        <v>1</v>
      </c>
      <c r="ZB329" s="16" t="n">
        <v>1</v>
      </c>
      <c r="ZC329" s="16"/>
      <c r="ZD329" s="16" t="n">
        <f aca="false">2.11+2.11+0.05+0.05+0.37</f>
        <v>4.69</v>
      </c>
      <c r="ZE329" s="16" t="n">
        <v>2</v>
      </c>
      <c r="ZF329" s="16"/>
      <c r="ZG329" s="16" t="n">
        <f aca="false">3.17+3.17+0.56+0.56+0.33</f>
        <v>7.79</v>
      </c>
      <c r="ZH329" s="16"/>
      <c r="ZI329" s="16"/>
      <c r="ZJ329" s="16"/>
      <c r="ZK329" s="16" t="n">
        <v>0</v>
      </c>
      <c r="ZL329" s="16" t="n">
        <v>0</v>
      </c>
      <c r="ZM329" s="16"/>
      <c r="ZN329" s="16"/>
      <c r="ZO329" s="16" t="n">
        <v>5.97</v>
      </c>
      <c r="ZP329" s="16" t="n">
        <v>0</v>
      </c>
      <c r="ZQ329" s="16" t="n">
        <v>0</v>
      </c>
      <c r="ZR329" s="0" t="n">
        <v>1</v>
      </c>
      <c r="ZS329" s="0" t="s">
        <v>503</v>
      </c>
      <c r="ZT329" s="0" t="n">
        <v>47</v>
      </c>
      <c r="ZU329" s="16" t="n">
        <v>54.1</v>
      </c>
      <c r="ZV329" s="16" t="n">
        <v>80.4</v>
      </c>
      <c r="ZW329" s="16" t="n">
        <v>34.5</v>
      </c>
      <c r="ZX329" s="0" t="n">
        <v>71.45</v>
      </c>
      <c r="ZY329" s="17" t="n">
        <v>0</v>
      </c>
      <c r="ZZ329" s="0" t="n">
        <v>21.93</v>
      </c>
      <c r="AAA329" s="0" t="n">
        <v>6.49</v>
      </c>
      <c r="AAB329" s="0" t="n">
        <v>0.12</v>
      </c>
      <c r="AAC329" s="0" t="n">
        <v>0</v>
      </c>
      <c r="AAD329" s="0" t="n">
        <v>0</v>
      </c>
      <c r="AAE329" s="0" t="n">
        <v>0</v>
      </c>
      <c r="AAF329" s="0" t="n">
        <v>0</v>
      </c>
      <c r="AAG329" s="0" t="n">
        <v>0</v>
      </c>
      <c r="AAH329" s="0" t="n">
        <v>0</v>
      </c>
      <c r="AAI329" s="0" t="n">
        <v>1.01</v>
      </c>
      <c r="AAJ329" s="0" t="n">
        <v>0.45</v>
      </c>
      <c r="AAK329" s="0" t="n">
        <v>18.4</v>
      </c>
      <c r="AAL329" s="0" t="n">
        <v>11.28</v>
      </c>
      <c r="AAM329" s="0" t="n">
        <v>0</v>
      </c>
      <c r="AAN329" s="0" t="n">
        <v>0</v>
      </c>
      <c r="AAO329" s="0" t="n">
        <v>0</v>
      </c>
      <c r="ABB329" s="0" t="n">
        <v>6</v>
      </c>
      <c r="ABC329" s="0" t="n">
        <v>1</v>
      </c>
      <c r="ABD329" s="0" t="n">
        <v>35</v>
      </c>
      <c r="ABE329" s="0" t="n">
        <v>8</v>
      </c>
      <c r="ABF329" s="0" t="n">
        <f aca="false">0.25+0.25+0.25+0.13+0.13+0.13+0.13</f>
        <v>1.27</v>
      </c>
      <c r="ABG329" s="0" t="n">
        <v>3</v>
      </c>
      <c r="ABN329" s="18"/>
      <c r="ACF329" s="0" t="n">
        <v>1</v>
      </c>
      <c r="ACG329" s="0" t="n">
        <v>50</v>
      </c>
      <c r="ACH329" s="0" t="n">
        <v>2</v>
      </c>
      <c r="ACI329" s="0" t="n">
        <f aca="false">0.76*2</f>
        <v>1.52</v>
      </c>
      <c r="ACJ329" s="0" t="n">
        <v>1</v>
      </c>
      <c r="ADQ329" s="16" t="n">
        <v>0.42</v>
      </c>
      <c r="ADR329" s="16" t="n">
        <v>1</v>
      </c>
      <c r="ADS329" s="16" t="n">
        <v>1</v>
      </c>
      <c r="ADT329" s="16"/>
      <c r="ADU329" s="16" t="n">
        <f aca="false">0.68+0.68+0.03</f>
        <v>1.39</v>
      </c>
      <c r="ADV329" s="16"/>
      <c r="ADW329" s="16"/>
      <c r="ADX329" s="16"/>
      <c r="ADY329" s="16"/>
      <c r="ADZ329" s="16"/>
      <c r="AEA329" s="16"/>
      <c r="AEB329" s="16" t="n">
        <v>5.21</v>
      </c>
      <c r="AEC329" s="16" t="n">
        <v>7.05</v>
      </c>
      <c r="AED329" s="16"/>
      <c r="AEE329" s="16"/>
      <c r="AEF329" s="16" t="n">
        <v>0</v>
      </c>
      <c r="AEG329" s="16" t="n">
        <v>0</v>
      </c>
      <c r="AEH329" s="16" t="n">
        <v>0</v>
      </c>
      <c r="AEI329" s="0" t="n">
        <v>0</v>
      </c>
      <c r="AEJ329" s="0" t="s">
        <v>504</v>
      </c>
      <c r="AEK329" s="0" t="n">
        <v>65.5</v>
      </c>
      <c r="AEL329" s="16" t="n">
        <v>92.2</v>
      </c>
      <c r="AEM329" s="16" t="n">
        <v>80.4</v>
      </c>
      <c r="AEN329" s="16" t="n">
        <v>61.7</v>
      </c>
      <c r="AEO329" s="0" t="n">
        <v>22.46</v>
      </c>
      <c r="AEP329" s="17" t="n">
        <v>0</v>
      </c>
      <c r="AEQ329" s="0" t="n">
        <v>0</v>
      </c>
      <c r="AER329" s="0" t="n">
        <v>0</v>
      </c>
      <c r="AES329" s="0" t="n">
        <v>0</v>
      </c>
      <c r="AET329" s="0" t="n">
        <v>0</v>
      </c>
      <c r="AEU329" s="0" t="n">
        <v>70.92</v>
      </c>
      <c r="AEV329" s="0" t="n">
        <v>9.4</v>
      </c>
      <c r="AEW329" s="0" t="n">
        <v>33.69</v>
      </c>
      <c r="AEX329" s="0" t="n">
        <v>0</v>
      </c>
      <c r="AEY329" s="0" t="n">
        <v>0</v>
      </c>
      <c r="AEZ329" s="0" t="n">
        <v>14.46</v>
      </c>
      <c r="AFA329" s="0" t="n">
        <v>11.32</v>
      </c>
      <c r="AFB329" s="0" t="n">
        <v>6.58</v>
      </c>
      <c r="AFC329" s="0" t="n">
        <v>8.88</v>
      </c>
      <c r="AFD329" s="0" t="n">
        <v>6.62</v>
      </c>
      <c r="AFE329" s="0" t="n">
        <v>0</v>
      </c>
      <c r="AFF329" s="0" t="n">
        <v>0</v>
      </c>
      <c r="AFS329" s="0" t="n">
        <v>3.2</v>
      </c>
      <c r="AFT329" s="0" t="n">
        <v>0</v>
      </c>
      <c r="AGE329" s="18"/>
      <c r="AGW329" s="0" t="n">
        <v>1</v>
      </c>
      <c r="AGX329" s="0" t="n">
        <v>60</v>
      </c>
      <c r="AGY329" s="0" t="n">
        <v>2</v>
      </c>
      <c r="AGZ329" s="0" t="n">
        <f aca="false">0.76*2</f>
        <v>1.52</v>
      </c>
      <c r="AHA329" s="0" t="n">
        <v>3</v>
      </c>
      <c r="AIH329" s="16" t="n">
        <v>0.63</v>
      </c>
      <c r="AII329" s="16" t="n">
        <v>1</v>
      </c>
      <c r="AIJ329" s="16" t="n">
        <v>1</v>
      </c>
      <c r="AIK329" s="16"/>
      <c r="AIL329" s="16" t="n">
        <v>3.17</v>
      </c>
      <c r="AIM329" s="16"/>
      <c r="AIN329" s="16"/>
      <c r="AIO329" s="16"/>
      <c r="AIP329" s="16"/>
      <c r="AIQ329" s="16"/>
      <c r="AIR329" s="16"/>
      <c r="AIS329" s="16" t="n">
        <v>0</v>
      </c>
      <c r="AIT329" s="16" t="n">
        <v>0</v>
      </c>
      <c r="AIU329" s="16"/>
      <c r="AIV329" s="16"/>
      <c r="AIW329" s="16" t="n">
        <v>0</v>
      </c>
      <c r="AIX329" s="16" t="n">
        <v>0</v>
      </c>
      <c r="AIY329" s="16" t="n">
        <v>0</v>
      </c>
      <c r="AIZ329" s="0" t="n">
        <v>0</v>
      </c>
      <c r="AJA329" s="0" t="s">
        <v>505</v>
      </c>
      <c r="AJB329" s="0" t="n">
        <v>59</v>
      </c>
      <c r="AJC329" s="16" t="n">
        <v>90.4</v>
      </c>
      <c r="AJD329" s="16" t="n">
        <v>80.4</v>
      </c>
      <c r="AJE329" s="16" t="n">
        <v>54.7</v>
      </c>
      <c r="AJF329" s="0" t="n">
        <v>26.42</v>
      </c>
      <c r="AJG329" s="17" t="n">
        <v>0</v>
      </c>
      <c r="AJH329" s="0" t="n">
        <v>0</v>
      </c>
      <c r="AJI329" s="0" t="n">
        <v>0</v>
      </c>
      <c r="AJJ329" s="0" t="n">
        <v>0</v>
      </c>
      <c r="AJK329" s="0" t="n">
        <v>0</v>
      </c>
      <c r="AJL329" s="0" t="n">
        <v>66.96</v>
      </c>
      <c r="AJM329" s="0" t="n">
        <v>6.55</v>
      </c>
      <c r="AJN329" s="0" t="n">
        <v>30.83</v>
      </c>
      <c r="AJO329" s="0" t="n">
        <v>0</v>
      </c>
      <c r="AJP329" s="0" t="n">
        <v>0</v>
      </c>
      <c r="AJQ329" s="0" t="n">
        <v>14.46</v>
      </c>
      <c r="AJR329" s="0" t="n">
        <v>11.57</v>
      </c>
      <c r="AJS329" s="0" t="n">
        <v>6.5</v>
      </c>
      <c r="AJT329" s="0" t="n">
        <v>6.03</v>
      </c>
      <c r="AJU329" s="0" t="n">
        <v>6.62</v>
      </c>
      <c r="AJV329" s="0" t="n">
        <v>0</v>
      </c>
      <c r="AJW329" s="0" t="n">
        <v>0</v>
      </c>
      <c r="AKJ329" s="0" t="n">
        <v>3.2</v>
      </c>
      <c r="AKK329" s="0" t="n">
        <v>0</v>
      </c>
      <c r="AKV329" s="18"/>
      <c r="ALN329" s="0" t="n">
        <v>1</v>
      </c>
      <c r="ALO329" s="0" t="n">
        <v>60</v>
      </c>
      <c r="ALP329" s="0" t="n">
        <v>2</v>
      </c>
      <c r="ALQ329" s="0" t="n">
        <v>1.52</v>
      </c>
      <c r="ALR329" s="0" t="n">
        <v>3</v>
      </c>
    </row>
    <row r="330" customFormat="false" ht="13.8" hidden="false" customHeight="false" outlineLevel="0" collapsed="false">
      <c r="A330" s="1" t="s">
        <v>915</v>
      </c>
      <c r="B330" s="12" t="n">
        <v>42927</v>
      </c>
      <c r="C330" s="0" t="n">
        <v>2</v>
      </c>
      <c r="D330" s="13" t="n">
        <v>40672</v>
      </c>
      <c r="E330" s="12" t="n">
        <v>31324</v>
      </c>
      <c r="F330" s="14" t="n">
        <f aca="false">(B330-E330)/365.25</f>
        <v>31.7672826830938</v>
      </c>
      <c r="G330" s="14" t="n">
        <f aca="false">(B330-D330)/365.25</f>
        <v>6.17385352498289</v>
      </c>
      <c r="H330" s="19" t="s">
        <v>217</v>
      </c>
      <c r="I330" s="15" t="s">
        <v>218</v>
      </c>
      <c r="J330" s="15" t="s">
        <v>183</v>
      </c>
      <c r="K330" s="15" t="s">
        <v>913</v>
      </c>
      <c r="L330" s="19" t="n">
        <v>92</v>
      </c>
      <c r="M330" s="0" t="n">
        <v>1.87</v>
      </c>
      <c r="N330" s="16" t="n">
        <f aca="false">L330/(M330*M330)</f>
        <v>26.3090165575224</v>
      </c>
      <c r="O330" s="19" t="n">
        <v>0</v>
      </c>
      <c r="P330" s="19" t="n">
        <v>0</v>
      </c>
      <c r="Q330" s="19" t="n">
        <v>0</v>
      </c>
      <c r="R330" s="26" t="n">
        <v>0</v>
      </c>
      <c r="S330" s="26" t="n">
        <v>0</v>
      </c>
      <c r="T330" s="26" t="n">
        <v>0</v>
      </c>
      <c r="U330" s="19" t="n">
        <v>0</v>
      </c>
      <c r="V330" s="19" t="n">
        <v>0</v>
      </c>
      <c r="W330" s="19" t="n">
        <v>1</v>
      </c>
      <c r="X330" s="19" t="n">
        <v>0</v>
      </c>
      <c r="Y330" s="19" t="n">
        <v>0</v>
      </c>
      <c r="Z330" s="19" t="n">
        <v>0</v>
      </c>
      <c r="AA330" s="19" t="n">
        <v>0</v>
      </c>
      <c r="AB330" s="19" t="n">
        <v>0</v>
      </c>
      <c r="AC330" s="19" t="n">
        <v>1</v>
      </c>
      <c r="AD330" s="19" t="n">
        <v>15</v>
      </c>
      <c r="AE330" s="19" t="n">
        <v>1</v>
      </c>
      <c r="AF330" s="19" t="n">
        <v>0</v>
      </c>
      <c r="AG330" s="19" t="n">
        <v>0</v>
      </c>
      <c r="AH330" s="19" t="n">
        <v>0</v>
      </c>
      <c r="AI330" s="19" t="n">
        <v>1</v>
      </c>
      <c r="AJ330" s="19" t="n">
        <v>1</v>
      </c>
      <c r="AK330" s="19" t="n">
        <v>0</v>
      </c>
      <c r="AL330" s="19" t="n">
        <v>0</v>
      </c>
      <c r="AM330" s="19" t="n">
        <v>0</v>
      </c>
      <c r="AN330" s="19" t="n">
        <v>3</v>
      </c>
      <c r="AO330" s="19" t="n">
        <v>1</v>
      </c>
      <c r="AP330" s="19" t="n">
        <v>0</v>
      </c>
      <c r="AQ330" s="19" t="n">
        <v>0</v>
      </c>
      <c r="AR330" s="19" t="n">
        <v>0</v>
      </c>
      <c r="AS330" s="19" t="n">
        <v>1</v>
      </c>
      <c r="AT330" s="19" t="n">
        <v>0</v>
      </c>
      <c r="AU330" s="19" t="n">
        <v>0</v>
      </c>
      <c r="AV330" s="19" t="n">
        <v>0</v>
      </c>
      <c r="AW330" s="19" t="n">
        <v>0</v>
      </c>
      <c r="AX330" s="19" t="n">
        <v>0</v>
      </c>
      <c r="AY330" s="19" t="n">
        <v>0</v>
      </c>
      <c r="AZ330" s="19" t="n">
        <v>0</v>
      </c>
      <c r="BA330" s="19" t="n">
        <v>0</v>
      </c>
      <c r="BB330" s="19" t="n">
        <v>1</v>
      </c>
      <c r="BC330" s="19" t="n">
        <v>0</v>
      </c>
      <c r="BD330" s="19" t="n">
        <v>0</v>
      </c>
      <c r="BE330" s="19" t="n">
        <v>0</v>
      </c>
      <c r="BF330" s="19" t="n">
        <v>0</v>
      </c>
      <c r="BG330" s="19" t="n">
        <v>0</v>
      </c>
      <c r="BH330" s="19" t="n">
        <v>0</v>
      </c>
      <c r="BI330" s="19" t="n">
        <v>0</v>
      </c>
      <c r="BJ330" s="19" t="n">
        <v>1</v>
      </c>
      <c r="BK330" s="19" t="n">
        <v>0</v>
      </c>
      <c r="BL330" s="19" t="n">
        <v>0</v>
      </c>
      <c r="BM330" s="19" t="n">
        <v>0</v>
      </c>
      <c r="BN330" s="19" t="n">
        <v>1</v>
      </c>
      <c r="BO330" s="19" t="n">
        <v>0</v>
      </c>
      <c r="BP330" s="19" t="n">
        <v>0</v>
      </c>
      <c r="BQ330" s="19" t="n">
        <v>0</v>
      </c>
      <c r="BR330" s="19" t="n">
        <v>4</v>
      </c>
      <c r="BS330" s="19" t="n">
        <v>1</v>
      </c>
      <c r="BT330" s="19" t="n">
        <v>3</v>
      </c>
      <c r="BU330" s="19" t="n">
        <v>5</v>
      </c>
      <c r="BV330" s="19" t="n">
        <v>3</v>
      </c>
      <c r="BW330" s="19" t="n">
        <v>4</v>
      </c>
      <c r="BX330" s="19" t="n">
        <v>3</v>
      </c>
      <c r="BY330" s="19" t="n">
        <v>5</v>
      </c>
      <c r="BZ330" s="19" t="n">
        <v>5</v>
      </c>
      <c r="CA330" s="19"/>
      <c r="CB330" s="19" t="n">
        <v>4</v>
      </c>
      <c r="CC330" s="19" t="n">
        <v>5</v>
      </c>
      <c r="CD330" s="19" t="n">
        <v>3</v>
      </c>
      <c r="CE330" s="19" t="n">
        <v>3</v>
      </c>
      <c r="CF330" s="19" t="n">
        <v>4</v>
      </c>
      <c r="CG330" s="19" t="n">
        <v>4</v>
      </c>
      <c r="CH330" s="19" t="n">
        <v>3</v>
      </c>
      <c r="CI330" s="19" t="n">
        <v>3</v>
      </c>
      <c r="CJ330" s="19" t="n">
        <v>3</v>
      </c>
      <c r="CK330" s="19" t="n">
        <v>10</v>
      </c>
      <c r="CL330" s="0" t="s">
        <v>219</v>
      </c>
      <c r="CM330" s="0" t="n">
        <v>33.5</v>
      </c>
      <c r="CN330" s="16" t="n">
        <v>91.5</v>
      </c>
      <c r="CO330" s="16" t="n">
        <v>80.4</v>
      </c>
      <c r="CP330" s="16" t="n">
        <v>20</v>
      </c>
      <c r="CQ330" s="0" t="n">
        <v>84.58</v>
      </c>
      <c r="CR330" s="17" t="n">
        <v>0</v>
      </c>
      <c r="CS330" s="0" t="n">
        <v>15.42</v>
      </c>
      <c r="CT330" s="0" t="n">
        <v>0</v>
      </c>
      <c r="CU330" s="0" t="n">
        <v>0</v>
      </c>
      <c r="CV330" s="0" t="n">
        <v>0</v>
      </c>
      <c r="CW330" s="0" t="n">
        <v>0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0</v>
      </c>
      <c r="DC330" s="0" t="n">
        <v>13.79</v>
      </c>
      <c r="DD330" s="0" t="n">
        <v>2.67</v>
      </c>
      <c r="DE330" s="0" t="n">
        <v>11.54</v>
      </c>
      <c r="DF330" s="0" t="n">
        <v>0</v>
      </c>
      <c r="DG330" s="0" t="n">
        <v>12.3</v>
      </c>
      <c r="DH330" s="0" t="n">
        <v>2</v>
      </c>
      <c r="DI330" s="0" t="n">
        <v>5</v>
      </c>
      <c r="DJ330" s="0" t="n">
        <v>2</v>
      </c>
      <c r="DO330" s="0" t="n">
        <v>5</v>
      </c>
      <c r="DP330" s="0" t="n">
        <v>2</v>
      </c>
      <c r="DU330" s="0" t="n">
        <v>0</v>
      </c>
      <c r="DV330" s="0" t="n">
        <v>1</v>
      </c>
      <c r="DW330" s="0" t="n">
        <v>34</v>
      </c>
      <c r="DX330" s="0" t="n">
        <v>2</v>
      </c>
      <c r="DY330" s="0" t="n">
        <v>0.1</v>
      </c>
      <c r="DZ330" s="0" t="n">
        <v>1</v>
      </c>
      <c r="EA330" s="0" t="n">
        <v>10</v>
      </c>
      <c r="EB330" s="0" t="n">
        <f aca="false">8*4</f>
        <v>32</v>
      </c>
      <c r="EC330" s="0" t="n">
        <f aca="false">0.06+0.01+0.4+1.7+0.24+0.14+0.96</f>
        <v>3.51</v>
      </c>
      <c r="ED330" s="0" t="n">
        <v>3</v>
      </c>
      <c r="EG330" s="18"/>
      <c r="EY330" s="0" t="n">
        <v>0</v>
      </c>
      <c r="GJ330" s="16" t="n">
        <v>0.25</v>
      </c>
      <c r="GK330" s="16" t="n">
        <v>1</v>
      </c>
      <c r="GL330" s="16" t="n">
        <v>2</v>
      </c>
      <c r="GM330" s="16"/>
      <c r="GN330" s="16" t="n">
        <v>0.55</v>
      </c>
      <c r="GO330" s="16"/>
      <c r="GP330" s="16"/>
      <c r="GQ330" s="16"/>
      <c r="GR330" s="16"/>
      <c r="GS330" s="16"/>
      <c r="GT330" s="16"/>
      <c r="GU330" s="16" t="n">
        <v>0.55</v>
      </c>
      <c r="GV330" s="16" t="n">
        <v>0.55</v>
      </c>
      <c r="GW330" s="16"/>
      <c r="GX330" s="16"/>
      <c r="GY330" s="16" t="n">
        <v>0</v>
      </c>
      <c r="GZ330" s="16" t="n">
        <v>0</v>
      </c>
      <c r="HA330" s="16" t="n">
        <v>0</v>
      </c>
      <c r="HB330" s="0" t="n">
        <v>0</v>
      </c>
      <c r="HC330" s="0" t="s">
        <v>220</v>
      </c>
      <c r="HD330" s="0" t="n">
        <v>27</v>
      </c>
      <c r="HE330" s="16" t="n">
        <v>54.4</v>
      </c>
      <c r="HF330" s="16" t="n">
        <v>80.4</v>
      </c>
      <c r="HG330" s="16" t="n">
        <v>18.1</v>
      </c>
      <c r="HH330" s="0" t="n">
        <v>81.88</v>
      </c>
      <c r="HI330" s="17" t="n">
        <v>0</v>
      </c>
      <c r="HJ330" s="0" t="n">
        <v>9.83</v>
      </c>
      <c r="HK330" s="0" t="n">
        <v>0</v>
      </c>
      <c r="HL330" s="0" t="n">
        <v>2.14</v>
      </c>
      <c r="HM330" s="0" t="n">
        <v>0</v>
      </c>
      <c r="HN330" s="0" t="n">
        <v>0</v>
      </c>
      <c r="HO330" s="0" t="n">
        <v>0</v>
      </c>
      <c r="HP330" s="0" t="n">
        <v>0</v>
      </c>
      <c r="HQ330" s="0" t="n">
        <v>0</v>
      </c>
      <c r="HR330" s="0" t="n">
        <v>0</v>
      </c>
      <c r="HS330" s="0" t="n">
        <v>0</v>
      </c>
      <c r="HT330" s="0" t="n">
        <v>2.32</v>
      </c>
      <c r="HU330" s="0" t="n">
        <v>19.66</v>
      </c>
      <c r="HV330" s="0" t="n">
        <v>3.64</v>
      </c>
      <c r="HW330" s="0" t="n">
        <v>0</v>
      </c>
      <c r="HX330" s="0" t="n">
        <v>0</v>
      </c>
      <c r="HY330" s="0" t="n">
        <v>0</v>
      </c>
      <c r="IL330" s="0" t="n">
        <v>0</v>
      </c>
      <c r="IM330" s="0" t="n">
        <v>1</v>
      </c>
      <c r="IN330" s="0" t="n">
        <v>26</v>
      </c>
      <c r="IO330" s="0" t="n">
        <v>2</v>
      </c>
      <c r="IP330" s="0" t="n">
        <v>0.05</v>
      </c>
      <c r="IQ330" s="0" t="n">
        <v>2</v>
      </c>
      <c r="IX330" s="18"/>
      <c r="JP330" s="0" t="n">
        <v>0</v>
      </c>
      <c r="LA330" s="16" t="n">
        <v>2.1</v>
      </c>
      <c r="LB330" s="16" t="n">
        <v>1</v>
      </c>
      <c r="LC330" s="16" t="n">
        <v>1</v>
      </c>
      <c r="LD330" s="16"/>
      <c r="LE330" s="16" t="n">
        <f aca="false">0.1+0.76*2+2.02+1.35*2+0.67</f>
        <v>7.01</v>
      </c>
      <c r="LF330" s="16"/>
      <c r="LG330" s="16"/>
      <c r="LH330" s="16"/>
      <c r="LI330" s="16"/>
      <c r="LJ330" s="16"/>
      <c r="LK330" s="16"/>
      <c r="LL330" s="16" t="n">
        <v>6.35</v>
      </c>
      <c r="LM330" s="16" t="n">
        <v>14.8</v>
      </c>
      <c r="LN330" s="16"/>
      <c r="LO330" s="16"/>
      <c r="LP330" s="16" t="n">
        <v>0</v>
      </c>
      <c r="LQ330" s="16" t="n">
        <v>0</v>
      </c>
      <c r="LR330" s="16" t="n">
        <v>0</v>
      </c>
      <c r="LS330" s="0" t="n">
        <v>0</v>
      </c>
      <c r="LT330" s="0" t="s">
        <v>221</v>
      </c>
      <c r="LU330" s="0" t="n">
        <v>20.5</v>
      </c>
      <c r="LV330" s="16" t="n">
        <v>76.9</v>
      </c>
      <c r="LW330" s="16" t="n">
        <v>80.4</v>
      </c>
      <c r="LX330" s="16" t="n">
        <v>9.1</v>
      </c>
      <c r="LY330" s="0" t="n">
        <v>88.58</v>
      </c>
      <c r="LZ330" s="0" t="n">
        <v>10.3</v>
      </c>
      <c r="MA330" s="0" t="n">
        <v>1.12</v>
      </c>
      <c r="MB330" s="0" t="n">
        <v>0</v>
      </c>
      <c r="MC330" s="0" t="n">
        <v>0</v>
      </c>
      <c r="MD330" s="0" t="n">
        <v>0</v>
      </c>
      <c r="ME330" s="0" t="n">
        <v>0</v>
      </c>
      <c r="MF330" s="0" t="n">
        <v>0</v>
      </c>
      <c r="MG330" s="0" t="n">
        <v>0</v>
      </c>
      <c r="MH330" s="0" t="n">
        <v>0</v>
      </c>
      <c r="MI330" s="0" t="n">
        <v>0</v>
      </c>
      <c r="MJ330" s="0" t="n">
        <v>0</v>
      </c>
      <c r="MK330" s="0" t="n">
        <v>6.33</v>
      </c>
      <c r="ML330" s="0" t="n">
        <v>16.97</v>
      </c>
      <c r="MM330" s="0" t="n">
        <v>0</v>
      </c>
      <c r="MN330" s="0" t="n">
        <v>0</v>
      </c>
      <c r="MO330" s="0" t="n">
        <v>4.1</v>
      </c>
      <c r="MP330" s="0" t="n">
        <v>2</v>
      </c>
      <c r="MQ330" s="0" t="n">
        <v>5</v>
      </c>
      <c r="MR330" s="0" t="n">
        <v>1</v>
      </c>
      <c r="MW330" s="0" t="n">
        <v>5</v>
      </c>
      <c r="MX330" s="0" t="n">
        <v>1</v>
      </c>
      <c r="NC330" s="0" t="n">
        <v>0</v>
      </c>
      <c r="ND330" s="0" t="n">
        <v>0</v>
      </c>
      <c r="NO330" s="18"/>
      <c r="OG330" s="0" t="n">
        <v>0</v>
      </c>
      <c r="PR330" s="16" t="n">
        <v>2.24</v>
      </c>
      <c r="PS330" s="16" t="n">
        <v>1</v>
      </c>
      <c r="PT330" s="16" t="n">
        <v>2</v>
      </c>
      <c r="PU330" s="16"/>
      <c r="PV330" s="16" t="n">
        <v>4.97</v>
      </c>
      <c r="PW330" s="16"/>
      <c r="PX330" s="16"/>
      <c r="PY330" s="16"/>
      <c r="PZ330" s="16"/>
      <c r="QA330" s="16"/>
      <c r="QB330" s="16"/>
      <c r="QC330" s="16" t="n">
        <v>5.1</v>
      </c>
      <c r="QD330" s="16" t="n">
        <v>5.97</v>
      </c>
      <c r="QE330" s="16"/>
      <c r="QF330" s="16"/>
      <c r="QG330" s="16" t="n">
        <v>0</v>
      </c>
      <c r="QH330" s="16" t="n">
        <v>0</v>
      </c>
      <c r="QI330" s="16" t="n">
        <v>0</v>
      </c>
      <c r="QJ330" s="0" t="n">
        <v>0</v>
      </c>
      <c r="QK330" s="0" t="s">
        <v>222</v>
      </c>
      <c r="QL330" s="0" t="n">
        <v>32.5</v>
      </c>
      <c r="QM330" s="16" t="n">
        <v>96.7</v>
      </c>
      <c r="QN330" s="16" t="n">
        <v>80.4</v>
      </c>
      <c r="QO330" s="16" t="n">
        <v>15.1</v>
      </c>
      <c r="QP330" s="0" t="n">
        <v>52.24</v>
      </c>
      <c r="QQ330" s="0" t="n">
        <v>45.43</v>
      </c>
      <c r="QR330" s="0" t="n">
        <v>1.12</v>
      </c>
      <c r="QS330" s="0" t="n">
        <v>0</v>
      </c>
      <c r="QT330" s="0" t="n">
        <v>1.2</v>
      </c>
      <c r="QU330" s="0" t="n">
        <v>0</v>
      </c>
      <c r="QV330" s="0" t="n">
        <v>0</v>
      </c>
      <c r="QW330" s="0" t="n">
        <v>0</v>
      </c>
      <c r="QX330" s="0" t="n">
        <v>0</v>
      </c>
      <c r="QY330" s="0" t="n">
        <v>0</v>
      </c>
      <c r="QZ330" s="0" t="n">
        <v>0</v>
      </c>
      <c r="RA330" s="0" t="n">
        <v>1.2</v>
      </c>
      <c r="RB330" s="0" t="n">
        <v>15.88</v>
      </c>
      <c r="RC330" s="0" t="n">
        <v>48.59</v>
      </c>
      <c r="RD330" s="0" t="n">
        <v>0</v>
      </c>
      <c r="RE330" s="0" t="n">
        <v>0</v>
      </c>
      <c r="RF330" s="0" t="n">
        <v>0</v>
      </c>
      <c r="RG330" s="0" t="n">
        <v>0</v>
      </c>
      <c r="RT330" s="0" t="n">
        <v>0</v>
      </c>
      <c r="RU330" s="0" t="n">
        <v>0</v>
      </c>
      <c r="SF330" s="18"/>
      <c r="SX330" s="0" t="n">
        <v>1</v>
      </c>
      <c r="SY330" s="0" t="n">
        <v>50</v>
      </c>
      <c r="SZ330" s="0" t="n">
        <v>2</v>
      </c>
      <c r="TA330" s="0" t="n">
        <f aca="false">3.18+12.73</f>
        <v>15.91</v>
      </c>
      <c r="TB330" s="0" t="n">
        <v>1</v>
      </c>
      <c r="UI330" s="16" t="n">
        <v>5.9</v>
      </c>
      <c r="UJ330" s="16" t="n">
        <v>1</v>
      </c>
      <c r="UK330" s="16" t="n">
        <v>2</v>
      </c>
      <c r="UL330" s="16"/>
      <c r="UM330" s="16" t="n">
        <f aca="false">0.09+0.18*3+0.13+0.53+1.07*2+1.34*2+0.17*2+3.18+12.73</f>
        <v>22.36</v>
      </c>
      <c r="UN330" s="16"/>
      <c r="UO330" s="16"/>
      <c r="UP330" s="16"/>
      <c r="UQ330" s="16"/>
      <c r="UR330" s="16"/>
      <c r="US330" s="16"/>
      <c r="UT330" s="16" t="n">
        <v>11.45</v>
      </c>
      <c r="UU330" s="16" t="n">
        <v>41.19</v>
      </c>
      <c r="UV330" s="16"/>
      <c r="UW330" s="16"/>
      <c r="UX330" s="16" t="n">
        <v>0</v>
      </c>
      <c r="UY330" s="16" t="n">
        <v>0</v>
      </c>
      <c r="UZ330" s="16" t="n">
        <v>0</v>
      </c>
      <c r="VA330" s="0" t="n">
        <v>0</v>
      </c>
      <c r="VB330" s="0" t="s">
        <v>223</v>
      </c>
      <c r="VC330" s="0" t="n">
        <v>30.5</v>
      </c>
      <c r="VD330" s="16" t="n">
        <v>68.8</v>
      </c>
      <c r="VE330" s="16" t="n">
        <v>80.4</v>
      </c>
      <c r="VF330" s="16" t="n">
        <v>16.3</v>
      </c>
      <c r="VG330" s="0" t="n">
        <v>66.28</v>
      </c>
      <c r="VH330" s="0" t="n">
        <v>20.09</v>
      </c>
      <c r="VI330" s="0" t="n">
        <v>1.81</v>
      </c>
      <c r="VJ330" s="0" t="n">
        <v>0</v>
      </c>
      <c r="VK330" s="0" t="n">
        <v>11.82</v>
      </c>
      <c r="VL330" s="0" t="n">
        <v>0</v>
      </c>
      <c r="VM330" s="0" t="n">
        <v>0</v>
      </c>
      <c r="VN330" s="0" t="n">
        <v>0</v>
      </c>
      <c r="VO330" s="0" t="n">
        <v>0</v>
      </c>
      <c r="VP330" s="0" t="n">
        <v>0</v>
      </c>
      <c r="VQ330" s="0" t="n">
        <v>0</v>
      </c>
      <c r="VR330" s="0" t="n">
        <v>0</v>
      </c>
      <c r="VS330" s="0" t="n">
        <v>13.17</v>
      </c>
      <c r="VT330" s="0" t="n">
        <v>35.75</v>
      </c>
      <c r="VU330" s="0" t="n">
        <v>0</v>
      </c>
      <c r="VV330" s="0" t="n">
        <v>0</v>
      </c>
      <c r="VW330" s="0" t="n">
        <v>0</v>
      </c>
      <c r="VX330" s="0" t="n">
        <v>0</v>
      </c>
      <c r="WK330" s="0" t="n">
        <v>0</v>
      </c>
      <c r="WL330" s="0" t="n">
        <v>1</v>
      </c>
      <c r="WM330" s="0" t="n">
        <v>52</v>
      </c>
      <c r="WN330" s="0" t="n">
        <v>1</v>
      </c>
      <c r="WO330" s="0" t="n">
        <v>0.01</v>
      </c>
      <c r="WP330" s="0" t="n">
        <v>2</v>
      </c>
      <c r="WW330" s="18"/>
      <c r="XO330" s="0" t="n">
        <v>0</v>
      </c>
      <c r="YZ330" s="16" t="n">
        <v>5.43</v>
      </c>
      <c r="ZA330" s="16" t="n">
        <v>1</v>
      </c>
      <c r="ZB330" s="16" t="n">
        <v>1</v>
      </c>
      <c r="ZC330" s="16"/>
      <c r="ZD330" s="16" t="n">
        <f aca="false">0.09*2+0.07+1.36</f>
        <v>1.61</v>
      </c>
      <c r="ZE330" s="16" t="n">
        <v>2</v>
      </c>
      <c r="ZF330" s="16"/>
      <c r="ZG330" s="16" t="n">
        <f aca="false">4.2+0.09+0.66+0.01+3.18+3.18</f>
        <v>11.32</v>
      </c>
      <c r="ZH330" s="16"/>
      <c r="ZI330" s="16"/>
      <c r="ZJ330" s="16"/>
      <c r="ZK330" s="16" t="n">
        <v>8.61</v>
      </c>
      <c r="ZL330" s="16" t="n">
        <v>26.91</v>
      </c>
      <c r="ZM330" s="16"/>
      <c r="ZN330" s="16"/>
      <c r="ZO330" s="16" t="n">
        <v>0</v>
      </c>
      <c r="ZP330" s="16" t="n">
        <v>0</v>
      </c>
      <c r="ZQ330" s="16" t="n">
        <v>0</v>
      </c>
      <c r="ZR330" s="0" t="n">
        <v>0</v>
      </c>
      <c r="ZS330" s="0" t="s">
        <v>224</v>
      </c>
      <c r="ZT330" s="0" t="n">
        <v>39.5</v>
      </c>
      <c r="ZU330" s="16" t="n">
        <v>60.8</v>
      </c>
      <c r="ZV330" s="16" t="n">
        <v>80.4</v>
      </c>
      <c r="ZW330" s="16" t="n">
        <v>22.9</v>
      </c>
      <c r="ZX330" s="0" t="n">
        <v>67.01</v>
      </c>
      <c r="ZY330" s="0" t="n">
        <v>11.71</v>
      </c>
      <c r="ZZ330" s="0" t="n">
        <v>16.61</v>
      </c>
      <c r="AAA330" s="0" t="n">
        <v>0</v>
      </c>
      <c r="AAB330" s="0" t="n">
        <v>4.67</v>
      </c>
      <c r="AAC330" s="0" t="n">
        <v>0</v>
      </c>
      <c r="AAD330" s="0" t="n">
        <v>0</v>
      </c>
      <c r="AAE330" s="0" t="n">
        <v>0</v>
      </c>
      <c r="AAF330" s="0" t="n">
        <v>0</v>
      </c>
      <c r="AAG330" s="0" t="n">
        <v>0</v>
      </c>
      <c r="AAH330" s="0" t="n">
        <v>0</v>
      </c>
      <c r="AAI330" s="0" t="n">
        <v>0</v>
      </c>
      <c r="AAJ330" s="0" t="n">
        <v>20.9</v>
      </c>
      <c r="AAK330" s="0" t="n">
        <v>25.23</v>
      </c>
      <c r="AAL330" s="0" t="n">
        <v>0.58</v>
      </c>
      <c r="AAM330" s="0" t="n">
        <v>0</v>
      </c>
      <c r="AAN330" s="0" t="n">
        <v>0</v>
      </c>
      <c r="AAO330" s="0" t="n">
        <v>0</v>
      </c>
      <c r="ABB330" s="0" t="n">
        <v>2</v>
      </c>
      <c r="ABC330" s="0" t="n">
        <v>1</v>
      </c>
      <c r="ABD330" s="0" t="n">
        <v>103</v>
      </c>
      <c r="ABE330" s="0" t="n">
        <v>2</v>
      </c>
      <c r="ABF330" s="0" t="n">
        <f aca="false">0.18+0.14</f>
        <v>0.32</v>
      </c>
      <c r="ABG330" s="0" t="n">
        <v>1</v>
      </c>
      <c r="ABH330" s="0" t="n">
        <v>68</v>
      </c>
      <c r="ABI330" s="0" t="n">
        <v>1</v>
      </c>
      <c r="ABJ330" s="0" t="n">
        <v>0.01</v>
      </c>
      <c r="ABK330" s="0" t="n">
        <v>1</v>
      </c>
      <c r="ABL330" s="0" t="n">
        <v>52</v>
      </c>
      <c r="ABM330" s="0" t="n">
        <v>3</v>
      </c>
      <c r="ABN330" s="18" t="n">
        <v>0.05</v>
      </c>
      <c r="ABO330" s="0" t="n">
        <v>2</v>
      </c>
      <c r="ACF330" s="0" t="n">
        <v>0</v>
      </c>
      <c r="ADQ330" s="16" t="n">
        <v>3.66</v>
      </c>
      <c r="ADR330" s="16" t="n">
        <v>1</v>
      </c>
      <c r="ADS330" s="16" t="n">
        <v>1</v>
      </c>
      <c r="ADT330" s="16"/>
      <c r="ADU330" s="16" t="n">
        <f aca="false">2.69*3+1.35*3+0.14*2+0.1</f>
        <v>12.5</v>
      </c>
      <c r="ADV330" s="16" t="n">
        <v>2</v>
      </c>
      <c r="ADW330" s="16"/>
      <c r="ADX330" s="16" t="n">
        <f aca="false">0.66+0.35+0.18+0.14+1.25+1.23</f>
        <v>3.81</v>
      </c>
      <c r="ADY330" s="16"/>
      <c r="ADZ330" s="16"/>
      <c r="AEA330" s="16"/>
      <c r="AEB330" s="16" t="n">
        <v>10.05</v>
      </c>
      <c r="AEC330" s="16" t="n">
        <v>27.11</v>
      </c>
      <c r="AED330" s="16"/>
      <c r="AEE330" s="16"/>
      <c r="AEF330" s="16" t="n">
        <v>0</v>
      </c>
      <c r="AEG330" s="16" t="n">
        <v>0</v>
      </c>
      <c r="AEH330" s="16" t="n">
        <v>0</v>
      </c>
      <c r="AEI330" s="0" t="n">
        <v>0</v>
      </c>
      <c r="AEJ330" s="0" t="s">
        <v>225</v>
      </c>
      <c r="AEK330" s="0" t="n">
        <v>47</v>
      </c>
      <c r="AEL330" s="16" t="n">
        <v>72.3</v>
      </c>
      <c r="AEM330" s="16" t="n">
        <v>80.4</v>
      </c>
      <c r="AEN330" s="16" t="n">
        <v>18</v>
      </c>
      <c r="AEO330" s="0" t="n">
        <v>70.55</v>
      </c>
      <c r="AEP330" s="0" t="n">
        <v>6.81</v>
      </c>
      <c r="AEQ330" s="0" t="n">
        <v>3.09</v>
      </c>
      <c r="AER330" s="0" t="n">
        <v>0</v>
      </c>
      <c r="AES330" s="0" t="n">
        <v>19.55</v>
      </c>
      <c r="AET330" s="0" t="n">
        <v>0</v>
      </c>
      <c r="AEU330" s="0" t="n">
        <v>0</v>
      </c>
      <c r="AEV330" s="0" t="n">
        <v>0</v>
      </c>
      <c r="AEW330" s="0" t="n">
        <v>0</v>
      </c>
      <c r="AEX330" s="0" t="n">
        <v>0</v>
      </c>
      <c r="AEY330" s="0" t="n">
        <v>0</v>
      </c>
      <c r="AEZ330" s="0" t="n">
        <v>0</v>
      </c>
      <c r="AFA330" s="0" t="n">
        <v>18.07</v>
      </c>
      <c r="AFB330" s="0" t="n">
        <v>30.57</v>
      </c>
      <c r="AFC330" s="0" t="n">
        <v>7.61</v>
      </c>
      <c r="AFD330" s="0" t="n">
        <v>0</v>
      </c>
      <c r="AFE330" s="0" t="n">
        <v>14</v>
      </c>
      <c r="AFF330" s="0" t="n">
        <v>2</v>
      </c>
      <c r="AFG330" s="0" t="n">
        <v>5</v>
      </c>
      <c r="AFH330" s="0" t="n">
        <v>4.47</v>
      </c>
      <c r="AFJ330" s="0" t="n">
        <v>7</v>
      </c>
      <c r="AFK330" s="0" t="n">
        <v>5.15</v>
      </c>
      <c r="AFM330" s="0" t="n">
        <v>5</v>
      </c>
      <c r="AFN330" s="0" t="n">
        <v>4.47</v>
      </c>
      <c r="AFP330" s="0" t="n">
        <v>7</v>
      </c>
      <c r="AFQ330" s="0" t="n">
        <v>5.15</v>
      </c>
      <c r="AFS330" s="0" t="n">
        <v>0</v>
      </c>
      <c r="AFT330" s="0" t="n">
        <v>0</v>
      </c>
      <c r="AGE330" s="18"/>
      <c r="AGW330" s="0" t="n">
        <v>0</v>
      </c>
      <c r="AIH330" s="16" t="n">
        <v>4.21</v>
      </c>
      <c r="AII330" s="16" t="n">
        <v>1</v>
      </c>
      <c r="AIJ330" s="16" t="n">
        <v>2</v>
      </c>
      <c r="AIK330" s="16"/>
      <c r="AIL330" s="16" t="n">
        <f aca="false">7.46+1.59+0.6</f>
        <v>9.65</v>
      </c>
      <c r="AIM330" s="16"/>
      <c r="AIN330" s="16"/>
      <c r="AIO330" s="16"/>
      <c r="AIP330" s="16"/>
      <c r="AIQ330" s="16"/>
      <c r="AIR330" s="16"/>
      <c r="AIS330" s="16" t="n">
        <v>10.63</v>
      </c>
      <c r="AIT330" s="16" t="n">
        <v>36.38</v>
      </c>
      <c r="AIU330" s="16"/>
      <c r="AIV330" s="16"/>
      <c r="AIW330" s="16" t="n">
        <v>0</v>
      </c>
      <c r="AIX330" s="16" t="n">
        <v>0</v>
      </c>
      <c r="AIY330" s="16" t="n">
        <v>0</v>
      </c>
      <c r="AIZ330" s="0" t="n">
        <v>0</v>
      </c>
      <c r="AJA330" s="0" t="s">
        <v>226</v>
      </c>
      <c r="AJB330" s="0" t="n">
        <v>19</v>
      </c>
      <c r="AJC330" s="16" t="n">
        <v>82.6</v>
      </c>
      <c r="AJD330" s="16" t="n">
        <v>80.4</v>
      </c>
      <c r="AJE330" s="16" t="n">
        <v>7.7</v>
      </c>
      <c r="AJF330" s="0" t="n">
        <v>86.83</v>
      </c>
      <c r="AJG330" s="0" t="n">
        <v>12.69</v>
      </c>
      <c r="AJH330" s="0" t="n">
        <v>0</v>
      </c>
      <c r="AJI330" s="0" t="n">
        <v>0</v>
      </c>
      <c r="AJJ330" s="0" t="n">
        <v>0.48</v>
      </c>
      <c r="AJK330" s="0" t="n">
        <v>0</v>
      </c>
      <c r="AJL330" s="0" t="n">
        <v>0</v>
      </c>
      <c r="AJM330" s="0" t="n">
        <v>0</v>
      </c>
      <c r="AJN330" s="0" t="n">
        <v>0</v>
      </c>
      <c r="AJO330" s="0" t="n">
        <v>0</v>
      </c>
      <c r="AJP330" s="0" t="n">
        <v>0</v>
      </c>
      <c r="AJQ330" s="0" t="n">
        <v>0</v>
      </c>
      <c r="AJR330" s="0" t="n">
        <v>7.16</v>
      </c>
      <c r="AJS330" s="0" t="n">
        <v>10.76</v>
      </c>
      <c r="AJT330" s="0" t="n">
        <v>0</v>
      </c>
      <c r="AJU330" s="0" t="n">
        <v>0</v>
      </c>
      <c r="AJV330" s="0" t="n">
        <v>3.4</v>
      </c>
      <c r="AJW330" s="0" t="n">
        <v>2</v>
      </c>
      <c r="AJX330" s="0" t="n">
        <v>11.9</v>
      </c>
      <c r="AJY330" s="0" t="n">
        <v>0.48</v>
      </c>
      <c r="AKD330" s="0" t="n">
        <v>11.9</v>
      </c>
      <c r="AKE330" s="0" t="n">
        <v>0.48</v>
      </c>
      <c r="AKJ330" s="0" t="n">
        <v>0</v>
      </c>
      <c r="AKK330" s="0" t="n">
        <v>1</v>
      </c>
      <c r="AKL330" s="0" t="n">
        <v>34</v>
      </c>
      <c r="AKM330" s="0" t="n">
        <v>2</v>
      </c>
      <c r="AKN330" s="0" t="n">
        <f aca="false">0.84*2</f>
        <v>1.68</v>
      </c>
      <c r="AKO330" s="0" t="n">
        <v>1</v>
      </c>
      <c r="AKV330" s="18"/>
      <c r="ALN330" s="0" t="n">
        <v>0</v>
      </c>
    </row>
    <row r="331" customFormat="false" ht="13.8" hidden="false" customHeight="false" outlineLevel="0" collapsed="false">
      <c r="A331" s="1" t="s">
        <v>916</v>
      </c>
      <c r="B331" s="12" t="n">
        <v>42930</v>
      </c>
      <c r="C331" s="0" t="n">
        <v>2</v>
      </c>
      <c r="D331" s="13" t="n">
        <v>34785</v>
      </c>
      <c r="E331" s="12" t="n">
        <v>26456</v>
      </c>
      <c r="F331" s="14" t="n">
        <f aca="false">(B331-E331)/365.25</f>
        <v>45.1033538672142</v>
      </c>
      <c r="G331" s="14" t="n">
        <f aca="false">(B331-D331)/365.25</f>
        <v>22.299794661191</v>
      </c>
      <c r="H331" s="19" t="s">
        <v>217</v>
      </c>
      <c r="I331" s="15" t="s">
        <v>218</v>
      </c>
      <c r="J331" s="15" t="s">
        <v>183</v>
      </c>
      <c r="K331" s="15" t="n">
        <v>4</v>
      </c>
      <c r="L331" s="19" t="n">
        <v>93</v>
      </c>
      <c r="M331" s="0" t="n">
        <v>1.78</v>
      </c>
      <c r="N331" s="16" t="n">
        <f aca="false">L331/(M331*M331)</f>
        <v>29.3523545006944</v>
      </c>
      <c r="O331" s="19" t="n">
        <v>1</v>
      </c>
      <c r="P331" s="19" t="n">
        <v>1</v>
      </c>
      <c r="Q331" s="19" t="s">
        <v>917</v>
      </c>
      <c r="R331" s="26" t="n">
        <v>0</v>
      </c>
      <c r="S331" s="26" t="n">
        <v>0</v>
      </c>
      <c r="T331" s="26" t="n">
        <v>0</v>
      </c>
      <c r="U331" s="19" t="n">
        <v>0</v>
      </c>
      <c r="V331" s="19" t="n">
        <v>0</v>
      </c>
      <c r="W331" s="19" t="n">
        <v>1</v>
      </c>
      <c r="X331" s="19" t="n">
        <v>0</v>
      </c>
      <c r="Y331" s="19" t="n">
        <v>0</v>
      </c>
      <c r="Z331" s="19" t="n">
        <v>0</v>
      </c>
      <c r="AA331" s="19" t="n">
        <v>0</v>
      </c>
      <c r="AB331" s="19" t="n">
        <v>0</v>
      </c>
      <c r="AC331" s="19" t="n">
        <v>0</v>
      </c>
      <c r="AD331" s="19" t="n">
        <v>0</v>
      </c>
      <c r="AE331" s="19" t="n">
        <v>0</v>
      </c>
      <c r="AF331" s="19" t="n">
        <v>0</v>
      </c>
      <c r="AG331" s="19" t="n">
        <v>0</v>
      </c>
      <c r="AH331" s="19" t="n">
        <v>0</v>
      </c>
      <c r="AI331" s="19" t="n">
        <v>0</v>
      </c>
      <c r="AJ331" s="19" t="n">
        <v>0</v>
      </c>
      <c r="AK331" s="19" t="n">
        <v>0</v>
      </c>
      <c r="AL331" s="19" t="n">
        <v>0</v>
      </c>
      <c r="AM331" s="19" t="n">
        <v>0</v>
      </c>
      <c r="AN331" s="19" t="n">
        <v>3</v>
      </c>
      <c r="AO331" s="19" t="n">
        <v>0</v>
      </c>
      <c r="AP331" s="19" t="n">
        <v>0</v>
      </c>
      <c r="AQ331" s="19" t="n">
        <v>0</v>
      </c>
      <c r="AR331" s="19" t="n">
        <v>0</v>
      </c>
      <c r="AS331" s="19" t="n">
        <v>3</v>
      </c>
      <c r="AT331" s="19" t="n">
        <v>0</v>
      </c>
      <c r="AU331" s="19" t="n">
        <v>0</v>
      </c>
      <c r="AV331" s="19" t="n">
        <v>0</v>
      </c>
      <c r="AW331" s="19" t="n">
        <v>0</v>
      </c>
      <c r="AX331" s="19" t="n">
        <v>0</v>
      </c>
      <c r="AY331" s="19" t="n">
        <v>0</v>
      </c>
      <c r="AZ331" s="19" t="n">
        <v>0</v>
      </c>
      <c r="BA331" s="19" t="n">
        <v>0</v>
      </c>
      <c r="BB331" s="19" t="n">
        <v>0</v>
      </c>
      <c r="BC331" s="19" t="n">
        <v>0</v>
      </c>
      <c r="BD331" s="19" t="n">
        <v>0</v>
      </c>
      <c r="BE331" s="19" t="n">
        <v>0</v>
      </c>
      <c r="BF331" s="19" t="n">
        <v>0</v>
      </c>
      <c r="BG331" s="19" t="n">
        <v>0</v>
      </c>
      <c r="BH331" s="19" t="n">
        <v>0</v>
      </c>
      <c r="BI331" s="19" t="n">
        <v>0</v>
      </c>
      <c r="BJ331" s="19" t="n">
        <v>0</v>
      </c>
      <c r="BK331" s="19" t="n">
        <v>0</v>
      </c>
      <c r="BL331" s="19" t="n">
        <v>0</v>
      </c>
      <c r="BM331" s="19" t="n">
        <v>0</v>
      </c>
      <c r="BN331" s="19" t="n">
        <v>1</v>
      </c>
      <c r="BO331" s="19" t="n">
        <v>0</v>
      </c>
      <c r="BP331" s="19" t="n">
        <v>0</v>
      </c>
      <c r="BQ331" s="19" t="n">
        <v>0</v>
      </c>
      <c r="BR331" s="19" t="n">
        <v>4</v>
      </c>
      <c r="BS331" s="19" t="n">
        <v>2</v>
      </c>
      <c r="BT331" s="19" t="n">
        <v>5</v>
      </c>
      <c r="BU331" s="19" t="n">
        <v>5</v>
      </c>
      <c r="BV331" s="19" t="n">
        <v>2</v>
      </c>
      <c r="BW331" s="19" t="n">
        <v>4</v>
      </c>
      <c r="BX331" s="19" t="n">
        <v>3</v>
      </c>
      <c r="BY331" s="19" t="n">
        <v>4</v>
      </c>
      <c r="BZ331" s="19" t="n">
        <v>2</v>
      </c>
      <c r="CA331" s="19" t="n">
        <v>4</v>
      </c>
      <c r="CB331" s="19" t="n">
        <v>5</v>
      </c>
      <c r="CC331" s="19" t="n">
        <v>5</v>
      </c>
      <c r="CD331" s="19" t="n">
        <v>4</v>
      </c>
      <c r="CE331" s="19" t="n">
        <v>4</v>
      </c>
      <c r="CF331" s="19" t="n">
        <v>3</v>
      </c>
      <c r="CG331" s="19" t="n">
        <v>5</v>
      </c>
      <c r="CH331" s="19" t="n">
        <v>4</v>
      </c>
      <c r="CI331" s="19" t="n">
        <v>4</v>
      </c>
      <c r="CJ331" s="19" t="n">
        <v>4</v>
      </c>
      <c r="CK331" s="19" t="n">
        <v>5</v>
      </c>
      <c r="CL331" s="0" t="s">
        <v>219</v>
      </c>
      <c r="CM331" s="0" t="n">
        <v>33.5</v>
      </c>
      <c r="CN331" s="16" t="n">
        <v>91.5</v>
      </c>
      <c r="CO331" s="16" t="n">
        <v>80.4</v>
      </c>
      <c r="CP331" s="16" t="n">
        <v>20</v>
      </c>
      <c r="CQ331" s="0" t="n">
        <v>84.58</v>
      </c>
      <c r="CR331" s="17" t="n">
        <v>0</v>
      </c>
      <c r="CS331" s="0" t="n">
        <v>15.42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0</v>
      </c>
      <c r="DB331" s="0" t="n">
        <v>0</v>
      </c>
      <c r="DC331" s="0" t="n">
        <v>13.79</v>
      </c>
      <c r="DD331" s="0" t="n">
        <v>2.67</v>
      </c>
      <c r="DE331" s="0" t="n">
        <v>11.54</v>
      </c>
      <c r="DF331" s="0" t="n">
        <v>0</v>
      </c>
      <c r="DG331" s="0" t="n">
        <v>12.3</v>
      </c>
      <c r="DH331" s="0" t="n">
        <v>2</v>
      </c>
      <c r="DI331" s="0" t="n">
        <v>5</v>
      </c>
      <c r="DJ331" s="0" t="n">
        <v>2</v>
      </c>
      <c r="DO331" s="0" t="n">
        <v>5</v>
      </c>
      <c r="DP331" s="0" t="n">
        <v>2</v>
      </c>
      <c r="DU331" s="0" t="n">
        <v>0</v>
      </c>
      <c r="DV331" s="0" t="n">
        <v>1</v>
      </c>
      <c r="DW331" s="0" t="n">
        <v>34</v>
      </c>
      <c r="DX331" s="0" t="n">
        <v>2</v>
      </c>
      <c r="DY331" s="0" t="n">
        <v>0.1</v>
      </c>
      <c r="DZ331" s="0" t="n">
        <v>1</v>
      </c>
      <c r="EA331" s="0" t="n">
        <v>10</v>
      </c>
      <c r="EB331" s="0" t="n">
        <f aca="false">8*4</f>
        <v>32</v>
      </c>
      <c r="EC331" s="0" t="n">
        <f aca="false">0.06+0.01+0.4+1.7+0.24+0.14+0.96</f>
        <v>3.51</v>
      </c>
      <c r="ED331" s="0" t="n">
        <v>3</v>
      </c>
      <c r="EG331" s="18"/>
      <c r="EY331" s="0" t="n">
        <v>0</v>
      </c>
      <c r="GJ331" s="16" t="n">
        <v>0.25</v>
      </c>
      <c r="GK331" s="16" t="n">
        <v>1</v>
      </c>
      <c r="GL331" s="16" t="n">
        <v>2</v>
      </c>
      <c r="GM331" s="16"/>
      <c r="GN331" s="16" t="n">
        <v>0.55</v>
      </c>
      <c r="GO331" s="16"/>
      <c r="GP331" s="16"/>
      <c r="GQ331" s="16"/>
      <c r="GR331" s="16"/>
      <c r="GS331" s="16"/>
      <c r="GT331" s="16"/>
      <c r="GU331" s="16" t="n">
        <v>0.55</v>
      </c>
      <c r="GV331" s="16" t="n">
        <v>0.55</v>
      </c>
      <c r="GW331" s="16"/>
      <c r="GX331" s="16"/>
      <c r="GY331" s="16" t="n">
        <v>0</v>
      </c>
      <c r="GZ331" s="16" t="n">
        <v>0</v>
      </c>
      <c r="HA331" s="16" t="n">
        <v>0</v>
      </c>
      <c r="HB331" s="0" t="n">
        <v>0</v>
      </c>
      <c r="HC331" s="0" t="s">
        <v>220</v>
      </c>
      <c r="HD331" s="0" t="n">
        <v>27</v>
      </c>
      <c r="HE331" s="16" t="n">
        <v>54.4</v>
      </c>
      <c r="HF331" s="16" t="n">
        <v>80.4</v>
      </c>
      <c r="HG331" s="16" t="n">
        <v>18.1</v>
      </c>
      <c r="HH331" s="0" t="n">
        <v>81.88</v>
      </c>
      <c r="HI331" s="17" t="n">
        <v>0</v>
      </c>
      <c r="HJ331" s="0" t="n">
        <v>9.83</v>
      </c>
      <c r="HK331" s="0" t="n">
        <v>0</v>
      </c>
      <c r="HL331" s="0" t="n">
        <v>2.14</v>
      </c>
      <c r="HM331" s="0" t="n">
        <v>0</v>
      </c>
      <c r="HN331" s="0" t="n">
        <v>0</v>
      </c>
      <c r="HO331" s="0" t="n">
        <v>0</v>
      </c>
      <c r="HP331" s="0" t="n">
        <v>0</v>
      </c>
      <c r="HQ331" s="0" t="n">
        <v>0</v>
      </c>
      <c r="HR331" s="0" t="n">
        <v>0</v>
      </c>
      <c r="HS331" s="0" t="n">
        <v>0</v>
      </c>
      <c r="HT331" s="0" t="n">
        <v>2.32</v>
      </c>
      <c r="HU331" s="0" t="n">
        <v>19.66</v>
      </c>
      <c r="HV331" s="0" t="n">
        <v>3.64</v>
      </c>
      <c r="HW331" s="0" t="n">
        <v>0</v>
      </c>
      <c r="HX331" s="0" t="n">
        <v>0</v>
      </c>
      <c r="HY331" s="0" t="n">
        <v>0</v>
      </c>
      <c r="IL331" s="0" t="n">
        <v>0</v>
      </c>
      <c r="IM331" s="0" t="n">
        <v>1</v>
      </c>
      <c r="IN331" s="0" t="n">
        <v>26</v>
      </c>
      <c r="IO331" s="0" t="n">
        <v>2</v>
      </c>
      <c r="IP331" s="0" t="n">
        <v>0.05</v>
      </c>
      <c r="IQ331" s="0" t="n">
        <v>2</v>
      </c>
      <c r="IX331" s="18"/>
      <c r="JP331" s="0" t="n">
        <v>0</v>
      </c>
      <c r="LA331" s="16" t="n">
        <v>2.1</v>
      </c>
      <c r="LB331" s="16" t="n">
        <v>1</v>
      </c>
      <c r="LC331" s="16" t="n">
        <v>1</v>
      </c>
      <c r="LD331" s="16"/>
      <c r="LE331" s="16" t="n">
        <f aca="false">0.1+0.76*2+2.02+1.35*2+0.67</f>
        <v>7.01</v>
      </c>
      <c r="LF331" s="16"/>
      <c r="LG331" s="16"/>
      <c r="LH331" s="16"/>
      <c r="LI331" s="16"/>
      <c r="LJ331" s="16"/>
      <c r="LK331" s="16"/>
      <c r="LL331" s="16" t="n">
        <v>6.35</v>
      </c>
      <c r="LM331" s="16" t="n">
        <v>14.8</v>
      </c>
      <c r="LN331" s="16"/>
      <c r="LO331" s="16"/>
      <c r="LP331" s="16" t="n">
        <v>0</v>
      </c>
      <c r="LQ331" s="16" t="n">
        <v>0</v>
      </c>
      <c r="LR331" s="16" t="n">
        <v>0</v>
      </c>
      <c r="LS331" s="0" t="n">
        <v>0</v>
      </c>
      <c r="LT331" s="0" t="s">
        <v>221</v>
      </c>
      <c r="LU331" s="0" t="n">
        <v>20.5</v>
      </c>
      <c r="LV331" s="16" t="n">
        <v>76.9</v>
      </c>
      <c r="LW331" s="16" t="n">
        <v>80.4</v>
      </c>
      <c r="LX331" s="16" t="n">
        <v>9.1</v>
      </c>
      <c r="LY331" s="0" t="n">
        <v>88.58</v>
      </c>
      <c r="LZ331" s="0" t="n">
        <v>10.3</v>
      </c>
      <c r="MA331" s="0" t="n">
        <v>1.12</v>
      </c>
      <c r="MB331" s="0" t="n">
        <v>0</v>
      </c>
      <c r="MC331" s="0" t="n">
        <v>0</v>
      </c>
      <c r="MD331" s="0" t="n">
        <v>0</v>
      </c>
      <c r="ME331" s="0" t="n">
        <v>0</v>
      </c>
      <c r="MF331" s="0" t="n">
        <v>0</v>
      </c>
      <c r="MG331" s="0" t="n">
        <v>0</v>
      </c>
      <c r="MH331" s="0" t="n">
        <v>0</v>
      </c>
      <c r="MI331" s="0" t="n">
        <v>0</v>
      </c>
      <c r="MJ331" s="0" t="n">
        <v>0</v>
      </c>
      <c r="MK331" s="0" t="n">
        <v>6.33</v>
      </c>
      <c r="ML331" s="0" t="n">
        <v>16.97</v>
      </c>
      <c r="MM331" s="0" t="n">
        <v>0</v>
      </c>
      <c r="MN331" s="0" t="n">
        <v>0</v>
      </c>
      <c r="MO331" s="0" t="n">
        <v>4.1</v>
      </c>
      <c r="MP331" s="0" t="n">
        <v>2</v>
      </c>
      <c r="MQ331" s="0" t="n">
        <v>5</v>
      </c>
      <c r="MR331" s="0" t="n">
        <v>1</v>
      </c>
      <c r="MW331" s="0" t="n">
        <v>5</v>
      </c>
      <c r="MX331" s="0" t="n">
        <v>1</v>
      </c>
      <c r="NC331" s="0" t="n">
        <v>0</v>
      </c>
      <c r="ND331" s="0" t="n">
        <v>0</v>
      </c>
      <c r="NO331" s="18"/>
      <c r="OG331" s="0" t="n">
        <v>0</v>
      </c>
      <c r="PR331" s="16" t="n">
        <v>2.24</v>
      </c>
      <c r="PS331" s="16" t="n">
        <v>1</v>
      </c>
      <c r="PT331" s="16" t="n">
        <v>2</v>
      </c>
      <c r="PU331" s="16"/>
      <c r="PV331" s="16" t="n">
        <v>4.97</v>
      </c>
      <c r="PW331" s="16"/>
      <c r="PX331" s="16"/>
      <c r="PY331" s="16"/>
      <c r="PZ331" s="16"/>
      <c r="QA331" s="16"/>
      <c r="QB331" s="16"/>
      <c r="QC331" s="16" t="n">
        <v>5.1</v>
      </c>
      <c r="QD331" s="16" t="n">
        <v>5.97</v>
      </c>
      <c r="QE331" s="16"/>
      <c r="QF331" s="16"/>
      <c r="QG331" s="16" t="n">
        <v>0</v>
      </c>
      <c r="QH331" s="16" t="n">
        <v>0</v>
      </c>
      <c r="QI331" s="16" t="n">
        <v>0</v>
      </c>
      <c r="QJ331" s="0" t="n">
        <v>0</v>
      </c>
      <c r="QK331" s="0" t="s">
        <v>222</v>
      </c>
      <c r="QL331" s="0" t="n">
        <v>32.5</v>
      </c>
      <c r="QM331" s="16" t="n">
        <v>96.7</v>
      </c>
      <c r="QN331" s="16" t="n">
        <v>80.4</v>
      </c>
      <c r="QO331" s="16" t="n">
        <v>15.1</v>
      </c>
      <c r="QP331" s="0" t="n">
        <v>52.24</v>
      </c>
      <c r="QQ331" s="0" t="n">
        <v>45.43</v>
      </c>
      <c r="QR331" s="0" t="n">
        <v>1.12</v>
      </c>
      <c r="QS331" s="0" t="n">
        <v>0</v>
      </c>
      <c r="QT331" s="0" t="n">
        <v>1.2</v>
      </c>
      <c r="QU331" s="0" t="n">
        <v>0</v>
      </c>
      <c r="QV331" s="0" t="n">
        <v>0</v>
      </c>
      <c r="QW331" s="0" t="n">
        <v>0</v>
      </c>
      <c r="QX331" s="0" t="n">
        <v>0</v>
      </c>
      <c r="QY331" s="0" t="n">
        <v>0</v>
      </c>
      <c r="QZ331" s="0" t="n">
        <v>0</v>
      </c>
      <c r="RA331" s="0" t="n">
        <v>1.2</v>
      </c>
      <c r="RB331" s="0" t="n">
        <v>15.88</v>
      </c>
      <c r="RC331" s="0" t="n">
        <v>48.59</v>
      </c>
      <c r="RD331" s="0" t="n">
        <v>0</v>
      </c>
      <c r="RE331" s="0" t="n">
        <v>0</v>
      </c>
      <c r="RF331" s="0" t="n">
        <v>0</v>
      </c>
      <c r="RG331" s="0" t="n">
        <v>0</v>
      </c>
      <c r="RT331" s="0" t="n">
        <v>0</v>
      </c>
      <c r="RU331" s="0" t="n">
        <v>0</v>
      </c>
      <c r="SF331" s="18"/>
      <c r="SX331" s="0" t="n">
        <v>1</v>
      </c>
      <c r="SY331" s="0" t="n">
        <v>50</v>
      </c>
      <c r="SZ331" s="0" t="n">
        <v>2</v>
      </c>
      <c r="TA331" s="0" t="n">
        <f aca="false">3.18+12.73</f>
        <v>15.91</v>
      </c>
      <c r="TB331" s="0" t="n">
        <v>1</v>
      </c>
      <c r="UI331" s="16" t="n">
        <v>5.9</v>
      </c>
      <c r="UJ331" s="16" t="n">
        <v>1</v>
      </c>
      <c r="UK331" s="16" t="n">
        <v>2</v>
      </c>
      <c r="UL331" s="16"/>
      <c r="UM331" s="16" t="n">
        <f aca="false">0.09+0.18*3+0.13+0.53+1.07*2+1.34*2+0.17*2+3.18+12.73</f>
        <v>22.36</v>
      </c>
      <c r="UN331" s="16"/>
      <c r="UO331" s="16"/>
      <c r="UP331" s="16"/>
      <c r="UQ331" s="16"/>
      <c r="UR331" s="16"/>
      <c r="US331" s="16"/>
      <c r="UT331" s="16" t="n">
        <v>11.45</v>
      </c>
      <c r="UU331" s="16" t="n">
        <v>41.19</v>
      </c>
      <c r="UV331" s="16"/>
      <c r="UW331" s="16"/>
      <c r="UX331" s="16" t="n">
        <v>0</v>
      </c>
      <c r="UY331" s="16" t="n">
        <v>0</v>
      </c>
      <c r="UZ331" s="16" t="n">
        <v>0</v>
      </c>
      <c r="VA331" s="0" t="n">
        <v>0</v>
      </c>
      <c r="VB331" s="0" t="s">
        <v>223</v>
      </c>
      <c r="VC331" s="0" t="n">
        <v>30.5</v>
      </c>
      <c r="VD331" s="16" t="n">
        <v>68.8</v>
      </c>
      <c r="VE331" s="16" t="n">
        <v>80.4</v>
      </c>
      <c r="VF331" s="16" t="n">
        <v>16.3</v>
      </c>
      <c r="VG331" s="0" t="n">
        <v>66.28</v>
      </c>
      <c r="VH331" s="0" t="n">
        <v>20.09</v>
      </c>
      <c r="VI331" s="0" t="n">
        <v>1.81</v>
      </c>
      <c r="VJ331" s="0" t="n">
        <v>0</v>
      </c>
      <c r="VK331" s="0" t="n">
        <v>11.82</v>
      </c>
      <c r="VL331" s="0" t="n">
        <v>0</v>
      </c>
      <c r="VM331" s="0" t="n">
        <v>0</v>
      </c>
      <c r="VN331" s="0" t="n">
        <v>0</v>
      </c>
      <c r="VO331" s="0" t="n">
        <v>0</v>
      </c>
      <c r="VP331" s="0" t="n">
        <v>0</v>
      </c>
      <c r="VQ331" s="0" t="n">
        <v>0</v>
      </c>
      <c r="VR331" s="0" t="n">
        <v>0</v>
      </c>
      <c r="VS331" s="0" t="n">
        <v>13.17</v>
      </c>
      <c r="VT331" s="0" t="n">
        <v>35.75</v>
      </c>
      <c r="VU331" s="0" t="n">
        <v>0</v>
      </c>
      <c r="VV331" s="0" t="n">
        <v>0</v>
      </c>
      <c r="VW331" s="0" t="n">
        <v>0</v>
      </c>
      <c r="VX331" s="0" t="n">
        <v>0</v>
      </c>
      <c r="WK331" s="0" t="n">
        <v>0</v>
      </c>
      <c r="WL331" s="0" t="n">
        <v>1</v>
      </c>
      <c r="WM331" s="0" t="n">
        <v>52</v>
      </c>
      <c r="WN331" s="0" t="n">
        <v>1</v>
      </c>
      <c r="WO331" s="0" t="n">
        <v>0.01</v>
      </c>
      <c r="WP331" s="0" t="n">
        <v>2</v>
      </c>
      <c r="WW331" s="18"/>
      <c r="XO331" s="0" t="n">
        <v>0</v>
      </c>
      <c r="YZ331" s="16" t="n">
        <v>5.43</v>
      </c>
      <c r="ZA331" s="16" t="n">
        <v>1</v>
      </c>
      <c r="ZB331" s="16" t="n">
        <v>1</v>
      </c>
      <c r="ZC331" s="16"/>
      <c r="ZD331" s="16" t="n">
        <f aca="false">0.09*2+0.07+1.36</f>
        <v>1.61</v>
      </c>
      <c r="ZE331" s="16" t="n">
        <v>2</v>
      </c>
      <c r="ZF331" s="16"/>
      <c r="ZG331" s="16" t="n">
        <f aca="false">4.2+0.09+0.66+0.01+3.18+3.18</f>
        <v>11.32</v>
      </c>
      <c r="ZH331" s="16"/>
      <c r="ZI331" s="16"/>
      <c r="ZJ331" s="16"/>
      <c r="ZK331" s="16" t="n">
        <v>8.61</v>
      </c>
      <c r="ZL331" s="16" t="n">
        <v>26.91</v>
      </c>
      <c r="ZM331" s="16"/>
      <c r="ZN331" s="16"/>
      <c r="ZO331" s="16" t="n">
        <v>0</v>
      </c>
      <c r="ZP331" s="16" t="n">
        <v>0</v>
      </c>
      <c r="ZQ331" s="16" t="n">
        <v>0</v>
      </c>
      <c r="ZR331" s="0" t="n">
        <v>0</v>
      </c>
      <c r="ZS331" s="0" t="s">
        <v>224</v>
      </c>
      <c r="ZT331" s="0" t="n">
        <v>39.5</v>
      </c>
      <c r="ZU331" s="16" t="n">
        <v>60.8</v>
      </c>
      <c r="ZV331" s="16" t="n">
        <v>80.4</v>
      </c>
      <c r="ZW331" s="16" t="n">
        <v>22.9</v>
      </c>
      <c r="ZX331" s="0" t="n">
        <v>67.01</v>
      </c>
      <c r="ZY331" s="0" t="n">
        <v>11.71</v>
      </c>
      <c r="ZZ331" s="0" t="n">
        <v>16.61</v>
      </c>
      <c r="AAA331" s="0" t="n">
        <v>0</v>
      </c>
      <c r="AAB331" s="0" t="n">
        <v>4.67</v>
      </c>
      <c r="AAC331" s="0" t="n">
        <v>0</v>
      </c>
      <c r="AAD331" s="0" t="n">
        <v>0</v>
      </c>
      <c r="AAE331" s="0" t="n">
        <v>0</v>
      </c>
      <c r="AAF331" s="0" t="n">
        <v>0</v>
      </c>
      <c r="AAG331" s="0" t="n">
        <v>0</v>
      </c>
      <c r="AAH331" s="0" t="n">
        <v>0</v>
      </c>
      <c r="AAI331" s="0" t="n">
        <v>0</v>
      </c>
      <c r="AAJ331" s="0" t="n">
        <v>20.9</v>
      </c>
      <c r="AAK331" s="0" t="n">
        <v>25.23</v>
      </c>
      <c r="AAL331" s="0" t="n">
        <v>0.58</v>
      </c>
      <c r="AAM331" s="0" t="n">
        <v>0</v>
      </c>
      <c r="AAN331" s="0" t="n">
        <v>0</v>
      </c>
      <c r="AAO331" s="0" t="n">
        <v>0</v>
      </c>
      <c r="ABB331" s="0" t="n">
        <v>2</v>
      </c>
      <c r="ABC331" s="0" t="n">
        <v>1</v>
      </c>
      <c r="ABD331" s="0" t="n">
        <v>103</v>
      </c>
      <c r="ABE331" s="0" t="n">
        <v>2</v>
      </c>
      <c r="ABF331" s="0" t="n">
        <f aca="false">0.18+0.14</f>
        <v>0.32</v>
      </c>
      <c r="ABG331" s="0" t="n">
        <v>1</v>
      </c>
      <c r="ABH331" s="0" t="n">
        <v>68</v>
      </c>
      <c r="ABI331" s="0" t="n">
        <v>1</v>
      </c>
      <c r="ABJ331" s="0" t="n">
        <v>0.01</v>
      </c>
      <c r="ABK331" s="0" t="n">
        <v>1</v>
      </c>
      <c r="ABL331" s="0" t="n">
        <v>52</v>
      </c>
      <c r="ABM331" s="0" t="n">
        <v>3</v>
      </c>
      <c r="ABN331" s="18" t="n">
        <v>0.05</v>
      </c>
      <c r="ABO331" s="0" t="n">
        <v>2</v>
      </c>
      <c r="ACF331" s="0" t="n">
        <v>0</v>
      </c>
      <c r="ADQ331" s="16" t="n">
        <v>3.66</v>
      </c>
      <c r="ADR331" s="16" t="n">
        <v>1</v>
      </c>
      <c r="ADS331" s="16" t="n">
        <v>1</v>
      </c>
      <c r="ADT331" s="16"/>
      <c r="ADU331" s="16" t="n">
        <f aca="false">2.69*3+1.35*3+0.14*2+0.1</f>
        <v>12.5</v>
      </c>
      <c r="ADV331" s="16" t="n">
        <v>2</v>
      </c>
      <c r="ADW331" s="16"/>
      <c r="ADX331" s="16" t="n">
        <f aca="false">0.66+0.35+0.18+0.14+1.25+1.23</f>
        <v>3.81</v>
      </c>
      <c r="ADY331" s="16"/>
      <c r="ADZ331" s="16"/>
      <c r="AEA331" s="16"/>
      <c r="AEB331" s="16" t="n">
        <v>10.05</v>
      </c>
      <c r="AEC331" s="16" t="n">
        <v>27.11</v>
      </c>
      <c r="AED331" s="16"/>
      <c r="AEE331" s="16"/>
      <c r="AEF331" s="16" t="n">
        <v>0</v>
      </c>
      <c r="AEG331" s="16" t="n">
        <v>0</v>
      </c>
      <c r="AEH331" s="16" t="n">
        <v>0</v>
      </c>
      <c r="AEI331" s="0" t="n">
        <v>0</v>
      </c>
      <c r="AEJ331" s="0" t="s">
        <v>225</v>
      </c>
      <c r="AEK331" s="0" t="n">
        <v>47</v>
      </c>
      <c r="AEL331" s="16" t="n">
        <v>72.3</v>
      </c>
      <c r="AEM331" s="16" t="n">
        <v>80.4</v>
      </c>
      <c r="AEN331" s="16" t="n">
        <v>18</v>
      </c>
      <c r="AEO331" s="0" t="n">
        <v>70.55</v>
      </c>
      <c r="AEP331" s="0" t="n">
        <v>6.81</v>
      </c>
      <c r="AEQ331" s="0" t="n">
        <v>3.09</v>
      </c>
      <c r="AER331" s="0" t="n">
        <v>0</v>
      </c>
      <c r="AES331" s="0" t="n">
        <v>19.55</v>
      </c>
      <c r="AET331" s="0" t="n">
        <v>0</v>
      </c>
      <c r="AEU331" s="0" t="n">
        <v>0</v>
      </c>
      <c r="AEV331" s="0" t="n">
        <v>0</v>
      </c>
      <c r="AEW331" s="0" t="n">
        <v>0</v>
      </c>
      <c r="AEX331" s="0" t="n">
        <v>0</v>
      </c>
      <c r="AEY331" s="0" t="n">
        <v>0</v>
      </c>
      <c r="AEZ331" s="0" t="n">
        <v>0</v>
      </c>
      <c r="AFA331" s="0" t="n">
        <v>18.07</v>
      </c>
      <c r="AFB331" s="0" t="n">
        <v>30.57</v>
      </c>
      <c r="AFC331" s="0" t="n">
        <v>7.61</v>
      </c>
      <c r="AFD331" s="0" t="n">
        <v>0</v>
      </c>
      <c r="AFE331" s="0" t="n">
        <v>14</v>
      </c>
      <c r="AFF331" s="0" t="n">
        <v>2</v>
      </c>
      <c r="AFG331" s="0" t="n">
        <v>5</v>
      </c>
      <c r="AFH331" s="0" t="n">
        <v>4.47</v>
      </c>
      <c r="AFJ331" s="0" t="n">
        <v>7</v>
      </c>
      <c r="AFK331" s="0" t="n">
        <v>5.15</v>
      </c>
      <c r="AFM331" s="0" t="n">
        <v>5</v>
      </c>
      <c r="AFN331" s="0" t="n">
        <v>4.47</v>
      </c>
      <c r="AFP331" s="0" t="n">
        <v>7</v>
      </c>
      <c r="AFQ331" s="0" t="n">
        <v>5.15</v>
      </c>
      <c r="AFS331" s="0" t="n">
        <v>0</v>
      </c>
      <c r="AFT331" s="0" t="n">
        <v>0</v>
      </c>
      <c r="AGE331" s="18"/>
      <c r="AGW331" s="0" t="n">
        <v>0</v>
      </c>
      <c r="AIH331" s="16" t="n">
        <v>4.21</v>
      </c>
      <c r="AII331" s="16" t="n">
        <v>1</v>
      </c>
      <c r="AIJ331" s="16" t="n">
        <v>2</v>
      </c>
      <c r="AIK331" s="16"/>
      <c r="AIL331" s="16" t="n">
        <f aca="false">7.46+1.59+0.6</f>
        <v>9.65</v>
      </c>
      <c r="AIM331" s="16"/>
      <c r="AIN331" s="16"/>
      <c r="AIO331" s="16"/>
      <c r="AIP331" s="16"/>
      <c r="AIQ331" s="16"/>
      <c r="AIR331" s="16"/>
      <c r="AIS331" s="16" t="n">
        <v>10.63</v>
      </c>
      <c r="AIT331" s="16" t="n">
        <v>36.38</v>
      </c>
      <c r="AIU331" s="16"/>
      <c r="AIV331" s="16"/>
      <c r="AIW331" s="16" t="n">
        <v>0</v>
      </c>
      <c r="AIX331" s="16" t="n">
        <v>0</v>
      </c>
      <c r="AIY331" s="16" t="n">
        <v>0</v>
      </c>
      <c r="AIZ331" s="0" t="n">
        <v>0</v>
      </c>
      <c r="AJA331" s="0" t="s">
        <v>226</v>
      </c>
      <c r="AJB331" s="0" t="n">
        <v>19</v>
      </c>
      <c r="AJC331" s="16" t="n">
        <v>82.6</v>
      </c>
      <c r="AJD331" s="16" t="n">
        <v>80.4</v>
      </c>
      <c r="AJE331" s="16" t="n">
        <v>7.7</v>
      </c>
      <c r="AJF331" s="0" t="n">
        <v>86.83</v>
      </c>
      <c r="AJG331" s="0" t="n">
        <v>12.69</v>
      </c>
      <c r="AJH331" s="0" t="n">
        <v>0</v>
      </c>
      <c r="AJI331" s="0" t="n">
        <v>0</v>
      </c>
      <c r="AJJ331" s="0" t="n">
        <v>0.48</v>
      </c>
      <c r="AJK331" s="0" t="n">
        <v>0</v>
      </c>
      <c r="AJL331" s="0" t="n">
        <v>0</v>
      </c>
      <c r="AJM331" s="0" t="n">
        <v>0</v>
      </c>
      <c r="AJN331" s="0" t="n">
        <v>0</v>
      </c>
      <c r="AJO331" s="0" t="n">
        <v>0</v>
      </c>
      <c r="AJP331" s="0" t="n">
        <v>0</v>
      </c>
      <c r="AJQ331" s="0" t="n">
        <v>0</v>
      </c>
      <c r="AJR331" s="0" t="n">
        <v>7.16</v>
      </c>
      <c r="AJS331" s="0" t="n">
        <v>10.76</v>
      </c>
      <c r="AJT331" s="0" t="n">
        <v>0</v>
      </c>
      <c r="AJU331" s="0" t="n">
        <v>0</v>
      </c>
      <c r="AJV331" s="0" t="n">
        <v>3.4</v>
      </c>
      <c r="AJW331" s="0" t="n">
        <v>2</v>
      </c>
      <c r="AJX331" s="0" t="n">
        <v>11.9</v>
      </c>
      <c r="AJY331" s="0" t="n">
        <v>0.48</v>
      </c>
      <c r="AKD331" s="0" t="n">
        <v>11.9</v>
      </c>
      <c r="AKE331" s="0" t="n">
        <v>0.48</v>
      </c>
      <c r="AKJ331" s="0" t="n">
        <v>0</v>
      </c>
      <c r="AKK331" s="0" t="n">
        <v>1</v>
      </c>
      <c r="AKL331" s="0" t="n">
        <v>34</v>
      </c>
      <c r="AKM331" s="0" t="n">
        <v>2</v>
      </c>
      <c r="AKN331" s="0" t="n">
        <f aca="false">0.84*2</f>
        <v>1.68</v>
      </c>
      <c r="AKO331" s="0" t="n">
        <v>1</v>
      </c>
      <c r="AKV331" s="18"/>
      <c r="ALN331" s="0" t="n">
        <v>0</v>
      </c>
    </row>
    <row r="332" customFormat="false" ht="13.8" hidden="false" customHeight="false" outlineLevel="0" collapsed="false">
      <c r="A332" s="1" t="s">
        <v>918</v>
      </c>
      <c r="B332" s="12" t="n">
        <v>42929</v>
      </c>
      <c r="C332" s="0" t="n">
        <v>2</v>
      </c>
      <c r="D332" s="13" t="n">
        <v>42821</v>
      </c>
      <c r="E332" s="12" t="n">
        <v>35661</v>
      </c>
      <c r="F332" s="14" t="n">
        <f aca="false">(B332-E332)/365.25</f>
        <v>19.8986995208761</v>
      </c>
      <c r="G332" s="14" t="n">
        <f aca="false">(B332-D332)/365.25</f>
        <v>0.295687885010267</v>
      </c>
      <c r="H332" s="19" t="s">
        <v>217</v>
      </c>
      <c r="I332" s="15" t="s">
        <v>218</v>
      </c>
      <c r="J332" s="15" t="s">
        <v>183</v>
      </c>
      <c r="K332" s="15" t="n">
        <v>4</v>
      </c>
      <c r="L332" s="19" t="n">
        <v>75</v>
      </c>
      <c r="M332" s="0" t="n">
        <v>1.85</v>
      </c>
      <c r="N332" s="16" t="n">
        <f aca="false">L332/(M332*M332)</f>
        <v>21.9138056975895</v>
      </c>
      <c r="O332" s="19" t="n">
        <v>0</v>
      </c>
      <c r="P332" s="19" t="n">
        <v>0</v>
      </c>
      <c r="Q332" s="19" t="n">
        <v>0</v>
      </c>
      <c r="R332" s="26" t="n">
        <v>0</v>
      </c>
      <c r="S332" s="26" t="n">
        <v>0</v>
      </c>
      <c r="T332" s="26" t="n">
        <v>0</v>
      </c>
      <c r="U332" s="19" t="n">
        <v>0</v>
      </c>
      <c r="V332" s="19" t="n">
        <v>0</v>
      </c>
      <c r="W332" s="19" t="n">
        <v>0</v>
      </c>
      <c r="X332" s="19" t="n">
        <v>0</v>
      </c>
      <c r="Y332" s="19" t="n">
        <v>1</v>
      </c>
      <c r="Z332" s="19" t="n">
        <v>2</v>
      </c>
      <c r="AA332" s="19" t="n">
        <v>105</v>
      </c>
      <c r="AB332" s="19" t="s">
        <v>478</v>
      </c>
      <c r="AC332" s="19" t="n">
        <v>1</v>
      </c>
      <c r="AD332" s="19" t="n">
        <v>4</v>
      </c>
      <c r="AE332" s="19" t="n">
        <v>0</v>
      </c>
      <c r="AF332" s="19" t="n">
        <v>0</v>
      </c>
      <c r="AG332" s="19" t="n">
        <v>0</v>
      </c>
      <c r="AH332" s="19" t="n">
        <v>0</v>
      </c>
      <c r="AI332" s="19" t="n">
        <v>0</v>
      </c>
      <c r="AJ332" s="19" t="n">
        <v>0</v>
      </c>
      <c r="AK332" s="19" t="n">
        <v>0</v>
      </c>
      <c r="AL332" s="19" t="n">
        <v>0</v>
      </c>
      <c r="AM332" s="19" t="n">
        <v>0</v>
      </c>
      <c r="AN332" s="19" t="n">
        <v>0</v>
      </c>
      <c r="AO332" s="19" t="n">
        <v>0</v>
      </c>
      <c r="AP332" s="19" t="n">
        <v>0</v>
      </c>
      <c r="AQ332" s="19" t="n">
        <v>0</v>
      </c>
      <c r="AR332" s="19" t="n">
        <v>0</v>
      </c>
      <c r="AS332" s="19" t="n">
        <v>0</v>
      </c>
      <c r="AT332" s="19" t="n">
        <v>0</v>
      </c>
      <c r="AU332" s="19" t="n">
        <v>0</v>
      </c>
      <c r="AV332" s="19" t="n">
        <v>0</v>
      </c>
      <c r="AW332" s="19" t="n">
        <v>0</v>
      </c>
      <c r="AX332" s="19" t="n">
        <v>0</v>
      </c>
      <c r="AY332" s="19" t="n">
        <v>0</v>
      </c>
      <c r="AZ332" s="19" t="n">
        <v>0</v>
      </c>
      <c r="BA332" s="19" t="n">
        <v>0</v>
      </c>
      <c r="BB332" s="19" t="n">
        <v>0</v>
      </c>
      <c r="BC332" s="19" t="n">
        <v>0</v>
      </c>
      <c r="BD332" s="19" t="n">
        <v>0</v>
      </c>
      <c r="BE332" s="19" t="n">
        <v>0</v>
      </c>
      <c r="BF332" s="19" t="n">
        <v>0</v>
      </c>
      <c r="BG332" s="19" t="n">
        <v>0</v>
      </c>
      <c r="BH332" s="19" t="n">
        <v>0</v>
      </c>
      <c r="BI332" s="19" t="n">
        <v>0</v>
      </c>
      <c r="BJ332" s="19" t="n">
        <v>0</v>
      </c>
      <c r="BK332" s="19" t="n">
        <v>0</v>
      </c>
      <c r="BL332" s="19" t="n">
        <v>0</v>
      </c>
      <c r="BM332" s="19" t="n">
        <v>0</v>
      </c>
      <c r="BN332" s="19" t="n">
        <v>0</v>
      </c>
      <c r="BO332" s="19" t="n">
        <v>0</v>
      </c>
      <c r="BP332" s="19" t="n">
        <v>0</v>
      </c>
      <c r="BQ332" s="19" t="n">
        <v>0</v>
      </c>
      <c r="BR332" s="19" t="n">
        <v>2</v>
      </c>
      <c r="BS332" s="19"/>
      <c r="BT332" s="19" t="n">
        <v>3</v>
      </c>
      <c r="BU332" s="19" t="n">
        <v>5</v>
      </c>
      <c r="BV332" s="19" t="n">
        <v>3</v>
      </c>
      <c r="BW332" s="19" t="n">
        <v>1</v>
      </c>
      <c r="BX332" s="19" t="n">
        <v>2</v>
      </c>
      <c r="BY332" s="19" t="n">
        <v>3</v>
      </c>
      <c r="BZ332" s="19" t="n">
        <v>4</v>
      </c>
      <c r="CA332" s="19" t="n">
        <v>4</v>
      </c>
      <c r="CB332" s="19" t="n">
        <v>5</v>
      </c>
      <c r="CC332" s="19" t="n">
        <v>5</v>
      </c>
      <c r="CD332" s="19" t="n">
        <v>3</v>
      </c>
      <c r="CE332" s="19" t="n">
        <v>4</v>
      </c>
      <c r="CF332" s="19" t="n">
        <v>5</v>
      </c>
      <c r="CG332" s="19" t="n">
        <v>5</v>
      </c>
      <c r="CH332" s="19" t="n">
        <v>4</v>
      </c>
      <c r="CI332" s="19" t="n">
        <v>4</v>
      </c>
      <c r="CJ332" s="19" t="n">
        <v>4</v>
      </c>
      <c r="CK332" s="19" t="n">
        <v>9</v>
      </c>
      <c r="CL332" s="0" t="s">
        <v>219</v>
      </c>
      <c r="CM332" s="0" t="n">
        <v>33.5</v>
      </c>
      <c r="CN332" s="16" t="n">
        <v>91.5</v>
      </c>
      <c r="CO332" s="16" t="n">
        <v>80.4</v>
      </c>
      <c r="CP332" s="16" t="n">
        <v>20</v>
      </c>
      <c r="CQ332" s="0" t="n">
        <v>84.58</v>
      </c>
      <c r="CR332" s="17" t="n">
        <v>0</v>
      </c>
      <c r="CS332" s="0" t="n">
        <v>15.42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0</v>
      </c>
      <c r="CZ332" s="0" t="n">
        <v>0</v>
      </c>
      <c r="DA332" s="0" t="n">
        <v>0</v>
      </c>
      <c r="DB332" s="0" t="n">
        <v>0</v>
      </c>
      <c r="DC332" s="0" t="n">
        <v>13.79</v>
      </c>
      <c r="DD332" s="0" t="n">
        <v>2.67</v>
      </c>
      <c r="DE332" s="0" t="n">
        <v>11.54</v>
      </c>
      <c r="DF332" s="0" t="n">
        <v>0</v>
      </c>
      <c r="DG332" s="0" t="n">
        <v>12.3</v>
      </c>
      <c r="DH332" s="0" t="n">
        <v>2</v>
      </c>
      <c r="DI332" s="0" t="n">
        <v>5</v>
      </c>
      <c r="DJ332" s="0" t="n">
        <v>2</v>
      </c>
      <c r="DO332" s="0" t="n">
        <v>5</v>
      </c>
      <c r="DP332" s="0" t="n">
        <v>2</v>
      </c>
      <c r="DU332" s="0" t="n">
        <v>0</v>
      </c>
      <c r="DV332" s="0" t="n">
        <v>1</v>
      </c>
      <c r="DW332" s="0" t="n">
        <v>34</v>
      </c>
      <c r="DX332" s="0" t="n">
        <v>2</v>
      </c>
      <c r="DY332" s="0" t="n">
        <v>0.1</v>
      </c>
      <c r="DZ332" s="0" t="n">
        <v>1</v>
      </c>
      <c r="EA332" s="0" t="n">
        <v>10</v>
      </c>
      <c r="EB332" s="0" t="n">
        <f aca="false">8*4</f>
        <v>32</v>
      </c>
      <c r="EC332" s="0" t="n">
        <f aca="false">0.06+0.01+0.4+1.7+0.24+0.14+0.96</f>
        <v>3.51</v>
      </c>
      <c r="ED332" s="0" t="n">
        <v>3</v>
      </c>
      <c r="EG332" s="18"/>
      <c r="EY332" s="0" t="n">
        <v>0</v>
      </c>
      <c r="GJ332" s="16" t="n">
        <v>0.25</v>
      </c>
      <c r="GK332" s="16" t="n">
        <v>1</v>
      </c>
      <c r="GL332" s="16" t="n">
        <v>2</v>
      </c>
      <c r="GM332" s="16"/>
      <c r="GN332" s="16" t="n">
        <v>0.55</v>
      </c>
      <c r="GO332" s="16"/>
      <c r="GP332" s="16"/>
      <c r="GQ332" s="16"/>
      <c r="GR332" s="16"/>
      <c r="GS332" s="16"/>
      <c r="GT332" s="16"/>
      <c r="GU332" s="16" t="n">
        <v>0.55</v>
      </c>
      <c r="GV332" s="16" t="n">
        <v>0.55</v>
      </c>
      <c r="GW332" s="16"/>
      <c r="GX332" s="16"/>
      <c r="GY332" s="16" t="n">
        <v>0</v>
      </c>
      <c r="GZ332" s="16" t="n">
        <v>0</v>
      </c>
      <c r="HA332" s="16" t="n">
        <v>0</v>
      </c>
      <c r="HB332" s="0" t="n">
        <v>0</v>
      </c>
      <c r="HC332" s="0" t="s">
        <v>220</v>
      </c>
      <c r="HD332" s="0" t="n">
        <v>27</v>
      </c>
      <c r="HE332" s="16" t="n">
        <v>54.4</v>
      </c>
      <c r="HF332" s="16" t="n">
        <v>80.4</v>
      </c>
      <c r="HG332" s="16" t="n">
        <v>18.1</v>
      </c>
      <c r="HH332" s="0" t="n">
        <v>81.88</v>
      </c>
      <c r="HI332" s="17" t="n">
        <v>0</v>
      </c>
      <c r="HJ332" s="0" t="n">
        <v>9.83</v>
      </c>
      <c r="HK332" s="0" t="n">
        <v>0</v>
      </c>
      <c r="HL332" s="0" t="n">
        <v>2.14</v>
      </c>
      <c r="HM332" s="0" t="n">
        <v>0</v>
      </c>
      <c r="HN332" s="0" t="n">
        <v>0</v>
      </c>
      <c r="HO332" s="0" t="n">
        <v>0</v>
      </c>
      <c r="HP332" s="0" t="n">
        <v>0</v>
      </c>
      <c r="HQ332" s="0" t="n">
        <v>0</v>
      </c>
      <c r="HR332" s="0" t="n">
        <v>0</v>
      </c>
      <c r="HS332" s="0" t="n">
        <v>0</v>
      </c>
      <c r="HT332" s="0" t="n">
        <v>2.32</v>
      </c>
      <c r="HU332" s="0" t="n">
        <v>19.66</v>
      </c>
      <c r="HV332" s="0" t="n">
        <v>3.64</v>
      </c>
      <c r="HW332" s="0" t="n">
        <v>0</v>
      </c>
      <c r="HX332" s="0" t="n">
        <v>0</v>
      </c>
      <c r="HY332" s="0" t="n">
        <v>0</v>
      </c>
      <c r="IL332" s="0" t="n">
        <v>0</v>
      </c>
      <c r="IM332" s="0" t="n">
        <v>1</v>
      </c>
      <c r="IN332" s="0" t="n">
        <v>26</v>
      </c>
      <c r="IO332" s="0" t="n">
        <v>2</v>
      </c>
      <c r="IP332" s="0" t="n">
        <v>0.05</v>
      </c>
      <c r="IQ332" s="0" t="n">
        <v>2</v>
      </c>
      <c r="IX332" s="18"/>
      <c r="JP332" s="0" t="n">
        <v>0</v>
      </c>
      <c r="LA332" s="16" t="n">
        <v>2.1</v>
      </c>
      <c r="LB332" s="16" t="n">
        <v>1</v>
      </c>
      <c r="LC332" s="16" t="n">
        <v>1</v>
      </c>
      <c r="LD332" s="16"/>
      <c r="LE332" s="16" t="n">
        <f aca="false">0.1+0.76*2+2.02+1.35*2+0.67</f>
        <v>7.01</v>
      </c>
      <c r="LF332" s="16"/>
      <c r="LG332" s="16"/>
      <c r="LH332" s="16"/>
      <c r="LI332" s="16"/>
      <c r="LJ332" s="16"/>
      <c r="LK332" s="16"/>
      <c r="LL332" s="16" t="n">
        <v>6.35</v>
      </c>
      <c r="LM332" s="16" t="n">
        <v>14.8</v>
      </c>
      <c r="LN332" s="16"/>
      <c r="LO332" s="16"/>
      <c r="LP332" s="16" t="n">
        <v>0</v>
      </c>
      <c r="LQ332" s="16" t="n">
        <v>0</v>
      </c>
      <c r="LR332" s="16" t="n">
        <v>0</v>
      </c>
      <c r="LS332" s="0" t="n">
        <v>0</v>
      </c>
      <c r="LT332" s="0" t="s">
        <v>221</v>
      </c>
      <c r="LU332" s="0" t="n">
        <v>20.5</v>
      </c>
      <c r="LV332" s="16" t="n">
        <v>76.9</v>
      </c>
      <c r="LW332" s="16" t="n">
        <v>80.4</v>
      </c>
      <c r="LX332" s="16" t="n">
        <v>9.1</v>
      </c>
      <c r="LY332" s="0" t="n">
        <v>88.58</v>
      </c>
      <c r="LZ332" s="0" t="n">
        <v>10.3</v>
      </c>
      <c r="MA332" s="0" t="n">
        <v>1.12</v>
      </c>
      <c r="MB332" s="0" t="n">
        <v>0</v>
      </c>
      <c r="MC332" s="0" t="n">
        <v>0</v>
      </c>
      <c r="MD332" s="0" t="n">
        <v>0</v>
      </c>
      <c r="ME332" s="0" t="n">
        <v>0</v>
      </c>
      <c r="MF332" s="0" t="n">
        <v>0</v>
      </c>
      <c r="MG332" s="0" t="n">
        <v>0</v>
      </c>
      <c r="MH332" s="0" t="n">
        <v>0</v>
      </c>
      <c r="MI332" s="0" t="n">
        <v>0</v>
      </c>
      <c r="MJ332" s="0" t="n">
        <v>0</v>
      </c>
      <c r="MK332" s="0" t="n">
        <v>6.33</v>
      </c>
      <c r="ML332" s="0" t="n">
        <v>16.97</v>
      </c>
      <c r="MM332" s="0" t="n">
        <v>0</v>
      </c>
      <c r="MN332" s="0" t="n">
        <v>0</v>
      </c>
      <c r="MO332" s="0" t="n">
        <v>4.1</v>
      </c>
      <c r="MP332" s="0" t="n">
        <v>2</v>
      </c>
      <c r="MQ332" s="0" t="n">
        <v>5</v>
      </c>
      <c r="MR332" s="0" t="n">
        <v>1</v>
      </c>
      <c r="MW332" s="0" t="n">
        <v>5</v>
      </c>
      <c r="MX332" s="0" t="n">
        <v>1</v>
      </c>
      <c r="NC332" s="0" t="n">
        <v>0</v>
      </c>
      <c r="ND332" s="0" t="n">
        <v>0</v>
      </c>
      <c r="NO332" s="18"/>
      <c r="OG332" s="0" t="n">
        <v>0</v>
      </c>
      <c r="PR332" s="16" t="n">
        <v>2.24</v>
      </c>
      <c r="PS332" s="16" t="n">
        <v>1</v>
      </c>
      <c r="PT332" s="16" t="n">
        <v>2</v>
      </c>
      <c r="PU332" s="16"/>
      <c r="PV332" s="16" t="n">
        <v>4.97</v>
      </c>
      <c r="PW332" s="16"/>
      <c r="PX332" s="16"/>
      <c r="PY332" s="16"/>
      <c r="PZ332" s="16"/>
      <c r="QA332" s="16"/>
      <c r="QB332" s="16"/>
      <c r="QC332" s="16" t="n">
        <v>5.1</v>
      </c>
      <c r="QD332" s="16" t="n">
        <v>5.97</v>
      </c>
      <c r="QE332" s="16"/>
      <c r="QF332" s="16"/>
      <c r="QG332" s="16" t="n">
        <v>0</v>
      </c>
      <c r="QH332" s="16" t="n">
        <v>0</v>
      </c>
      <c r="QI332" s="16" t="n">
        <v>0</v>
      </c>
      <c r="QJ332" s="0" t="n">
        <v>0</v>
      </c>
      <c r="QK332" s="0" t="s">
        <v>222</v>
      </c>
      <c r="QL332" s="0" t="n">
        <v>32.5</v>
      </c>
      <c r="QM332" s="16" t="n">
        <v>96.7</v>
      </c>
      <c r="QN332" s="16" t="n">
        <v>80.4</v>
      </c>
      <c r="QO332" s="16" t="n">
        <v>15.1</v>
      </c>
      <c r="QP332" s="0" t="n">
        <v>52.24</v>
      </c>
      <c r="QQ332" s="0" t="n">
        <v>45.43</v>
      </c>
      <c r="QR332" s="0" t="n">
        <v>1.12</v>
      </c>
      <c r="QS332" s="0" t="n">
        <v>0</v>
      </c>
      <c r="QT332" s="0" t="n">
        <v>1.2</v>
      </c>
      <c r="QU332" s="0" t="n">
        <v>0</v>
      </c>
      <c r="QV332" s="0" t="n">
        <v>0</v>
      </c>
      <c r="QW332" s="0" t="n">
        <v>0</v>
      </c>
      <c r="QX332" s="0" t="n">
        <v>0</v>
      </c>
      <c r="QY332" s="0" t="n">
        <v>0</v>
      </c>
      <c r="QZ332" s="0" t="n">
        <v>0</v>
      </c>
      <c r="RA332" s="0" t="n">
        <v>1.2</v>
      </c>
      <c r="RB332" s="0" t="n">
        <v>15.88</v>
      </c>
      <c r="RC332" s="0" t="n">
        <v>48.59</v>
      </c>
      <c r="RD332" s="0" t="n">
        <v>0</v>
      </c>
      <c r="RE332" s="0" t="n">
        <v>0</v>
      </c>
      <c r="RF332" s="0" t="n">
        <v>0</v>
      </c>
      <c r="RG332" s="0" t="n">
        <v>0</v>
      </c>
      <c r="RT332" s="0" t="n">
        <v>0</v>
      </c>
      <c r="RU332" s="0" t="n">
        <v>0</v>
      </c>
      <c r="SF332" s="18"/>
      <c r="SX332" s="0" t="n">
        <v>1</v>
      </c>
      <c r="SY332" s="0" t="n">
        <v>50</v>
      </c>
      <c r="SZ332" s="0" t="n">
        <v>2</v>
      </c>
      <c r="TA332" s="0" t="n">
        <f aca="false">3.18+12.73</f>
        <v>15.91</v>
      </c>
      <c r="TB332" s="0" t="n">
        <v>1</v>
      </c>
      <c r="UI332" s="16" t="n">
        <v>5.9</v>
      </c>
      <c r="UJ332" s="16" t="n">
        <v>1</v>
      </c>
      <c r="UK332" s="16" t="n">
        <v>2</v>
      </c>
      <c r="UL332" s="16"/>
      <c r="UM332" s="16" t="n">
        <f aca="false">0.09+0.18*3+0.13+0.53+1.07*2+1.34*2+0.17*2+3.18+12.73</f>
        <v>22.36</v>
      </c>
      <c r="UN332" s="16"/>
      <c r="UO332" s="16"/>
      <c r="UP332" s="16"/>
      <c r="UQ332" s="16"/>
      <c r="UR332" s="16"/>
      <c r="US332" s="16"/>
      <c r="UT332" s="16" t="n">
        <v>11.45</v>
      </c>
      <c r="UU332" s="16" t="n">
        <v>41.19</v>
      </c>
      <c r="UV332" s="16"/>
      <c r="UW332" s="16"/>
      <c r="UX332" s="16" t="n">
        <v>0</v>
      </c>
      <c r="UY332" s="16" t="n">
        <v>0</v>
      </c>
      <c r="UZ332" s="16" t="n">
        <v>0</v>
      </c>
      <c r="VA332" s="0" t="n">
        <v>0</v>
      </c>
      <c r="VB332" s="0" t="s">
        <v>223</v>
      </c>
      <c r="VC332" s="0" t="n">
        <v>30.5</v>
      </c>
      <c r="VD332" s="16" t="n">
        <v>68.8</v>
      </c>
      <c r="VE332" s="16" t="n">
        <v>80.4</v>
      </c>
      <c r="VF332" s="16" t="n">
        <v>16.3</v>
      </c>
      <c r="VG332" s="0" t="n">
        <v>66.28</v>
      </c>
      <c r="VH332" s="0" t="n">
        <v>20.09</v>
      </c>
      <c r="VI332" s="0" t="n">
        <v>1.81</v>
      </c>
      <c r="VJ332" s="0" t="n">
        <v>0</v>
      </c>
      <c r="VK332" s="0" t="n">
        <v>11.82</v>
      </c>
      <c r="VL332" s="0" t="n">
        <v>0</v>
      </c>
      <c r="VM332" s="0" t="n">
        <v>0</v>
      </c>
      <c r="VN332" s="0" t="n">
        <v>0</v>
      </c>
      <c r="VO332" s="0" t="n">
        <v>0</v>
      </c>
      <c r="VP332" s="0" t="n">
        <v>0</v>
      </c>
      <c r="VQ332" s="0" t="n">
        <v>0</v>
      </c>
      <c r="VR332" s="0" t="n">
        <v>0</v>
      </c>
      <c r="VS332" s="0" t="n">
        <v>13.17</v>
      </c>
      <c r="VT332" s="0" t="n">
        <v>35.75</v>
      </c>
      <c r="VU332" s="0" t="n">
        <v>0</v>
      </c>
      <c r="VV332" s="0" t="n">
        <v>0</v>
      </c>
      <c r="VW332" s="0" t="n">
        <v>0</v>
      </c>
      <c r="VX332" s="0" t="n">
        <v>0</v>
      </c>
      <c r="WK332" s="0" t="n">
        <v>0</v>
      </c>
      <c r="WL332" s="0" t="n">
        <v>1</v>
      </c>
      <c r="WM332" s="0" t="n">
        <v>52</v>
      </c>
      <c r="WN332" s="0" t="n">
        <v>1</v>
      </c>
      <c r="WO332" s="0" t="n">
        <v>0.01</v>
      </c>
      <c r="WP332" s="0" t="n">
        <v>2</v>
      </c>
      <c r="WW332" s="18"/>
      <c r="XO332" s="0" t="n">
        <v>0</v>
      </c>
      <c r="YZ332" s="16" t="n">
        <v>5.43</v>
      </c>
      <c r="ZA332" s="16" t="n">
        <v>1</v>
      </c>
      <c r="ZB332" s="16" t="n">
        <v>1</v>
      </c>
      <c r="ZC332" s="16"/>
      <c r="ZD332" s="16" t="n">
        <f aca="false">0.09*2+0.07+1.36</f>
        <v>1.61</v>
      </c>
      <c r="ZE332" s="16" t="n">
        <v>2</v>
      </c>
      <c r="ZF332" s="16"/>
      <c r="ZG332" s="16" t="n">
        <f aca="false">4.2+0.09+0.66+0.01+3.18+3.18</f>
        <v>11.32</v>
      </c>
      <c r="ZH332" s="16"/>
      <c r="ZI332" s="16"/>
      <c r="ZJ332" s="16"/>
      <c r="ZK332" s="16" t="n">
        <v>8.61</v>
      </c>
      <c r="ZL332" s="16" t="n">
        <v>26.91</v>
      </c>
      <c r="ZM332" s="16"/>
      <c r="ZN332" s="16"/>
      <c r="ZO332" s="16" t="n">
        <v>0</v>
      </c>
      <c r="ZP332" s="16" t="n">
        <v>0</v>
      </c>
      <c r="ZQ332" s="16" t="n">
        <v>0</v>
      </c>
      <c r="ZR332" s="0" t="n">
        <v>0</v>
      </c>
      <c r="ZS332" s="0" t="s">
        <v>224</v>
      </c>
      <c r="ZT332" s="0" t="n">
        <v>39.5</v>
      </c>
      <c r="ZU332" s="16" t="n">
        <v>60.8</v>
      </c>
      <c r="ZV332" s="16" t="n">
        <v>80.4</v>
      </c>
      <c r="ZW332" s="16" t="n">
        <v>22.9</v>
      </c>
      <c r="ZX332" s="0" t="n">
        <v>67.01</v>
      </c>
      <c r="ZY332" s="0" t="n">
        <v>11.71</v>
      </c>
      <c r="ZZ332" s="0" t="n">
        <v>16.61</v>
      </c>
      <c r="AAA332" s="0" t="n">
        <v>0</v>
      </c>
      <c r="AAB332" s="0" t="n">
        <v>4.67</v>
      </c>
      <c r="AAC332" s="0" t="n">
        <v>0</v>
      </c>
      <c r="AAD332" s="0" t="n">
        <v>0</v>
      </c>
      <c r="AAE332" s="0" t="n">
        <v>0</v>
      </c>
      <c r="AAF332" s="0" t="n">
        <v>0</v>
      </c>
      <c r="AAG332" s="0" t="n">
        <v>0</v>
      </c>
      <c r="AAH332" s="0" t="n">
        <v>0</v>
      </c>
      <c r="AAI332" s="0" t="n">
        <v>0</v>
      </c>
      <c r="AAJ332" s="0" t="n">
        <v>20.9</v>
      </c>
      <c r="AAK332" s="0" t="n">
        <v>25.23</v>
      </c>
      <c r="AAL332" s="0" t="n">
        <v>0.58</v>
      </c>
      <c r="AAM332" s="0" t="n">
        <v>0</v>
      </c>
      <c r="AAN332" s="0" t="n">
        <v>0</v>
      </c>
      <c r="AAO332" s="0" t="n">
        <v>0</v>
      </c>
      <c r="ABB332" s="0" t="n">
        <v>2</v>
      </c>
      <c r="ABC332" s="0" t="n">
        <v>1</v>
      </c>
      <c r="ABD332" s="0" t="n">
        <v>103</v>
      </c>
      <c r="ABE332" s="0" t="n">
        <v>2</v>
      </c>
      <c r="ABF332" s="0" t="n">
        <f aca="false">0.18+0.14</f>
        <v>0.32</v>
      </c>
      <c r="ABG332" s="0" t="n">
        <v>1</v>
      </c>
      <c r="ABH332" s="0" t="n">
        <v>68</v>
      </c>
      <c r="ABI332" s="0" t="n">
        <v>1</v>
      </c>
      <c r="ABJ332" s="0" t="n">
        <v>0.01</v>
      </c>
      <c r="ABK332" s="0" t="n">
        <v>1</v>
      </c>
      <c r="ABL332" s="0" t="n">
        <v>52</v>
      </c>
      <c r="ABM332" s="0" t="n">
        <v>3</v>
      </c>
      <c r="ABN332" s="18" t="n">
        <v>0.05</v>
      </c>
      <c r="ABO332" s="0" t="n">
        <v>2</v>
      </c>
      <c r="ACF332" s="0" t="n">
        <v>0</v>
      </c>
      <c r="ADQ332" s="16" t="n">
        <v>3.66</v>
      </c>
      <c r="ADR332" s="16" t="n">
        <v>1</v>
      </c>
      <c r="ADS332" s="16" t="n">
        <v>1</v>
      </c>
      <c r="ADT332" s="16"/>
      <c r="ADU332" s="16" t="n">
        <f aca="false">2.69*3+1.35*3+0.14*2+0.1</f>
        <v>12.5</v>
      </c>
      <c r="ADV332" s="16" t="n">
        <v>2</v>
      </c>
      <c r="ADW332" s="16"/>
      <c r="ADX332" s="16" t="n">
        <f aca="false">0.66+0.35+0.18+0.14+1.25+1.23</f>
        <v>3.81</v>
      </c>
      <c r="ADY332" s="16"/>
      <c r="ADZ332" s="16"/>
      <c r="AEA332" s="16"/>
      <c r="AEB332" s="16" t="n">
        <v>10.05</v>
      </c>
      <c r="AEC332" s="16" t="n">
        <v>27.11</v>
      </c>
      <c r="AED332" s="16"/>
      <c r="AEE332" s="16"/>
      <c r="AEF332" s="16" t="n">
        <v>0</v>
      </c>
      <c r="AEG332" s="16" t="n">
        <v>0</v>
      </c>
      <c r="AEH332" s="16" t="n">
        <v>0</v>
      </c>
      <c r="AEI332" s="0" t="n">
        <v>0</v>
      </c>
      <c r="AEJ332" s="0" t="s">
        <v>225</v>
      </c>
      <c r="AEK332" s="0" t="n">
        <v>47</v>
      </c>
      <c r="AEL332" s="16" t="n">
        <v>72.3</v>
      </c>
      <c r="AEM332" s="16" t="n">
        <v>80.4</v>
      </c>
      <c r="AEN332" s="16" t="n">
        <v>18</v>
      </c>
      <c r="AEO332" s="0" t="n">
        <v>70.55</v>
      </c>
      <c r="AEP332" s="0" t="n">
        <v>6.81</v>
      </c>
      <c r="AEQ332" s="0" t="n">
        <v>3.09</v>
      </c>
      <c r="AER332" s="0" t="n">
        <v>0</v>
      </c>
      <c r="AES332" s="0" t="n">
        <v>19.55</v>
      </c>
      <c r="AET332" s="0" t="n">
        <v>0</v>
      </c>
      <c r="AEU332" s="0" t="n">
        <v>0</v>
      </c>
      <c r="AEV332" s="0" t="n">
        <v>0</v>
      </c>
      <c r="AEW332" s="0" t="n">
        <v>0</v>
      </c>
      <c r="AEX332" s="0" t="n">
        <v>0</v>
      </c>
      <c r="AEY332" s="0" t="n">
        <v>0</v>
      </c>
      <c r="AEZ332" s="0" t="n">
        <v>0</v>
      </c>
      <c r="AFA332" s="0" t="n">
        <v>18.07</v>
      </c>
      <c r="AFB332" s="0" t="n">
        <v>30.57</v>
      </c>
      <c r="AFC332" s="0" t="n">
        <v>7.61</v>
      </c>
      <c r="AFD332" s="0" t="n">
        <v>0</v>
      </c>
      <c r="AFE332" s="0" t="n">
        <v>14</v>
      </c>
      <c r="AFF332" s="0" t="n">
        <v>2</v>
      </c>
      <c r="AFG332" s="0" t="n">
        <v>5</v>
      </c>
      <c r="AFH332" s="0" t="n">
        <v>4.47</v>
      </c>
      <c r="AFJ332" s="0" t="n">
        <v>7</v>
      </c>
      <c r="AFK332" s="0" t="n">
        <v>5.15</v>
      </c>
      <c r="AFM332" s="0" t="n">
        <v>5</v>
      </c>
      <c r="AFN332" s="0" t="n">
        <v>4.47</v>
      </c>
      <c r="AFP332" s="0" t="n">
        <v>7</v>
      </c>
      <c r="AFQ332" s="0" t="n">
        <v>5.15</v>
      </c>
      <c r="AFS332" s="0" t="n">
        <v>0</v>
      </c>
      <c r="AFT332" s="0" t="n">
        <v>0</v>
      </c>
      <c r="AGE332" s="18"/>
      <c r="AGW332" s="0" t="n">
        <v>0</v>
      </c>
      <c r="AIH332" s="16" t="n">
        <v>4.21</v>
      </c>
      <c r="AII332" s="16" t="n">
        <v>1</v>
      </c>
      <c r="AIJ332" s="16" t="n">
        <v>2</v>
      </c>
      <c r="AIK332" s="16"/>
      <c r="AIL332" s="16" t="n">
        <f aca="false">7.46+1.59+0.6</f>
        <v>9.65</v>
      </c>
      <c r="AIM332" s="16"/>
      <c r="AIN332" s="16"/>
      <c r="AIO332" s="16"/>
      <c r="AIP332" s="16"/>
      <c r="AIQ332" s="16"/>
      <c r="AIR332" s="16"/>
      <c r="AIS332" s="16" t="n">
        <v>10.63</v>
      </c>
      <c r="AIT332" s="16" t="n">
        <v>36.38</v>
      </c>
      <c r="AIU332" s="16"/>
      <c r="AIV332" s="16"/>
      <c r="AIW332" s="16" t="n">
        <v>0</v>
      </c>
      <c r="AIX332" s="16" t="n">
        <v>0</v>
      </c>
      <c r="AIY332" s="16" t="n">
        <v>0</v>
      </c>
      <c r="AIZ332" s="0" t="n">
        <v>0</v>
      </c>
      <c r="AJA332" s="0" t="s">
        <v>226</v>
      </c>
      <c r="AJB332" s="0" t="n">
        <v>19</v>
      </c>
      <c r="AJC332" s="16" t="n">
        <v>82.6</v>
      </c>
      <c r="AJD332" s="16" t="n">
        <v>80.4</v>
      </c>
      <c r="AJE332" s="16" t="n">
        <v>7.7</v>
      </c>
      <c r="AJF332" s="0" t="n">
        <v>86.83</v>
      </c>
      <c r="AJG332" s="0" t="n">
        <v>12.69</v>
      </c>
      <c r="AJH332" s="0" t="n">
        <v>0</v>
      </c>
      <c r="AJI332" s="0" t="n">
        <v>0</v>
      </c>
      <c r="AJJ332" s="0" t="n">
        <v>0.48</v>
      </c>
      <c r="AJK332" s="0" t="n">
        <v>0</v>
      </c>
      <c r="AJL332" s="0" t="n">
        <v>0</v>
      </c>
      <c r="AJM332" s="0" t="n">
        <v>0</v>
      </c>
      <c r="AJN332" s="0" t="n">
        <v>0</v>
      </c>
      <c r="AJO332" s="0" t="n">
        <v>0</v>
      </c>
      <c r="AJP332" s="0" t="n">
        <v>0</v>
      </c>
      <c r="AJQ332" s="0" t="n">
        <v>0</v>
      </c>
      <c r="AJR332" s="0" t="n">
        <v>7.16</v>
      </c>
      <c r="AJS332" s="0" t="n">
        <v>10.76</v>
      </c>
      <c r="AJT332" s="0" t="n">
        <v>0</v>
      </c>
      <c r="AJU332" s="0" t="n">
        <v>0</v>
      </c>
      <c r="AJV332" s="0" t="n">
        <v>3.4</v>
      </c>
      <c r="AJW332" s="0" t="n">
        <v>2</v>
      </c>
      <c r="AJX332" s="0" t="n">
        <v>11.9</v>
      </c>
      <c r="AJY332" s="0" t="n">
        <v>0.48</v>
      </c>
      <c r="AKD332" s="0" t="n">
        <v>11.9</v>
      </c>
      <c r="AKE332" s="0" t="n">
        <v>0.48</v>
      </c>
      <c r="AKJ332" s="0" t="n">
        <v>0</v>
      </c>
      <c r="AKK332" s="0" t="n">
        <v>1</v>
      </c>
      <c r="AKL332" s="0" t="n">
        <v>34</v>
      </c>
      <c r="AKM332" s="0" t="n">
        <v>2</v>
      </c>
      <c r="AKN332" s="0" t="n">
        <f aca="false">0.84*2</f>
        <v>1.68</v>
      </c>
      <c r="AKO332" s="0" t="n">
        <v>1</v>
      </c>
      <c r="AKV332" s="18"/>
      <c r="ALN332" s="0" t="n">
        <v>0</v>
      </c>
    </row>
    <row r="333" customFormat="false" ht="13.8" hidden="false" customHeight="false" outlineLevel="0" collapsed="false">
      <c r="A333" s="1" t="s">
        <v>919</v>
      </c>
      <c r="B333" s="12" t="n">
        <v>42928</v>
      </c>
      <c r="C333" s="0" t="n">
        <v>1</v>
      </c>
      <c r="D333" s="13" t="n">
        <v>42814</v>
      </c>
      <c r="E333" s="12" t="n">
        <v>33428</v>
      </c>
      <c r="F333" s="14" t="n">
        <f aca="false">(B333-E333)/365.25</f>
        <v>26.009582477755</v>
      </c>
      <c r="G333" s="14" t="n">
        <f aca="false">(B333-D333)/365.25</f>
        <v>0.31211498973306</v>
      </c>
      <c r="H333" s="19" t="s">
        <v>217</v>
      </c>
      <c r="I333" s="15" t="s">
        <v>218</v>
      </c>
      <c r="J333" s="15" t="s">
        <v>183</v>
      </c>
      <c r="K333" s="15" t="s">
        <v>913</v>
      </c>
      <c r="L333" s="19" t="n">
        <v>45</v>
      </c>
      <c r="M333" s="0" t="n">
        <v>1.55</v>
      </c>
      <c r="N333" s="16" t="n">
        <f aca="false">L333/(M333*M333)</f>
        <v>18.7304890738814</v>
      </c>
      <c r="O333" s="19" t="n">
        <v>0</v>
      </c>
      <c r="P333" s="19" t="n">
        <v>0</v>
      </c>
      <c r="Q333" s="19" t="n">
        <v>0</v>
      </c>
      <c r="R333" s="26" t="n">
        <v>0</v>
      </c>
      <c r="S333" s="26" t="n">
        <v>0</v>
      </c>
      <c r="T333" s="26" t="n">
        <v>0</v>
      </c>
      <c r="U333" s="19" t="n">
        <v>0</v>
      </c>
      <c r="V333" s="19" t="n">
        <v>0</v>
      </c>
      <c r="W333" s="19" t="n">
        <v>0</v>
      </c>
      <c r="X333" s="19" t="n">
        <v>0</v>
      </c>
      <c r="Y333" s="19" t="n">
        <v>0</v>
      </c>
      <c r="Z333" s="19" t="n">
        <v>0</v>
      </c>
      <c r="AA333" s="19" t="n">
        <v>0</v>
      </c>
      <c r="AB333" s="19" t="n">
        <v>0</v>
      </c>
      <c r="AC333" s="19" t="n">
        <v>0</v>
      </c>
      <c r="AD333" s="19" t="n">
        <v>0</v>
      </c>
      <c r="AE333" s="19" t="n">
        <v>1</v>
      </c>
      <c r="AF333" s="19" t="n">
        <v>0</v>
      </c>
      <c r="AG333" s="19" t="n">
        <v>0</v>
      </c>
      <c r="AH333" s="19" t="n">
        <v>0</v>
      </c>
      <c r="AI333" s="19" t="n">
        <v>0</v>
      </c>
      <c r="AJ333" s="19" t="n">
        <v>0</v>
      </c>
      <c r="AK333" s="19" t="n">
        <v>0</v>
      </c>
      <c r="AL333" s="19" t="n">
        <v>0</v>
      </c>
      <c r="AM333" s="19" t="n">
        <v>0</v>
      </c>
      <c r="AN333" s="19" t="n">
        <v>0</v>
      </c>
      <c r="AO333" s="19" t="n">
        <v>0</v>
      </c>
      <c r="AP333" s="19" t="n">
        <v>0</v>
      </c>
      <c r="AQ333" s="19" t="n">
        <v>0</v>
      </c>
      <c r="AR333" s="19" t="n">
        <v>0</v>
      </c>
      <c r="AS333" s="19" t="n">
        <v>0</v>
      </c>
      <c r="AT333" s="19" t="n">
        <v>0</v>
      </c>
      <c r="AU333" s="19" t="n">
        <v>0</v>
      </c>
      <c r="AV333" s="19" t="n">
        <v>0</v>
      </c>
      <c r="AW333" s="19" t="n">
        <v>0</v>
      </c>
      <c r="AX333" s="19" t="n">
        <v>0</v>
      </c>
      <c r="AY333" s="19" t="n">
        <v>0</v>
      </c>
      <c r="AZ333" s="19" t="n">
        <v>0</v>
      </c>
      <c r="BA333" s="19" t="n">
        <v>0</v>
      </c>
      <c r="BB333" s="19" t="n">
        <v>0</v>
      </c>
      <c r="BC333" s="19" t="n">
        <v>0</v>
      </c>
      <c r="BD333" s="19" t="n">
        <v>0</v>
      </c>
      <c r="BE333" s="19" t="n">
        <v>0</v>
      </c>
      <c r="BF333" s="19" t="n">
        <v>0</v>
      </c>
      <c r="BG333" s="19" t="n">
        <v>0</v>
      </c>
      <c r="BH333" s="19" t="n">
        <v>0</v>
      </c>
      <c r="BI333" s="19" t="n">
        <v>0</v>
      </c>
      <c r="BJ333" s="19" t="n">
        <v>0</v>
      </c>
      <c r="BK333" s="19" t="n">
        <v>0</v>
      </c>
      <c r="BL333" s="19" t="n">
        <v>0</v>
      </c>
      <c r="BM333" s="19" t="n">
        <v>0</v>
      </c>
      <c r="BN333" s="19" t="n">
        <v>0</v>
      </c>
      <c r="BO333" s="19" t="n">
        <v>0</v>
      </c>
      <c r="BP333" s="19" t="n">
        <v>0</v>
      </c>
      <c r="BQ333" s="19" t="n">
        <v>0</v>
      </c>
      <c r="BR333" s="19" t="n">
        <v>1</v>
      </c>
      <c r="BS333" s="19" t="n">
        <v>1</v>
      </c>
      <c r="BT333" s="19" t="n">
        <v>2</v>
      </c>
      <c r="BU333" s="19" t="n">
        <v>5</v>
      </c>
      <c r="BV333" s="19" t="n">
        <v>1</v>
      </c>
      <c r="BW333" s="19" t="n">
        <v>1</v>
      </c>
      <c r="BX333" s="19" t="n">
        <v>4</v>
      </c>
      <c r="BY333" s="19" t="n">
        <v>5</v>
      </c>
      <c r="BZ333" s="19" t="n">
        <v>5</v>
      </c>
      <c r="CA333" s="19" t="n">
        <v>5</v>
      </c>
      <c r="CB333" s="19" t="n">
        <v>5</v>
      </c>
      <c r="CC333" s="19" t="n">
        <v>5</v>
      </c>
      <c r="CD333" s="19" t="n">
        <v>4</v>
      </c>
      <c r="CE333" s="19" t="n">
        <v>5</v>
      </c>
      <c r="CF333" s="19" t="n">
        <v>5</v>
      </c>
      <c r="CG333" s="19" t="n">
        <v>5</v>
      </c>
      <c r="CH333" s="19" t="n">
        <v>5</v>
      </c>
      <c r="CI333" s="19" t="n">
        <v>5</v>
      </c>
      <c r="CJ333" s="19" t="n">
        <v>5</v>
      </c>
      <c r="CK333" s="19" t="n">
        <v>8</v>
      </c>
      <c r="CL333" s="0" t="s">
        <v>224</v>
      </c>
      <c r="CM333" s="0" t="n">
        <v>39.5</v>
      </c>
      <c r="CN333" s="16" t="n">
        <v>60.8</v>
      </c>
      <c r="CO333" s="16" t="n">
        <v>80.4</v>
      </c>
      <c r="CP333" s="16" t="n">
        <v>22.9</v>
      </c>
      <c r="CQ333" s="0" t="n">
        <v>67.01</v>
      </c>
      <c r="CR333" s="0" t="n">
        <v>11.71</v>
      </c>
      <c r="CS333" s="0" t="n">
        <v>16.61</v>
      </c>
      <c r="CT333" s="0" t="n">
        <v>0</v>
      </c>
      <c r="CU333" s="0" t="n">
        <v>4.67</v>
      </c>
      <c r="CV333" s="0" t="n">
        <v>0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20.9</v>
      </c>
      <c r="DD333" s="0" t="n">
        <v>25.23</v>
      </c>
      <c r="DE333" s="0" t="n">
        <v>0.58</v>
      </c>
      <c r="DF333" s="0" t="n">
        <v>0</v>
      </c>
      <c r="DG333" s="0" t="n">
        <v>0</v>
      </c>
      <c r="DH333" s="0" t="n">
        <v>0</v>
      </c>
      <c r="DU333" s="0" t="n">
        <v>2</v>
      </c>
      <c r="DV333" s="0" t="n">
        <v>1</v>
      </c>
      <c r="DW333" s="0" t="n">
        <v>103</v>
      </c>
      <c r="DX333" s="0" t="n">
        <v>2</v>
      </c>
      <c r="DY333" s="0" t="n">
        <f aca="false">0.18+0.14</f>
        <v>0.32</v>
      </c>
      <c r="DZ333" s="0" t="n">
        <v>1</v>
      </c>
      <c r="EA333" s="0" t="n">
        <v>68</v>
      </c>
      <c r="EB333" s="0" t="n">
        <v>1</v>
      </c>
      <c r="EC333" s="0" t="n">
        <v>0.01</v>
      </c>
      <c r="ED333" s="0" t="n">
        <v>1</v>
      </c>
      <c r="EE333" s="0" t="n">
        <v>52</v>
      </c>
      <c r="EF333" s="0" t="n">
        <v>3</v>
      </c>
      <c r="EG333" s="18" t="n">
        <v>0.05</v>
      </c>
      <c r="EH333" s="0" t="n">
        <v>2</v>
      </c>
      <c r="EY333" s="0" t="n">
        <v>0</v>
      </c>
      <c r="GJ333" s="16" t="n">
        <v>3.66</v>
      </c>
      <c r="GK333" s="16" t="n">
        <v>1</v>
      </c>
      <c r="GL333" s="16" t="n">
        <v>1</v>
      </c>
      <c r="GM333" s="16"/>
      <c r="GN333" s="16" t="n">
        <f aca="false">2.69*3+1.35*3+0.14*2+0.1</f>
        <v>12.5</v>
      </c>
      <c r="GO333" s="16" t="n">
        <v>2</v>
      </c>
      <c r="GP333" s="16"/>
      <c r="GQ333" s="16" t="n">
        <f aca="false">0.66+0.35+0.18+0.14+1.25+1.23</f>
        <v>3.81</v>
      </c>
      <c r="GR333" s="16"/>
      <c r="GS333" s="16"/>
      <c r="GT333" s="16"/>
      <c r="GU333" s="16" t="n">
        <v>10.05</v>
      </c>
      <c r="GV333" s="16" t="n">
        <v>27.11</v>
      </c>
      <c r="GW333" s="16"/>
      <c r="GX333" s="16"/>
      <c r="GY333" s="16" t="n">
        <v>0</v>
      </c>
      <c r="GZ333" s="16" t="n">
        <v>0</v>
      </c>
      <c r="HA333" s="16" t="n">
        <v>0</v>
      </c>
      <c r="HB333" s="0" t="n">
        <v>0</v>
      </c>
      <c r="HC333" s="0" t="s">
        <v>225</v>
      </c>
      <c r="HD333" s="0" t="n">
        <v>47</v>
      </c>
      <c r="HE333" s="16" t="n">
        <v>72.3</v>
      </c>
      <c r="HF333" s="16" t="n">
        <v>80.4</v>
      </c>
      <c r="HG333" s="16" t="n">
        <v>18</v>
      </c>
      <c r="HH333" s="0" t="n">
        <v>70.55</v>
      </c>
      <c r="HI333" s="0" t="n">
        <v>6.81</v>
      </c>
      <c r="HJ333" s="0" t="n">
        <v>3.09</v>
      </c>
      <c r="HK333" s="0" t="n">
        <v>0</v>
      </c>
      <c r="HL333" s="0" t="n">
        <v>19.55</v>
      </c>
      <c r="HM333" s="0" t="n">
        <v>0</v>
      </c>
      <c r="HN333" s="0" t="n">
        <v>0</v>
      </c>
      <c r="HO333" s="0" t="n">
        <v>0</v>
      </c>
      <c r="HP333" s="0" t="n">
        <v>0</v>
      </c>
      <c r="HQ333" s="0" t="n">
        <v>0</v>
      </c>
      <c r="HR333" s="0" t="n">
        <v>0</v>
      </c>
      <c r="HS333" s="0" t="n">
        <v>0</v>
      </c>
      <c r="HT333" s="0" t="n">
        <v>18.07</v>
      </c>
      <c r="HU333" s="0" t="n">
        <v>30.57</v>
      </c>
      <c r="HV333" s="0" t="n">
        <v>7.61</v>
      </c>
      <c r="HW333" s="0" t="n">
        <v>0</v>
      </c>
      <c r="HX333" s="0" t="n">
        <v>14</v>
      </c>
      <c r="HY333" s="0" t="n">
        <v>2</v>
      </c>
      <c r="HZ333" s="0" t="n">
        <v>5</v>
      </c>
      <c r="IA333" s="0" t="n">
        <v>4.47</v>
      </c>
      <c r="IC333" s="0" t="n">
        <v>7</v>
      </c>
      <c r="ID333" s="0" t="n">
        <v>5.15</v>
      </c>
      <c r="IF333" s="0" t="n">
        <v>5</v>
      </c>
      <c r="IG333" s="0" t="n">
        <v>4.47</v>
      </c>
      <c r="II333" s="0" t="n">
        <v>7</v>
      </c>
      <c r="IJ333" s="0" t="n">
        <v>5.15</v>
      </c>
      <c r="IL333" s="0" t="n">
        <v>0</v>
      </c>
      <c r="IM333" s="0" t="n">
        <v>0</v>
      </c>
      <c r="IX333" s="18"/>
      <c r="JP333" s="0" t="n">
        <v>0</v>
      </c>
      <c r="LA333" s="16" t="n">
        <v>4.21</v>
      </c>
      <c r="LB333" s="16" t="n">
        <v>1</v>
      </c>
      <c r="LC333" s="16" t="n">
        <v>2</v>
      </c>
      <c r="LD333" s="16"/>
      <c r="LE333" s="16" t="n">
        <f aca="false">7.46+1.59+0.6</f>
        <v>9.65</v>
      </c>
      <c r="LF333" s="16"/>
      <c r="LG333" s="16"/>
      <c r="LH333" s="16"/>
      <c r="LI333" s="16"/>
      <c r="LJ333" s="16"/>
      <c r="LK333" s="16"/>
      <c r="LL333" s="16" t="n">
        <v>10.63</v>
      </c>
      <c r="LM333" s="16" t="n">
        <v>36.38</v>
      </c>
      <c r="LN333" s="16"/>
      <c r="LO333" s="16"/>
      <c r="LP333" s="16" t="n">
        <v>0</v>
      </c>
      <c r="LQ333" s="16" t="n">
        <v>0</v>
      </c>
      <c r="LR333" s="16" t="n">
        <v>0</v>
      </c>
      <c r="LS333" s="0" t="n">
        <v>0</v>
      </c>
      <c r="LT333" s="0" t="s">
        <v>226</v>
      </c>
      <c r="LU333" s="0" t="n">
        <v>19</v>
      </c>
      <c r="LV333" s="16" t="n">
        <v>82.6</v>
      </c>
      <c r="LW333" s="16" t="n">
        <v>80.4</v>
      </c>
      <c r="LX333" s="16" t="n">
        <v>7.7</v>
      </c>
      <c r="LY333" s="0" t="n">
        <v>86.83</v>
      </c>
      <c r="LZ333" s="0" t="n">
        <v>12.69</v>
      </c>
      <c r="MA333" s="0" t="n">
        <v>0</v>
      </c>
      <c r="MB333" s="0" t="n">
        <v>0</v>
      </c>
      <c r="MC333" s="0" t="n">
        <v>0.48</v>
      </c>
      <c r="MD333" s="0" t="n">
        <v>0</v>
      </c>
      <c r="ME333" s="0" t="n">
        <v>0</v>
      </c>
      <c r="MF333" s="0" t="n">
        <v>0</v>
      </c>
      <c r="MG333" s="0" t="n">
        <v>0</v>
      </c>
      <c r="MH333" s="0" t="n">
        <v>0</v>
      </c>
      <c r="MI333" s="0" t="n">
        <v>0</v>
      </c>
      <c r="MJ333" s="0" t="n">
        <v>0</v>
      </c>
      <c r="MK333" s="0" t="n">
        <v>7.16</v>
      </c>
      <c r="ML333" s="0" t="n">
        <v>10.76</v>
      </c>
      <c r="MM333" s="0" t="n">
        <v>0</v>
      </c>
      <c r="MN333" s="0" t="n">
        <v>0</v>
      </c>
      <c r="MO333" s="0" t="n">
        <v>3.4</v>
      </c>
      <c r="MP333" s="0" t="n">
        <v>2</v>
      </c>
      <c r="MQ333" s="0" t="n">
        <v>11.9</v>
      </c>
      <c r="MR333" s="0" t="n">
        <v>0.48</v>
      </c>
      <c r="MW333" s="0" t="n">
        <v>11.9</v>
      </c>
      <c r="MX333" s="0" t="n">
        <v>0.48</v>
      </c>
      <c r="NC333" s="0" t="n">
        <v>0</v>
      </c>
      <c r="ND333" s="0" t="n">
        <v>1</v>
      </c>
      <c r="NE333" s="0" t="n">
        <v>34</v>
      </c>
      <c r="NF333" s="0" t="n">
        <v>2</v>
      </c>
      <c r="NG333" s="0" t="n">
        <f aca="false">0.84*2</f>
        <v>1.68</v>
      </c>
      <c r="NH333" s="0" t="n">
        <v>1</v>
      </c>
      <c r="NO333" s="18"/>
      <c r="OG333" s="0" t="n">
        <v>0</v>
      </c>
      <c r="PR333" s="16" t="n">
        <v>3.25</v>
      </c>
      <c r="PS333" s="16" t="n">
        <v>1</v>
      </c>
      <c r="PT333" s="16" t="n">
        <v>2</v>
      </c>
      <c r="PU333" s="16"/>
      <c r="PV333" s="16" t="n">
        <f aca="false">1.59*2+0.21*2</f>
        <v>3.6</v>
      </c>
      <c r="PW333" s="16"/>
      <c r="PX333" s="16"/>
      <c r="PY333" s="16"/>
      <c r="PZ333" s="16"/>
      <c r="QA333" s="16"/>
      <c r="QB333" s="16"/>
      <c r="QC333" s="16" t="n">
        <v>4.26</v>
      </c>
      <c r="QD333" s="16" t="n">
        <v>4.25</v>
      </c>
      <c r="QE333" s="16"/>
      <c r="QF333" s="16"/>
      <c r="QG333" s="16" t="n">
        <v>0</v>
      </c>
      <c r="QH333" s="16" t="n">
        <v>0</v>
      </c>
      <c r="QI333" s="16" t="n">
        <v>0</v>
      </c>
      <c r="QJ333" s="0" t="n">
        <v>0</v>
      </c>
      <c r="QK333" s="0" t="s">
        <v>519</v>
      </c>
      <c r="QL333" s="0" t="n">
        <v>17.5</v>
      </c>
      <c r="QM333" s="16" t="n">
        <v>85.1</v>
      </c>
      <c r="QN333" s="16" t="n">
        <v>80.4</v>
      </c>
      <c r="QO333" s="16" t="n">
        <v>9.6</v>
      </c>
      <c r="QP333" s="0" t="n">
        <v>86.79</v>
      </c>
      <c r="QQ333" s="0" t="n">
        <v>5.81</v>
      </c>
      <c r="QR333" s="0" t="n">
        <v>6.87</v>
      </c>
      <c r="QS333" s="0" t="n">
        <v>0</v>
      </c>
      <c r="QT333" s="0" t="n">
        <v>0.52</v>
      </c>
      <c r="QU333" s="0" t="n">
        <v>0</v>
      </c>
      <c r="QV333" s="0" t="n">
        <v>0</v>
      </c>
      <c r="QW333" s="0" t="n">
        <v>0</v>
      </c>
      <c r="QX333" s="0" t="n">
        <v>0</v>
      </c>
      <c r="QY333" s="0" t="n">
        <v>0</v>
      </c>
      <c r="QZ333" s="0" t="n">
        <v>0</v>
      </c>
      <c r="RA333" s="0" t="n">
        <v>0</v>
      </c>
      <c r="RB333" s="0" t="n">
        <v>13.81</v>
      </c>
      <c r="RC333" s="0" t="n">
        <v>2.99</v>
      </c>
      <c r="RD333" s="0" t="n">
        <v>0</v>
      </c>
      <c r="RE333" s="0" t="n">
        <v>0</v>
      </c>
      <c r="RF333" s="0" t="n">
        <v>3.4</v>
      </c>
      <c r="RG333" s="0" t="n">
        <v>2</v>
      </c>
      <c r="RH333" s="0" t="n">
        <v>11.9</v>
      </c>
      <c r="RI333" s="0" t="n">
        <v>0.48</v>
      </c>
      <c r="RN333" s="0" t="n">
        <v>11.9</v>
      </c>
      <c r="RO333" s="0" t="n">
        <v>0.48</v>
      </c>
      <c r="RT333" s="0" t="n">
        <v>0</v>
      </c>
      <c r="RU333" s="0" t="n">
        <v>1</v>
      </c>
      <c r="RV333" s="0" t="n">
        <v>34</v>
      </c>
      <c r="RW333" s="0" t="n">
        <v>2</v>
      </c>
      <c r="RX333" s="0" t="n">
        <f aca="false">0.84*2</f>
        <v>1.68</v>
      </c>
      <c r="RY333" s="0" t="n">
        <v>1</v>
      </c>
      <c r="SF333" s="18"/>
      <c r="SX333" s="0" t="n">
        <v>0</v>
      </c>
      <c r="UI333" s="16" t="n">
        <v>0.81</v>
      </c>
      <c r="UJ333" s="16" t="n">
        <v>1</v>
      </c>
      <c r="UK333" s="16" t="n">
        <v>2</v>
      </c>
      <c r="UL333" s="16"/>
      <c r="UM333" s="16" t="n">
        <f aca="false">1.35*2</f>
        <v>2.7</v>
      </c>
      <c r="UN333" s="16"/>
      <c r="UO333" s="16"/>
      <c r="UP333" s="16"/>
      <c r="UQ333" s="16"/>
      <c r="UR333" s="16"/>
      <c r="US333" s="16"/>
      <c r="UT333" s="16" t="n">
        <v>3.67</v>
      </c>
      <c r="UU333" s="16" t="n">
        <v>3.18</v>
      </c>
      <c r="UV333" s="16"/>
      <c r="UW333" s="16"/>
      <c r="UX333" s="16" t="n">
        <v>0</v>
      </c>
      <c r="UY333" s="16" t="n">
        <v>0</v>
      </c>
      <c r="UZ333" s="16" t="n">
        <v>0</v>
      </c>
      <c r="VA333" s="0" t="n">
        <v>0</v>
      </c>
      <c r="VB333" s="0" t="s">
        <v>520</v>
      </c>
      <c r="VC333" s="0" t="n">
        <v>40</v>
      </c>
      <c r="VD333" s="16" t="n">
        <v>79.7</v>
      </c>
      <c r="VE333" s="16" t="n">
        <v>80.4</v>
      </c>
      <c r="VF333" s="16" t="n">
        <v>13.2</v>
      </c>
      <c r="VG333" s="0" t="n">
        <v>64.85</v>
      </c>
      <c r="VH333" s="0" t="n">
        <v>35.15</v>
      </c>
      <c r="VI333" s="0" t="n">
        <v>0</v>
      </c>
      <c r="VJ333" s="0" t="n">
        <v>0</v>
      </c>
      <c r="VK333" s="0" t="n">
        <v>0</v>
      </c>
      <c r="VL333" s="0" t="n">
        <v>0</v>
      </c>
      <c r="VM333" s="0" t="n">
        <v>0</v>
      </c>
      <c r="VN333" s="0" t="n">
        <v>0</v>
      </c>
      <c r="VO333" s="0" t="n">
        <v>0</v>
      </c>
      <c r="VP333" s="0" t="n">
        <v>0</v>
      </c>
      <c r="VQ333" s="0" t="n">
        <v>0</v>
      </c>
      <c r="VR333" s="0" t="n">
        <v>0</v>
      </c>
      <c r="VS333" s="0" t="n">
        <v>4.98</v>
      </c>
      <c r="VT333" s="0" t="n">
        <v>32.96</v>
      </c>
      <c r="VU333" s="0" t="n">
        <v>0</v>
      </c>
      <c r="VV333" s="0" t="n">
        <v>0</v>
      </c>
      <c r="VW333" s="0" t="n">
        <v>0</v>
      </c>
      <c r="VX333" s="0" t="n">
        <v>0</v>
      </c>
      <c r="WK333" s="0" t="n">
        <v>0</v>
      </c>
      <c r="WL333" s="0" t="n">
        <v>1</v>
      </c>
      <c r="WM333" s="0" t="n">
        <v>34</v>
      </c>
      <c r="WN333" s="0" t="n">
        <v>7</v>
      </c>
      <c r="WO333" s="0" t="n">
        <f aca="false">1+1.59+1.2*2</f>
        <v>4.99</v>
      </c>
      <c r="WP333" s="0" t="n">
        <v>1</v>
      </c>
      <c r="WW333" s="18"/>
      <c r="XO333" s="0" t="n">
        <v>0</v>
      </c>
      <c r="YZ333" s="16" t="n">
        <v>8.98</v>
      </c>
      <c r="ZA333" s="16" t="n">
        <v>1</v>
      </c>
      <c r="ZB333" s="16" t="n">
        <v>2</v>
      </c>
      <c r="ZC333" s="16"/>
      <c r="ZD333" s="16" t="n">
        <f aca="false">4.43*3+3.59+13.29</f>
        <v>30.17</v>
      </c>
      <c r="ZE333" s="16"/>
      <c r="ZF333" s="16"/>
      <c r="ZG333" s="16"/>
      <c r="ZH333" s="16"/>
      <c r="ZI333" s="16"/>
      <c r="ZJ333" s="16"/>
      <c r="ZK333" s="16" t="n">
        <v>17.43</v>
      </c>
      <c r="ZL333" s="16" t="n">
        <v>30.17</v>
      </c>
      <c r="ZM333" s="16"/>
      <c r="ZN333" s="16"/>
      <c r="ZO333" s="16" t="n">
        <v>0</v>
      </c>
      <c r="ZP333" s="16" t="n">
        <v>0</v>
      </c>
      <c r="ZQ333" s="16" t="n">
        <v>0</v>
      </c>
      <c r="ZR333" s="0" t="n">
        <v>0</v>
      </c>
      <c r="ZS333" s="0" t="s">
        <v>521</v>
      </c>
      <c r="ZT333" s="0" t="n">
        <v>39.5</v>
      </c>
      <c r="ZU333" s="16" t="n">
        <v>83.3</v>
      </c>
      <c r="ZV333" s="16" t="n">
        <v>80.4</v>
      </c>
      <c r="ZW333" s="16" t="n">
        <v>13.1</v>
      </c>
      <c r="ZX333" s="0" t="n">
        <v>63.39</v>
      </c>
      <c r="ZY333" s="0" t="n">
        <v>36.61</v>
      </c>
      <c r="ZZ333" s="0" t="n">
        <v>0</v>
      </c>
      <c r="AAA333" s="0" t="n">
        <v>0</v>
      </c>
      <c r="AAB333" s="0" t="n">
        <v>0</v>
      </c>
      <c r="AAC333" s="0" t="n">
        <v>0</v>
      </c>
      <c r="AAD333" s="0" t="n">
        <v>0</v>
      </c>
      <c r="AAE333" s="0" t="n">
        <v>0</v>
      </c>
      <c r="AAF333" s="0" t="n">
        <v>0</v>
      </c>
      <c r="AAG333" s="0" t="n">
        <v>0</v>
      </c>
      <c r="AAH333" s="0" t="n">
        <v>0</v>
      </c>
      <c r="AAI333" s="0" t="n">
        <v>0</v>
      </c>
      <c r="AAJ333" s="0" t="n">
        <v>7.53</v>
      </c>
      <c r="AAK333" s="0" t="n">
        <v>32.96</v>
      </c>
      <c r="AAL333" s="0" t="n">
        <v>0</v>
      </c>
      <c r="AAM333" s="0" t="n">
        <v>0</v>
      </c>
      <c r="AAN333" s="0" t="n">
        <v>0</v>
      </c>
      <c r="AAO333" s="0" t="n">
        <v>0</v>
      </c>
      <c r="ABB333" s="0" t="n">
        <v>0</v>
      </c>
      <c r="ABC333" s="0" t="n">
        <v>1</v>
      </c>
      <c r="ABD333" s="0" t="n">
        <v>34</v>
      </c>
      <c r="ABE333" s="0" t="n">
        <v>7</v>
      </c>
      <c r="ABF333" s="0" t="n">
        <f aca="false">1+1.59+1.2*2</f>
        <v>4.99</v>
      </c>
      <c r="ABG333" s="0" t="n">
        <v>1</v>
      </c>
      <c r="ABN333" s="18"/>
      <c r="ACF333" s="0" t="n">
        <v>0</v>
      </c>
      <c r="ADQ333" s="16" t="n">
        <v>8.98</v>
      </c>
      <c r="ADR333" s="16" t="n">
        <v>1</v>
      </c>
      <c r="ADS333" s="16" t="n">
        <v>2</v>
      </c>
      <c r="ADT333" s="16"/>
      <c r="ADU333" s="16" t="n">
        <f aca="false">4.43*3+13.29+3.59</f>
        <v>30.17</v>
      </c>
      <c r="ADV333" s="16"/>
      <c r="ADW333" s="16"/>
      <c r="ADX333" s="16"/>
      <c r="ADY333" s="16"/>
      <c r="ADZ333" s="16"/>
      <c r="AEA333" s="16"/>
      <c r="AEB333" s="16" t="n">
        <v>17.43</v>
      </c>
      <c r="AEC333" s="16" t="n">
        <v>30.17</v>
      </c>
      <c r="AED333" s="16"/>
      <c r="AEE333" s="16"/>
      <c r="AEF333" s="16" t="n">
        <v>0</v>
      </c>
      <c r="AEG333" s="16" t="n">
        <v>0</v>
      </c>
      <c r="AEH333" s="16" t="n">
        <v>0</v>
      </c>
      <c r="AEI333" s="0" t="n">
        <v>0</v>
      </c>
      <c r="AEJ333" s="34"/>
      <c r="AEK333" s="15"/>
      <c r="AEL333" s="15"/>
      <c r="AEN333" s="34"/>
      <c r="AEO333" s="34"/>
      <c r="AER333" s="34"/>
      <c r="AES333" s="15"/>
      <c r="AET333" s="15"/>
      <c r="AEV333" s="34"/>
      <c r="AEW333" s="34"/>
      <c r="AEZ333" s="34"/>
      <c r="AFA333" s="15"/>
      <c r="AFB333" s="15"/>
      <c r="AFD333" s="34"/>
      <c r="AFE333" s="34"/>
      <c r="AFH333" s="34"/>
      <c r="AFI333" s="15"/>
      <c r="AFJ333" s="15"/>
      <c r="AFL333" s="34"/>
      <c r="AFM333" s="34"/>
      <c r="AFP333" s="34"/>
      <c r="AFQ333" s="15"/>
      <c r="AFR333" s="15"/>
      <c r="AFT333" s="34"/>
      <c r="AFU333" s="34"/>
      <c r="AFX333" s="34"/>
      <c r="AFY333" s="15"/>
      <c r="AFZ333" s="15"/>
      <c r="AGB333" s="34"/>
      <c r="AGC333" s="34"/>
      <c r="AGF333" s="34"/>
      <c r="AGG333" s="15"/>
      <c r="AGH333" s="15"/>
      <c r="AGJ333" s="34"/>
      <c r="AGK333" s="34"/>
      <c r="AGN333" s="34"/>
      <c r="AGO333" s="15"/>
      <c r="AGP333" s="15"/>
      <c r="AGR333" s="34"/>
      <c r="AGS333" s="34"/>
      <c r="AGV333" s="34"/>
      <c r="AGW333" s="15"/>
      <c r="AGX333" s="15"/>
      <c r="AGZ333" s="34"/>
      <c r="AHA333" s="34"/>
      <c r="AHD333" s="34"/>
      <c r="AHE333" s="15"/>
      <c r="AHF333" s="15"/>
      <c r="AHH333" s="34"/>
      <c r="AHI333" s="34"/>
      <c r="AHL333" s="34"/>
      <c r="AHM333" s="15"/>
      <c r="AHN333" s="15"/>
      <c r="AHP333" s="34"/>
      <c r="AHQ333" s="34"/>
      <c r="AHT333" s="34"/>
      <c r="AHU333" s="15"/>
      <c r="AHV333" s="15"/>
      <c r="AHX333" s="34"/>
      <c r="AHY333" s="34"/>
      <c r="AIB333" s="34"/>
      <c r="AIC333" s="15"/>
      <c r="AID333" s="15"/>
      <c r="AIF333" s="34"/>
      <c r="AIG333" s="34"/>
      <c r="AIJ333" s="34"/>
      <c r="AIK333" s="15"/>
      <c r="AIL333" s="15"/>
      <c r="AIN333" s="34"/>
      <c r="AIO333" s="34"/>
      <c r="AIR333" s="34"/>
      <c r="AIS333" s="15"/>
      <c r="AIT333" s="15"/>
      <c r="AIV333" s="34"/>
      <c r="AIW333" s="34"/>
      <c r="AIZ333" s="34"/>
      <c r="AJA333" s="15"/>
      <c r="AJB333" s="15"/>
      <c r="AJD333" s="34"/>
      <c r="AJE333" s="34"/>
      <c r="AJH333" s="34"/>
      <c r="AJI333" s="15"/>
      <c r="AJJ333" s="15"/>
      <c r="AJL333" s="34"/>
      <c r="AJM333" s="34"/>
      <c r="AJP333" s="34"/>
      <c r="AJQ333" s="15"/>
      <c r="AJR333" s="15"/>
      <c r="AJT333" s="34"/>
      <c r="AJU333" s="34"/>
      <c r="AJX333" s="34"/>
      <c r="AJY333" s="15"/>
      <c r="AJZ333" s="15"/>
      <c r="AKB333" s="34"/>
      <c r="AKC333" s="34"/>
      <c r="AKF333" s="34"/>
      <c r="AKG333" s="15"/>
      <c r="AKH333" s="15"/>
      <c r="AKJ333" s="34"/>
      <c r="AKK333" s="34"/>
      <c r="AKN333" s="34"/>
      <c r="AKO333" s="15"/>
      <c r="AKP333" s="15"/>
      <c r="AKR333" s="34"/>
      <c r="AKS333" s="34"/>
      <c r="AKV333" s="34"/>
      <c r="AKW333" s="15"/>
      <c r="AKX333" s="15"/>
      <c r="AKZ333" s="34"/>
      <c r="ALA333" s="34"/>
      <c r="ALD333" s="34"/>
      <c r="ALE333" s="15"/>
      <c r="ALF333" s="15"/>
      <c r="ALH333" s="34"/>
      <c r="ALI333" s="34"/>
      <c r="ALL333" s="34"/>
      <c r="ALM333" s="15"/>
      <c r="ALN333" s="15"/>
      <c r="ALP333" s="34"/>
      <c r="ALQ333" s="34"/>
      <c r="ALT333" s="34"/>
      <c r="ALU333" s="15"/>
      <c r="ALV333" s="15"/>
      <c r="ALX333" s="34"/>
      <c r="ALY333" s="34"/>
      <c r="AMB333" s="34"/>
      <c r="AMC333" s="15"/>
      <c r="AMD333" s="15"/>
      <c r="AMF333" s="34"/>
      <c r="AMG333" s="34"/>
      <c r="AMJ333" s="34"/>
    </row>
    <row r="334" customFormat="false" ht="13.8" hidden="false" customHeight="false" outlineLevel="0" collapsed="false">
      <c r="A334" s="1" t="s">
        <v>920</v>
      </c>
      <c r="B334" s="12" t="n">
        <v>42933</v>
      </c>
      <c r="C334" s="0" t="n">
        <v>2</v>
      </c>
      <c r="D334" s="13" t="n">
        <v>42797</v>
      </c>
      <c r="E334" s="12" t="n">
        <v>32660</v>
      </c>
      <c r="F334" s="14" t="n">
        <f aca="false">(B334-E334)/365.25</f>
        <v>28.1259411362081</v>
      </c>
      <c r="G334" s="14" t="n">
        <f aca="false">(B334-D334)/365.25</f>
        <v>0.372347707049966</v>
      </c>
      <c r="H334" s="19" t="s">
        <v>217</v>
      </c>
      <c r="I334" s="15" t="s">
        <v>218</v>
      </c>
      <c r="J334" s="15" t="s">
        <v>183</v>
      </c>
      <c r="K334" s="15" t="n">
        <v>4</v>
      </c>
      <c r="L334" s="19" t="n">
        <v>85</v>
      </c>
      <c r="M334" s="0" t="n">
        <v>1.96</v>
      </c>
      <c r="N334" s="16" t="n">
        <f aca="false">L334/(M334*M334)</f>
        <v>22.1261974177426</v>
      </c>
      <c r="O334" s="19" t="n">
        <v>0</v>
      </c>
      <c r="P334" s="19" t="n">
        <v>0</v>
      </c>
      <c r="Q334" s="19" t="n">
        <v>0</v>
      </c>
      <c r="R334" s="26" t="n">
        <v>0</v>
      </c>
      <c r="S334" s="26" t="n">
        <v>0</v>
      </c>
      <c r="T334" s="26" t="n">
        <v>0</v>
      </c>
      <c r="U334" s="19" t="n">
        <v>0</v>
      </c>
      <c r="V334" s="19" t="n">
        <v>0</v>
      </c>
      <c r="W334" s="19" t="n">
        <v>0</v>
      </c>
      <c r="X334" s="19" t="n">
        <v>0</v>
      </c>
      <c r="Y334" s="19" t="n">
        <v>1</v>
      </c>
      <c r="Z334" s="19" t="n">
        <v>1</v>
      </c>
      <c r="AA334" s="19" t="n">
        <v>60</v>
      </c>
      <c r="AB334" s="19" t="s">
        <v>349</v>
      </c>
      <c r="AC334" s="19" t="n">
        <v>1</v>
      </c>
      <c r="AD334" s="19" t="n">
        <v>10</v>
      </c>
      <c r="AE334" s="19" t="n">
        <v>0</v>
      </c>
      <c r="AF334" s="19" t="n">
        <v>0</v>
      </c>
      <c r="AG334" s="19" t="n">
        <v>0</v>
      </c>
      <c r="AH334" s="19" t="n">
        <v>0</v>
      </c>
      <c r="AI334" s="19" t="n">
        <v>0</v>
      </c>
      <c r="AJ334" s="19" t="n">
        <v>0</v>
      </c>
      <c r="AK334" s="19" t="n">
        <v>0</v>
      </c>
      <c r="AL334" s="19" t="n">
        <v>0</v>
      </c>
      <c r="AM334" s="19" t="n">
        <v>0</v>
      </c>
      <c r="AN334" s="19" t="n">
        <v>0</v>
      </c>
      <c r="AO334" s="19" t="n">
        <v>0</v>
      </c>
      <c r="AP334" s="19" t="n">
        <v>0</v>
      </c>
      <c r="AQ334" s="19" t="n">
        <v>0</v>
      </c>
      <c r="AR334" s="19" t="n">
        <v>0</v>
      </c>
      <c r="AS334" s="19" t="n">
        <v>0</v>
      </c>
      <c r="AT334" s="19" t="n">
        <v>0</v>
      </c>
      <c r="AU334" s="19" t="n">
        <v>0</v>
      </c>
      <c r="AV334" s="19" t="n">
        <v>0</v>
      </c>
      <c r="AW334" s="19" t="n">
        <v>0</v>
      </c>
      <c r="AX334" s="19" t="n">
        <v>0</v>
      </c>
      <c r="AY334" s="19" t="n">
        <v>0</v>
      </c>
      <c r="AZ334" s="19" t="n">
        <v>0</v>
      </c>
      <c r="BA334" s="19" t="n">
        <v>0</v>
      </c>
      <c r="BB334" s="19" t="n">
        <v>1</v>
      </c>
      <c r="BC334" s="19" t="n">
        <v>0</v>
      </c>
      <c r="BD334" s="19" t="n">
        <v>1</v>
      </c>
      <c r="BE334" s="19" t="n">
        <v>5</v>
      </c>
      <c r="BF334" s="19" t="n">
        <v>0</v>
      </c>
      <c r="BG334" s="19" t="n">
        <v>0</v>
      </c>
      <c r="BH334" s="19" t="n">
        <v>0</v>
      </c>
      <c r="BI334" s="19" t="n">
        <v>0</v>
      </c>
      <c r="BJ334" s="19" t="n">
        <v>0</v>
      </c>
      <c r="BK334" s="19" t="n">
        <v>0</v>
      </c>
      <c r="BL334" s="19" t="n">
        <v>0</v>
      </c>
      <c r="BM334" s="19" t="n">
        <v>0</v>
      </c>
      <c r="BN334" s="19" t="n">
        <v>0</v>
      </c>
      <c r="BO334" s="19" t="n">
        <v>0</v>
      </c>
      <c r="BP334" s="19" t="n">
        <v>0</v>
      </c>
      <c r="BQ334" s="19" t="n">
        <v>0</v>
      </c>
      <c r="BR334" s="19" t="n">
        <v>2</v>
      </c>
      <c r="BS334" s="19" t="n">
        <v>2</v>
      </c>
      <c r="BT334" s="19" t="n">
        <v>3</v>
      </c>
      <c r="BU334" s="19" t="n">
        <v>5</v>
      </c>
      <c r="BV334" s="19" t="n">
        <v>3</v>
      </c>
      <c r="BW334" s="19" t="n">
        <v>3</v>
      </c>
      <c r="BX334" s="19" t="n">
        <v>4</v>
      </c>
      <c r="BY334" s="19" t="n">
        <v>3</v>
      </c>
      <c r="BZ334" s="19" t="n">
        <v>4</v>
      </c>
      <c r="CA334" s="19" t="n">
        <v>3</v>
      </c>
      <c r="CB334" s="19" t="n">
        <v>4</v>
      </c>
      <c r="CC334" s="19" t="n">
        <v>5</v>
      </c>
      <c r="CD334" s="19" t="n">
        <v>4</v>
      </c>
      <c r="CE334" s="19" t="n">
        <v>5</v>
      </c>
      <c r="CF334" s="19" t="n">
        <v>5</v>
      </c>
      <c r="CG334" s="19" t="n">
        <v>5</v>
      </c>
      <c r="CH334" s="19" t="n">
        <v>4</v>
      </c>
      <c r="CI334" s="19" t="n">
        <v>4</v>
      </c>
      <c r="CJ334" s="19" t="n">
        <v>4</v>
      </c>
      <c r="CK334" s="19" t="n">
        <v>8</v>
      </c>
      <c r="CL334" s="0" t="s">
        <v>219</v>
      </c>
      <c r="CM334" s="0" t="n">
        <v>33.5</v>
      </c>
      <c r="CN334" s="16" t="n">
        <v>91.5</v>
      </c>
      <c r="CO334" s="16" t="n">
        <v>80.4</v>
      </c>
      <c r="CP334" s="16" t="n">
        <v>20</v>
      </c>
      <c r="CQ334" s="0" t="n">
        <v>84.58</v>
      </c>
      <c r="CR334" s="17" t="n">
        <v>0</v>
      </c>
      <c r="CS334" s="0" t="n">
        <v>15.42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0</v>
      </c>
      <c r="DB334" s="0" t="n">
        <v>0</v>
      </c>
      <c r="DC334" s="0" t="n">
        <v>13.79</v>
      </c>
      <c r="DD334" s="0" t="n">
        <v>2.67</v>
      </c>
      <c r="DE334" s="0" t="n">
        <v>11.54</v>
      </c>
      <c r="DF334" s="0" t="n">
        <v>0</v>
      </c>
      <c r="DG334" s="0" t="n">
        <v>12.3</v>
      </c>
      <c r="DH334" s="0" t="n">
        <v>2</v>
      </c>
      <c r="DI334" s="0" t="n">
        <v>5</v>
      </c>
      <c r="DJ334" s="0" t="n">
        <v>2</v>
      </c>
      <c r="DO334" s="0" t="n">
        <v>5</v>
      </c>
      <c r="DP334" s="0" t="n">
        <v>2</v>
      </c>
      <c r="DU334" s="0" t="n">
        <v>0</v>
      </c>
      <c r="DV334" s="0" t="n">
        <v>1</v>
      </c>
      <c r="DW334" s="0" t="n">
        <v>34</v>
      </c>
      <c r="DX334" s="0" t="n">
        <v>2</v>
      </c>
      <c r="DY334" s="0" t="n">
        <v>0.1</v>
      </c>
      <c r="DZ334" s="0" t="n">
        <v>1</v>
      </c>
      <c r="EA334" s="0" t="n">
        <v>10</v>
      </c>
      <c r="EB334" s="0" t="n">
        <f aca="false">8*4</f>
        <v>32</v>
      </c>
      <c r="EC334" s="0" t="n">
        <f aca="false">0.06+0.01+0.4+1.7+0.24+0.14+0.96</f>
        <v>3.51</v>
      </c>
      <c r="ED334" s="0" t="n">
        <v>3</v>
      </c>
      <c r="EG334" s="18"/>
      <c r="EY334" s="0" t="n">
        <v>0</v>
      </c>
      <c r="GJ334" s="16" t="n">
        <v>0.25</v>
      </c>
      <c r="GK334" s="16" t="n">
        <v>1</v>
      </c>
      <c r="GL334" s="16" t="n">
        <v>2</v>
      </c>
      <c r="GM334" s="16"/>
      <c r="GN334" s="16" t="n">
        <v>0.55</v>
      </c>
      <c r="GO334" s="16"/>
      <c r="GP334" s="16"/>
      <c r="GQ334" s="16"/>
      <c r="GR334" s="16"/>
      <c r="GS334" s="16"/>
      <c r="GT334" s="16"/>
      <c r="GU334" s="16" t="n">
        <v>0.55</v>
      </c>
      <c r="GV334" s="16" t="n">
        <v>0.55</v>
      </c>
      <c r="GW334" s="16"/>
      <c r="GX334" s="16"/>
      <c r="GY334" s="16" t="n">
        <v>0</v>
      </c>
      <c r="GZ334" s="16" t="n">
        <v>0</v>
      </c>
      <c r="HA334" s="16" t="n">
        <v>0</v>
      </c>
      <c r="HB334" s="0" t="n">
        <v>0</v>
      </c>
      <c r="HC334" s="0" t="s">
        <v>220</v>
      </c>
      <c r="HD334" s="0" t="n">
        <v>27</v>
      </c>
      <c r="HE334" s="16" t="n">
        <v>54.4</v>
      </c>
      <c r="HF334" s="16" t="n">
        <v>80.4</v>
      </c>
      <c r="HG334" s="16" t="n">
        <v>18.1</v>
      </c>
      <c r="HH334" s="0" t="n">
        <v>81.88</v>
      </c>
      <c r="HI334" s="17" t="n">
        <v>0</v>
      </c>
      <c r="HJ334" s="0" t="n">
        <v>9.83</v>
      </c>
      <c r="HK334" s="0" t="n">
        <v>0</v>
      </c>
      <c r="HL334" s="0" t="n">
        <v>2.14</v>
      </c>
      <c r="HM334" s="0" t="n">
        <v>0</v>
      </c>
      <c r="HN334" s="0" t="n">
        <v>0</v>
      </c>
      <c r="HO334" s="0" t="n">
        <v>0</v>
      </c>
      <c r="HP334" s="0" t="n">
        <v>0</v>
      </c>
      <c r="HQ334" s="0" t="n">
        <v>0</v>
      </c>
      <c r="HR334" s="0" t="n">
        <v>0</v>
      </c>
      <c r="HS334" s="0" t="n">
        <v>0</v>
      </c>
      <c r="HT334" s="0" t="n">
        <v>2.32</v>
      </c>
      <c r="HU334" s="0" t="n">
        <v>19.66</v>
      </c>
      <c r="HV334" s="0" t="n">
        <v>3.64</v>
      </c>
      <c r="HW334" s="0" t="n">
        <v>0</v>
      </c>
      <c r="HX334" s="0" t="n">
        <v>0</v>
      </c>
      <c r="HY334" s="0" t="n">
        <v>0</v>
      </c>
      <c r="IL334" s="0" t="n">
        <v>0</v>
      </c>
      <c r="IM334" s="0" t="n">
        <v>1</v>
      </c>
      <c r="IN334" s="0" t="n">
        <v>26</v>
      </c>
      <c r="IO334" s="0" t="n">
        <v>2</v>
      </c>
      <c r="IP334" s="0" t="n">
        <v>0.05</v>
      </c>
      <c r="IQ334" s="0" t="n">
        <v>2</v>
      </c>
      <c r="IX334" s="18"/>
      <c r="JP334" s="0" t="n">
        <v>0</v>
      </c>
      <c r="LA334" s="16" t="n">
        <v>2.1</v>
      </c>
      <c r="LB334" s="16" t="n">
        <v>1</v>
      </c>
      <c r="LC334" s="16" t="n">
        <v>1</v>
      </c>
      <c r="LD334" s="16"/>
      <c r="LE334" s="16" t="n">
        <f aca="false">0.1+0.76*2+2.02+1.35*2+0.67</f>
        <v>7.01</v>
      </c>
      <c r="LF334" s="16"/>
      <c r="LG334" s="16"/>
      <c r="LH334" s="16"/>
      <c r="LI334" s="16"/>
      <c r="LJ334" s="16"/>
      <c r="LK334" s="16"/>
      <c r="LL334" s="16" t="n">
        <v>6.35</v>
      </c>
      <c r="LM334" s="16" t="n">
        <v>14.8</v>
      </c>
      <c r="LN334" s="16"/>
      <c r="LO334" s="16"/>
      <c r="LP334" s="16" t="n">
        <v>0</v>
      </c>
      <c r="LQ334" s="16" t="n">
        <v>0</v>
      </c>
      <c r="LR334" s="16" t="n">
        <v>0</v>
      </c>
      <c r="LS334" s="0" t="n">
        <v>0</v>
      </c>
      <c r="LT334" s="0" t="s">
        <v>221</v>
      </c>
      <c r="LU334" s="0" t="n">
        <v>20.5</v>
      </c>
      <c r="LV334" s="16" t="n">
        <v>76.9</v>
      </c>
      <c r="LW334" s="16" t="n">
        <v>80.4</v>
      </c>
      <c r="LX334" s="16" t="n">
        <v>9.1</v>
      </c>
      <c r="LY334" s="0" t="n">
        <v>88.58</v>
      </c>
      <c r="LZ334" s="0" t="n">
        <v>10.3</v>
      </c>
      <c r="MA334" s="0" t="n">
        <v>1.12</v>
      </c>
      <c r="MB334" s="0" t="n">
        <v>0</v>
      </c>
      <c r="MC334" s="0" t="n">
        <v>0</v>
      </c>
      <c r="MD334" s="0" t="n">
        <v>0</v>
      </c>
      <c r="ME334" s="0" t="n">
        <v>0</v>
      </c>
      <c r="MF334" s="0" t="n">
        <v>0</v>
      </c>
      <c r="MG334" s="0" t="n">
        <v>0</v>
      </c>
      <c r="MH334" s="0" t="n">
        <v>0</v>
      </c>
      <c r="MI334" s="0" t="n">
        <v>0</v>
      </c>
      <c r="MJ334" s="0" t="n">
        <v>0</v>
      </c>
      <c r="MK334" s="0" t="n">
        <v>6.33</v>
      </c>
      <c r="ML334" s="0" t="n">
        <v>16.97</v>
      </c>
      <c r="MM334" s="0" t="n">
        <v>0</v>
      </c>
      <c r="MN334" s="0" t="n">
        <v>0</v>
      </c>
      <c r="MO334" s="0" t="n">
        <v>4.1</v>
      </c>
      <c r="MP334" s="0" t="n">
        <v>2</v>
      </c>
      <c r="MQ334" s="0" t="n">
        <v>5</v>
      </c>
      <c r="MR334" s="0" t="n">
        <v>1</v>
      </c>
      <c r="MW334" s="0" t="n">
        <v>5</v>
      </c>
      <c r="MX334" s="0" t="n">
        <v>1</v>
      </c>
      <c r="NC334" s="0" t="n">
        <v>0</v>
      </c>
      <c r="ND334" s="0" t="n">
        <v>0</v>
      </c>
      <c r="NO334" s="18"/>
      <c r="OG334" s="0" t="n">
        <v>0</v>
      </c>
      <c r="PR334" s="16" t="n">
        <v>2.24</v>
      </c>
      <c r="PS334" s="16" t="n">
        <v>1</v>
      </c>
      <c r="PT334" s="16" t="n">
        <v>2</v>
      </c>
      <c r="PU334" s="16"/>
      <c r="PV334" s="16" t="n">
        <v>4.97</v>
      </c>
      <c r="PW334" s="16"/>
      <c r="PX334" s="16"/>
      <c r="PY334" s="16"/>
      <c r="PZ334" s="16"/>
      <c r="QA334" s="16"/>
      <c r="QB334" s="16"/>
      <c r="QC334" s="16" t="n">
        <v>5.1</v>
      </c>
      <c r="QD334" s="16" t="n">
        <v>5.97</v>
      </c>
      <c r="QE334" s="16"/>
      <c r="QF334" s="16"/>
      <c r="QG334" s="16" t="n">
        <v>0</v>
      </c>
      <c r="QH334" s="16" t="n">
        <v>0</v>
      </c>
      <c r="QI334" s="16" t="n">
        <v>0</v>
      </c>
      <c r="QJ334" s="0" t="n">
        <v>0</v>
      </c>
      <c r="QK334" s="0" t="s">
        <v>222</v>
      </c>
      <c r="QL334" s="0" t="n">
        <v>32.5</v>
      </c>
      <c r="QM334" s="16" t="n">
        <v>96.7</v>
      </c>
      <c r="QN334" s="16" t="n">
        <v>80.4</v>
      </c>
      <c r="QO334" s="16" t="n">
        <v>15.1</v>
      </c>
      <c r="QP334" s="0" t="n">
        <v>52.24</v>
      </c>
      <c r="QQ334" s="0" t="n">
        <v>45.43</v>
      </c>
      <c r="QR334" s="0" t="n">
        <v>1.12</v>
      </c>
      <c r="QS334" s="0" t="n">
        <v>0</v>
      </c>
      <c r="QT334" s="0" t="n">
        <v>1.2</v>
      </c>
      <c r="QU334" s="0" t="n">
        <v>0</v>
      </c>
      <c r="QV334" s="0" t="n">
        <v>0</v>
      </c>
      <c r="QW334" s="0" t="n">
        <v>0</v>
      </c>
      <c r="QX334" s="0" t="n">
        <v>0</v>
      </c>
      <c r="QY334" s="0" t="n">
        <v>0</v>
      </c>
      <c r="QZ334" s="0" t="n">
        <v>0</v>
      </c>
      <c r="RA334" s="0" t="n">
        <v>1.2</v>
      </c>
      <c r="RB334" s="0" t="n">
        <v>15.88</v>
      </c>
      <c r="RC334" s="0" t="n">
        <v>48.59</v>
      </c>
      <c r="RD334" s="0" t="n">
        <v>0</v>
      </c>
      <c r="RE334" s="0" t="n">
        <v>0</v>
      </c>
      <c r="RF334" s="0" t="n">
        <v>0</v>
      </c>
      <c r="RG334" s="0" t="n">
        <v>0</v>
      </c>
      <c r="RT334" s="0" t="n">
        <v>0</v>
      </c>
      <c r="RU334" s="0" t="n">
        <v>0</v>
      </c>
      <c r="SF334" s="18"/>
      <c r="SX334" s="0" t="n">
        <v>1</v>
      </c>
      <c r="SY334" s="0" t="n">
        <v>50</v>
      </c>
      <c r="SZ334" s="0" t="n">
        <v>2</v>
      </c>
      <c r="TA334" s="0" t="n">
        <f aca="false">3.18+12.73</f>
        <v>15.91</v>
      </c>
      <c r="TB334" s="0" t="n">
        <v>1</v>
      </c>
      <c r="UI334" s="16" t="n">
        <v>5.9</v>
      </c>
      <c r="UJ334" s="16" t="n">
        <v>1</v>
      </c>
      <c r="UK334" s="16" t="n">
        <v>2</v>
      </c>
      <c r="UL334" s="16"/>
      <c r="UM334" s="16" t="n">
        <f aca="false">0.09+0.18*3+0.13+0.53+1.07*2+1.34*2+0.17*2+3.18+12.73</f>
        <v>22.36</v>
      </c>
      <c r="UN334" s="16"/>
      <c r="UO334" s="16"/>
      <c r="UP334" s="16"/>
      <c r="UQ334" s="16"/>
      <c r="UR334" s="16"/>
      <c r="US334" s="16"/>
      <c r="UT334" s="16" t="n">
        <v>11.45</v>
      </c>
      <c r="UU334" s="16" t="n">
        <v>41.19</v>
      </c>
      <c r="UV334" s="16"/>
      <c r="UW334" s="16"/>
      <c r="UX334" s="16" t="n">
        <v>0</v>
      </c>
      <c r="UY334" s="16" t="n">
        <v>0</v>
      </c>
      <c r="UZ334" s="16" t="n">
        <v>0</v>
      </c>
      <c r="VA334" s="0" t="n">
        <v>0</v>
      </c>
      <c r="VB334" s="0" t="s">
        <v>223</v>
      </c>
      <c r="VC334" s="0" t="n">
        <v>30.5</v>
      </c>
      <c r="VD334" s="16" t="n">
        <v>68.8</v>
      </c>
      <c r="VE334" s="16" t="n">
        <v>80.4</v>
      </c>
      <c r="VF334" s="16" t="n">
        <v>16.3</v>
      </c>
      <c r="VG334" s="0" t="n">
        <v>66.28</v>
      </c>
      <c r="VH334" s="0" t="n">
        <v>20.09</v>
      </c>
      <c r="VI334" s="0" t="n">
        <v>1.81</v>
      </c>
      <c r="VJ334" s="0" t="n">
        <v>0</v>
      </c>
      <c r="VK334" s="0" t="n">
        <v>11.82</v>
      </c>
      <c r="VL334" s="0" t="n">
        <v>0</v>
      </c>
      <c r="VM334" s="0" t="n">
        <v>0</v>
      </c>
      <c r="VN334" s="0" t="n">
        <v>0</v>
      </c>
      <c r="VO334" s="0" t="n">
        <v>0</v>
      </c>
      <c r="VP334" s="0" t="n">
        <v>0</v>
      </c>
      <c r="VQ334" s="0" t="n">
        <v>0</v>
      </c>
      <c r="VR334" s="0" t="n">
        <v>0</v>
      </c>
      <c r="VS334" s="0" t="n">
        <v>13.17</v>
      </c>
      <c r="VT334" s="0" t="n">
        <v>35.75</v>
      </c>
      <c r="VU334" s="0" t="n">
        <v>0</v>
      </c>
      <c r="VV334" s="0" t="n">
        <v>0</v>
      </c>
      <c r="VW334" s="0" t="n">
        <v>0</v>
      </c>
      <c r="VX334" s="0" t="n">
        <v>0</v>
      </c>
      <c r="WK334" s="0" t="n">
        <v>0</v>
      </c>
      <c r="WL334" s="0" t="n">
        <v>1</v>
      </c>
      <c r="WM334" s="0" t="n">
        <v>52</v>
      </c>
      <c r="WN334" s="0" t="n">
        <v>1</v>
      </c>
      <c r="WO334" s="0" t="n">
        <v>0.01</v>
      </c>
      <c r="WP334" s="0" t="n">
        <v>2</v>
      </c>
      <c r="WW334" s="18"/>
      <c r="XO334" s="0" t="n">
        <v>0</v>
      </c>
      <c r="YZ334" s="16" t="n">
        <v>5.43</v>
      </c>
      <c r="ZA334" s="16" t="n">
        <v>1</v>
      </c>
      <c r="ZB334" s="16" t="n">
        <v>1</v>
      </c>
      <c r="ZC334" s="16"/>
      <c r="ZD334" s="16" t="n">
        <f aca="false">0.09*2+0.07+1.36</f>
        <v>1.61</v>
      </c>
      <c r="ZE334" s="16" t="n">
        <v>2</v>
      </c>
      <c r="ZF334" s="16"/>
      <c r="ZG334" s="16" t="n">
        <f aca="false">4.2+0.09+0.66+0.01+3.18+3.18</f>
        <v>11.32</v>
      </c>
      <c r="ZH334" s="16"/>
      <c r="ZI334" s="16"/>
      <c r="ZJ334" s="16"/>
      <c r="ZK334" s="16" t="n">
        <v>8.61</v>
      </c>
      <c r="ZL334" s="16" t="n">
        <v>26.91</v>
      </c>
      <c r="ZM334" s="16"/>
      <c r="ZN334" s="16"/>
      <c r="ZO334" s="16" t="n">
        <v>0</v>
      </c>
      <c r="ZP334" s="16" t="n">
        <v>0</v>
      </c>
      <c r="ZQ334" s="16" t="n">
        <v>0</v>
      </c>
      <c r="ZR334" s="0" t="n">
        <v>0</v>
      </c>
      <c r="ZS334" s="0" t="s">
        <v>224</v>
      </c>
      <c r="ZT334" s="0" t="n">
        <v>39.5</v>
      </c>
      <c r="ZU334" s="16" t="n">
        <v>60.8</v>
      </c>
      <c r="ZV334" s="16" t="n">
        <v>80.4</v>
      </c>
      <c r="ZW334" s="16" t="n">
        <v>22.9</v>
      </c>
      <c r="ZX334" s="0" t="n">
        <v>67.01</v>
      </c>
      <c r="ZY334" s="0" t="n">
        <v>11.71</v>
      </c>
      <c r="ZZ334" s="0" t="n">
        <v>16.61</v>
      </c>
      <c r="AAA334" s="0" t="n">
        <v>0</v>
      </c>
      <c r="AAB334" s="0" t="n">
        <v>4.67</v>
      </c>
      <c r="AAC334" s="0" t="n">
        <v>0</v>
      </c>
      <c r="AAD334" s="0" t="n">
        <v>0</v>
      </c>
      <c r="AAE334" s="0" t="n">
        <v>0</v>
      </c>
      <c r="AAF334" s="0" t="n">
        <v>0</v>
      </c>
      <c r="AAG334" s="0" t="n">
        <v>0</v>
      </c>
      <c r="AAH334" s="0" t="n">
        <v>0</v>
      </c>
      <c r="AAI334" s="0" t="n">
        <v>0</v>
      </c>
      <c r="AAJ334" s="0" t="n">
        <v>20.9</v>
      </c>
      <c r="AAK334" s="0" t="n">
        <v>25.23</v>
      </c>
      <c r="AAL334" s="0" t="n">
        <v>0.58</v>
      </c>
      <c r="AAM334" s="0" t="n">
        <v>0</v>
      </c>
      <c r="AAN334" s="0" t="n">
        <v>0</v>
      </c>
      <c r="AAO334" s="0" t="n">
        <v>0</v>
      </c>
      <c r="ABB334" s="0" t="n">
        <v>2</v>
      </c>
      <c r="ABC334" s="0" t="n">
        <v>1</v>
      </c>
      <c r="ABD334" s="0" t="n">
        <v>103</v>
      </c>
      <c r="ABE334" s="0" t="n">
        <v>2</v>
      </c>
      <c r="ABF334" s="0" t="n">
        <f aca="false">0.18+0.14</f>
        <v>0.32</v>
      </c>
      <c r="ABG334" s="0" t="n">
        <v>1</v>
      </c>
      <c r="ABH334" s="0" t="n">
        <v>68</v>
      </c>
      <c r="ABI334" s="0" t="n">
        <v>1</v>
      </c>
      <c r="ABJ334" s="0" t="n">
        <v>0.01</v>
      </c>
      <c r="ABK334" s="0" t="n">
        <v>1</v>
      </c>
      <c r="ABL334" s="0" t="n">
        <v>52</v>
      </c>
      <c r="ABM334" s="0" t="n">
        <v>3</v>
      </c>
      <c r="ABN334" s="18" t="n">
        <v>0.05</v>
      </c>
      <c r="ABO334" s="0" t="n">
        <v>2</v>
      </c>
      <c r="ACF334" s="0" t="n">
        <v>0</v>
      </c>
      <c r="ADQ334" s="16" t="n">
        <v>3.66</v>
      </c>
      <c r="ADR334" s="16" t="n">
        <v>1</v>
      </c>
      <c r="ADS334" s="16" t="n">
        <v>1</v>
      </c>
      <c r="ADT334" s="16"/>
      <c r="ADU334" s="16" t="n">
        <f aca="false">2.69*3+1.35*3+0.14*2+0.1</f>
        <v>12.5</v>
      </c>
      <c r="ADV334" s="16" t="n">
        <v>2</v>
      </c>
      <c r="ADW334" s="16"/>
      <c r="ADX334" s="16" t="n">
        <f aca="false">0.66+0.35+0.18+0.14+1.25+1.23</f>
        <v>3.81</v>
      </c>
      <c r="ADY334" s="16"/>
      <c r="ADZ334" s="16"/>
      <c r="AEA334" s="16"/>
      <c r="AEB334" s="16" t="n">
        <v>10.05</v>
      </c>
      <c r="AEC334" s="16" t="n">
        <v>27.11</v>
      </c>
      <c r="AED334" s="16"/>
      <c r="AEE334" s="16"/>
      <c r="AEF334" s="16" t="n">
        <v>0</v>
      </c>
      <c r="AEG334" s="16" t="n">
        <v>0</v>
      </c>
      <c r="AEH334" s="16" t="n">
        <v>0</v>
      </c>
      <c r="AEI334" s="0" t="n">
        <v>0</v>
      </c>
      <c r="AEJ334" s="0" t="s">
        <v>225</v>
      </c>
      <c r="AEK334" s="0" t="n">
        <v>47</v>
      </c>
      <c r="AEL334" s="16" t="n">
        <v>72.3</v>
      </c>
      <c r="AEM334" s="16" t="n">
        <v>80.4</v>
      </c>
      <c r="AEN334" s="16" t="n">
        <v>18</v>
      </c>
      <c r="AEO334" s="0" t="n">
        <v>70.55</v>
      </c>
      <c r="AEP334" s="0" t="n">
        <v>6.81</v>
      </c>
      <c r="AEQ334" s="0" t="n">
        <v>3.09</v>
      </c>
      <c r="AER334" s="0" t="n">
        <v>0</v>
      </c>
      <c r="AES334" s="0" t="n">
        <v>19.55</v>
      </c>
      <c r="AET334" s="0" t="n">
        <v>0</v>
      </c>
      <c r="AEU334" s="0" t="n">
        <v>0</v>
      </c>
      <c r="AEV334" s="0" t="n">
        <v>0</v>
      </c>
      <c r="AEW334" s="0" t="n">
        <v>0</v>
      </c>
      <c r="AEX334" s="0" t="n">
        <v>0</v>
      </c>
      <c r="AEY334" s="0" t="n">
        <v>0</v>
      </c>
      <c r="AEZ334" s="0" t="n">
        <v>0</v>
      </c>
      <c r="AFA334" s="0" t="n">
        <v>18.07</v>
      </c>
      <c r="AFB334" s="0" t="n">
        <v>30.57</v>
      </c>
      <c r="AFC334" s="0" t="n">
        <v>7.61</v>
      </c>
      <c r="AFD334" s="0" t="n">
        <v>0</v>
      </c>
      <c r="AFE334" s="0" t="n">
        <v>14</v>
      </c>
      <c r="AFF334" s="0" t="n">
        <v>2</v>
      </c>
      <c r="AFG334" s="0" t="n">
        <v>5</v>
      </c>
      <c r="AFH334" s="0" t="n">
        <v>4.47</v>
      </c>
      <c r="AFJ334" s="0" t="n">
        <v>7</v>
      </c>
      <c r="AFK334" s="0" t="n">
        <v>5.15</v>
      </c>
      <c r="AFM334" s="0" t="n">
        <v>5</v>
      </c>
      <c r="AFN334" s="0" t="n">
        <v>4.47</v>
      </c>
      <c r="AFP334" s="0" t="n">
        <v>7</v>
      </c>
      <c r="AFQ334" s="0" t="n">
        <v>5.15</v>
      </c>
      <c r="AFS334" s="0" t="n">
        <v>0</v>
      </c>
      <c r="AFT334" s="0" t="n">
        <v>0</v>
      </c>
      <c r="AGE334" s="18"/>
      <c r="AGW334" s="0" t="n">
        <v>0</v>
      </c>
      <c r="AIH334" s="16" t="n">
        <v>4.21</v>
      </c>
      <c r="AII334" s="16" t="n">
        <v>1</v>
      </c>
      <c r="AIJ334" s="16" t="n">
        <v>2</v>
      </c>
      <c r="AIK334" s="16"/>
      <c r="AIL334" s="16" t="n">
        <f aca="false">7.46+1.59+0.6</f>
        <v>9.65</v>
      </c>
      <c r="AIM334" s="16"/>
      <c r="AIN334" s="16"/>
      <c r="AIO334" s="16"/>
      <c r="AIP334" s="16"/>
      <c r="AIQ334" s="16"/>
      <c r="AIR334" s="16"/>
      <c r="AIS334" s="16" t="n">
        <v>10.63</v>
      </c>
      <c r="AIT334" s="16" t="n">
        <v>36.38</v>
      </c>
      <c r="AIU334" s="16"/>
      <c r="AIV334" s="16"/>
      <c r="AIW334" s="16" t="n">
        <v>0</v>
      </c>
      <c r="AIX334" s="16" t="n">
        <v>0</v>
      </c>
      <c r="AIY334" s="16" t="n">
        <v>0</v>
      </c>
      <c r="AIZ334" s="0" t="n">
        <v>0</v>
      </c>
      <c r="AJA334" s="0" t="s">
        <v>226</v>
      </c>
      <c r="AJB334" s="0" t="n">
        <v>19</v>
      </c>
      <c r="AJC334" s="16" t="n">
        <v>82.6</v>
      </c>
      <c r="AJD334" s="16" t="n">
        <v>80.4</v>
      </c>
      <c r="AJE334" s="16" t="n">
        <v>7.7</v>
      </c>
      <c r="AJF334" s="0" t="n">
        <v>86.83</v>
      </c>
      <c r="AJG334" s="0" t="n">
        <v>12.69</v>
      </c>
      <c r="AJH334" s="0" t="n">
        <v>0</v>
      </c>
      <c r="AJI334" s="0" t="n">
        <v>0</v>
      </c>
      <c r="AJJ334" s="0" t="n">
        <v>0.48</v>
      </c>
      <c r="AJK334" s="0" t="n">
        <v>0</v>
      </c>
      <c r="AJL334" s="0" t="n">
        <v>0</v>
      </c>
      <c r="AJM334" s="0" t="n">
        <v>0</v>
      </c>
      <c r="AJN334" s="0" t="n">
        <v>0</v>
      </c>
      <c r="AJO334" s="0" t="n">
        <v>0</v>
      </c>
      <c r="AJP334" s="0" t="n">
        <v>0</v>
      </c>
      <c r="AJQ334" s="0" t="n">
        <v>0</v>
      </c>
      <c r="AJR334" s="0" t="n">
        <v>7.16</v>
      </c>
      <c r="AJS334" s="0" t="n">
        <v>10.76</v>
      </c>
      <c r="AJT334" s="0" t="n">
        <v>0</v>
      </c>
      <c r="AJU334" s="0" t="n">
        <v>0</v>
      </c>
      <c r="AJV334" s="0" t="n">
        <v>3.4</v>
      </c>
      <c r="AJW334" s="0" t="n">
        <v>2</v>
      </c>
      <c r="AJX334" s="0" t="n">
        <v>11.9</v>
      </c>
      <c r="AJY334" s="0" t="n">
        <v>0.48</v>
      </c>
      <c r="AKD334" s="0" t="n">
        <v>11.9</v>
      </c>
      <c r="AKE334" s="0" t="n">
        <v>0.48</v>
      </c>
      <c r="AKJ334" s="0" t="n">
        <v>0</v>
      </c>
      <c r="AKK334" s="0" t="n">
        <v>1</v>
      </c>
      <c r="AKL334" s="0" t="n">
        <v>34</v>
      </c>
      <c r="AKM334" s="0" t="n">
        <v>2</v>
      </c>
      <c r="AKN334" s="0" t="n">
        <f aca="false">0.84*2</f>
        <v>1.68</v>
      </c>
      <c r="AKO334" s="0" t="n">
        <v>1</v>
      </c>
      <c r="AKV334" s="18"/>
      <c r="ALN334" s="0" t="n">
        <v>0</v>
      </c>
    </row>
    <row r="335" customFormat="false" ht="13.8" hidden="false" customHeight="false" outlineLevel="0" collapsed="false">
      <c r="A335" s="1" t="s">
        <v>921</v>
      </c>
      <c r="B335" s="12" t="n">
        <v>42929</v>
      </c>
      <c r="C335" s="0" t="n">
        <v>2</v>
      </c>
      <c r="D335" s="13" t="n">
        <v>42801</v>
      </c>
      <c r="E335" s="12" t="n">
        <v>33445</v>
      </c>
      <c r="F335" s="14" t="n">
        <f aca="false">(B335-E335)/365.25</f>
        <v>25.9657768651608</v>
      </c>
      <c r="G335" s="14" t="n">
        <f aca="false">(B335-D335)/365.25</f>
        <v>0.350444900752909</v>
      </c>
      <c r="H335" s="19" t="s">
        <v>217</v>
      </c>
      <c r="I335" s="15" t="s">
        <v>218</v>
      </c>
      <c r="J335" s="15" t="s">
        <v>183</v>
      </c>
      <c r="K335" s="15" t="n">
        <v>4</v>
      </c>
      <c r="L335" s="19" t="n">
        <v>91</v>
      </c>
      <c r="M335" s="0" t="n">
        <v>1.7</v>
      </c>
      <c r="N335" s="16" t="n">
        <f aca="false">L335/(M335*M335)</f>
        <v>31.4878892733564</v>
      </c>
      <c r="O335" s="19" t="n">
        <v>0</v>
      </c>
      <c r="P335" s="19" t="n">
        <v>0</v>
      </c>
      <c r="Q335" s="19" t="n">
        <v>0</v>
      </c>
      <c r="R335" s="26" t="n">
        <v>0</v>
      </c>
      <c r="S335" s="26" t="n">
        <v>0</v>
      </c>
      <c r="T335" s="26" t="n">
        <v>0</v>
      </c>
      <c r="U335" s="19" t="n">
        <v>0</v>
      </c>
      <c r="V335" s="19" t="n">
        <v>0</v>
      </c>
      <c r="W335" s="19" t="n">
        <v>1</v>
      </c>
      <c r="X335" s="19" t="n">
        <v>0</v>
      </c>
      <c r="Y335" s="19" t="n">
        <v>0</v>
      </c>
      <c r="Z335" s="19" t="n">
        <v>0</v>
      </c>
      <c r="AA335" s="19" t="n">
        <v>0</v>
      </c>
      <c r="AB335" s="19" t="n">
        <v>0</v>
      </c>
      <c r="AC335" s="19" t="n">
        <v>0</v>
      </c>
      <c r="AD335" s="19" t="n">
        <v>0</v>
      </c>
      <c r="AE335" s="19" t="n">
        <v>0</v>
      </c>
      <c r="AF335" s="19" t="n">
        <v>0</v>
      </c>
      <c r="AG335" s="19" t="n">
        <v>0</v>
      </c>
      <c r="AH335" s="19" t="n">
        <v>0</v>
      </c>
      <c r="AI335" s="19" t="n">
        <v>0</v>
      </c>
      <c r="AJ335" s="19" t="n">
        <v>0</v>
      </c>
      <c r="AK335" s="19" t="n">
        <v>0</v>
      </c>
      <c r="AL335" s="19" t="n">
        <v>0</v>
      </c>
      <c r="AM335" s="19" t="n">
        <v>0</v>
      </c>
      <c r="AN335" s="19" t="n">
        <v>0</v>
      </c>
      <c r="AO335" s="19" t="n">
        <v>0</v>
      </c>
      <c r="AP335" s="19" t="n">
        <v>0</v>
      </c>
      <c r="AQ335" s="19" t="n">
        <v>0</v>
      </c>
      <c r="AR335" s="19" t="n">
        <v>0</v>
      </c>
      <c r="AS335" s="19" t="n">
        <v>0</v>
      </c>
      <c r="AT335" s="19" t="n">
        <v>0</v>
      </c>
      <c r="AU335" s="19" t="n">
        <v>0</v>
      </c>
      <c r="AV335" s="19" t="n">
        <v>0</v>
      </c>
      <c r="AW335" s="19" t="n">
        <v>0</v>
      </c>
      <c r="AX335" s="19" t="n">
        <v>0</v>
      </c>
      <c r="AY335" s="19" t="n">
        <v>0</v>
      </c>
      <c r="AZ335" s="19" t="n">
        <v>0</v>
      </c>
      <c r="BA335" s="19" t="n">
        <v>0</v>
      </c>
      <c r="BB335" s="19" t="n">
        <v>1</v>
      </c>
      <c r="BC335" s="19" t="n">
        <v>0</v>
      </c>
      <c r="BD335" s="19" t="n">
        <v>1</v>
      </c>
      <c r="BE335" s="19" t="n">
        <v>1</v>
      </c>
      <c r="BF335" s="19" t="n">
        <v>0</v>
      </c>
      <c r="BG335" s="19" t="n">
        <v>0</v>
      </c>
      <c r="BH335" s="19" t="n">
        <v>0</v>
      </c>
      <c r="BI335" s="19" t="n">
        <v>0</v>
      </c>
      <c r="BJ335" s="19" t="n">
        <v>0</v>
      </c>
      <c r="BK335" s="19" t="n">
        <v>0</v>
      </c>
      <c r="BL335" s="19" t="n">
        <v>0</v>
      </c>
      <c r="BM335" s="19" t="n">
        <v>0</v>
      </c>
      <c r="BN335" s="19" t="n">
        <v>0</v>
      </c>
      <c r="BO335" s="19" t="n">
        <v>0</v>
      </c>
      <c r="BP335" s="19" t="n">
        <v>0</v>
      </c>
      <c r="BQ335" s="19" t="n">
        <v>0</v>
      </c>
      <c r="BR335" s="19" t="n">
        <v>1</v>
      </c>
      <c r="BS335" s="19" t="n">
        <v>2</v>
      </c>
      <c r="BT335" s="19" t="n">
        <v>2</v>
      </c>
      <c r="BU335" s="19" t="n">
        <v>5</v>
      </c>
      <c r="BV335" s="19" t="n">
        <v>2</v>
      </c>
      <c r="BW335" s="19" t="n">
        <v>1</v>
      </c>
      <c r="BX335" s="19" t="n">
        <v>3</v>
      </c>
      <c r="BY335" s="19" t="n">
        <v>3</v>
      </c>
      <c r="BZ335" s="19" t="n">
        <v>5</v>
      </c>
      <c r="CA335" s="19" t="n">
        <v>4</v>
      </c>
      <c r="CB335" s="19" t="n">
        <v>5</v>
      </c>
      <c r="CC335" s="19" t="n">
        <v>5</v>
      </c>
      <c r="CD335" s="19" t="n">
        <v>5</v>
      </c>
      <c r="CE335" s="19" t="n">
        <v>4</v>
      </c>
      <c r="CF335" s="19" t="n">
        <v>5</v>
      </c>
      <c r="CG335" s="19" t="n">
        <v>5</v>
      </c>
      <c r="CH335" s="19"/>
      <c r="CI335" s="19"/>
      <c r="CJ335" s="19"/>
      <c r="CK335" s="19"/>
      <c r="CL335" s="0" t="s">
        <v>219</v>
      </c>
      <c r="CM335" s="0" t="n">
        <v>33.5</v>
      </c>
      <c r="CN335" s="16" t="n">
        <v>91.5</v>
      </c>
      <c r="CO335" s="16" t="n">
        <v>80.4</v>
      </c>
      <c r="CP335" s="16" t="n">
        <v>20</v>
      </c>
      <c r="CQ335" s="0" t="n">
        <v>84.58</v>
      </c>
      <c r="CR335" s="17" t="n">
        <v>0</v>
      </c>
      <c r="CS335" s="0" t="n">
        <v>15.42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0</v>
      </c>
      <c r="CZ335" s="0" t="n">
        <v>0</v>
      </c>
      <c r="DA335" s="0" t="n">
        <v>0</v>
      </c>
      <c r="DB335" s="0" t="n">
        <v>0</v>
      </c>
      <c r="DC335" s="0" t="n">
        <v>13.79</v>
      </c>
      <c r="DD335" s="0" t="n">
        <v>2.67</v>
      </c>
      <c r="DE335" s="0" t="n">
        <v>11.54</v>
      </c>
      <c r="DF335" s="0" t="n">
        <v>0</v>
      </c>
      <c r="DG335" s="0" t="n">
        <v>12.3</v>
      </c>
      <c r="DH335" s="0" t="n">
        <v>2</v>
      </c>
      <c r="DI335" s="0" t="n">
        <v>5</v>
      </c>
      <c r="DJ335" s="0" t="n">
        <v>2</v>
      </c>
      <c r="DO335" s="0" t="n">
        <v>5</v>
      </c>
      <c r="DP335" s="0" t="n">
        <v>2</v>
      </c>
      <c r="DU335" s="0" t="n">
        <v>0</v>
      </c>
      <c r="DV335" s="0" t="n">
        <v>1</v>
      </c>
      <c r="DW335" s="0" t="n">
        <v>34</v>
      </c>
      <c r="DX335" s="0" t="n">
        <v>2</v>
      </c>
      <c r="DY335" s="0" t="n">
        <v>0.1</v>
      </c>
      <c r="DZ335" s="0" t="n">
        <v>1</v>
      </c>
      <c r="EA335" s="0" t="n">
        <v>10</v>
      </c>
      <c r="EB335" s="0" t="n">
        <f aca="false">8*4</f>
        <v>32</v>
      </c>
      <c r="EC335" s="0" t="n">
        <f aca="false">0.06+0.01+0.4+1.7+0.24+0.14+0.96</f>
        <v>3.51</v>
      </c>
      <c r="ED335" s="0" t="n">
        <v>3</v>
      </c>
      <c r="EG335" s="18"/>
      <c r="EY335" s="0" t="n">
        <v>0</v>
      </c>
      <c r="GJ335" s="16" t="n">
        <v>0.25</v>
      </c>
      <c r="GK335" s="16" t="n">
        <v>1</v>
      </c>
      <c r="GL335" s="16" t="n">
        <v>2</v>
      </c>
      <c r="GM335" s="16"/>
      <c r="GN335" s="16" t="n">
        <v>0.55</v>
      </c>
      <c r="GO335" s="16"/>
      <c r="GP335" s="16"/>
      <c r="GQ335" s="16"/>
      <c r="GR335" s="16"/>
      <c r="GS335" s="16"/>
      <c r="GT335" s="16"/>
      <c r="GU335" s="16" t="n">
        <v>0.55</v>
      </c>
      <c r="GV335" s="16" t="n">
        <v>0.55</v>
      </c>
      <c r="GW335" s="16"/>
      <c r="GX335" s="16"/>
      <c r="GY335" s="16" t="n">
        <v>0</v>
      </c>
      <c r="GZ335" s="16" t="n">
        <v>0</v>
      </c>
      <c r="HA335" s="16" t="n">
        <v>0</v>
      </c>
      <c r="HB335" s="0" t="n">
        <v>0</v>
      </c>
      <c r="HC335" s="0" t="s">
        <v>220</v>
      </c>
      <c r="HD335" s="0" t="n">
        <v>27</v>
      </c>
      <c r="HE335" s="16" t="n">
        <v>54.4</v>
      </c>
      <c r="HF335" s="16" t="n">
        <v>80.4</v>
      </c>
      <c r="HG335" s="16" t="n">
        <v>18.1</v>
      </c>
      <c r="HH335" s="0" t="n">
        <v>81.88</v>
      </c>
      <c r="HI335" s="17" t="n">
        <v>0</v>
      </c>
      <c r="HJ335" s="0" t="n">
        <v>9.83</v>
      </c>
      <c r="HK335" s="0" t="n">
        <v>0</v>
      </c>
      <c r="HL335" s="0" t="n">
        <v>2.14</v>
      </c>
      <c r="HM335" s="0" t="n">
        <v>0</v>
      </c>
      <c r="HN335" s="0" t="n">
        <v>0</v>
      </c>
      <c r="HO335" s="0" t="n">
        <v>0</v>
      </c>
      <c r="HP335" s="0" t="n">
        <v>0</v>
      </c>
      <c r="HQ335" s="0" t="n">
        <v>0</v>
      </c>
      <c r="HR335" s="0" t="n">
        <v>0</v>
      </c>
      <c r="HS335" s="0" t="n">
        <v>0</v>
      </c>
      <c r="HT335" s="0" t="n">
        <v>2.32</v>
      </c>
      <c r="HU335" s="0" t="n">
        <v>19.66</v>
      </c>
      <c r="HV335" s="0" t="n">
        <v>3.64</v>
      </c>
      <c r="HW335" s="0" t="n">
        <v>0</v>
      </c>
      <c r="HX335" s="0" t="n">
        <v>0</v>
      </c>
      <c r="HY335" s="0" t="n">
        <v>0</v>
      </c>
      <c r="IL335" s="0" t="n">
        <v>0</v>
      </c>
      <c r="IM335" s="0" t="n">
        <v>1</v>
      </c>
      <c r="IN335" s="0" t="n">
        <v>26</v>
      </c>
      <c r="IO335" s="0" t="n">
        <v>2</v>
      </c>
      <c r="IP335" s="0" t="n">
        <v>0.05</v>
      </c>
      <c r="IQ335" s="0" t="n">
        <v>2</v>
      </c>
      <c r="IX335" s="18"/>
      <c r="JP335" s="0" t="n">
        <v>0</v>
      </c>
      <c r="LA335" s="16" t="n">
        <v>2.1</v>
      </c>
      <c r="LB335" s="16" t="n">
        <v>1</v>
      </c>
      <c r="LC335" s="16" t="n">
        <v>1</v>
      </c>
      <c r="LD335" s="16"/>
      <c r="LE335" s="16" t="n">
        <f aca="false">0.1+0.76*2+2.02+1.35*2+0.67</f>
        <v>7.01</v>
      </c>
      <c r="LF335" s="16"/>
      <c r="LG335" s="16"/>
      <c r="LH335" s="16"/>
      <c r="LI335" s="16"/>
      <c r="LJ335" s="16"/>
      <c r="LK335" s="16"/>
      <c r="LL335" s="16" t="n">
        <v>6.35</v>
      </c>
      <c r="LM335" s="16" t="n">
        <v>14.8</v>
      </c>
      <c r="LN335" s="16"/>
      <c r="LO335" s="16"/>
      <c r="LP335" s="16" t="n">
        <v>0</v>
      </c>
      <c r="LQ335" s="16" t="n">
        <v>0</v>
      </c>
      <c r="LR335" s="16" t="n">
        <v>0</v>
      </c>
      <c r="LS335" s="0" t="n">
        <v>0</v>
      </c>
      <c r="LT335" s="0" t="s">
        <v>221</v>
      </c>
      <c r="LU335" s="0" t="n">
        <v>20.5</v>
      </c>
      <c r="LV335" s="16" t="n">
        <v>76.9</v>
      </c>
      <c r="LW335" s="16" t="n">
        <v>80.4</v>
      </c>
      <c r="LX335" s="16" t="n">
        <v>9.1</v>
      </c>
      <c r="LY335" s="0" t="n">
        <v>88.58</v>
      </c>
      <c r="LZ335" s="0" t="n">
        <v>10.3</v>
      </c>
      <c r="MA335" s="0" t="n">
        <v>1.12</v>
      </c>
      <c r="MB335" s="0" t="n">
        <v>0</v>
      </c>
      <c r="MC335" s="0" t="n">
        <v>0</v>
      </c>
      <c r="MD335" s="0" t="n">
        <v>0</v>
      </c>
      <c r="ME335" s="0" t="n">
        <v>0</v>
      </c>
      <c r="MF335" s="0" t="n">
        <v>0</v>
      </c>
      <c r="MG335" s="0" t="n">
        <v>0</v>
      </c>
      <c r="MH335" s="0" t="n">
        <v>0</v>
      </c>
      <c r="MI335" s="0" t="n">
        <v>0</v>
      </c>
      <c r="MJ335" s="0" t="n">
        <v>0</v>
      </c>
      <c r="MK335" s="0" t="n">
        <v>6.33</v>
      </c>
      <c r="ML335" s="0" t="n">
        <v>16.97</v>
      </c>
      <c r="MM335" s="0" t="n">
        <v>0</v>
      </c>
      <c r="MN335" s="0" t="n">
        <v>0</v>
      </c>
      <c r="MO335" s="0" t="n">
        <v>4.1</v>
      </c>
      <c r="MP335" s="0" t="n">
        <v>2</v>
      </c>
      <c r="MQ335" s="0" t="n">
        <v>5</v>
      </c>
      <c r="MR335" s="0" t="n">
        <v>1</v>
      </c>
      <c r="MW335" s="0" t="n">
        <v>5</v>
      </c>
      <c r="MX335" s="0" t="n">
        <v>1</v>
      </c>
      <c r="NC335" s="0" t="n">
        <v>0</v>
      </c>
      <c r="ND335" s="0" t="n">
        <v>0</v>
      </c>
      <c r="NO335" s="18"/>
      <c r="OG335" s="0" t="n">
        <v>0</v>
      </c>
      <c r="PR335" s="16" t="n">
        <v>2.24</v>
      </c>
      <c r="PS335" s="16" t="n">
        <v>1</v>
      </c>
      <c r="PT335" s="16" t="n">
        <v>2</v>
      </c>
      <c r="PU335" s="16"/>
      <c r="PV335" s="16" t="n">
        <v>4.97</v>
      </c>
      <c r="PW335" s="16"/>
      <c r="PX335" s="16"/>
      <c r="PY335" s="16"/>
      <c r="PZ335" s="16"/>
      <c r="QA335" s="16"/>
      <c r="QB335" s="16"/>
      <c r="QC335" s="16" t="n">
        <v>5.1</v>
      </c>
      <c r="QD335" s="16" t="n">
        <v>5.97</v>
      </c>
      <c r="QE335" s="16"/>
      <c r="QF335" s="16"/>
      <c r="QG335" s="16" t="n">
        <v>0</v>
      </c>
      <c r="QH335" s="16" t="n">
        <v>0</v>
      </c>
      <c r="QI335" s="16" t="n">
        <v>0</v>
      </c>
      <c r="QJ335" s="0" t="n">
        <v>0</v>
      </c>
      <c r="QK335" s="0" t="s">
        <v>222</v>
      </c>
      <c r="QL335" s="0" t="n">
        <v>32.5</v>
      </c>
      <c r="QM335" s="16" t="n">
        <v>96.7</v>
      </c>
      <c r="QN335" s="16" t="n">
        <v>80.4</v>
      </c>
      <c r="QO335" s="16" t="n">
        <v>15.1</v>
      </c>
      <c r="QP335" s="0" t="n">
        <v>52.24</v>
      </c>
      <c r="QQ335" s="0" t="n">
        <v>45.43</v>
      </c>
      <c r="QR335" s="0" t="n">
        <v>1.12</v>
      </c>
      <c r="QS335" s="0" t="n">
        <v>0</v>
      </c>
      <c r="QT335" s="0" t="n">
        <v>1.2</v>
      </c>
      <c r="QU335" s="0" t="n">
        <v>0</v>
      </c>
      <c r="QV335" s="0" t="n">
        <v>0</v>
      </c>
      <c r="QW335" s="0" t="n">
        <v>0</v>
      </c>
      <c r="QX335" s="0" t="n">
        <v>0</v>
      </c>
      <c r="QY335" s="0" t="n">
        <v>0</v>
      </c>
      <c r="QZ335" s="0" t="n">
        <v>0</v>
      </c>
      <c r="RA335" s="0" t="n">
        <v>1.2</v>
      </c>
      <c r="RB335" s="0" t="n">
        <v>15.88</v>
      </c>
      <c r="RC335" s="0" t="n">
        <v>48.59</v>
      </c>
      <c r="RD335" s="0" t="n">
        <v>0</v>
      </c>
      <c r="RE335" s="0" t="n">
        <v>0</v>
      </c>
      <c r="RF335" s="0" t="n">
        <v>0</v>
      </c>
      <c r="RG335" s="0" t="n">
        <v>0</v>
      </c>
      <c r="RT335" s="0" t="n">
        <v>0</v>
      </c>
      <c r="RU335" s="0" t="n">
        <v>0</v>
      </c>
      <c r="SF335" s="18"/>
      <c r="SX335" s="0" t="n">
        <v>1</v>
      </c>
      <c r="SY335" s="0" t="n">
        <v>50</v>
      </c>
      <c r="SZ335" s="0" t="n">
        <v>2</v>
      </c>
      <c r="TA335" s="0" t="n">
        <f aca="false">3.18+12.73</f>
        <v>15.91</v>
      </c>
      <c r="TB335" s="0" t="n">
        <v>1</v>
      </c>
      <c r="UI335" s="16" t="n">
        <v>5.9</v>
      </c>
      <c r="UJ335" s="16" t="n">
        <v>1</v>
      </c>
      <c r="UK335" s="16" t="n">
        <v>2</v>
      </c>
      <c r="UL335" s="16"/>
      <c r="UM335" s="16" t="n">
        <f aca="false">0.09+0.18*3+0.13+0.53+1.07*2+1.34*2+0.17*2+3.18+12.73</f>
        <v>22.36</v>
      </c>
      <c r="UN335" s="16"/>
      <c r="UO335" s="16"/>
      <c r="UP335" s="16"/>
      <c r="UQ335" s="16"/>
      <c r="UR335" s="16"/>
      <c r="US335" s="16"/>
      <c r="UT335" s="16" t="n">
        <v>11.45</v>
      </c>
      <c r="UU335" s="16" t="n">
        <v>41.19</v>
      </c>
      <c r="UV335" s="16"/>
      <c r="UW335" s="16"/>
      <c r="UX335" s="16" t="n">
        <v>0</v>
      </c>
      <c r="UY335" s="16" t="n">
        <v>0</v>
      </c>
      <c r="UZ335" s="16" t="n">
        <v>0</v>
      </c>
      <c r="VA335" s="0" t="n">
        <v>0</v>
      </c>
      <c r="VB335" s="0" t="s">
        <v>223</v>
      </c>
      <c r="VC335" s="0" t="n">
        <v>30.5</v>
      </c>
      <c r="VD335" s="16" t="n">
        <v>68.8</v>
      </c>
      <c r="VE335" s="16" t="n">
        <v>80.4</v>
      </c>
      <c r="VF335" s="16" t="n">
        <v>16.3</v>
      </c>
      <c r="VG335" s="0" t="n">
        <v>66.28</v>
      </c>
      <c r="VH335" s="0" t="n">
        <v>20.09</v>
      </c>
      <c r="VI335" s="0" t="n">
        <v>1.81</v>
      </c>
      <c r="VJ335" s="0" t="n">
        <v>0</v>
      </c>
      <c r="VK335" s="0" t="n">
        <v>11.82</v>
      </c>
      <c r="VL335" s="0" t="n">
        <v>0</v>
      </c>
      <c r="VM335" s="0" t="n">
        <v>0</v>
      </c>
      <c r="VN335" s="0" t="n">
        <v>0</v>
      </c>
      <c r="VO335" s="0" t="n">
        <v>0</v>
      </c>
      <c r="VP335" s="0" t="n">
        <v>0</v>
      </c>
      <c r="VQ335" s="0" t="n">
        <v>0</v>
      </c>
      <c r="VR335" s="0" t="n">
        <v>0</v>
      </c>
      <c r="VS335" s="0" t="n">
        <v>13.17</v>
      </c>
      <c r="VT335" s="0" t="n">
        <v>35.75</v>
      </c>
      <c r="VU335" s="0" t="n">
        <v>0</v>
      </c>
      <c r="VV335" s="0" t="n">
        <v>0</v>
      </c>
      <c r="VW335" s="0" t="n">
        <v>0</v>
      </c>
      <c r="VX335" s="0" t="n">
        <v>0</v>
      </c>
      <c r="WK335" s="0" t="n">
        <v>0</v>
      </c>
      <c r="WL335" s="0" t="n">
        <v>1</v>
      </c>
      <c r="WM335" s="0" t="n">
        <v>52</v>
      </c>
      <c r="WN335" s="0" t="n">
        <v>1</v>
      </c>
      <c r="WO335" s="0" t="n">
        <v>0.01</v>
      </c>
      <c r="WP335" s="0" t="n">
        <v>2</v>
      </c>
      <c r="WW335" s="18"/>
      <c r="XO335" s="0" t="n">
        <v>0</v>
      </c>
      <c r="YZ335" s="16" t="n">
        <v>5.43</v>
      </c>
      <c r="ZA335" s="16" t="n">
        <v>1</v>
      </c>
      <c r="ZB335" s="16" t="n">
        <v>1</v>
      </c>
      <c r="ZC335" s="16"/>
      <c r="ZD335" s="16" t="n">
        <f aca="false">0.09*2+0.07+1.36</f>
        <v>1.61</v>
      </c>
      <c r="ZE335" s="16" t="n">
        <v>2</v>
      </c>
      <c r="ZF335" s="16"/>
      <c r="ZG335" s="16" t="n">
        <f aca="false">4.2+0.09+0.66+0.01+3.18+3.18</f>
        <v>11.32</v>
      </c>
      <c r="ZH335" s="16"/>
      <c r="ZI335" s="16"/>
      <c r="ZJ335" s="16"/>
      <c r="ZK335" s="16" t="n">
        <v>8.61</v>
      </c>
      <c r="ZL335" s="16" t="n">
        <v>26.91</v>
      </c>
      <c r="ZM335" s="16"/>
      <c r="ZN335" s="16"/>
      <c r="ZO335" s="16" t="n">
        <v>0</v>
      </c>
      <c r="ZP335" s="16" t="n">
        <v>0</v>
      </c>
      <c r="ZQ335" s="16" t="n">
        <v>0</v>
      </c>
      <c r="ZR335" s="0" t="n">
        <v>0</v>
      </c>
      <c r="ZS335" s="0" t="s">
        <v>224</v>
      </c>
      <c r="ZT335" s="0" t="n">
        <v>39.5</v>
      </c>
      <c r="ZU335" s="16" t="n">
        <v>60.8</v>
      </c>
      <c r="ZV335" s="16" t="n">
        <v>80.4</v>
      </c>
      <c r="ZW335" s="16" t="n">
        <v>22.9</v>
      </c>
      <c r="ZX335" s="0" t="n">
        <v>67.01</v>
      </c>
      <c r="ZY335" s="0" t="n">
        <v>11.71</v>
      </c>
      <c r="ZZ335" s="0" t="n">
        <v>16.61</v>
      </c>
      <c r="AAA335" s="0" t="n">
        <v>0</v>
      </c>
      <c r="AAB335" s="0" t="n">
        <v>4.67</v>
      </c>
      <c r="AAC335" s="0" t="n">
        <v>0</v>
      </c>
      <c r="AAD335" s="0" t="n">
        <v>0</v>
      </c>
      <c r="AAE335" s="0" t="n">
        <v>0</v>
      </c>
      <c r="AAF335" s="0" t="n">
        <v>0</v>
      </c>
      <c r="AAG335" s="0" t="n">
        <v>0</v>
      </c>
      <c r="AAH335" s="0" t="n">
        <v>0</v>
      </c>
      <c r="AAI335" s="0" t="n">
        <v>0</v>
      </c>
      <c r="AAJ335" s="0" t="n">
        <v>20.9</v>
      </c>
      <c r="AAK335" s="0" t="n">
        <v>25.23</v>
      </c>
      <c r="AAL335" s="0" t="n">
        <v>0.58</v>
      </c>
      <c r="AAM335" s="0" t="n">
        <v>0</v>
      </c>
      <c r="AAN335" s="0" t="n">
        <v>0</v>
      </c>
      <c r="AAO335" s="0" t="n">
        <v>0</v>
      </c>
      <c r="ABB335" s="0" t="n">
        <v>2</v>
      </c>
      <c r="ABC335" s="0" t="n">
        <v>1</v>
      </c>
      <c r="ABD335" s="0" t="n">
        <v>103</v>
      </c>
      <c r="ABE335" s="0" t="n">
        <v>2</v>
      </c>
      <c r="ABF335" s="0" t="n">
        <f aca="false">0.18+0.14</f>
        <v>0.32</v>
      </c>
      <c r="ABG335" s="0" t="n">
        <v>1</v>
      </c>
      <c r="ABH335" s="0" t="n">
        <v>68</v>
      </c>
      <c r="ABI335" s="0" t="n">
        <v>1</v>
      </c>
      <c r="ABJ335" s="0" t="n">
        <v>0.01</v>
      </c>
      <c r="ABK335" s="0" t="n">
        <v>1</v>
      </c>
      <c r="ABL335" s="0" t="n">
        <v>52</v>
      </c>
      <c r="ABM335" s="0" t="n">
        <v>3</v>
      </c>
      <c r="ABN335" s="18" t="n">
        <v>0.05</v>
      </c>
      <c r="ABO335" s="0" t="n">
        <v>2</v>
      </c>
      <c r="ACF335" s="0" t="n">
        <v>0</v>
      </c>
      <c r="ADQ335" s="16" t="n">
        <v>3.66</v>
      </c>
      <c r="ADR335" s="16" t="n">
        <v>1</v>
      </c>
      <c r="ADS335" s="16" t="n">
        <v>1</v>
      </c>
      <c r="ADT335" s="16"/>
      <c r="ADU335" s="16" t="n">
        <f aca="false">2.69*3+1.35*3+0.14*2+0.1</f>
        <v>12.5</v>
      </c>
      <c r="ADV335" s="16" t="n">
        <v>2</v>
      </c>
      <c r="ADW335" s="16"/>
      <c r="ADX335" s="16" t="n">
        <f aca="false">0.66+0.35+0.18+0.14+1.25+1.23</f>
        <v>3.81</v>
      </c>
      <c r="ADY335" s="16"/>
      <c r="ADZ335" s="16"/>
      <c r="AEA335" s="16"/>
      <c r="AEB335" s="16" t="n">
        <v>10.05</v>
      </c>
      <c r="AEC335" s="16" t="n">
        <v>27.11</v>
      </c>
      <c r="AED335" s="16"/>
      <c r="AEE335" s="16"/>
      <c r="AEF335" s="16" t="n">
        <v>0</v>
      </c>
      <c r="AEG335" s="16" t="n">
        <v>0</v>
      </c>
      <c r="AEH335" s="16" t="n">
        <v>0</v>
      </c>
      <c r="AEI335" s="0" t="n">
        <v>0</v>
      </c>
      <c r="AEJ335" s="0" t="s">
        <v>225</v>
      </c>
      <c r="AEK335" s="0" t="n">
        <v>47</v>
      </c>
      <c r="AEL335" s="16" t="n">
        <v>72.3</v>
      </c>
      <c r="AEM335" s="16" t="n">
        <v>80.4</v>
      </c>
      <c r="AEN335" s="16" t="n">
        <v>18</v>
      </c>
      <c r="AEO335" s="0" t="n">
        <v>70.55</v>
      </c>
      <c r="AEP335" s="0" t="n">
        <v>6.81</v>
      </c>
      <c r="AEQ335" s="0" t="n">
        <v>3.09</v>
      </c>
      <c r="AER335" s="0" t="n">
        <v>0</v>
      </c>
      <c r="AES335" s="0" t="n">
        <v>19.55</v>
      </c>
      <c r="AET335" s="0" t="n">
        <v>0</v>
      </c>
      <c r="AEU335" s="0" t="n">
        <v>0</v>
      </c>
      <c r="AEV335" s="0" t="n">
        <v>0</v>
      </c>
      <c r="AEW335" s="0" t="n">
        <v>0</v>
      </c>
      <c r="AEX335" s="0" t="n">
        <v>0</v>
      </c>
      <c r="AEY335" s="0" t="n">
        <v>0</v>
      </c>
      <c r="AEZ335" s="0" t="n">
        <v>0</v>
      </c>
      <c r="AFA335" s="0" t="n">
        <v>18.07</v>
      </c>
      <c r="AFB335" s="0" t="n">
        <v>30.57</v>
      </c>
      <c r="AFC335" s="0" t="n">
        <v>7.61</v>
      </c>
      <c r="AFD335" s="0" t="n">
        <v>0</v>
      </c>
      <c r="AFE335" s="0" t="n">
        <v>14</v>
      </c>
      <c r="AFF335" s="0" t="n">
        <v>2</v>
      </c>
      <c r="AFG335" s="0" t="n">
        <v>5</v>
      </c>
      <c r="AFH335" s="0" t="n">
        <v>4.47</v>
      </c>
      <c r="AFJ335" s="0" t="n">
        <v>7</v>
      </c>
      <c r="AFK335" s="0" t="n">
        <v>5.15</v>
      </c>
      <c r="AFM335" s="0" t="n">
        <v>5</v>
      </c>
      <c r="AFN335" s="0" t="n">
        <v>4.47</v>
      </c>
      <c r="AFP335" s="0" t="n">
        <v>7</v>
      </c>
      <c r="AFQ335" s="0" t="n">
        <v>5.15</v>
      </c>
      <c r="AFS335" s="0" t="n">
        <v>0</v>
      </c>
      <c r="AFT335" s="0" t="n">
        <v>0</v>
      </c>
      <c r="AGE335" s="18"/>
      <c r="AGW335" s="0" t="n">
        <v>0</v>
      </c>
      <c r="AIH335" s="16" t="n">
        <v>4.21</v>
      </c>
      <c r="AII335" s="16" t="n">
        <v>1</v>
      </c>
      <c r="AIJ335" s="16" t="n">
        <v>2</v>
      </c>
      <c r="AIK335" s="16"/>
      <c r="AIL335" s="16" t="n">
        <f aca="false">7.46+1.59+0.6</f>
        <v>9.65</v>
      </c>
      <c r="AIM335" s="16"/>
      <c r="AIN335" s="16"/>
      <c r="AIO335" s="16"/>
      <c r="AIP335" s="16"/>
      <c r="AIQ335" s="16"/>
      <c r="AIR335" s="16"/>
      <c r="AIS335" s="16" t="n">
        <v>10.63</v>
      </c>
      <c r="AIT335" s="16" t="n">
        <v>36.38</v>
      </c>
      <c r="AIU335" s="16"/>
      <c r="AIV335" s="16"/>
      <c r="AIW335" s="16" t="n">
        <v>0</v>
      </c>
      <c r="AIX335" s="16" t="n">
        <v>0</v>
      </c>
      <c r="AIY335" s="16" t="n">
        <v>0</v>
      </c>
      <c r="AIZ335" s="0" t="n">
        <v>0</v>
      </c>
      <c r="AJA335" s="0" t="s">
        <v>226</v>
      </c>
      <c r="AJB335" s="0" t="n">
        <v>19</v>
      </c>
      <c r="AJC335" s="16" t="n">
        <v>82.6</v>
      </c>
      <c r="AJD335" s="16" t="n">
        <v>80.4</v>
      </c>
      <c r="AJE335" s="16" t="n">
        <v>7.7</v>
      </c>
      <c r="AJF335" s="0" t="n">
        <v>86.83</v>
      </c>
      <c r="AJG335" s="0" t="n">
        <v>12.69</v>
      </c>
      <c r="AJH335" s="0" t="n">
        <v>0</v>
      </c>
      <c r="AJI335" s="0" t="n">
        <v>0</v>
      </c>
      <c r="AJJ335" s="0" t="n">
        <v>0.48</v>
      </c>
      <c r="AJK335" s="0" t="n">
        <v>0</v>
      </c>
      <c r="AJL335" s="0" t="n">
        <v>0</v>
      </c>
      <c r="AJM335" s="0" t="n">
        <v>0</v>
      </c>
      <c r="AJN335" s="0" t="n">
        <v>0</v>
      </c>
      <c r="AJO335" s="0" t="n">
        <v>0</v>
      </c>
      <c r="AJP335" s="0" t="n">
        <v>0</v>
      </c>
      <c r="AJQ335" s="0" t="n">
        <v>0</v>
      </c>
      <c r="AJR335" s="0" t="n">
        <v>7.16</v>
      </c>
      <c r="AJS335" s="0" t="n">
        <v>10.76</v>
      </c>
      <c r="AJT335" s="0" t="n">
        <v>0</v>
      </c>
      <c r="AJU335" s="0" t="n">
        <v>0</v>
      </c>
      <c r="AJV335" s="0" t="n">
        <v>3.4</v>
      </c>
      <c r="AJW335" s="0" t="n">
        <v>2</v>
      </c>
      <c r="AJX335" s="0" t="n">
        <v>11.9</v>
      </c>
      <c r="AJY335" s="0" t="n">
        <v>0.48</v>
      </c>
      <c r="AKD335" s="0" t="n">
        <v>11.9</v>
      </c>
      <c r="AKE335" s="0" t="n">
        <v>0.48</v>
      </c>
      <c r="AKJ335" s="0" t="n">
        <v>0</v>
      </c>
      <c r="AKK335" s="0" t="n">
        <v>1</v>
      </c>
      <c r="AKL335" s="0" t="n">
        <v>34</v>
      </c>
      <c r="AKM335" s="0" t="n">
        <v>2</v>
      </c>
      <c r="AKN335" s="0" t="n">
        <f aca="false">0.84*2</f>
        <v>1.68</v>
      </c>
      <c r="AKO335" s="0" t="n">
        <v>1</v>
      </c>
      <c r="AKV335" s="18"/>
      <c r="ALN335" s="0" t="n">
        <v>0</v>
      </c>
    </row>
    <row r="336" customFormat="false" ht="13.8" hidden="false" customHeight="false" outlineLevel="0" collapsed="false">
      <c r="A336" s="1" t="s">
        <v>922</v>
      </c>
      <c r="B336" s="12" t="n">
        <v>42929</v>
      </c>
      <c r="C336" s="0" t="n">
        <v>2</v>
      </c>
      <c r="D336" s="13" t="n">
        <v>40721</v>
      </c>
      <c r="E336" s="12" t="n">
        <v>31427</v>
      </c>
      <c r="F336" s="14" t="n">
        <f aca="false">(B336-E336)/365.25</f>
        <v>31.4907597535934</v>
      </c>
      <c r="G336" s="14" t="n">
        <f aca="false">(B336-D336)/365.25</f>
        <v>6.04517453798768</v>
      </c>
      <c r="H336" s="19" t="s">
        <v>217</v>
      </c>
      <c r="I336" s="15" t="s">
        <v>218</v>
      </c>
      <c r="J336" s="15" t="s">
        <v>183</v>
      </c>
      <c r="K336" s="15" t="n">
        <v>4</v>
      </c>
      <c r="L336" s="19" t="n">
        <v>72</v>
      </c>
      <c r="M336" s="0" t="n">
        <v>1.75</v>
      </c>
      <c r="N336" s="16" t="n">
        <f aca="false">L336/(M336*M336)</f>
        <v>23.5102040816327</v>
      </c>
      <c r="O336" s="19" t="n">
        <v>0</v>
      </c>
      <c r="P336" s="19" t="n">
        <v>0</v>
      </c>
      <c r="Q336" s="19" t="n">
        <v>0</v>
      </c>
      <c r="R336" s="26" t="n">
        <v>0</v>
      </c>
      <c r="S336" s="26" t="n">
        <v>0</v>
      </c>
      <c r="T336" s="26" t="n">
        <v>0</v>
      </c>
      <c r="U336" s="19" t="n">
        <v>0</v>
      </c>
      <c r="V336" s="19" t="n">
        <v>0</v>
      </c>
      <c r="W336" s="19" t="n">
        <v>0</v>
      </c>
      <c r="X336" s="19" t="n">
        <v>0</v>
      </c>
      <c r="Y336" s="19" t="n">
        <v>1</v>
      </c>
      <c r="Z336" s="19" t="n">
        <v>2</v>
      </c>
      <c r="AA336" s="19" t="n">
        <v>60</v>
      </c>
      <c r="AB336" s="19" t="s">
        <v>923</v>
      </c>
      <c r="AC336" s="19" t="n">
        <v>0</v>
      </c>
      <c r="AD336" s="19" t="n">
        <v>0</v>
      </c>
      <c r="AE336" s="19" t="n">
        <v>0</v>
      </c>
      <c r="AF336" s="19" t="n">
        <v>0</v>
      </c>
      <c r="AG336" s="19" t="n">
        <v>0</v>
      </c>
      <c r="AH336" s="19" t="n">
        <v>0</v>
      </c>
      <c r="AI336" s="19" t="n">
        <v>0</v>
      </c>
      <c r="AJ336" s="19" t="n">
        <v>0</v>
      </c>
      <c r="AK336" s="19" t="n">
        <v>0</v>
      </c>
      <c r="AL336" s="19" t="n">
        <v>0</v>
      </c>
      <c r="AM336" s="19" t="n">
        <v>0</v>
      </c>
      <c r="AN336" s="19" t="n">
        <v>0</v>
      </c>
      <c r="AO336" s="19" t="n">
        <v>0</v>
      </c>
      <c r="AP336" s="19" t="n">
        <v>0</v>
      </c>
      <c r="AQ336" s="19" t="n">
        <v>0</v>
      </c>
      <c r="AR336" s="19" t="n">
        <v>0</v>
      </c>
      <c r="AS336" s="19" t="n">
        <v>0</v>
      </c>
      <c r="AT336" s="19" t="n">
        <v>0</v>
      </c>
      <c r="AU336" s="19" t="n">
        <v>0</v>
      </c>
      <c r="AV336" s="19" t="n">
        <v>0</v>
      </c>
      <c r="AW336" s="19" t="n">
        <v>0</v>
      </c>
      <c r="AX336" s="19" t="n">
        <v>0</v>
      </c>
      <c r="AY336" s="19" t="n">
        <v>0</v>
      </c>
      <c r="AZ336" s="19" t="n">
        <v>0</v>
      </c>
      <c r="BA336" s="19" t="n">
        <v>0</v>
      </c>
      <c r="BB336" s="19" t="n">
        <v>0</v>
      </c>
      <c r="BC336" s="19" t="n">
        <v>0</v>
      </c>
      <c r="BD336" s="19" t="n">
        <v>0</v>
      </c>
      <c r="BE336" s="19" t="n">
        <v>0</v>
      </c>
      <c r="BF336" s="19" t="n">
        <v>0</v>
      </c>
      <c r="BG336" s="19" t="n">
        <v>0</v>
      </c>
      <c r="BH336" s="19" t="n">
        <v>0</v>
      </c>
      <c r="BI336" s="19" t="n">
        <v>0</v>
      </c>
      <c r="BJ336" s="19" t="n">
        <v>0</v>
      </c>
      <c r="BK336" s="19" t="n">
        <v>0</v>
      </c>
      <c r="BL336" s="19" t="n">
        <v>0</v>
      </c>
      <c r="BM336" s="19" t="n">
        <v>0</v>
      </c>
      <c r="BN336" s="19" t="n">
        <v>0</v>
      </c>
      <c r="BO336" s="19" t="n">
        <v>0</v>
      </c>
      <c r="BP336" s="19" t="n">
        <v>0</v>
      </c>
      <c r="BQ336" s="19" t="n">
        <v>0</v>
      </c>
      <c r="BR336" s="19" t="n">
        <v>3</v>
      </c>
      <c r="BS336" s="19"/>
      <c r="BT336" s="19" t="n">
        <v>3</v>
      </c>
      <c r="BU336" s="19" t="n">
        <v>5</v>
      </c>
      <c r="BV336" s="19" t="n">
        <v>2</v>
      </c>
      <c r="BW336" s="19" t="n">
        <v>3</v>
      </c>
      <c r="BX336" s="19" t="n">
        <v>2</v>
      </c>
      <c r="BY336" s="19" t="n">
        <v>3</v>
      </c>
      <c r="BZ336" s="19" t="n">
        <v>3</v>
      </c>
      <c r="CA336" s="19" t="n">
        <v>4</v>
      </c>
      <c r="CB336" s="19"/>
      <c r="CC336" s="19" t="n">
        <v>5</v>
      </c>
      <c r="CD336" s="19" t="n">
        <v>3</v>
      </c>
      <c r="CE336" s="19" t="n">
        <v>3</v>
      </c>
      <c r="CF336" s="19" t="n">
        <v>4</v>
      </c>
      <c r="CG336" s="19" t="n">
        <v>5</v>
      </c>
      <c r="CH336" s="19" t="n">
        <v>3</v>
      </c>
      <c r="CI336" s="19" t="n">
        <v>4</v>
      </c>
      <c r="CJ336" s="19" t="n">
        <v>3</v>
      </c>
      <c r="CK336" s="19" t="n">
        <v>9</v>
      </c>
      <c r="CL336" s="0" t="s">
        <v>219</v>
      </c>
      <c r="CM336" s="0" t="n">
        <v>33.5</v>
      </c>
      <c r="CN336" s="16" t="n">
        <v>91.5</v>
      </c>
      <c r="CO336" s="16" t="n">
        <v>80.4</v>
      </c>
      <c r="CP336" s="16" t="n">
        <v>20</v>
      </c>
      <c r="CQ336" s="0" t="n">
        <v>84.58</v>
      </c>
      <c r="CR336" s="17" t="n">
        <v>0</v>
      </c>
      <c r="CS336" s="0" t="n">
        <v>15.42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0</v>
      </c>
      <c r="CZ336" s="0" t="n">
        <v>0</v>
      </c>
      <c r="DA336" s="0" t="n">
        <v>0</v>
      </c>
      <c r="DB336" s="0" t="n">
        <v>0</v>
      </c>
      <c r="DC336" s="0" t="n">
        <v>13.79</v>
      </c>
      <c r="DD336" s="0" t="n">
        <v>2.67</v>
      </c>
      <c r="DE336" s="0" t="n">
        <v>11.54</v>
      </c>
      <c r="DF336" s="0" t="n">
        <v>0</v>
      </c>
      <c r="DG336" s="0" t="n">
        <v>12.3</v>
      </c>
      <c r="DH336" s="0" t="n">
        <v>2</v>
      </c>
      <c r="DI336" s="0" t="n">
        <v>5</v>
      </c>
      <c r="DJ336" s="0" t="n">
        <v>2</v>
      </c>
      <c r="DO336" s="0" t="n">
        <v>5</v>
      </c>
      <c r="DP336" s="0" t="n">
        <v>2</v>
      </c>
      <c r="DU336" s="0" t="n">
        <v>0</v>
      </c>
      <c r="DV336" s="0" t="n">
        <v>1</v>
      </c>
      <c r="DW336" s="0" t="n">
        <v>34</v>
      </c>
      <c r="DX336" s="0" t="n">
        <v>2</v>
      </c>
      <c r="DY336" s="0" t="n">
        <v>0.1</v>
      </c>
      <c r="DZ336" s="0" t="n">
        <v>1</v>
      </c>
      <c r="EA336" s="0" t="n">
        <v>10</v>
      </c>
      <c r="EB336" s="0" t="n">
        <f aca="false">8*4</f>
        <v>32</v>
      </c>
      <c r="EC336" s="0" t="n">
        <f aca="false">0.06+0.01+0.4+1.7+0.24+0.14+0.96</f>
        <v>3.51</v>
      </c>
      <c r="ED336" s="0" t="n">
        <v>3</v>
      </c>
      <c r="EG336" s="18"/>
      <c r="EY336" s="0" t="n">
        <v>0</v>
      </c>
      <c r="GJ336" s="16" t="n">
        <v>0.25</v>
      </c>
      <c r="GK336" s="16" t="n">
        <v>1</v>
      </c>
      <c r="GL336" s="16" t="n">
        <v>2</v>
      </c>
      <c r="GM336" s="16"/>
      <c r="GN336" s="16" t="n">
        <v>0.55</v>
      </c>
      <c r="GO336" s="16"/>
      <c r="GP336" s="16"/>
      <c r="GQ336" s="16"/>
      <c r="GR336" s="16"/>
      <c r="GS336" s="16"/>
      <c r="GT336" s="16"/>
      <c r="GU336" s="16" t="n">
        <v>0.55</v>
      </c>
      <c r="GV336" s="16" t="n">
        <v>0.55</v>
      </c>
      <c r="GW336" s="16"/>
      <c r="GX336" s="16"/>
      <c r="GY336" s="16" t="n">
        <v>0</v>
      </c>
      <c r="GZ336" s="16" t="n">
        <v>0</v>
      </c>
      <c r="HA336" s="16" t="n">
        <v>0</v>
      </c>
      <c r="HB336" s="0" t="n">
        <v>0</v>
      </c>
      <c r="HC336" s="0" t="s">
        <v>220</v>
      </c>
      <c r="HD336" s="0" t="n">
        <v>27</v>
      </c>
      <c r="HE336" s="16" t="n">
        <v>54.4</v>
      </c>
      <c r="HF336" s="16" t="n">
        <v>80.4</v>
      </c>
      <c r="HG336" s="16" t="n">
        <v>18.1</v>
      </c>
      <c r="HH336" s="0" t="n">
        <v>81.88</v>
      </c>
      <c r="HI336" s="17" t="n">
        <v>0</v>
      </c>
      <c r="HJ336" s="0" t="n">
        <v>9.83</v>
      </c>
      <c r="HK336" s="0" t="n">
        <v>0</v>
      </c>
      <c r="HL336" s="0" t="n">
        <v>2.14</v>
      </c>
      <c r="HM336" s="0" t="n">
        <v>0</v>
      </c>
      <c r="HN336" s="0" t="n">
        <v>0</v>
      </c>
      <c r="HO336" s="0" t="n">
        <v>0</v>
      </c>
      <c r="HP336" s="0" t="n">
        <v>0</v>
      </c>
      <c r="HQ336" s="0" t="n">
        <v>0</v>
      </c>
      <c r="HR336" s="0" t="n">
        <v>0</v>
      </c>
      <c r="HS336" s="0" t="n">
        <v>0</v>
      </c>
      <c r="HT336" s="0" t="n">
        <v>2.32</v>
      </c>
      <c r="HU336" s="0" t="n">
        <v>19.66</v>
      </c>
      <c r="HV336" s="0" t="n">
        <v>3.64</v>
      </c>
      <c r="HW336" s="0" t="n">
        <v>0</v>
      </c>
      <c r="HX336" s="0" t="n">
        <v>0</v>
      </c>
      <c r="HY336" s="0" t="n">
        <v>0</v>
      </c>
      <c r="IL336" s="0" t="n">
        <v>0</v>
      </c>
      <c r="IM336" s="0" t="n">
        <v>1</v>
      </c>
      <c r="IN336" s="0" t="n">
        <v>26</v>
      </c>
      <c r="IO336" s="0" t="n">
        <v>2</v>
      </c>
      <c r="IP336" s="0" t="n">
        <v>0.05</v>
      </c>
      <c r="IQ336" s="0" t="n">
        <v>2</v>
      </c>
      <c r="IX336" s="18"/>
      <c r="JP336" s="0" t="n">
        <v>0</v>
      </c>
      <c r="LA336" s="16" t="n">
        <v>2.1</v>
      </c>
      <c r="LB336" s="16" t="n">
        <v>1</v>
      </c>
      <c r="LC336" s="16" t="n">
        <v>1</v>
      </c>
      <c r="LD336" s="16"/>
      <c r="LE336" s="16" t="n">
        <f aca="false">0.1+0.76*2+2.02+1.35*2+0.67</f>
        <v>7.01</v>
      </c>
      <c r="LF336" s="16"/>
      <c r="LG336" s="16"/>
      <c r="LH336" s="16"/>
      <c r="LI336" s="16"/>
      <c r="LJ336" s="16"/>
      <c r="LK336" s="16"/>
      <c r="LL336" s="16" t="n">
        <v>6.35</v>
      </c>
      <c r="LM336" s="16" t="n">
        <v>14.8</v>
      </c>
      <c r="LN336" s="16"/>
      <c r="LO336" s="16"/>
      <c r="LP336" s="16" t="n">
        <v>0</v>
      </c>
      <c r="LQ336" s="16" t="n">
        <v>0</v>
      </c>
      <c r="LR336" s="16" t="n">
        <v>0</v>
      </c>
      <c r="LS336" s="0" t="n">
        <v>0</v>
      </c>
      <c r="LT336" s="0" t="s">
        <v>221</v>
      </c>
      <c r="LU336" s="0" t="n">
        <v>20.5</v>
      </c>
      <c r="LV336" s="16" t="n">
        <v>76.9</v>
      </c>
      <c r="LW336" s="16" t="n">
        <v>80.4</v>
      </c>
      <c r="LX336" s="16" t="n">
        <v>9.1</v>
      </c>
      <c r="LY336" s="0" t="n">
        <v>88.58</v>
      </c>
      <c r="LZ336" s="0" t="n">
        <v>10.3</v>
      </c>
      <c r="MA336" s="0" t="n">
        <v>1.12</v>
      </c>
      <c r="MB336" s="0" t="n">
        <v>0</v>
      </c>
      <c r="MC336" s="0" t="n">
        <v>0</v>
      </c>
      <c r="MD336" s="0" t="n">
        <v>0</v>
      </c>
      <c r="ME336" s="0" t="n">
        <v>0</v>
      </c>
      <c r="MF336" s="0" t="n">
        <v>0</v>
      </c>
      <c r="MG336" s="0" t="n">
        <v>0</v>
      </c>
      <c r="MH336" s="0" t="n">
        <v>0</v>
      </c>
      <c r="MI336" s="0" t="n">
        <v>0</v>
      </c>
      <c r="MJ336" s="0" t="n">
        <v>0</v>
      </c>
      <c r="MK336" s="0" t="n">
        <v>6.33</v>
      </c>
      <c r="ML336" s="0" t="n">
        <v>16.97</v>
      </c>
      <c r="MM336" s="0" t="n">
        <v>0</v>
      </c>
      <c r="MN336" s="0" t="n">
        <v>0</v>
      </c>
      <c r="MO336" s="0" t="n">
        <v>4.1</v>
      </c>
      <c r="MP336" s="0" t="n">
        <v>2</v>
      </c>
      <c r="MQ336" s="0" t="n">
        <v>5</v>
      </c>
      <c r="MR336" s="0" t="n">
        <v>1</v>
      </c>
      <c r="MW336" s="0" t="n">
        <v>5</v>
      </c>
      <c r="MX336" s="0" t="n">
        <v>1</v>
      </c>
      <c r="NC336" s="0" t="n">
        <v>0</v>
      </c>
      <c r="ND336" s="0" t="n">
        <v>0</v>
      </c>
      <c r="NO336" s="18"/>
      <c r="OG336" s="0" t="n">
        <v>0</v>
      </c>
      <c r="PR336" s="16" t="n">
        <v>2.24</v>
      </c>
      <c r="PS336" s="16" t="n">
        <v>1</v>
      </c>
      <c r="PT336" s="16" t="n">
        <v>2</v>
      </c>
      <c r="PU336" s="16"/>
      <c r="PV336" s="16" t="n">
        <v>4.97</v>
      </c>
      <c r="PW336" s="16"/>
      <c r="PX336" s="16"/>
      <c r="PY336" s="16"/>
      <c r="PZ336" s="16"/>
      <c r="QA336" s="16"/>
      <c r="QB336" s="16"/>
      <c r="QC336" s="16" t="n">
        <v>5.1</v>
      </c>
      <c r="QD336" s="16" t="n">
        <v>5.97</v>
      </c>
      <c r="QE336" s="16"/>
      <c r="QF336" s="16"/>
      <c r="QG336" s="16" t="n">
        <v>0</v>
      </c>
      <c r="QH336" s="16" t="n">
        <v>0</v>
      </c>
      <c r="QI336" s="16" t="n">
        <v>0</v>
      </c>
      <c r="QJ336" s="0" t="n">
        <v>0</v>
      </c>
      <c r="QK336" s="0" t="s">
        <v>222</v>
      </c>
      <c r="QL336" s="0" t="n">
        <v>32.5</v>
      </c>
      <c r="QM336" s="16" t="n">
        <v>96.7</v>
      </c>
      <c r="QN336" s="16" t="n">
        <v>80.4</v>
      </c>
      <c r="QO336" s="16" t="n">
        <v>15.1</v>
      </c>
      <c r="QP336" s="0" t="n">
        <v>52.24</v>
      </c>
      <c r="QQ336" s="0" t="n">
        <v>45.43</v>
      </c>
      <c r="QR336" s="0" t="n">
        <v>1.12</v>
      </c>
      <c r="QS336" s="0" t="n">
        <v>0</v>
      </c>
      <c r="QT336" s="0" t="n">
        <v>1.2</v>
      </c>
      <c r="QU336" s="0" t="n">
        <v>0</v>
      </c>
      <c r="QV336" s="0" t="n">
        <v>0</v>
      </c>
      <c r="QW336" s="0" t="n">
        <v>0</v>
      </c>
      <c r="QX336" s="0" t="n">
        <v>0</v>
      </c>
      <c r="QY336" s="0" t="n">
        <v>0</v>
      </c>
      <c r="QZ336" s="0" t="n">
        <v>0</v>
      </c>
      <c r="RA336" s="0" t="n">
        <v>1.2</v>
      </c>
      <c r="RB336" s="0" t="n">
        <v>15.88</v>
      </c>
      <c r="RC336" s="0" t="n">
        <v>48.59</v>
      </c>
      <c r="RD336" s="0" t="n">
        <v>0</v>
      </c>
      <c r="RE336" s="0" t="n">
        <v>0</v>
      </c>
      <c r="RF336" s="0" t="n">
        <v>0</v>
      </c>
      <c r="RG336" s="0" t="n">
        <v>0</v>
      </c>
      <c r="RT336" s="0" t="n">
        <v>0</v>
      </c>
      <c r="RU336" s="0" t="n">
        <v>0</v>
      </c>
      <c r="SF336" s="18"/>
      <c r="SX336" s="0" t="n">
        <v>1</v>
      </c>
      <c r="SY336" s="0" t="n">
        <v>50</v>
      </c>
      <c r="SZ336" s="0" t="n">
        <v>2</v>
      </c>
      <c r="TA336" s="0" t="n">
        <f aca="false">3.18+12.73</f>
        <v>15.91</v>
      </c>
      <c r="TB336" s="0" t="n">
        <v>1</v>
      </c>
      <c r="UI336" s="16" t="n">
        <v>5.9</v>
      </c>
      <c r="UJ336" s="16" t="n">
        <v>1</v>
      </c>
      <c r="UK336" s="16" t="n">
        <v>2</v>
      </c>
      <c r="UL336" s="16"/>
      <c r="UM336" s="16" t="n">
        <f aca="false">0.09+0.18*3+0.13+0.53+1.07*2+1.34*2+0.17*2+3.18+12.73</f>
        <v>22.36</v>
      </c>
      <c r="UN336" s="16"/>
      <c r="UO336" s="16"/>
      <c r="UP336" s="16"/>
      <c r="UQ336" s="16"/>
      <c r="UR336" s="16"/>
      <c r="US336" s="16"/>
      <c r="UT336" s="16" t="n">
        <v>11.45</v>
      </c>
      <c r="UU336" s="16" t="n">
        <v>41.19</v>
      </c>
      <c r="UV336" s="16"/>
      <c r="UW336" s="16"/>
      <c r="UX336" s="16" t="n">
        <v>0</v>
      </c>
      <c r="UY336" s="16" t="n">
        <v>0</v>
      </c>
      <c r="UZ336" s="16" t="n">
        <v>0</v>
      </c>
      <c r="VA336" s="0" t="n">
        <v>0</v>
      </c>
      <c r="VB336" s="0" t="s">
        <v>223</v>
      </c>
      <c r="VC336" s="0" t="n">
        <v>30.5</v>
      </c>
      <c r="VD336" s="16" t="n">
        <v>68.8</v>
      </c>
      <c r="VE336" s="16" t="n">
        <v>80.4</v>
      </c>
      <c r="VF336" s="16" t="n">
        <v>16.3</v>
      </c>
      <c r="VG336" s="0" t="n">
        <v>66.28</v>
      </c>
      <c r="VH336" s="0" t="n">
        <v>20.09</v>
      </c>
      <c r="VI336" s="0" t="n">
        <v>1.81</v>
      </c>
      <c r="VJ336" s="0" t="n">
        <v>0</v>
      </c>
      <c r="VK336" s="0" t="n">
        <v>11.82</v>
      </c>
      <c r="VL336" s="0" t="n">
        <v>0</v>
      </c>
      <c r="VM336" s="0" t="n">
        <v>0</v>
      </c>
      <c r="VN336" s="0" t="n">
        <v>0</v>
      </c>
      <c r="VO336" s="0" t="n">
        <v>0</v>
      </c>
      <c r="VP336" s="0" t="n">
        <v>0</v>
      </c>
      <c r="VQ336" s="0" t="n">
        <v>0</v>
      </c>
      <c r="VR336" s="0" t="n">
        <v>0</v>
      </c>
      <c r="VS336" s="0" t="n">
        <v>13.17</v>
      </c>
      <c r="VT336" s="0" t="n">
        <v>35.75</v>
      </c>
      <c r="VU336" s="0" t="n">
        <v>0</v>
      </c>
      <c r="VV336" s="0" t="n">
        <v>0</v>
      </c>
      <c r="VW336" s="0" t="n">
        <v>0</v>
      </c>
      <c r="VX336" s="0" t="n">
        <v>0</v>
      </c>
      <c r="WK336" s="0" t="n">
        <v>0</v>
      </c>
      <c r="WL336" s="0" t="n">
        <v>1</v>
      </c>
      <c r="WM336" s="0" t="n">
        <v>52</v>
      </c>
      <c r="WN336" s="0" t="n">
        <v>1</v>
      </c>
      <c r="WO336" s="0" t="n">
        <v>0.01</v>
      </c>
      <c r="WP336" s="0" t="n">
        <v>2</v>
      </c>
      <c r="WW336" s="18"/>
      <c r="XO336" s="0" t="n">
        <v>0</v>
      </c>
      <c r="YZ336" s="16" t="n">
        <v>5.43</v>
      </c>
      <c r="ZA336" s="16" t="n">
        <v>1</v>
      </c>
      <c r="ZB336" s="16" t="n">
        <v>1</v>
      </c>
      <c r="ZC336" s="16"/>
      <c r="ZD336" s="16" t="n">
        <f aca="false">0.09*2+0.07+1.36</f>
        <v>1.61</v>
      </c>
      <c r="ZE336" s="16" t="n">
        <v>2</v>
      </c>
      <c r="ZF336" s="16"/>
      <c r="ZG336" s="16" t="n">
        <f aca="false">4.2+0.09+0.66+0.01+3.18+3.18</f>
        <v>11.32</v>
      </c>
      <c r="ZH336" s="16"/>
      <c r="ZI336" s="16"/>
      <c r="ZJ336" s="16"/>
      <c r="ZK336" s="16" t="n">
        <v>8.61</v>
      </c>
      <c r="ZL336" s="16" t="n">
        <v>26.91</v>
      </c>
      <c r="ZM336" s="16"/>
      <c r="ZN336" s="16"/>
      <c r="ZO336" s="16" t="n">
        <v>0</v>
      </c>
      <c r="ZP336" s="16" t="n">
        <v>0</v>
      </c>
      <c r="ZQ336" s="16" t="n">
        <v>0</v>
      </c>
      <c r="ZR336" s="0" t="n">
        <v>0</v>
      </c>
      <c r="ZS336" s="0" t="s">
        <v>224</v>
      </c>
      <c r="ZT336" s="0" t="n">
        <v>39.5</v>
      </c>
      <c r="ZU336" s="16" t="n">
        <v>60.8</v>
      </c>
      <c r="ZV336" s="16" t="n">
        <v>80.4</v>
      </c>
      <c r="ZW336" s="16" t="n">
        <v>22.9</v>
      </c>
      <c r="ZX336" s="0" t="n">
        <v>67.01</v>
      </c>
      <c r="ZY336" s="0" t="n">
        <v>11.71</v>
      </c>
      <c r="ZZ336" s="0" t="n">
        <v>16.61</v>
      </c>
      <c r="AAA336" s="0" t="n">
        <v>0</v>
      </c>
      <c r="AAB336" s="0" t="n">
        <v>4.67</v>
      </c>
      <c r="AAC336" s="0" t="n">
        <v>0</v>
      </c>
      <c r="AAD336" s="0" t="n">
        <v>0</v>
      </c>
      <c r="AAE336" s="0" t="n">
        <v>0</v>
      </c>
      <c r="AAF336" s="0" t="n">
        <v>0</v>
      </c>
      <c r="AAG336" s="0" t="n">
        <v>0</v>
      </c>
      <c r="AAH336" s="0" t="n">
        <v>0</v>
      </c>
      <c r="AAI336" s="0" t="n">
        <v>0</v>
      </c>
      <c r="AAJ336" s="0" t="n">
        <v>20.9</v>
      </c>
      <c r="AAK336" s="0" t="n">
        <v>25.23</v>
      </c>
      <c r="AAL336" s="0" t="n">
        <v>0.58</v>
      </c>
      <c r="AAM336" s="0" t="n">
        <v>0</v>
      </c>
      <c r="AAN336" s="0" t="n">
        <v>0</v>
      </c>
      <c r="AAO336" s="0" t="n">
        <v>0</v>
      </c>
      <c r="ABB336" s="0" t="n">
        <v>2</v>
      </c>
      <c r="ABC336" s="0" t="n">
        <v>1</v>
      </c>
      <c r="ABD336" s="0" t="n">
        <v>103</v>
      </c>
      <c r="ABE336" s="0" t="n">
        <v>2</v>
      </c>
      <c r="ABF336" s="0" t="n">
        <f aca="false">0.18+0.14</f>
        <v>0.32</v>
      </c>
      <c r="ABG336" s="0" t="n">
        <v>1</v>
      </c>
      <c r="ABH336" s="0" t="n">
        <v>68</v>
      </c>
      <c r="ABI336" s="0" t="n">
        <v>1</v>
      </c>
      <c r="ABJ336" s="0" t="n">
        <v>0.01</v>
      </c>
      <c r="ABK336" s="0" t="n">
        <v>1</v>
      </c>
      <c r="ABL336" s="0" t="n">
        <v>52</v>
      </c>
      <c r="ABM336" s="0" t="n">
        <v>3</v>
      </c>
      <c r="ABN336" s="18" t="n">
        <v>0.05</v>
      </c>
      <c r="ABO336" s="0" t="n">
        <v>2</v>
      </c>
      <c r="ACF336" s="0" t="n">
        <v>0</v>
      </c>
      <c r="ADQ336" s="16" t="n">
        <v>3.66</v>
      </c>
      <c r="ADR336" s="16" t="n">
        <v>1</v>
      </c>
      <c r="ADS336" s="16" t="n">
        <v>1</v>
      </c>
      <c r="ADT336" s="16"/>
      <c r="ADU336" s="16" t="n">
        <f aca="false">2.69*3+1.35*3+0.14*2+0.1</f>
        <v>12.5</v>
      </c>
      <c r="ADV336" s="16" t="n">
        <v>2</v>
      </c>
      <c r="ADW336" s="16"/>
      <c r="ADX336" s="16" t="n">
        <f aca="false">0.66+0.35+0.18+0.14+1.25+1.23</f>
        <v>3.81</v>
      </c>
      <c r="ADY336" s="16"/>
      <c r="ADZ336" s="16"/>
      <c r="AEA336" s="16"/>
      <c r="AEB336" s="16" t="n">
        <v>10.05</v>
      </c>
      <c r="AEC336" s="16" t="n">
        <v>27.11</v>
      </c>
      <c r="AED336" s="16"/>
      <c r="AEE336" s="16"/>
      <c r="AEF336" s="16" t="n">
        <v>0</v>
      </c>
      <c r="AEG336" s="16" t="n">
        <v>0</v>
      </c>
      <c r="AEH336" s="16" t="n">
        <v>0</v>
      </c>
      <c r="AEI336" s="0" t="n">
        <v>0</v>
      </c>
      <c r="AEJ336" s="0" t="s">
        <v>225</v>
      </c>
      <c r="AEK336" s="0" t="n">
        <v>47</v>
      </c>
      <c r="AEL336" s="16" t="n">
        <v>72.3</v>
      </c>
      <c r="AEM336" s="16" t="n">
        <v>80.4</v>
      </c>
      <c r="AEN336" s="16" t="n">
        <v>18</v>
      </c>
      <c r="AEO336" s="0" t="n">
        <v>70.55</v>
      </c>
      <c r="AEP336" s="0" t="n">
        <v>6.81</v>
      </c>
      <c r="AEQ336" s="0" t="n">
        <v>3.09</v>
      </c>
      <c r="AER336" s="0" t="n">
        <v>0</v>
      </c>
      <c r="AES336" s="0" t="n">
        <v>19.55</v>
      </c>
      <c r="AET336" s="0" t="n">
        <v>0</v>
      </c>
      <c r="AEU336" s="0" t="n">
        <v>0</v>
      </c>
      <c r="AEV336" s="0" t="n">
        <v>0</v>
      </c>
      <c r="AEW336" s="0" t="n">
        <v>0</v>
      </c>
      <c r="AEX336" s="0" t="n">
        <v>0</v>
      </c>
      <c r="AEY336" s="0" t="n">
        <v>0</v>
      </c>
      <c r="AEZ336" s="0" t="n">
        <v>0</v>
      </c>
      <c r="AFA336" s="0" t="n">
        <v>18.07</v>
      </c>
      <c r="AFB336" s="0" t="n">
        <v>30.57</v>
      </c>
      <c r="AFC336" s="0" t="n">
        <v>7.61</v>
      </c>
      <c r="AFD336" s="0" t="n">
        <v>0</v>
      </c>
      <c r="AFE336" s="0" t="n">
        <v>14</v>
      </c>
      <c r="AFF336" s="0" t="n">
        <v>2</v>
      </c>
      <c r="AFG336" s="0" t="n">
        <v>5</v>
      </c>
      <c r="AFH336" s="0" t="n">
        <v>4.47</v>
      </c>
      <c r="AFJ336" s="0" t="n">
        <v>7</v>
      </c>
      <c r="AFK336" s="0" t="n">
        <v>5.15</v>
      </c>
      <c r="AFM336" s="0" t="n">
        <v>5</v>
      </c>
      <c r="AFN336" s="0" t="n">
        <v>4.47</v>
      </c>
      <c r="AFP336" s="0" t="n">
        <v>7</v>
      </c>
      <c r="AFQ336" s="0" t="n">
        <v>5.15</v>
      </c>
      <c r="AFS336" s="0" t="n">
        <v>0</v>
      </c>
      <c r="AFT336" s="0" t="n">
        <v>0</v>
      </c>
      <c r="AGE336" s="18"/>
      <c r="AGW336" s="0" t="n">
        <v>0</v>
      </c>
      <c r="AIH336" s="16" t="n">
        <v>4.21</v>
      </c>
      <c r="AII336" s="16" t="n">
        <v>1</v>
      </c>
      <c r="AIJ336" s="16" t="n">
        <v>2</v>
      </c>
      <c r="AIK336" s="16"/>
      <c r="AIL336" s="16" t="n">
        <f aca="false">7.46+1.59+0.6</f>
        <v>9.65</v>
      </c>
      <c r="AIM336" s="16"/>
      <c r="AIN336" s="16"/>
      <c r="AIO336" s="16"/>
      <c r="AIP336" s="16"/>
      <c r="AIQ336" s="16"/>
      <c r="AIR336" s="16"/>
      <c r="AIS336" s="16" t="n">
        <v>10.63</v>
      </c>
      <c r="AIT336" s="16" t="n">
        <v>36.38</v>
      </c>
      <c r="AIU336" s="16"/>
      <c r="AIV336" s="16"/>
      <c r="AIW336" s="16" t="n">
        <v>0</v>
      </c>
      <c r="AIX336" s="16" t="n">
        <v>0</v>
      </c>
      <c r="AIY336" s="16" t="n">
        <v>0</v>
      </c>
      <c r="AIZ336" s="0" t="n">
        <v>0</v>
      </c>
      <c r="AJA336" s="0" t="s">
        <v>226</v>
      </c>
      <c r="AJB336" s="0" t="n">
        <v>19</v>
      </c>
      <c r="AJC336" s="16" t="n">
        <v>82.6</v>
      </c>
      <c r="AJD336" s="16" t="n">
        <v>80.4</v>
      </c>
      <c r="AJE336" s="16" t="n">
        <v>7.7</v>
      </c>
      <c r="AJF336" s="0" t="n">
        <v>86.83</v>
      </c>
      <c r="AJG336" s="0" t="n">
        <v>12.69</v>
      </c>
      <c r="AJH336" s="0" t="n">
        <v>0</v>
      </c>
      <c r="AJI336" s="0" t="n">
        <v>0</v>
      </c>
      <c r="AJJ336" s="0" t="n">
        <v>0.48</v>
      </c>
      <c r="AJK336" s="0" t="n">
        <v>0</v>
      </c>
      <c r="AJL336" s="0" t="n">
        <v>0</v>
      </c>
      <c r="AJM336" s="0" t="n">
        <v>0</v>
      </c>
      <c r="AJN336" s="0" t="n">
        <v>0</v>
      </c>
      <c r="AJO336" s="0" t="n">
        <v>0</v>
      </c>
      <c r="AJP336" s="0" t="n">
        <v>0</v>
      </c>
      <c r="AJQ336" s="0" t="n">
        <v>0</v>
      </c>
      <c r="AJR336" s="0" t="n">
        <v>7.16</v>
      </c>
      <c r="AJS336" s="0" t="n">
        <v>10.76</v>
      </c>
      <c r="AJT336" s="0" t="n">
        <v>0</v>
      </c>
      <c r="AJU336" s="0" t="n">
        <v>0</v>
      </c>
      <c r="AJV336" s="0" t="n">
        <v>3.4</v>
      </c>
      <c r="AJW336" s="0" t="n">
        <v>2</v>
      </c>
      <c r="AJX336" s="0" t="n">
        <v>11.9</v>
      </c>
      <c r="AJY336" s="0" t="n">
        <v>0.48</v>
      </c>
      <c r="AKD336" s="0" t="n">
        <v>11.9</v>
      </c>
      <c r="AKE336" s="0" t="n">
        <v>0.48</v>
      </c>
      <c r="AKJ336" s="0" t="n">
        <v>0</v>
      </c>
      <c r="AKK336" s="0" t="n">
        <v>1</v>
      </c>
      <c r="AKL336" s="0" t="n">
        <v>34</v>
      </c>
      <c r="AKM336" s="0" t="n">
        <v>2</v>
      </c>
      <c r="AKN336" s="0" t="n">
        <f aca="false">0.84*2</f>
        <v>1.68</v>
      </c>
      <c r="AKO336" s="0" t="n">
        <v>1</v>
      </c>
      <c r="AKV336" s="18"/>
      <c r="ALN336" s="0" t="n">
        <v>0</v>
      </c>
    </row>
    <row r="337" customFormat="false" ht="13.8" hidden="false" customHeight="false" outlineLevel="0" collapsed="false">
      <c r="A337" s="1" t="s">
        <v>924</v>
      </c>
      <c r="B337" s="12" t="n">
        <v>42928</v>
      </c>
      <c r="C337" s="0" t="n">
        <v>2</v>
      </c>
      <c r="D337" s="13" t="n">
        <v>42923</v>
      </c>
      <c r="E337" s="12" t="n">
        <v>32646</v>
      </c>
      <c r="F337" s="14" t="n">
        <f aca="false">(B337-E337)/365.25</f>
        <v>28.1505817932923</v>
      </c>
      <c r="G337" s="14" t="n">
        <f aca="false">(B337-D337)/365.25</f>
        <v>0.0136892539356605</v>
      </c>
      <c r="H337" s="19" t="s">
        <v>217</v>
      </c>
      <c r="I337" s="15" t="s">
        <v>218</v>
      </c>
      <c r="J337" s="15" t="s">
        <v>183</v>
      </c>
      <c r="K337" s="15" t="s">
        <v>913</v>
      </c>
      <c r="L337" s="19" t="n">
        <v>71</v>
      </c>
      <c r="M337" s="0" t="n">
        <v>1.72</v>
      </c>
      <c r="N337" s="16" t="n">
        <f aca="false">L337/(M337*M337)</f>
        <v>23.9994591671174</v>
      </c>
      <c r="O337" s="19" t="n">
        <v>0</v>
      </c>
      <c r="P337" s="19" t="n">
        <v>0</v>
      </c>
      <c r="Q337" s="19" t="n">
        <v>0</v>
      </c>
      <c r="R337" s="26" t="n">
        <v>0</v>
      </c>
      <c r="S337" s="26" t="n">
        <v>0</v>
      </c>
      <c r="T337" s="26" t="n">
        <v>0</v>
      </c>
      <c r="U337" s="19" t="n">
        <v>0</v>
      </c>
      <c r="V337" s="19" t="n">
        <v>0</v>
      </c>
      <c r="W337" s="19" t="n">
        <v>0</v>
      </c>
      <c r="X337" s="19"/>
      <c r="Y337" s="19" t="n">
        <v>0</v>
      </c>
      <c r="Z337" s="19" t="n">
        <v>0</v>
      </c>
      <c r="AA337" s="19" t="n">
        <v>0</v>
      </c>
      <c r="AB337" s="19" t="n">
        <v>0</v>
      </c>
      <c r="AC337" s="19" t="n">
        <v>1</v>
      </c>
      <c r="AD337" s="19" t="n">
        <v>5</v>
      </c>
      <c r="AE337" s="19" t="n">
        <v>1</v>
      </c>
      <c r="AF337" s="19" t="n">
        <v>0</v>
      </c>
      <c r="AG337" s="19" t="n">
        <v>0</v>
      </c>
      <c r="AH337" s="19" t="n">
        <v>0</v>
      </c>
      <c r="AI337" s="19" t="n">
        <v>0</v>
      </c>
      <c r="AJ337" s="19" t="n">
        <v>0</v>
      </c>
      <c r="AK337" s="19" t="n">
        <v>0</v>
      </c>
      <c r="AL337" s="19" t="n">
        <v>0</v>
      </c>
      <c r="AM337" s="19" t="n">
        <v>0</v>
      </c>
      <c r="AN337" s="19" t="n">
        <v>0</v>
      </c>
      <c r="AO337" s="19" t="n">
        <v>0</v>
      </c>
      <c r="AP337" s="19" t="n">
        <v>0</v>
      </c>
      <c r="AQ337" s="19" t="n">
        <v>0</v>
      </c>
      <c r="AR337" s="19" t="n">
        <v>0</v>
      </c>
      <c r="AS337" s="19" t="n">
        <v>1</v>
      </c>
      <c r="AT337" s="19" t="n">
        <v>0</v>
      </c>
      <c r="AU337" s="19"/>
      <c r="AV337" s="19"/>
      <c r="AW337" s="19"/>
      <c r="AX337" s="19" t="n">
        <v>0</v>
      </c>
      <c r="AY337" s="19" t="n">
        <v>0</v>
      </c>
      <c r="AZ337" s="19" t="n">
        <v>0</v>
      </c>
      <c r="BA337" s="19" t="n">
        <v>0</v>
      </c>
      <c r="BB337" s="19" t="n">
        <v>1</v>
      </c>
      <c r="BC337" s="19" t="n">
        <v>0</v>
      </c>
      <c r="BD337" s="19" t="n">
        <v>0</v>
      </c>
      <c r="BE337" s="19" t="n">
        <v>0</v>
      </c>
      <c r="BF337" s="19" t="n">
        <v>0</v>
      </c>
      <c r="BG337" s="19" t="n">
        <v>0</v>
      </c>
      <c r="BH337" s="19" t="n">
        <v>0</v>
      </c>
      <c r="BI337" s="19" t="n">
        <v>0</v>
      </c>
      <c r="BJ337" s="19" t="n">
        <v>0</v>
      </c>
      <c r="BK337" s="19" t="n">
        <v>0</v>
      </c>
      <c r="BL337" s="19" t="n">
        <v>0</v>
      </c>
      <c r="BM337" s="19" t="n">
        <v>0</v>
      </c>
      <c r="BN337" s="19" t="n">
        <v>0</v>
      </c>
      <c r="BO337" s="19" t="n">
        <v>0</v>
      </c>
      <c r="BP337" s="19" t="n">
        <v>0</v>
      </c>
      <c r="BQ337" s="19" t="n">
        <v>0</v>
      </c>
      <c r="BR337" s="19" t="n">
        <v>2</v>
      </c>
      <c r="BS337" s="19" t="n">
        <v>2</v>
      </c>
      <c r="BT337" s="19" t="n">
        <v>4</v>
      </c>
      <c r="BU337" s="19" t="n">
        <v>5</v>
      </c>
      <c r="BV337" s="19" t="n">
        <v>1</v>
      </c>
      <c r="BW337" s="19" t="n">
        <v>2</v>
      </c>
      <c r="BX337" s="19" t="n">
        <v>3</v>
      </c>
      <c r="BY337" s="19" t="n">
        <v>4</v>
      </c>
      <c r="BZ337" s="19" t="n">
        <v>5</v>
      </c>
      <c r="CA337" s="19" t="n">
        <v>5</v>
      </c>
      <c r="CB337" s="19" t="n">
        <v>5</v>
      </c>
      <c r="CC337" s="19" t="n">
        <v>5</v>
      </c>
      <c r="CD337" s="19" t="n">
        <v>5</v>
      </c>
      <c r="CE337" s="19" t="n">
        <v>5</v>
      </c>
      <c r="CF337" s="19" t="n">
        <v>5</v>
      </c>
      <c r="CG337" s="19" t="n">
        <v>5</v>
      </c>
      <c r="CH337" s="19" t="n">
        <v>5</v>
      </c>
      <c r="CI337" s="19" t="n">
        <v>5</v>
      </c>
      <c r="CJ337" s="19" t="n">
        <v>5</v>
      </c>
      <c r="CK337" s="19" t="n">
        <v>10</v>
      </c>
      <c r="CL337" s="0" t="s">
        <v>219</v>
      </c>
      <c r="CM337" s="0" t="n">
        <v>33.5</v>
      </c>
      <c r="CN337" s="16" t="n">
        <v>91.5</v>
      </c>
      <c r="CO337" s="16" t="n">
        <v>80.4</v>
      </c>
      <c r="CP337" s="16" t="n">
        <v>20</v>
      </c>
      <c r="CQ337" s="0" t="n">
        <v>84.58</v>
      </c>
      <c r="CR337" s="17" t="n">
        <v>0</v>
      </c>
      <c r="CS337" s="0" t="n">
        <v>15.42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n">
        <v>0</v>
      </c>
      <c r="DA337" s="0" t="n">
        <v>0</v>
      </c>
      <c r="DB337" s="0" t="n">
        <v>0</v>
      </c>
      <c r="DC337" s="0" t="n">
        <v>13.79</v>
      </c>
      <c r="DD337" s="0" t="n">
        <v>2.67</v>
      </c>
      <c r="DE337" s="0" t="n">
        <v>11.54</v>
      </c>
      <c r="DF337" s="0" t="n">
        <v>0</v>
      </c>
      <c r="DG337" s="0" t="n">
        <v>12.3</v>
      </c>
      <c r="DH337" s="0" t="n">
        <v>2</v>
      </c>
      <c r="DI337" s="0" t="n">
        <v>5</v>
      </c>
      <c r="DJ337" s="0" t="n">
        <v>2</v>
      </c>
      <c r="DO337" s="0" t="n">
        <v>5</v>
      </c>
      <c r="DP337" s="0" t="n">
        <v>2</v>
      </c>
      <c r="DU337" s="0" t="n">
        <v>0</v>
      </c>
      <c r="DV337" s="0" t="n">
        <v>1</v>
      </c>
      <c r="DW337" s="0" t="n">
        <v>34</v>
      </c>
      <c r="DX337" s="0" t="n">
        <v>2</v>
      </c>
      <c r="DY337" s="0" t="n">
        <v>0.1</v>
      </c>
      <c r="DZ337" s="0" t="n">
        <v>1</v>
      </c>
      <c r="EA337" s="0" t="n">
        <v>10</v>
      </c>
      <c r="EB337" s="0" t="n">
        <f aca="false">8*4</f>
        <v>32</v>
      </c>
      <c r="EC337" s="0" t="n">
        <f aca="false">0.06+0.01+0.4+1.7+0.24+0.14+0.96</f>
        <v>3.51</v>
      </c>
      <c r="ED337" s="0" t="n">
        <v>3</v>
      </c>
      <c r="EG337" s="18"/>
      <c r="EY337" s="0" t="n">
        <v>0</v>
      </c>
      <c r="GJ337" s="16" t="n">
        <v>0.25</v>
      </c>
      <c r="GK337" s="16" t="n">
        <v>1</v>
      </c>
      <c r="GL337" s="16" t="n">
        <v>2</v>
      </c>
      <c r="GM337" s="16"/>
      <c r="GN337" s="16" t="n">
        <v>0.55</v>
      </c>
      <c r="GO337" s="16"/>
      <c r="GP337" s="16"/>
      <c r="GQ337" s="16"/>
      <c r="GR337" s="16"/>
      <c r="GS337" s="16"/>
      <c r="GT337" s="16"/>
      <c r="GU337" s="16" t="n">
        <v>0.55</v>
      </c>
      <c r="GV337" s="16" t="n">
        <v>0.55</v>
      </c>
      <c r="GW337" s="16"/>
      <c r="GX337" s="16"/>
      <c r="GY337" s="16" t="n">
        <v>0</v>
      </c>
      <c r="GZ337" s="16" t="n">
        <v>0</v>
      </c>
      <c r="HA337" s="16" t="n">
        <v>0</v>
      </c>
      <c r="HB337" s="0" t="n">
        <v>0</v>
      </c>
      <c r="HC337" s="0" t="s">
        <v>220</v>
      </c>
      <c r="HD337" s="0" t="n">
        <v>27</v>
      </c>
      <c r="HE337" s="16" t="n">
        <v>54.4</v>
      </c>
      <c r="HF337" s="16" t="n">
        <v>80.4</v>
      </c>
      <c r="HG337" s="16" t="n">
        <v>18.1</v>
      </c>
      <c r="HH337" s="0" t="n">
        <v>81.88</v>
      </c>
      <c r="HI337" s="17" t="n">
        <v>0</v>
      </c>
      <c r="HJ337" s="0" t="n">
        <v>9.83</v>
      </c>
      <c r="HK337" s="0" t="n">
        <v>0</v>
      </c>
      <c r="HL337" s="0" t="n">
        <v>2.14</v>
      </c>
      <c r="HM337" s="0" t="n">
        <v>0</v>
      </c>
      <c r="HN337" s="0" t="n">
        <v>0</v>
      </c>
      <c r="HO337" s="0" t="n">
        <v>0</v>
      </c>
      <c r="HP337" s="0" t="n">
        <v>0</v>
      </c>
      <c r="HQ337" s="0" t="n">
        <v>0</v>
      </c>
      <c r="HR337" s="0" t="n">
        <v>0</v>
      </c>
      <c r="HS337" s="0" t="n">
        <v>0</v>
      </c>
      <c r="HT337" s="0" t="n">
        <v>2.32</v>
      </c>
      <c r="HU337" s="0" t="n">
        <v>19.66</v>
      </c>
      <c r="HV337" s="0" t="n">
        <v>3.64</v>
      </c>
      <c r="HW337" s="0" t="n">
        <v>0</v>
      </c>
      <c r="HX337" s="0" t="n">
        <v>0</v>
      </c>
      <c r="HY337" s="0" t="n">
        <v>0</v>
      </c>
      <c r="IL337" s="0" t="n">
        <v>0</v>
      </c>
      <c r="IM337" s="0" t="n">
        <v>1</v>
      </c>
      <c r="IN337" s="0" t="n">
        <v>26</v>
      </c>
      <c r="IO337" s="0" t="n">
        <v>2</v>
      </c>
      <c r="IP337" s="0" t="n">
        <v>0.05</v>
      </c>
      <c r="IQ337" s="0" t="n">
        <v>2</v>
      </c>
      <c r="IX337" s="18"/>
      <c r="JP337" s="0" t="n">
        <v>0</v>
      </c>
      <c r="LA337" s="16" t="n">
        <v>2.1</v>
      </c>
      <c r="LB337" s="16" t="n">
        <v>1</v>
      </c>
      <c r="LC337" s="16" t="n">
        <v>1</v>
      </c>
      <c r="LD337" s="16"/>
      <c r="LE337" s="16" t="n">
        <f aca="false">0.1+0.76*2+2.02+1.35*2+0.67</f>
        <v>7.01</v>
      </c>
      <c r="LF337" s="16"/>
      <c r="LG337" s="16"/>
      <c r="LH337" s="16"/>
      <c r="LI337" s="16"/>
      <c r="LJ337" s="16"/>
      <c r="LK337" s="16"/>
      <c r="LL337" s="16" t="n">
        <v>6.35</v>
      </c>
      <c r="LM337" s="16" t="n">
        <v>14.8</v>
      </c>
      <c r="LN337" s="16"/>
      <c r="LO337" s="16"/>
      <c r="LP337" s="16" t="n">
        <v>0</v>
      </c>
      <c r="LQ337" s="16" t="n">
        <v>0</v>
      </c>
      <c r="LR337" s="16" t="n">
        <v>0</v>
      </c>
      <c r="LS337" s="0" t="n">
        <v>0</v>
      </c>
      <c r="LT337" s="0" t="s">
        <v>221</v>
      </c>
      <c r="LU337" s="0" t="n">
        <v>20.5</v>
      </c>
      <c r="LV337" s="16" t="n">
        <v>76.9</v>
      </c>
      <c r="LW337" s="16" t="n">
        <v>80.4</v>
      </c>
      <c r="LX337" s="16" t="n">
        <v>9.1</v>
      </c>
      <c r="LY337" s="0" t="n">
        <v>88.58</v>
      </c>
      <c r="LZ337" s="0" t="n">
        <v>10.3</v>
      </c>
      <c r="MA337" s="0" t="n">
        <v>1.12</v>
      </c>
      <c r="MB337" s="0" t="n">
        <v>0</v>
      </c>
      <c r="MC337" s="0" t="n">
        <v>0</v>
      </c>
      <c r="MD337" s="0" t="n">
        <v>0</v>
      </c>
      <c r="ME337" s="0" t="n">
        <v>0</v>
      </c>
      <c r="MF337" s="0" t="n">
        <v>0</v>
      </c>
      <c r="MG337" s="0" t="n">
        <v>0</v>
      </c>
      <c r="MH337" s="0" t="n">
        <v>0</v>
      </c>
      <c r="MI337" s="0" t="n">
        <v>0</v>
      </c>
      <c r="MJ337" s="0" t="n">
        <v>0</v>
      </c>
      <c r="MK337" s="0" t="n">
        <v>6.33</v>
      </c>
      <c r="ML337" s="0" t="n">
        <v>16.97</v>
      </c>
      <c r="MM337" s="0" t="n">
        <v>0</v>
      </c>
      <c r="MN337" s="0" t="n">
        <v>0</v>
      </c>
      <c r="MO337" s="0" t="n">
        <v>4.1</v>
      </c>
      <c r="MP337" s="0" t="n">
        <v>2</v>
      </c>
      <c r="MQ337" s="0" t="n">
        <v>5</v>
      </c>
      <c r="MR337" s="0" t="n">
        <v>1</v>
      </c>
      <c r="MW337" s="0" t="n">
        <v>5</v>
      </c>
      <c r="MX337" s="0" t="n">
        <v>1</v>
      </c>
      <c r="NC337" s="0" t="n">
        <v>0</v>
      </c>
      <c r="ND337" s="0" t="n">
        <v>0</v>
      </c>
      <c r="NO337" s="18"/>
      <c r="OG337" s="0" t="n">
        <v>0</v>
      </c>
      <c r="PR337" s="16" t="n">
        <v>2.24</v>
      </c>
      <c r="PS337" s="16" t="n">
        <v>1</v>
      </c>
      <c r="PT337" s="16" t="n">
        <v>2</v>
      </c>
      <c r="PU337" s="16"/>
      <c r="PV337" s="16" t="n">
        <v>4.97</v>
      </c>
      <c r="PW337" s="16"/>
      <c r="PX337" s="16"/>
      <c r="PY337" s="16"/>
      <c r="PZ337" s="16"/>
      <c r="QA337" s="16"/>
      <c r="QB337" s="16"/>
      <c r="QC337" s="16" t="n">
        <v>5.1</v>
      </c>
      <c r="QD337" s="16" t="n">
        <v>5.97</v>
      </c>
      <c r="QE337" s="16"/>
      <c r="QF337" s="16"/>
      <c r="QG337" s="16" t="n">
        <v>0</v>
      </c>
      <c r="QH337" s="16" t="n">
        <v>0</v>
      </c>
      <c r="QI337" s="16" t="n">
        <v>0</v>
      </c>
      <c r="QJ337" s="0" t="n">
        <v>0</v>
      </c>
      <c r="QK337" s="0" t="s">
        <v>222</v>
      </c>
      <c r="QL337" s="0" t="n">
        <v>32.5</v>
      </c>
      <c r="QM337" s="16" t="n">
        <v>96.7</v>
      </c>
      <c r="QN337" s="16" t="n">
        <v>80.4</v>
      </c>
      <c r="QO337" s="16" t="n">
        <v>15.1</v>
      </c>
      <c r="QP337" s="0" t="n">
        <v>52.24</v>
      </c>
      <c r="QQ337" s="0" t="n">
        <v>45.43</v>
      </c>
      <c r="QR337" s="0" t="n">
        <v>1.12</v>
      </c>
      <c r="QS337" s="0" t="n">
        <v>0</v>
      </c>
      <c r="QT337" s="0" t="n">
        <v>1.2</v>
      </c>
      <c r="QU337" s="0" t="n">
        <v>0</v>
      </c>
      <c r="QV337" s="0" t="n">
        <v>0</v>
      </c>
      <c r="QW337" s="0" t="n">
        <v>0</v>
      </c>
      <c r="QX337" s="0" t="n">
        <v>0</v>
      </c>
      <c r="QY337" s="0" t="n">
        <v>0</v>
      </c>
      <c r="QZ337" s="0" t="n">
        <v>0</v>
      </c>
      <c r="RA337" s="0" t="n">
        <v>1.2</v>
      </c>
      <c r="RB337" s="0" t="n">
        <v>15.88</v>
      </c>
      <c r="RC337" s="0" t="n">
        <v>48.59</v>
      </c>
      <c r="RD337" s="0" t="n">
        <v>0</v>
      </c>
      <c r="RE337" s="0" t="n">
        <v>0</v>
      </c>
      <c r="RF337" s="0" t="n">
        <v>0</v>
      </c>
      <c r="RG337" s="0" t="n">
        <v>0</v>
      </c>
      <c r="RT337" s="0" t="n">
        <v>0</v>
      </c>
      <c r="RU337" s="0" t="n">
        <v>0</v>
      </c>
      <c r="SF337" s="18"/>
      <c r="SX337" s="0" t="n">
        <v>1</v>
      </c>
      <c r="SY337" s="0" t="n">
        <v>50</v>
      </c>
      <c r="SZ337" s="0" t="n">
        <v>2</v>
      </c>
      <c r="TA337" s="0" t="n">
        <f aca="false">3.18+12.73</f>
        <v>15.91</v>
      </c>
      <c r="TB337" s="0" t="n">
        <v>1</v>
      </c>
      <c r="UI337" s="16" t="n">
        <v>5.9</v>
      </c>
      <c r="UJ337" s="16" t="n">
        <v>1</v>
      </c>
      <c r="UK337" s="16" t="n">
        <v>2</v>
      </c>
      <c r="UL337" s="16"/>
      <c r="UM337" s="16" t="n">
        <f aca="false">0.09+0.18*3+0.13+0.53+1.07*2+1.34*2+0.17*2+3.18+12.73</f>
        <v>22.36</v>
      </c>
      <c r="UN337" s="16"/>
      <c r="UO337" s="16"/>
      <c r="UP337" s="16"/>
      <c r="UQ337" s="16"/>
      <c r="UR337" s="16"/>
      <c r="US337" s="16"/>
      <c r="UT337" s="16" t="n">
        <v>11.45</v>
      </c>
      <c r="UU337" s="16" t="n">
        <v>41.19</v>
      </c>
      <c r="UV337" s="16"/>
      <c r="UW337" s="16"/>
      <c r="UX337" s="16" t="n">
        <v>0</v>
      </c>
      <c r="UY337" s="16" t="n">
        <v>0</v>
      </c>
      <c r="UZ337" s="16" t="n">
        <v>0</v>
      </c>
      <c r="VA337" s="0" t="n">
        <v>0</v>
      </c>
      <c r="VB337" s="0" t="s">
        <v>223</v>
      </c>
      <c r="VC337" s="0" t="n">
        <v>30.5</v>
      </c>
      <c r="VD337" s="16" t="n">
        <v>68.8</v>
      </c>
      <c r="VE337" s="16" t="n">
        <v>80.4</v>
      </c>
      <c r="VF337" s="16" t="n">
        <v>16.3</v>
      </c>
      <c r="VG337" s="0" t="n">
        <v>66.28</v>
      </c>
      <c r="VH337" s="0" t="n">
        <v>20.09</v>
      </c>
      <c r="VI337" s="0" t="n">
        <v>1.81</v>
      </c>
      <c r="VJ337" s="0" t="n">
        <v>0</v>
      </c>
      <c r="VK337" s="0" t="n">
        <v>11.82</v>
      </c>
      <c r="VL337" s="0" t="n">
        <v>0</v>
      </c>
      <c r="VM337" s="0" t="n">
        <v>0</v>
      </c>
      <c r="VN337" s="0" t="n">
        <v>0</v>
      </c>
      <c r="VO337" s="0" t="n">
        <v>0</v>
      </c>
      <c r="VP337" s="0" t="n">
        <v>0</v>
      </c>
      <c r="VQ337" s="0" t="n">
        <v>0</v>
      </c>
      <c r="VR337" s="0" t="n">
        <v>0</v>
      </c>
      <c r="VS337" s="0" t="n">
        <v>13.17</v>
      </c>
      <c r="VT337" s="0" t="n">
        <v>35.75</v>
      </c>
      <c r="VU337" s="0" t="n">
        <v>0</v>
      </c>
      <c r="VV337" s="0" t="n">
        <v>0</v>
      </c>
      <c r="VW337" s="0" t="n">
        <v>0</v>
      </c>
      <c r="VX337" s="0" t="n">
        <v>0</v>
      </c>
      <c r="WK337" s="0" t="n">
        <v>0</v>
      </c>
      <c r="WL337" s="0" t="n">
        <v>1</v>
      </c>
      <c r="WM337" s="0" t="n">
        <v>52</v>
      </c>
      <c r="WN337" s="0" t="n">
        <v>1</v>
      </c>
      <c r="WO337" s="0" t="n">
        <v>0.01</v>
      </c>
      <c r="WP337" s="0" t="n">
        <v>2</v>
      </c>
      <c r="WW337" s="18"/>
      <c r="XO337" s="0" t="n">
        <v>0</v>
      </c>
      <c r="YZ337" s="16" t="n">
        <v>5.43</v>
      </c>
      <c r="ZA337" s="16" t="n">
        <v>1</v>
      </c>
      <c r="ZB337" s="16" t="n">
        <v>1</v>
      </c>
      <c r="ZC337" s="16"/>
      <c r="ZD337" s="16" t="n">
        <f aca="false">0.09*2+0.07+1.36</f>
        <v>1.61</v>
      </c>
      <c r="ZE337" s="16" t="n">
        <v>2</v>
      </c>
      <c r="ZF337" s="16"/>
      <c r="ZG337" s="16" t="n">
        <f aca="false">4.2+0.09+0.66+0.01+3.18+3.18</f>
        <v>11.32</v>
      </c>
      <c r="ZH337" s="16"/>
      <c r="ZI337" s="16"/>
      <c r="ZJ337" s="16"/>
      <c r="ZK337" s="16" t="n">
        <v>8.61</v>
      </c>
      <c r="ZL337" s="16" t="n">
        <v>26.91</v>
      </c>
      <c r="ZM337" s="16"/>
      <c r="ZN337" s="16"/>
      <c r="ZO337" s="16" t="n">
        <v>0</v>
      </c>
      <c r="ZP337" s="16" t="n">
        <v>0</v>
      </c>
      <c r="ZQ337" s="16" t="n">
        <v>0</v>
      </c>
      <c r="ZR337" s="0" t="n">
        <v>0</v>
      </c>
      <c r="ZS337" s="0" t="s">
        <v>224</v>
      </c>
      <c r="ZT337" s="0" t="n">
        <v>39.5</v>
      </c>
      <c r="ZU337" s="16" t="n">
        <v>60.8</v>
      </c>
      <c r="ZV337" s="16" t="n">
        <v>80.4</v>
      </c>
      <c r="ZW337" s="16" t="n">
        <v>22.9</v>
      </c>
      <c r="ZX337" s="0" t="n">
        <v>67.01</v>
      </c>
      <c r="ZY337" s="0" t="n">
        <v>11.71</v>
      </c>
      <c r="ZZ337" s="0" t="n">
        <v>16.61</v>
      </c>
      <c r="AAA337" s="0" t="n">
        <v>0</v>
      </c>
      <c r="AAB337" s="0" t="n">
        <v>4.67</v>
      </c>
      <c r="AAC337" s="0" t="n">
        <v>0</v>
      </c>
      <c r="AAD337" s="0" t="n">
        <v>0</v>
      </c>
      <c r="AAE337" s="0" t="n">
        <v>0</v>
      </c>
      <c r="AAF337" s="0" t="n">
        <v>0</v>
      </c>
      <c r="AAG337" s="0" t="n">
        <v>0</v>
      </c>
      <c r="AAH337" s="0" t="n">
        <v>0</v>
      </c>
      <c r="AAI337" s="0" t="n">
        <v>0</v>
      </c>
      <c r="AAJ337" s="0" t="n">
        <v>20.9</v>
      </c>
      <c r="AAK337" s="0" t="n">
        <v>25.23</v>
      </c>
      <c r="AAL337" s="0" t="n">
        <v>0.58</v>
      </c>
      <c r="AAM337" s="0" t="n">
        <v>0</v>
      </c>
      <c r="AAN337" s="0" t="n">
        <v>0</v>
      </c>
      <c r="AAO337" s="0" t="n">
        <v>0</v>
      </c>
      <c r="ABB337" s="0" t="n">
        <v>2</v>
      </c>
      <c r="ABC337" s="0" t="n">
        <v>1</v>
      </c>
      <c r="ABD337" s="0" t="n">
        <v>103</v>
      </c>
      <c r="ABE337" s="0" t="n">
        <v>2</v>
      </c>
      <c r="ABF337" s="0" t="n">
        <f aca="false">0.18+0.14</f>
        <v>0.32</v>
      </c>
      <c r="ABG337" s="0" t="n">
        <v>1</v>
      </c>
      <c r="ABH337" s="0" t="n">
        <v>68</v>
      </c>
      <c r="ABI337" s="0" t="n">
        <v>1</v>
      </c>
      <c r="ABJ337" s="0" t="n">
        <v>0.01</v>
      </c>
      <c r="ABK337" s="0" t="n">
        <v>1</v>
      </c>
      <c r="ABL337" s="0" t="n">
        <v>52</v>
      </c>
      <c r="ABM337" s="0" t="n">
        <v>3</v>
      </c>
      <c r="ABN337" s="18" t="n">
        <v>0.05</v>
      </c>
      <c r="ABO337" s="0" t="n">
        <v>2</v>
      </c>
      <c r="ACF337" s="0" t="n">
        <v>0</v>
      </c>
      <c r="ADQ337" s="16" t="n">
        <v>3.66</v>
      </c>
      <c r="ADR337" s="16" t="n">
        <v>1</v>
      </c>
      <c r="ADS337" s="16" t="n">
        <v>1</v>
      </c>
      <c r="ADT337" s="16"/>
      <c r="ADU337" s="16" t="n">
        <f aca="false">2.69*3+1.35*3+0.14*2+0.1</f>
        <v>12.5</v>
      </c>
      <c r="ADV337" s="16" t="n">
        <v>2</v>
      </c>
      <c r="ADW337" s="16"/>
      <c r="ADX337" s="16" t="n">
        <f aca="false">0.66+0.35+0.18+0.14+1.25+1.23</f>
        <v>3.81</v>
      </c>
      <c r="ADY337" s="16"/>
      <c r="ADZ337" s="16"/>
      <c r="AEA337" s="16"/>
      <c r="AEB337" s="16" t="n">
        <v>10.05</v>
      </c>
      <c r="AEC337" s="16" t="n">
        <v>27.11</v>
      </c>
      <c r="AED337" s="16"/>
      <c r="AEE337" s="16"/>
      <c r="AEF337" s="16" t="n">
        <v>0</v>
      </c>
      <c r="AEG337" s="16" t="n">
        <v>0</v>
      </c>
      <c r="AEH337" s="16" t="n">
        <v>0</v>
      </c>
      <c r="AEI337" s="0" t="n">
        <v>0</v>
      </c>
      <c r="AEJ337" s="0" t="s">
        <v>225</v>
      </c>
      <c r="AEK337" s="0" t="n">
        <v>47</v>
      </c>
      <c r="AEL337" s="16" t="n">
        <v>72.3</v>
      </c>
      <c r="AEM337" s="16" t="n">
        <v>80.4</v>
      </c>
      <c r="AEN337" s="16" t="n">
        <v>18</v>
      </c>
      <c r="AEO337" s="0" t="n">
        <v>70.55</v>
      </c>
      <c r="AEP337" s="0" t="n">
        <v>6.81</v>
      </c>
      <c r="AEQ337" s="0" t="n">
        <v>3.09</v>
      </c>
      <c r="AER337" s="0" t="n">
        <v>0</v>
      </c>
      <c r="AES337" s="0" t="n">
        <v>19.55</v>
      </c>
      <c r="AET337" s="0" t="n">
        <v>0</v>
      </c>
      <c r="AEU337" s="0" t="n">
        <v>0</v>
      </c>
      <c r="AEV337" s="0" t="n">
        <v>0</v>
      </c>
      <c r="AEW337" s="0" t="n">
        <v>0</v>
      </c>
      <c r="AEX337" s="0" t="n">
        <v>0</v>
      </c>
      <c r="AEY337" s="0" t="n">
        <v>0</v>
      </c>
      <c r="AEZ337" s="0" t="n">
        <v>0</v>
      </c>
      <c r="AFA337" s="0" t="n">
        <v>18.07</v>
      </c>
      <c r="AFB337" s="0" t="n">
        <v>30.57</v>
      </c>
      <c r="AFC337" s="0" t="n">
        <v>7.61</v>
      </c>
      <c r="AFD337" s="0" t="n">
        <v>0</v>
      </c>
      <c r="AFE337" s="0" t="n">
        <v>14</v>
      </c>
      <c r="AFF337" s="0" t="n">
        <v>2</v>
      </c>
      <c r="AFG337" s="0" t="n">
        <v>5</v>
      </c>
      <c r="AFH337" s="0" t="n">
        <v>4.47</v>
      </c>
      <c r="AFJ337" s="0" t="n">
        <v>7</v>
      </c>
      <c r="AFK337" s="0" t="n">
        <v>5.15</v>
      </c>
      <c r="AFM337" s="0" t="n">
        <v>5</v>
      </c>
      <c r="AFN337" s="0" t="n">
        <v>4.47</v>
      </c>
      <c r="AFP337" s="0" t="n">
        <v>7</v>
      </c>
      <c r="AFQ337" s="0" t="n">
        <v>5.15</v>
      </c>
      <c r="AFS337" s="0" t="n">
        <v>0</v>
      </c>
      <c r="AFT337" s="0" t="n">
        <v>0</v>
      </c>
      <c r="AGE337" s="18"/>
      <c r="AGW337" s="0" t="n">
        <v>0</v>
      </c>
      <c r="AIH337" s="16" t="n">
        <v>4.21</v>
      </c>
      <c r="AII337" s="16" t="n">
        <v>1</v>
      </c>
      <c r="AIJ337" s="16" t="n">
        <v>2</v>
      </c>
      <c r="AIK337" s="16"/>
      <c r="AIL337" s="16" t="n">
        <f aca="false">7.46+1.59+0.6</f>
        <v>9.65</v>
      </c>
      <c r="AIM337" s="16"/>
      <c r="AIN337" s="16"/>
      <c r="AIO337" s="16"/>
      <c r="AIP337" s="16"/>
      <c r="AIQ337" s="16"/>
      <c r="AIR337" s="16"/>
      <c r="AIS337" s="16" t="n">
        <v>10.63</v>
      </c>
      <c r="AIT337" s="16" t="n">
        <v>36.38</v>
      </c>
      <c r="AIU337" s="16"/>
      <c r="AIV337" s="16"/>
      <c r="AIW337" s="16" t="n">
        <v>0</v>
      </c>
      <c r="AIX337" s="16" t="n">
        <v>0</v>
      </c>
      <c r="AIY337" s="16" t="n">
        <v>0</v>
      </c>
      <c r="AIZ337" s="0" t="n">
        <v>0</v>
      </c>
      <c r="AJA337" s="0" t="s">
        <v>226</v>
      </c>
      <c r="AJB337" s="0" t="n">
        <v>19</v>
      </c>
      <c r="AJC337" s="16" t="n">
        <v>82.6</v>
      </c>
      <c r="AJD337" s="16" t="n">
        <v>80.4</v>
      </c>
      <c r="AJE337" s="16" t="n">
        <v>7.7</v>
      </c>
      <c r="AJF337" s="0" t="n">
        <v>86.83</v>
      </c>
      <c r="AJG337" s="0" t="n">
        <v>12.69</v>
      </c>
      <c r="AJH337" s="0" t="n">
        <v>0</v>
      </c>
      <c r="AJI337" s="0" t="n">
        <v>0</v>
      </c>
      <c r="AJJ337" s="0" t="n">
        <v>0.48</v>
      </c>
      <c r="AJK337" s="0" t="n">
        <v>0</v>
      </c>
      <c r="AJL337" s="0" t="n">
        <v>0</v>
      </c>
      <c r="AJM337" s="0" t="n">
        <v>0</v>
      </c>
      <c r="AJN337" s="0" t="n">
        <v>0</v>
      </c>
      <c r="AJO337" s="0" t="n">
        <v>0</v>
      </c>
      <c r="AJP337" s="0" t="n">
        <v>0</v>
      </c>
      <c r="AJQ337" s="0" t="n">
        <v>0</v>
      </c>
      <c r="AJR337" s="0" t="n">
        <v>7.16</v>
      </c>
      <c r="AJS337" s="0" t="n">
        <v>10.76</v>
      </c>
      <c r="AJT337" s="0" t="n">
        <v>0</v>
      </c>
      <c r="AJU337" s="0" t="n">
        <v>0</v>
      </c>
      <c r="AJV337" s="0" t="n">
        <v>3.4</v>
      </c>
      <c r="AJW337" s="0" t="n">
        <v>2</v>
      </c>
      <c r="AJX337" s="0" t="n">
        <v>11.9</v>
      </c>
      <c r="AJY337" s="0" t="n">
        <v>0.48</v>
      </c>
      <c r="AKD337" s="0" t="n">
        <v>11.9</v>
      </c>
      <c r="AKE337" s="0" t="n">
        <v>0.48</v>
      </c>
      <c r="AKJ337" s="0" t="n">
        <v>0</v>
      </c>
      <c r="AKK337" s="0" t="n">
        <v>1</v>
      </c>
      <c r="AKL337" s="0" t="n">
        <v>34</v>
      </c>
      <c r="AKM337" s="0" t="n">
        <v>2</v>
      </c>
      <c r="AKN337" s="0" t="n">
        <f aca="false">0.84*2</f>
        <v>1.68</v>
      </c>
      <c r="AKO337" s="0" t="n">
        <v>1</v>
      </c>
      <c r="AKV337" s="18"/>
      <c r="ALN337" s="0" t="n">
        <v>0</v>
      </c>
    </row>
    <row r="338" customFormat="false" ht="13.8" hidden="false" customHeight="false" outlineLevel="0" collapsed="false">
      <c r="A338" s="1" t="s">
        <v>925</v>
      </c>
      <c r="B338" s="12" t="n">
        <v>42929</v>
      </c>
      <c r="C338" s="0" t="n">
        <v>2</v>
      </c>
      <c r="D338" s="13" t="n">
        <v>42811</v>
      </c>
      <c r="E338" s="12" t="n">
        <v>32642</v>
      </c>
      <c r="F338" s="14" t="n">
        <f aca="false">(B338-E338)/365.25</f>
        <v>28.1642710472279</v>
      </c>
      <c r="G338" s="14" t="n">
        <f aca="false">(B338-D338)/365.25</f>
        <v>0.323066392881588</v>
      </c>
      <c r="H338" s="19" t="s">
        <v>217</v>
      </c>
      <c r="I338" s="15" t="s">
        <v>218</v>
      </c>
      <c r="J338" s="15" t="s">
        <v>183</v>
      </c>
      <c r="K338" s="15" t="n">
        <v>4</v>
      </c>
      <c r="L338" s="19" t="n">
        <v>82</v>
      </c>
      <c r="M338" s="0" t="n">
        <v>1.79</v>
      </c>
      <c r="N338" s="16" t="n">
        <f aca="false">L338/(M338*M338)</f>
        <v>25.5922099809619</v>
      </c>
      <c r="O338" s="19" t="n">
        <v>0</v>
      </c>
      <c r="P338" s="19" t="n">
        <v>0</v>
      </c>
      <c r="Q338" s="19" t="n">
        <v>0</v>
      </c>
      <c r="R338" s="26" t="n">
        <v>0</v>
      </c>
      <c r="S338" s="26" t="n">
        <v>0</v>
      </c>
      <c r="T338" s="26" t="n">
        <v>0</v>
      </c>
      <c r="U338" s="19" t="n">
        <v>0</v>
      </c>
      <c r="V338" s="19" t="n">
        <v>0</v>
      </c>
      <c r="W338" s="19" t="n">
        <v>0</v>
      </c>
      <c r="X338" s="19" t="n">
        <v>0</v>
      </c>
      <c r="Y338" s="19" t="n">
        <v>0</v>
      </c>
      <c r="Z338" s="19" t="n">
        <v>0</v>
      </c>
      <c r="AA338" s="19" t="n">
        <v>0</v>
      </c>
      <c r="AB338" s="19" t="n">
        <v>0</v>
      </c>
      <c r="AC338" s="19" t="n">
        <v>0</v>
      </c>
      <c r="AD338" s="19" t="n">
        <v>0</v>
      </c>
      <c r="AE338" s="19" t="n">
        <v>0</v>
      </c>
      <c r="AF338" s="19" t="n">
        <v>0</v>
      </c>
      <c r="AG338" s="19" t="n">
        <v>0</v>
      </c>
      <c r="AH338" s="19" t="n">
        <v>0</v>
      </c>
      <c r="AI338" s="19" t="n">
        <v>0</v>
      </c>
      <c r="AJ338" s="19" t="n">
        <v>0</v>
      </c>
      <c r="AK338" s="19" t="n">
        <v>0</v>
      </c>
      <c r="AL338" s="19" t="n">
        <v>0</v>
      </c>
      <c r="AM338" s="19" t="n">
        <v>0</v>
      </c>
      <c r="AN338" s="19" t="n">
        <v>0</v>
      </c>
      <c r="AO338" s="19" t="n">
        <v>0</v>
      </c>
      <c r="AP338" s="19" t="n">
        <v>0</v>
      </c>
      <c r="AQ338" s="19" t="n">
        <v>0</v>
      </c>
      <c r="AR338" s="19" t="n">
        <v>0</v>
      </c>
      <c r="AS338" s="19" t="n">
        <v>0</v>
      </c>
      <c r="AT338" s="19" t="n">
        <v>0</v>
      </c>
      <c r="AU338" s="19" t="n">
        <v>0</v>
      </c>
      <c r="AV338" s="19" t="n">
        <v>0</v>
      </c>
      <c r="AW338" s="19" t="n">
        <v>0</v>
      </c>
      <c r="AX338" s="19" t="n">
        <v>0</v>
      </c>
      <c r="AY338" s="19" t="n">
        <v>0</v>
      </c>
      <c r="AZ338" s="19" t="n">
        <v>0</v>
      </c>
      <c r="BA338" s="19" t="n">
        <v>0</v>
      </c>
      <c r="BB338" s="19" t="n">
        <v>0</v>
      </c>
      <c r="BC338" s="19" t="n">
        <v>0</v>
      </c>
      <c r="BD338" s="19" t="n">
        <v>0</v>
      </c>
      <c r="BE338" s="19" t="n">
        <v>0</v>
      </c>
      <c r="BF338" s="19" t="n">
        <v>0</v>
      </c>
      <c r="BG338" s="19" t="n">
        <v>0</v>
      </c>
      <c r="BH338" s="19" t="n">
        <v>0</v>
      </c>
      <c r="BI338" s="19" t="n">
        <v>0</v>
      </c>
      <c r="BJ338" s="19" t="n">
        <v>0</v>
      </c>
      <c r="BK338" s="19" t="n">
        <v>0</v>
      </c>
      <c r="BL338" s="19" t="n">
        <v>0</v>
      </c>
      <c r="BM338" s="19" t="n">
        <v>0</v>
      </c>
      <c r="BN338" s="19" t="n">
        <v>0</v>
      </c>
      <c r="BO338" s="19" t="n">
        <v>0</v>
      </c>
      <c r="BP338" s="19" t="n">
        <v>0</v>
      </c>
      <c r="BQ338" s="19" t="n">
        <v>0</v>
      </c>
      <c r="BR338" s="19" t="n">
        <v>2</v>
      </c>
      <c r="BS338" s="19" t="n">
        <v>1</v>
      </c>
      <c r="BT338" s="19" t="n">
        <v>4</v>
      </c>
      <c r="BU338" s="19" t="n">
        <v>5</v>
      </c>
      <c r="BV338" s="19" t="n">
        <v>1</v>
      </c>
      <c r="BW338" s="19" t="n">
        <v>1</v>
      </c>
      <c r="BX338" s="19" t="n">
        <v>4</v>
      </c>
      <c r="BY338" s="19" t="n">
        <v>4</v>
      </c>
      <c r="BZ338" s="19" t="n">
        <v>5</v>
      </c>
      <c r="CA338" s="19" t="n">
        <v>5</v>
      </c>
      <c r="CB338" s="19" t="n">
        <v>4</v>
      </c>
      <c r="CC338" s="19" t="n">
        <v>4</v>
      </c>
      <c r="CD338" s="19" t="n">
        <v>5</v>
      </c>
      <c r="CE338" s="19" t="n">
        <v>5</v>
      </c>
      <c r="CF338" s="19" t="n">
        <v>5</v>
      </c>
      <c r="CG338" s="19" t="n">
        <v>5</v>
      </c>
      <c r="CH338" s="19" t="n">
        <v>4</v>
      </c>
      <c r="CI338" s="19" t="n">
        <v>4</v>
      </c>
      <c r="CJ338" s="19" t="n">
        <v>4</v>
      </c>
      <c r="CK338" s="19" t="n">
        <v>8</v>
      </c>
      <c r="CL338" s="0" t="s">
        <v>219</v>
      </c>
      <c r="CM338" s="0" t="n">
        <v>33.5</v>
      </c>
      <c r="CN338" s="16" t="n">
        <v>91.5</v>
      </c>
      <c r="CO338" s="16" t="n">
        <v>80.4</v>
      </c>
      <c r="CP338" s="16" t="n">
        <v>20</v>
      </c>
      <c r="CQ338" s="0" t="n">
        <v>84.58</v>
      </c>
      <c r="CR338" s="17" t="n">
        <v>0</v>
      </c>
      <c r="CS338" s="0" t="n">
        <v>15.42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13.79</v>
      </c>
      <c r="DD338" s="0" t="n">
        <v>2.67</v>
      </c>
      <c r="DE338" s="0" t="n">
        <v>11.54</v>
      </c>
      <c r="DF338" s="0" t="n">
        <v>0</v>
      </c>
      <c r="DG338" s="0" t="n">
        <v>12.3</v>
      </c>
      <c r="DH338" s="0" t="n">
        <v>2</v>
      </c>
      <c r="DI338" s="0" t="n">
        <v>5</v>
      </c>
      <c r="DJ338" s="0" t="n">
        <v>2</v>
      </c>
      <c r="DO338" s="0" t="n">
        <v>5</v>
      </c>
      <c r="DP338" s="0" t="n">
        <v>2</v>
      </c>
      <c r="DU338" s="0" t="n">
        <v>0</v>
      </c>
      <c r="DV338" s="0" t="n">
        <v>1</v>
      </c>
      <c r="DW338" s="0" t="n">
        <v>34</v>
      </c>
      <c r="DX338" s="0" t="n">
        <v>2</v>
      </c>
      <c r="DY338" s="0" t="n">
        <v>0.1</v>
      </c>
      <c r="DZ338" s="0" t="n">
        <v>1</v>
      </c>
      <c r="EA338" s="0" t="n">
        <v>10</v>
      </c>
      <c r="EB338" s="0" t="n">
        <f aca="false">8*4</f>
        <v>32</v>
      </c>
      <c r="EC338" s="0" t="n">
        <f aca="false">0.06+0.01+0.4+1.7+0.24+0.14+0.96</f>
        <v>3.51</v>
      </c>
      <c r="ED338" s="0" t="n">
        <v>3</v>
      </c>
      <c r="EG338" s="18"/>
      <c r="EY338" s="0" t="n">
        <v>0</v>
      </c>
      <c r="GJ338" s="16" t="n">
        <v>0.25</v>
      </c>
      <c r="GK338" s="16" t="n">
        <v>1</v>
      </c>
      <c r="GL338" s="16" t="n">
        <v>2</v>
      </c>
      <c r="GM338" s="16"/>
      <c r="GN338" s="16" t="n">
        <v>0.55</v>
      </c>
      <c r="GO338" s="16"/>
      <c r="GP338" s="16"/>
      <c r="GQ338" s="16"/>
      <c r="GR338" s="16"/>
      <c r="GS338" s="16"/>
      <c r="GT338" s="16"/>
      <c r="GU338" s="16" t="n">
        <v>0.55</v>
      </c>
      <c r="GV338" s="16" t="n">
        <v>0.55</v>
      </c>
      <c r="GW338" s="16"/>
      <c r="GX338" s="16"/>
      <c r="GY338" s="16" t="n">
        <v>0</v>
      </c>
      <c r="GZ338" s="16" t="n">
        <v>0</v>
      </c>
      <c r="HA338" s="16" t="n">
        <v>0</v>
      </c>
      <c r="HB338" s="0" t="n">
        <v>0</v>
      </c>
      <c r="HC338" s="0" t="s">
        <v>220</v>
      </c>
      <c r="HD338" s="0" t="n">
        <v>27</v>
      </c>
      <c r="HE338" s="16" t="n">
        <v>54.4</v>
      </c>
      <c r="HF338" s="16" t="n">
        <v>80.4</v>
      </c>
      <c r="HG338" s="16" t="n">
        <v>18.1</v>
      </c>
      <c r="HH338" s="0" t="n">
        <v>81.88</v>
      </c>
      <c r="HI338" s="17" t="n">
        <v>0</v>
      </c>
      <c r="HJ338" s="0" t="n">
        <v>9.83</v>
      </c>
      <c r="HK338" s="0" t="n">
        <v>0</v>
      </c>
      <c r="HL338" s="0" t="n">
        <v>2.14</v>
      </c>
      <c r="HM338" s="0" t="n">
        <v>0</v>
      </c>
      <c r="HN338" s="0" t="n">
        <v>0</v>
      </c>
      <c r="HO338" s="0" t="n">
        <v>0</v>
      </c>
      <c r="HP338" s="0" t="n">
        <v>0</v>
      </c>
      <c r="HQ338" s="0" t="n">
        <v>0</v>
      </c>
      <c r="HR338" s="0" t="n">
        <v>0</v>
      </c>
      <c r="HS338" s="0" t="n">
        <v>0</v>
      </c>
      <c r="HT338" s="0" t="n">
        <v>2.32</v>
      </c>
      <c r="HU338" s="0" t="n">
        <v>19.66</v>
      </c>
      <c r="HV338" s="0" t="n">
        <v>3.64</v>
      </c>
      <c r="HW338" s="0" t="n">
        <v>0</v>
      </c>
      <c r="HX338" s="0" t="n">
        <v>0</v>
      </c>
      <c r="HY338" s="0" t="n">
        <v>0</v>
      </c>
      <c r="IL338" s="0" t="n">
        <v>0</v>
      </c>
      <c r="IM338" s="0" t="n">
        <v>1</v>
      </c>
      <c r="IN338" s="0" t="n">
        <v>26</v>
      </c>
      <c r="IO338" s="0" t="n">
        <v>2</v>
      </c>
      <c r="IP338" s="0" t="n">
        <v>0.05</v>
      </c>
      <c r="IQ338" s="0" t="n">
        <v>2</v>
      </c>
      <c r="IX338" s="18"/>
      <c r="JP338" s="0" t="n">
        <v>0</v>
      </c>
      <c r="LA338" s="16" t="n">
        <v>2.1</v>
      </c>
      <c r="LB338" s="16" t="n">
        <v>1</v>
      </c>
      <c r="LC338" s="16" t="n">
        <v>1</v>
      </c>
      <c r="LD338" s="16"/>
      <c r="LE338" s="16" t="n">
        <f aca="false">0.1+0.76*2+2.02+1.35*2+0.67</f>
        <v>7.01</v>
      </c>
      <c r="LF338" s="16"/>
      <c r="LG338" s="16"/>
      <c r="LH338" s="16"/>
      <c r="LI338" s="16"/>
      <c r="LJ338" s="16"/>
      <c r="LK338" s="16"/>
      <c r="LL338" s="16" t="n">
        <v>6.35</v>
      </c>
      <c r="LM338" s="16" t="n">
        <v>14.8</v>
      </c>
      <c r="LN338" s="16"/>
      <c r="LO338" s="16"/>
      <c r="LP338" s="16" t="n">
        <v>0</v>
      </c>
      <c r="LQ338" s="16" t="n">
        <v>0</v>
      </c>
      <c r="LR338" s="16" t="n">
        <v>0</v>
      </c>
      <c r="LS338" s="0" t="n">
        <v>0</v>
      </c>
      <c r="LT338" s="0" t="s">
        <v>221</v>
      </c>
      <c r="LU338" s="0" t="n">
        <v>20.5</v>
      </c>
      <c r="LV338" s="16" t="n">
        <v>76.9</v>
      </c>
      <c r="LW338" s="16" t="n">
        <v>80.4</v>
      </c>
      <c r="LX338" s="16" t="n">
        <v>9.1</v>
      </c>
      <c r="LY338" s="0" t="n">
        <v>88.58</v>
      </c>
      <c r="LZ338" s="0" t="n">
        <v>10.3</v>
      </c>
      <c r="MA338" s="0" t="n">
        <v>1.12</v>
      </c>
      <c r="MB338" s="0" t="n">
        <v>0</v>
      </c>
      <c r="MC338" s="0" t="n">
        <v>0</v>
      </c>
      <c r="MD338" s="0" t="n">
        <v>0</v>
      </c>
      <c r="ME338" s="0" t="n">
        <v>0</v>
      </c>
      <c r="MF338" s="0" t="n">
        <v>0</v>
      </c>
      <c r="MG338" s="0" t="n">
        <v>0</v>
      </c>
      <c r="MH338" s="0" t="n">
        <v>0</v>
      </c>
      <c r="MI338" s="0" t="n">
        <v>0</v>
      </c>
      <c r="MJ338" s="0" t="n">
        <v>0</v>
      </c>
      <c r="MK338" s="0" t="n">
        <v>6.33</v>
      </c>
      <c r="ML338" s="0" t="n">
        <v>16.97</v>
      </c>
      <c r="MM338" s="0" t="n">
        <v>0</v>
      </c>
      <c r="MN338" s="0" t="n">
        <v>0</v>
      </c>
      <c r="MO338" s="0" t="n">
        <v>4.1</v>
      </c>
      <c r="MP338" s="0" t="n">
        <v>2</v>
      </c>
      <c r="MQ338" s="0" t="n">
        <v>5</v>
      </c>
      <c r="MR338" s="0" t="n">
        <v>1</v>
      </c>
      <c r="MW338" s="0" t="n">
        <v>5</v>
      </c>
      <c r="MX338" s="0" t="n">
        <v>1</v>
      </c>
      <c r="NC338" s="0" t="n">
        <v>0</v>
      </c>
      <c r="ND338" s="0" t="n">
        <v>0</v>
      </c>
      <c r="NO338" s="18"/>
      <c r="OG338" s="0" t="n">
        <v>0</v>
      </c>
      <c r="PR338" s="16" t="n">
        <v>2.24</v>
      </c>
      <c r="PS338" s="16" t="n">
        <v>1</v>
      </c>
      <c r="PT338" s="16" t="n">
        <v>2</v>
      </c>
      <c r="PU338" s="16"/>
      <c r="PV338" s="16" t="n">
        <v>4.97</v>
      </c>
      <c r="PW338" s="16"/>
      <c r="PX338" s="16"/>
      <c r="PY338" s="16"/>
      <c r="PZ338" s="16"/>
      <c r="QA338" s="16"/>
      <c r="QB338" s="16"/>
      <c r="QC338" s="16" t="n">
        <v>5.1</v>
      </c>
      <c r="QD338" s="16" t="n">
        <v>5.97</v>
      </c>
      <c r="QE338" s="16"/>
      <c r="QF338" s="16"/>
      <c r="QG338" s="16" t="n">
        <v>0</v>
      </c>
      <c r="QH338" s="16" t="n">
        <v>0</v>
      </c>
      <c r="QI338" s="16" t="n">
        <v>0</v>
      </c>
      <c r="QJ338" s="0" t="n">
        <v>0</v>
      </c>
      <c r="QK338" s="0" t="s">
        <v>222</v>
      </c>
      <c r="QL338" s="0" t="n">
        <v>32.5</v>
      </c>
      <c r="QM338" s="16" t="n">
        <v>96.7</v>
      </c>
      <c r="QN338" s="16" t="n">
        <v>80.4</v>
      </c>
      <c r="QO338" s="16" t="n">
        <v>15.1</v>
      </c>
      <c r="QP338" s="0" t="n">
        <v>52.24</v>
      </c>
      <c r="QQ338" s="0" t="n">
        <v>45.43</v>
      </c>
      <c r="QR338" s="0" t="n">
        <v>1.12</v>
      </c>
      <c r="QS338" s="0" t="n">
        <v>0</v>
      </c>
      <c r="QT338" s="0" t="n">
        <v>1.2</v>
      </c>
      <c r="QU338" s="0" t="n">
        <v>0</v>
      </c>
      <c r="QV338" s="0" t="n">
        <v>0</v>
      </c>
      <c r="QW338" s="0" t="n">
        <v>0</v>
      </c>
      <c r="QX338" s="0" t="n">
        <v>0</v>
      </c>
      <c r="QY338" s="0" t="n">
        <v>0</v>
      </c>
      <c r="QZ338" s="0" t="n">
        <v>0</v>
      </c>
      <c r="RA338" s="0" t="n">
        <v>1.2</v>
      </c>
      <c r="RB338" s="0" t="n">
        <v>15.88</v>
      </c>
      <c r="RC338" s="0" t="n">
        <v>48.59</v>
      </c>
      <c r="RD338" s="0" t="n">
        <v>0</v>
      </c>
      <c r="RE338" s="0" t="n">
        <v>0</v>
      </c>
      <c r="RF338" s="0" t="n">
        <v>0</v>
      </c>
      <c r="RG338" s="0" t="n">
        <v>0</v>
      </c>
      <c r="RT338" s="0" t="n">
        <v>0</v>
      </c>
      <c r="RU338" s="0" t="n">
        <v>0</v>
      </c>
      <c r="SF338" s="18"/>
      <c r="SX338" s="0" t="n">
        <v>1</v>
      </c>
      <c r="SY338" s="0" t="n">
        <v>50</v>
      </c>
      <c r="SZ338" s="0" t="n">
        <v>2</v>
      </c>
      <c r="TA338" s="0" t="n">
        <f aca="false">3.18+12.73</f>
        <v>15.91</v>
      </c>
      <c r="TB338" s="0" t="n">
        <v>1</v>
      </c>
      <c r="UI338" s="16" t="n">
        <v>5.9</v>
      </c>
      <c r="UJ338" s="16" t="n">
        <v>1</v>
      </c>
      <c r="UK338" s="16" t="n">
        <v>2</v>
      </c>
      <c r="UL338" s="16"/>
      <c r="UM338" s="16" t="n">
        <f aca="false">0.09+0.18*3+0.13+0.53+1.07*2+1.34*2+0.17*2+3.18+12.73</f>
        <v>22.36</v>
      </c>
      <c r="UN338" s="16"/>
      <c r="UO338" s="16"/>
      <c r="UP338" s="16"/>
      <c r="UQ338" s="16"/>
      <c r="UR338" s="16"/>
      <c r="US338" s="16"/>
      <c r="UT338" s="16" t="n">
        <v>11.45</v>
      </c>
      <c r="UU338" s="16" t="n">
        <v>41.19</v>
      </c>
      <c r="UV338" s="16"/>
      <c r="UW338" s="16"/>
      <c r="UX338" s="16" t="n">
        <v>0</v>
      </c>
      <c r="UY338" s="16" t="n">
        <v>0</v>
      </c>
      <c r="UZ338" s="16" t="n">
        <v>0</v>
      </c>
      <c r="VA338" s="0" t="n">
        <v>0</v>
      </c>
      <c r="VB338" s="0" t="s">
        <v>223</v>
      </c>
      <c r="VC338" s="0" t="n">
        <v>30.5</v>
      </c>
      <c r="VD338" s="16" t="n">
        <v>68.8</v>
      </c>
      <c r="VE338" s="16" t="n">
        <v>80.4</v>
      </c>
      <c r="VF338" s="16" t="n">
        <v>16.3</v>
      </c>
      <c r="VG338" s="0" t="n">
        <v>66.28</v>
      </c>
      <c r="VH338" s="0" t="n">
        <v>20.09</v>
      </c>
      <c r="VI338" s="0" t="n">
        <v>1.81</v>
      </c>
      <c r="VJ338" s="0" t="n">
        <v>0</v>
      </c>
      <c r="VK338" s="0" t="n">
        <v>11.82</v>
      </c>
      <c r="VL338" s="0" t="n">
        <v>0</v>
      </c>
      <c r="VM338" s="0" t="n">
        <v>0</v>
      </c>
      <c r="VN338" s="0" t="n">
        <v>0</v>
      </c>
      <c r="VO338" s="0" t="n">
        <v>0</v>
      </c>
      <c r="VP338" s="0" t="n">
        <v>0</v>
      </c>
      <c r="VQ338" s="0" t="n">
        <v>0</v>
      </c>
      <c r="VR338" s="0" t="n">
        <v>0</v>
      </c>
      <c r="VS338" s="0" t="n">
        <v>13.17</v>
      </c>
      <c r="VT338" s="0" t="n">
        <v>35.75</v>
      </c>
      <c r="VU338" s="0" t="n">
        <v>0</v>
      </c>
      <c r="VV338" s="0" t="n">
        <v>0</v>
      </c>
      <c r="VW338" s="0" t="n">
        <v>0</v>
      </c>
      <c r="VX338" s="0" t="n">
        <v>0</v>
      </c>
      <c r="WK338" s="0" t="n">
        <v>0</v>
      </c>
      <c r="WL338" s="0" t="n">
        <v>1</v>
      </c>
      <c r="WM338" s="0" t="n">
        <v>52</v>
      </c>
      <c r="WN338" s="0" t="n">
        <v>1</v>
      </c>
      <c r="WO338" s="0" t="n">
        <v>0.01</v>
      </c>
      <c r="WP338" s="0" t="n">
        <v>2</v>
      </c>
      <c r="WW338" s="18"/>
      <c r="XO338" s="0" t="n">
        <v>0</v>
      </c>
      <c r="YZ338" s="16" t="n">
        <v>5.43</v>
      </c>
      <c r="ZA338" s="16" t="n">
        <v>1</v>
      </c>
      <c r="ZB338" s="16" t="n">
        <v>1</v>
      </c>
      <c r="ZC338" s="16"/>
      <c r="ZD338" s="16" t="n">
        <f aca="false">0.09*2+0.07+1.36</f>
        <v>1.61</v>
      </c>
      <c r="ZE338" s="16" t="n">
        <v>2</v>
      </c>
      <c r="ZF338" s="16"/>
      <c r="ZG338" s="16" t="n">
        <f aca="false">4.2+0.09+0.66+0.01+3.18+3.18</f>
        <v>11.32</v>
      </c>
      <c r="ZH338" s="16"/>
      <c r="ZI338" s="16"/>
      <c r="ZJ338" s="16"/>
      <c r="ZK338" s="16" t="n">
        <v>8.61</v>
      </c>
      <c r="ZL338" s="16" t="n">
        <v>26.91</v>
      </c>
      <c r="ZM338" s="16"/>
      <c r="ZN338" s="16"/>
      <c r="ZO338" s="16" t="n">
        <v>0</v>
      </c>
      <c r="ZP338" s="16" t="n">
        <v>0</v>
      </c>
      <c r="ZQ338" s="16" t="n">
        <v>0</v>
      </c>
      <c r="ZR338" s="0" t="n">
        <v>0</v>
      </c>
      <c r="ZS338" s="0" t="s">
        <v>224</v>
      </c>
      <c r="ZT338" s="0" t="n">
        <v>39.5</v>
      </c>
      <c r="ZU338" s="16" t="n">
        <v>60.8</v>
      </c>
      <c r="ZV338" s="16" t="n">
        <v>80.4</v>
      </c>
      <c r="ZW338" s="16" t="n">
        <v>22.9</v>
      </c>
      <c r="ZX338" s="0" t="n">
        <v>67.01</v>
      </c>
      <c r="ZY338" s="0" t="n">
        <v>11.71</v>
      </c>
      <c r="ZZ338" s="0" t="n">
        <v>16.61</v>
      </c>
      <c r="AAA338" s="0" t="n">
        <v>0</v>
      </c>
      <c r="AAB338" s="0" t="n">
        <v>4.67</v>
      </c>
      <c r="AAC338" s="0" t="n">
        <v>0</v>
      </c>
      <c r="AAD338" s="0" t="n">
        <v>0</v>
      </c>
      <c r="AAE338" s="0" t="n">
        <v>0</v>
      </c>
      <c r="AAF338" s="0" t="n">
        <v>0</v>
      </c>
      <c r="AAG338" s="0" t="n">
        <v>0</v>
      </c>
      <c r="AAH338" s="0" t="n">
        <v>0</v>
      </c>
      <c r="AAI338" s="0" t="n">
        <v>0</v>
      </c>
      <c r="AAJ338" s="0" t="n">
        <v>20.9</v>
      </c>
      <c r="AAK338" s="0" t="n">
        <v>25.23</v>
      </c>
      <c r="AAL338" s="0" t="n">
        <v>0.58</v>
      </c>
      <c r="AAM338" s="0" t="n">
        <v>0</v>
      </c>
      <c r="AAN338" s="0" t="n">
        <v>0</v>
      </c>
      <c r="AAO338" s="0" t="n">
        <v>0</v>
      </c>
      <c r="ABB338" s="0" t="n">
        <v>2</v>
      </c>
      <c r="ABC338" s="0" t="n">
        <v>1</v>
      </c>
      <c r="ABD338" s="0" t="n">
        <v>103</v>
      </c>
      <c r="ABE338" s="0" t="n">
        <v>2</v>
      </c>
      <c r="ABF338" s="0" t="n">
        <f aca="false">0.18+0.14</f>
        <v>0.32</v>
      </c>
      <c r="ABG338" s="0" t="n">
        <v>1</v>
      </c>
      <c r="ABH338" s="0" t="n">
        <v>68</v>
      </c>
      <c r="ABI338" s="0" t="n">
        <v>1</v>
      </c>
      <c r="ABJ338" s="0" t="n">
        <v>0.01</v>
      </c>
      <c r="ABK338" s="0" t="n">
        <v>1</v>
      </c>
      <c r="ABL338" s="0" t="n">
        <v>52</v>
      </c>
      <c r="ABM338" s="0" t="n">
        <v>3</v>
      </c>
      <c r="ABN338" s="18" t="n">
        <v>0.05</v>
      </c>
      <c r="ABO338" s="0" t="n">
        <v>2</v>
      </c>
      <c r="ACF338" s="0" t="n">
        <v>0</v>
      </c>
      <c r="ADQ338" s="16" t="n">
        <v>3.66</v>
      </c>
      <c r="ADR338" s="16" t="n">
        <v>1</v>
      </c>
      <c r="ADS338" s="16" t="n">
        <v>1</v>
      </c>
      <c r="ADT338" s="16"/>
      <c r="ADU338" s="16" t="n">
        <f aca="false">2.69*3+1.35*3+0.14*2+0.1</f>
        <v>12.5</v>
      </c>
      <c r="ADV338" s="16" t="n">
        <v>2</v>
      </c>
      <c r="ADW338" s="16"/>
      <c r="ADX338" s="16" t="n">
        <f aca="false">0.66+0.35+0.18+0.14+1.25+1.23</f>
        <v>3.81</v>
      </c>
      <c r="ADY338" s="16"/>
      <c r="ADZ338" s="16"/>
      <c r="AEA338" s="16"/>
      <c r="AEB338" s="16" t="n">
        <v>10.05</v>
      </c>
      <c r="AEC338" s="16" t="n">
        <v>27.11</v>
      </c>
      <c r="AED338" s="16"/>
      <c r="AEE338" s="16"/>
      <c r="AEF338" s="16" t="n">
        <v>0</v>
      </c>
      <c r="AEG338" s="16" t="n">
        <v>0</v>
      </c>
      <c r="AEH338" s="16" t="n">
        <v>0</v>
      </c>
      <c r="AEI338" s="0" t="n">
        <v>0</v>
      </c>
      <c r="AEJ338" s="0" t="s">
        <v>225</v>
      </c>
      <c r="AEK338" s="0" t="n">
        <v>47</v>
      </c>
      <c r="AEL338" s="16" t="n">
        <v>72.3</v>
      </c>
      <c r="AEM338" s="16" t="n">
        <v>80.4</v>
      </c>
      <c r="AEN338" s="16" t="n">
        <v>18</v>
      </c>
      <c r="AEO338" s="0" t="n">
        <v>70.55</v>
      </c>
      <c r="AEP338" s="0" t="n">
        <v>6.81</v>
      </c>
      <c r="AEQ338" s="0" t="n">
        <v>3.09</v>
      </c>
      <c r="AER338" s="0" t="n">
        <v>0</v>
      </c>
      <c r="AES338" s="0" t="n">
        <v>19.55</v>
      </c>
      <c r="AET338" s="0" t="n">
        <v>0</v>
      </c>
      <c r="AEU338" s="0" t="n">
        <v>0</v>
      </c>
      <c r="AEV338" s="0" t="n">
        <v>0</v>
      </c>
      <c r="AEW338" s="0" t="n">
        <v>0</v>
      </c>
      <c r="AEX338" s="0" t="n">
        <v>0</v>
      </c>
      <c r="AEY338" s="0" t="n">
        <v>0</v>
      </c>
      <c r="AEZ338" s="0" t="n">
        <v>0</v>
      </c>
      <c r="AFA338" s="0" t="n">
        <v>18.07</v>
      </c>
      <c r="AFB338" s="0" t="n">
        <v>30.57</v>
      </c>
      <c r="AFC338" s="0" t="n">
        <v>7.61</v>
      </c>
      <c r="AFD338" s="0" t="n">
        <v>0</v>
      </c>
      <c r="AFE338" s="0" t="n">
        <v>14</v>
      </c>
      <c r="AFF338" s="0" t="n">
        <v>2</v>
      </c>
      <c r="AFG338" s="0" t="n">
        <v>5</v>
      </c>
      <c r="AFH338" s="0" t="n">
        <v>4.47</v>
      </c>
      <c r="AFJ338" s="0" t="n">
        <v>7</v>
      </c>
      <c r="AFK338" s="0" t="n">
        <v>5.15</v>
      </c>
      <c r="AFM338" s="0" t="n">
        <v>5</v>
      </c>
      <c r="AFN338" s="0" t="n">
        <v>4.47</v>
      </c>
      <c r="AFP338" s="0" t="n">
        <v>7</v>
      </c>
      <c r="AFQ338" s="0" t="n">
        <v>5.15</v>
      </c>
      <c r="AFS338" s="0" t="n">
        <v>0</v>
      </c>
      <c r="AFT338" s="0" t="n">
        <v>0</v>
      </c>
      <c r="AGE338" s="18"/>
      <c r="AGW338" s="0" t="n">
        <v>0</v>
      </c>
      <c r="AIH338" s="16" t="n">
        <v>4.21</v>
      </c>
      <c r="AII338" s="16" t="n">
        <v>1</v>
      </c>
      <c r="AIJ338" s="16" t="n">
        <v>2</v>
      </c>
      <c r="AIK338" s="16"/>
      <c r="AIL338" s="16" t="n">
        <f aca="false">7.46+1.59+0.6</f>
        <v>9.65</v>
      </c>
      <c r="AIM338" s="16"/>
      <c r="AIN338" s="16"/>
      <c r="AIO338" s="16"/>
      <c r="AIP338" s="16"/>
      <c r="AIQ338" s="16"/>
      <c r="AIR338" s="16"/>
      <c r="AIS338" s="16" t="n">
        <v>10.63</v>
      </c>
      <c r="AIT338" s="16" t="n">
        <v>36.38</v>
      </c>
      <c r="AIU338" s="16"/>
      <c r="AIV338" s="16"/>
      <c r="AIW338" s="16" t="n">
        <v>0</v>
      </c>
      <c r="AIX338" s="16" t="n">
        <v>0</v>
      </c>
      <c r="AIY338" s="16" t="n">
        <v>0</v>
      </c>
      <c r="AIZ338" s="0" t="n">
        <v>0</v>
      </c>
      <c r="AJA338" s="0" t="s">
        <v>226</v>
      </c>
      <c r="AJB338" s="0" t="n">
        <v>19</v>
      </c>
      <c r="AJC338" s="16" t="n">
        <v>82.6</v>
      </c>
      <c r="AJD338" s="16" t="n">
        <v>80.4</v>
      </c>
      <c r="AJE338" s="16" t="n">
        <v>7.7</v>
      </c>
      <c r="AJF338" s="0" t="n">
        <v>86.83</v>
      </c>
      <c r="AJG338" s="0" t="n">
        <v>12.69</v>
      </c>
      <c r="AJH338" s="0" t="n">
        <v>0</v>
      </c>
      <c r="AJI338" s="0" t="n">
        <v>0</v>
      </c>
      <c r="AJJ338" s="0" t="n">
        <v>0.48</v>
      </c>
      <c r="AJK338" s="0" t="n">
        <v>0</v>
      </c>
      <c r="AJL338" s="0" t="n">
        <v>0</v>
      </c>
      <c r="AJM338" s="0" t="n">
        <v>0</v>
      </c>
      <c r="AJN338" s="0" t="n">
        <v>0</v>
      </c>
      <c r="AJO338" s="0" t="n">
        <v>0</v>
      </c>
      <c r="AJP338" s="0" t="n">
        <v>0</v>
      </c>
      <c r="AJQ338" s="0" t="n">
        <v>0</v>
      </c>
      <c r="AJR338" s="0" t="n">
        <v>7.16</v>
      </c>
      <c r="AJS338" s="0" t="n">
        <v>10.76</v>
      </c>
      <c r="AJT338" s="0" t="n">
        <v>0</v>
      </c>
      <c r="AJU338" s="0" t="n">
        <v>0</v>
      </c>
      <c r="AJV338" s="0" t="n">
        <v>3.4</v>
      </c>
      <c r="AJW338" s="0" t="n">
        <v>2</v>
      </c>
      <c r="AJX338" s="0" t="n">
        <v>11.9</v>
      </c>
      <c r="AJY338" s="0" t="n">
        <v>0.48</v>
      </c>
      <c r="AKD338" s="0" t="n">
        <v>11.9</v>
      </c>
      <c r="AKE338" s="0" t="n">
        <v>0.48</v>
      </c>
      <c r="AKJ338" s="0" t="n">
        <v>0</v>
      </c>
      <c r="AKK338" s="0" t="n">
        <v>1</v>
      </c>
      <c r="AKL338" s="0" t="n">
        <v>34</v>
      </c>
      <c r="AKM338" s="0" t="n">
        <v>2</v>
      </c>
      <c r="AKN338" s="0" t="n">
        <f aca="false">0.84*2</f>
        <v>1.68</v>
      </c>
      <c r="AKO338" s="0" t="n">
        <v>1</v>
      </c>
      <c r="AKV338" s="18"/>
      <c r="ALN338" s="0" t="n">
        <v>0</v>
      </c>
    </row>
    <row r="339" customFormat="false" ht="13.8" hidden="false" customHeight="false" outlineLevel="0" collapsed="false">
      <c r="A339" s="1" t="s">
        <v>926</v>
      </c>
      <c r="B339" s="12" t="n">
        <v>42928</v>
      </c>
      <c r="C339" s="0" t="n">
        <v>1</v>
      </c>
      <c r="D339" s="13" t="n">
        <v>42786</v>
      </c>
      <c r="E339" s="12" t="n">
        <v>35522</v>
      </c>
      <c r="F339" s="14" t="n">
        <f aca="false">(B339-E339)/365.25</f>
        <v>20.2765229295003</v>
      </c>
      <c r="G339" s="14" t="n">
        <f aca="false">(B339-D339)/365.25</f>
        <v>0.388774811772758</v>
      </c>
      <c r="H339" s="19" t="s">
        <v>217</v>
      </c>
      <c r="I339" s="15" t="s">
        <v>218</v>
      </c>
      <c r="J339" s="15" t="s">
        <v>183</v>
      </c>
      <c r="K339" s="15" t="s">
        <v>913</v>
      </c>
      <c r="L339" s="19" t="n">
        <v>60</v>
      </c>
      <c r="M339" s="0" t="n">
        <v>1.7</v>
      </c>
      <c r="N339" s="16" t="n">
        <f aca="false">L339/(M339*M339)</f>
        <v>20.7612456747405</v>
      </c>
      <c r="O339" s="19" t="n">
        <v>0</v>
      </c>
      <c r="P339" s="19" t="n">
        <v>0</v>
      </c>
      <c r="Q339" s="19" t="n">
        <v>0</v>
      </c>
      <c r="R339" s="26" t="n">
        <v>0</v>
      </c>
      <c r="S339" s="26" t="n">
        <v>0</v>
      </c>
      <c r="T339" s="26" t="n">
        <v>0</v>
      </c>
      <c r="U339" s="19" t="n">
        <v>0</v>
      </c>
      <c r="V339" s="19" t="n">
        <v>0</v>
      </c>
      <c r="W339" s="19" t="n">
        <v>0</v>
      </c>
      <c r="X339" s="19" t="n">
        <v>0</v>
      </c>
      <c r="Y339" s="19" t="n">
        <v>0</v>
      </c>
      <c r="Z339" s="19" t="n">
        <v>0</v>
      </c>
      <c r="AA339" s="19" t="n">
        <v>0</v>
      </c>
      <c r="AB339" s="19" t="n">
        <v>0</v>
      </c>
      <c r="AC339" s="19" t="n">
        <v>1</v>
      </c>
      <c r="AD339" s="19" t="n">
        <v>15</v>
      </c>
      <c r="AE339" s="19" t="n">
        <v>0</v>
      </c>
      <c r="AF339" s="19" t="n">
        <v>0</v>
      </c>
      <c r="AG339" s="19" t="n">
        <v>0</v>
      </c>
      <c r="AH339" s="19" t="n">
        <v>0</v>
      </c>
      <c r="AI339" s="19" t="n">
        <v>0</v>
      </c>
      <c r="AJ339" s="19" t="n">
        <v>0</v>
      </c>
      <c r="AK339" s="19" t="n">
        <v>0</v>
      </c>
      <c r="AL339" s="19" t="n">
        <v>0</v>
      </c>
      <c r="AM339" s="19" t="n">
        <v>0</v>
      </c>
      <c r="AN339" s="19" t="n">
        <v>0</v>
      </c>
      <c r="AO339" s="19" t="n">
        <v>0</v>
      </c>
      <c r="AP339" s="19" t="n">
        <v>0</v>
      </c>
      <c r="AQ339" s="19" t="n">
        <v>0</v>
      </c>
      <c r="AR339" s="19" t="n">
        <v>0</v>
      </c>
      <c r="AS339" s="19" t="n">
        <v>0</v>
      </c>
      <c r="AT339" s="19" t="n">
        <v>0</v>
      </c>
      <c r="AU339" s="19" t="n">
        <v>0</v>
      </c>
      <c r="AV339" s="19" t="n">
        <v>0</v>
      </c>
      <c r="AW339" s="19" t="n">
        <v>0</v>
      </c>
      <c r="AX339" s="19" t="n">
        <v>0</v>
      </c>
      <c r="AY339" s="19" t="n">
        <v>0</v>
      </c>
      <c r="AZ339" s="19" t="n">
        <v>0</v>
      </c>
      <c r="BA339" s="19" t="n">
        <v>0</v>
      </c>
      <c r="BB339" s="19" t="n">
        <v>0</v>
      </c>
      <c r="BC339" s="19" t="n">
        <v>0</v>
      </c>
      <c r="BD339" s="19" t="n">
        <v>0</v>
      </c>
      <c r="BE339" s="19" t="n">
        <v>0</v>
      </c>
      <c r="BF339" s="19" t="n">
        <v>0</v>
      </c>
      <c r="BG339" s="19" t="n">
        <v>0</v>
      </c>
      <c r="BH339" s="19" t="n">
        <v>0</v>
      </c>
      <c r="BI339" s="19" t="n">
        <v>0</v>
      </c>
      <c r="BJ339" s="19" t="n">
        <v>0</v>
      </c>
      <c r="BK339" s="19" t="n">
        <v>0</v>
      </c>
      <c r="BL339" s="19" t="n">
        <v>0</v>
      </c>
      <c r="BM339" s="19" t="n">
        <v>0</v>
      </c>
      <c r="BN339" s="19" t="n">
        <v>0</v>
      </c>
      <c r="BO339" s="19" t="n">
        <v>0</v>
      </c>
      <c r="BP339" s="19" t="n">
        <v>0</v>
      </c>
      <c r="BQ339" s="19" t="n">
        <v>0</v>
      </c>
      <c r="BR339" s="19" t="n">
        <v>1</v>
      </c>
      <c r="BS339" s="19" t="n">
        <v>1</v>
      </c>
      <c r="BT339" s="19" t="n">
        <v>1</v>
      </c>
      <c r="BU339" s="19" t="n">
        <v>2</v>
      </c>
      <c r="BV339" s="19" t="n">
        <v>1</v>
      </c>
      <c r="BW339" s="19" t="n">
        <v>1</v>
      </c>
      <c r="BX339" s="19" t="n">
        <v>1</v>
      </c>
      <c r="BY339" s="19" t="n">
        <v>1</v>
      </c>
      <c r="BZ339" s="19" t="n">
        <v>3</v>
      </c>
      <c r="CA339" s="19" t="n">
        <v>5</v>
      </c>
      <c r="CB339" s="19" t="n">
        <v>5</v>
      </c>
      <c r="CC339" s="19" t="n">
        <v>5</v>
      </c>
      <c r="CD339" s="19" t="n">
        <v>4</v>
      </c>
      <c r="CE339" s="19" t="n">
        <v>5</v>
      </c>
      <c r="CF339" s="19" t="n">
        <v>5</v>
      </c>
      <c r="CG339" s="19" t="n">
        <v>5</v>
      </c>
      <c r="CH339" s="19" t="n">
        <v>4</v>
      </c>
      <c r="CI339" s="19" t="n">
        <v>4</v>
      </c>
      <c r="CJ339" s="19" t="n">
        <v>4</v>
      </c>
      <c r="CK339" s="19" t="n">
        <v>8</v>
      </c>
      <c r="CL339" s="0" t="s">
        <v>219</v>
      </c>
      <c r="CM339" s="0" t="n">
        <v>33.5</v>
      </c>
      <c r="CN339" s="16" t="n">
        <v>91.5</v>
      </c>
      <c r="CO339" s="16" t="n">
        <v>80.4</v>
      </c>
      <c r="CP339" s="16" t="n">
        <v>20</v>
      </c>
      <c r="CQ339" s="0" t="n">
        <v>84.58</v>
      </c>
      <c r="CR339" s="17" t="n">
        <v>0</v>
      </c>
      <c r="CS339" s="0" t="n">
        <v>15.42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13.79</v>
      </c>
      <c r="DD339" s="0" t="n">
        <v>2.67</v>
      </c>
      <c r="DE339" s="0" t="n">
        <v>11.54</v>
      </c>
      <c r="DF339" s="0" t="n">
        <v>0</v>
      </c>
      <c r="DG339" s="0" t="n">
        <v>12.3</v>
      </c>
      <c r="DH339" s="0" t="n">
        <v>2</v>
      </c>
      <c r="DI339" s="0" t="n">
        <v>5</v>
      </c>
      <c r="DJ339" s="0" t="n">
        <v>2</v>
      </c>
      <c r="DO339" s="0" t="n">
        <v>5</v>
      </c>
      <c r="DP339" s="0" t="n">
        <v>2</v>
      </c>
      <c r="DU339" s="0" t="n">
        <v>0</v>
      </c>
      <c r="DV339" s="0" t="n">
        <v>1</v>
      </c>
      <c r="DW339" s="0" t="n">
        <v>34</v>
      </c>
      <c r="DX339" s="0" t="n">
        <v>2</v>
      </c>
      <c r="DY339" s="0" t="n">
        <v>0.1</v>
      </c>
      <c r="DZ339" s="0" t="n">
        <v>1</v>
      </c>
      <c r="EA339" s="0" t="n">
        <v>10</v>
      </c>
      <c r="EB339" s="0" t="n">
        <f aca="false">8*4</f>
        <v>32</v>
      </c>
      <c r="EC339" s="0" t="n">
        <f aca="false">0.06+0.01+0.4+1.7+0.24+0.14+0.96</f>
        <v>3.51</v>
      </c>
      <c r="ED339" s="0" t="n">
        <v>3</v>
      </c>
      <c r="EG339" s="18"/>
      <c r="EY339" s="0" t="n">
        <v>0</v>
      </c>
      <c r="GJ339" s="16" t="n">
        <v>0.25</v>
      </c>
      <c r="GK339" s="16" t="n">
        <v>1</v>
      </c>
      <c r="GL339" s="16" t="n">
        <v>2</v>
      </c>
      <c r="GM339" s="16"/>
      <c r="GN339" s="16" t="n">
        <v>0.55</v>
      </c>
      <c r="GO339" s="16"/>
      <c r="GP339" s="16"/>
      <c r="GQ339" s="16"/>
      <c r="GR339" s="16"/>
      <c r="GS339" s="16"/>
      <c r="GT339" s="16"/>
      <c r="GU339" s="16" t="n">
        <v>0.55</v>
      </c>
      <c r="GV339" s="16" t="n">
        <v>0.55</v>
      </c>
      <c r="GW339" s="16"/>
      <c r="GX339" s="16"/>
      <c r="GY339" s="16" t="n">
        <v>0</v>
      </c>
      <c r="GZ339" s="16" t="n">
        <v>0</v>
      </c>
      <c r="HA339" s="16" t="n">
        <v>0</v>
      </c>
      <c r="HB339" s="0" t="n">
        <v>0</v>
      </c>
      <c r="HC339" s="0" t="s">
        <v>220</v>
      </c>
      <c r="HD339" s="0" t="n">
        <v>27</v>
      </c>
      <c r="HE339" s="16" t="n">
        <v>54.4</v>
      </c>
      <c r="HF339" s="16" t="n">
        <v>80.4</v>
      </c>
      <c r="HG339" s="16" t="n">
        <v>18.1</v>
      </c>
      <c r="HH339" s="0" t="n">
        <v>81.88</v>
      </c>
      <c r="HI339" s="17" t="n">
        <v>0</v>
      </c>
      <c r="HJ339" s="0" t="n">
        <v>9.83</v>
      </c>
      <c r="HK339" s="0" t="n">
        <v>0</v>
      </c>
      <c r="HL339" s="0" t="n">
        <v>2.14</v>
      </c>
      <c r="HM339" s="0" t="n">
        <v>0</v>
      </c>
      <c r="HN339" s="0" t="n">
        <v>0</v>
      </c>
      <c r="HO339" s="0" t="n">
        <v>0</v>
      </c>
      <c r="HP339" s="0" t="n">
        <v>0</v>
      </c>
      <c r="HQ339" s="0" t="n">
        <v>0</v>
      </c>
      <c r="HR339" s="0" t="n">
        <v>0</v>
      </c>
      <c r="HS339" s="0" t="n">
        <v>0</v>
      </c>
      <c r="HT339" s="0" t="n">
        <v>2.32</v>
      </c>
      <c r="HU339" s="0" t="n">
        <v>19.66</v>
      </c>
      <c r="HV339" s="0" t="n">
        <v>3.64</v>
      </c>
      <c r="HW339" s="0" t="n">
        <v>0</v>
      </c>
      <c r="HX339" s="0" t="n">
        <v>0</v>
      </c>
      <c r="HY339" s="0" t="n">
        <v>0</v>
      </c>
      <c r="IL339" s="0" t="n">
        <v>0</v>
      </c>
      <c r="IM339" s="0" t="n">
        <v>1</v>
      </c>
      <c r="IN339" s="0" t="n">
        <v>26</v>
      </c>
      <c r="IO339" s="0" t="n">
        <v>2</v>
      </c>
      <c r="IP339" s="0" t="n">
        <v>0.05</v>
      </c>
      <c r="IQ339" s="0" t="n">
        <v>2</v>
      </c>
      <c r="IX339" s="18"/>
      <c r="JP339" s="0" t="n">
        <v>0</v>
      </c>
      <c r="LA339" s="16" t="n">
        <v>2.1</v>
      </c>
      <c r="LB339" s="16" t="n">
        <v>1</v>
      </c>
      <c r="LC339" s="16" t="n">
        <v>1</v>
      </c>
      <c r="LD339" s="16"/>
      <c r="LE339" s="16" t="n">
        <f aca="false">0.1+0.76*2+2.02+1.35*2+0.67</f>
        <v>7.01</v>
      </c>
      <c r="LF339" s="16"/>
      <c r="LG339" s="16"/>
      <c r="LH339" s="16"/>
      <c r="LI339" s="16"/>
      <c r="LJ339" s="16"/>
      <c r="LK339" s="16"/>
      <c r="LL339" s="16" t="n">
        <v>6.35</v>
      </c>
      <c r="LM339" s="16" t="n">
        <v>14.8</v>
      </c>
      <c r="LN339" s="16"/>
      <c r="LO339" s="16"/>
      <c r="LP339" s="16" t="n">
        <v>0</v>
      </c>
      <c r="LQ339" s="16" t="n">
        <v>0</v>
      </c>
      <c r="LR339" s="16" t="n">
        <v>0</v>
      </c>
      <c r="LS339" s="0" t="n">
        <v>0</v>
      </c>
      <c r="LT339" s="0" t="s">
        <v>223</v>
      </c>
      <c r="LU339" s="0" t="n">
        <v>30.5</v>
      </c>
      <c r="LV339" s="16" t="n">
        <v>68.8</v>
      </c>
      <c r="LW339" s="16" t="n">
        <v>80.4</v>
      </c>
      <c r="LX339" s="16" t="n">
        <v>16.3</v>
      </c>
      <c r="LY339" s="0" t="n">
        <v>66.28</v>
      </c>
      <c r="LZ339" s="0" t="n">
        <v>20.09</v>
      </c>
      <c r="MA339" s="0" t="n">
        <v>1.81</v>
      </c>
      <c r="MB339" s="0" t="n">
        <v>0</v>
      </c>
      <c r="MC339" s="0" t="n">
        <v>11.82</v>
      </c>
      <c r="MD339" s="0" t="n">
        <v>0</v>
      </c>
      <c r="ME339" s="0" t="n">
        <v>0</v>
      </c>
      <c r="MF339" s="0" t="n">
        <v>0</v>
      </c>
      <c r="MG339" s="0" t="n">
        <v>0</v>
      </c>
      <c r="MH339" s="0" t="n">
        <v>0</v>
      </c>
      <c r="MI339" s="0" t="n">
        <v>0</v>
      </c>
      <c r="MJ339" s="0" t="n">
        <v>0</v>
      </c>
      <c r="MK339" s="0" t="n">
        <v>13.17</v>
      </c>
      <c r="ML339" s="0" t="n">
        <v>35.75</v>
      </c>
      <c r="MM339" s="0" t="n">
        <v>0</v>
      </c>
      <c r="MN339" s="0" t="n">
        <v>0</v>
      </c>
      <c r="MO339" s="0" t="n">
        <v>0</v>
      </c>
      <c r="MP339" s="0" t="n">
        <v>0</v>
      </c>
      <c r="NC339" s="0" t="n">
        <v>0</v>
      </c>
      <c r="ND339" s="0" t="n">
        <v>1</v>
      </c>
      <c r="NE339" s="0" t="n">
        <v>52</v>
      </c>
      <c r="NF339" s="0" t="n">
        <v>1</v>
      </c>
      <c r="NG339" s="0" t="n">
        <v>0.01</v>
      </c>
      <c r="NH339" s="0" t="n">
        <v>2</v>
      </c>
      <c r="NO339" s="18"/>
      <c r="OG339" s="0" t="n">
        <v>0</v>
      </c>
      <c r="PR339" s="16" t="n">
        <v>5.43</v>
      </c>
      <c r="PS339" s="16" t="n">
        <v>1</v>
      </c>
      <c r="PT339" s="16" t="n">
        <v>1</v>
      </c>
      <c r="PU339" s="16"/>
      <c r="PV339" s="16" t="n">
        <f aca="false">0.09*2+0.07+1.36</f>
        <v>1.61</v>
      </c>
      <c r="PW339" s="16" t="n">
        <v>2</v>
      </c>
      <c r="PX339" s="16"/>
      <c r="PY339" s="16" t="n">
        <f aca="false">4.2+0.09+0.66+0.01+3.18+3.18</f>
        <v>11.32</v>
      </c>
      <c r="PZ339" s="16"/>
      <c r="QA339" s="16"/>
      <c r="QB339" s="16"/>
      <c r="QC339" s="16" t="n">
        <v>8.61</v>
      </c>
      <c r="QD339" s="16" t="n">
        <v>26.91</v>
      </c>
      <c r="QE339" s="16"/>
      <c r="QF339" s="16"/>
      <c r="QG339" s="16" t="n">
        <v>0</v>
      </c>
      <c r="QH339" s="16" t="n">
        <v>0</v>
      </c>
      <c r="QI339" s="16" t="n">
        <v>0</v>
      </c>
      <c r="QJ339" s="0" t="n">
        <v>0</v>
      </c>
      <c r="QK339" s="0" t="s">
        <v>224</v>
      </c>
      <c r="QL339" s="0" t="n">
        <v>39.5</v>
      </c>
      <c r="QM339" s="16" t="n">
        <v>60.8</v>
      </c>
      <c r="QN339" s="16" t="n">
        <v>80.4</v>
      </c>
      <c r="QO339" s="16" t="n">
        <v>22.9</v>
      </c>
      <c r="QP339" s="0" t="n">
        <v>67.01</v>
      </c>
      <c r="QQ339" s="0" t="n">
        <v>11.71</v>
      </c>
      <c r="QR339" s="0" t="n">
        <v>16.61</v>
      </c>
      <c r="QS339" s="0" t="n">
        <v>0</v>
      </c>
      <c r="QT339" s="0" t="n">
        <v>4.67</v>
      </c>
      <c r="QU339" s="0" t="n">
        <v>0</v>
      </c>
      <c r="QV339" s="0" t="n">
        <v>0</v>
      </c>
      <c r="QW339" s="0" t="n">
        <v>0</v>
      </c>
      <c r="QX339" s="0" t="n">
        <v>0</v>
      </c>
      <c r="QY339" s="0" t="n">
        <v>0</v>
      </c>
      <c r="QZ339" s="0" t="n">
        <v>0</v>
      </c>
      <c r="RA339" s="0" t="n">
        <v>0</v>
      </c>
      <c r="RB339" s="0" t="n">
        <v>20.9</v>
      </c>
      <c r="RC339" s="0" t="n">
        <v>25.23</v>
      </c>
      <c r="RD339" s="0" t="n">
        <v>0.58</v>
      </c>
      <c r="RE339" s="0" t="n">
        <v>0</v>
      </c>
      <c r="RF339" s="0" t="n">
        <v>0</v>
      </c>
      <c r="RG339" s="0" t="n">
        <v>0</v>
      </c>
      <c r="RT339" s="0" t="n">
        <v>2</v>
      </c>
      <c r="RU339" s="0" t="n">
        <v>1</v>
      </c>
      <c r="RV339" s="0" t="n">
        <v>103</v>
      </c>
      <c r="RW339" s="0" t="n">
        <v>2</v>
      </c>
      <c r="RX339" s="0" t="n">
        <f aca="false">0.18+0.14</f>
        <v>0.32</v>
      </c>
      <c r="RY339" s="0" t="n">
        <v>1</v>
      </c>
      <c r="RZ339" s="0" t="n">
        <v>68</v>
      </c>
      <c r="SA339" s="0" t="n">
        <v>1</v>
      </c>
      <c r="SB339" s="0" t="n">
        <v>0.01</v>
      </c>
      <c r="SC339" s="0" t="n">
        <v>1</v>
      </c>
      <c r="SD339" s="0" t="n">
        <v>52</v>
      </c>
      <c r="SE339" s="0" t="n">
        <v>3</v>
      </c>
      <c r="SF339" s="18" t="n">
        <v>0.05</v>
      </c>
      <c r="SG339" s="0" t="n">
        <v>2</v>
      </c>
      <c r="SX339" s="0" t="n">
        <v>0</v>
      </c>
      <c r="UI339" s="16" t="n">
        <v>3.66</v>
      </c>
      <c r="UJ339" s="16" t="n">
        <v>1</v>
      </c>
      <c r="UK339" s="16" t="n">
        <v>1</v>
      </c>
      <c r="UL339" s="16"/>
      <c r="UM339" s="16" t="n">
        <f aca="false">2.69*3+1.35*3+0.14*2+0.1</f>
        <v>12.5</v>
      </c>
      <c r="UN339" s="16" t="n">
        <v>2</v>
      </c>
      <c r="UO339" s="16"/>
      <c r="UP339" s="16" t="n">
        <f aca="false">0.66+0.35+0.18+0.14+1.25+1.23</f>
        <v>3.81</v>
      </c>
      <c r="UQ339" s="16"/>
      <c r="UR339" s="16"/>
      <c r="US339" s="16"/>
      <c r="UT339" s="16" t="n">
        <v>10.05</v>
      </c>
      <c r="UU339" s="16" t="n">
        <v>27.11</v>
      </c>
      <c r="UV339" s="16"/>
      <c r="UW339" s="16"/>
      <c r="UX339" s="16" t="n">
        <v>0</v>
      </c>
      <c r="UY339" s="16" t="n">
        <v>0</v>
      </c>
      <c r="UZ339" s="16" t="n">
        <v>0</v>
      </c>
      <c r="VA339" s="0" t="n">
        <v>0</v>
      </c>
      <c r="VB339" s="0" t="s">
        <v>225</v>
      </c>
      <c r="VC339" s="0" t="n">
        <v>47</v>
      </c>
      <c r="VD339" s="16" t="n">
        <v>72.3</v>
      </c>
      <c r="VE339" s="16" t="n">
        <v>80.4</v>
      </c>
      <c r="VF339" s="16" t="n">
        <v>18</v>
      </c>
      <c r="VG339" s="0" t="n">
        <v>70.55</v>
      </c>
      <c r="VH339" s="0" t="n">
        <v>6.81</v>
      </c>
      <c r="VI339" s="0" t="n">
        <v>3.09</v>
      </c>
      <c r="VJ339" s="0" t="n">
        <v>0</v>
      </c>
      <c r="VK339" s="0" t="n">
        <v>19.55</v>
      </c>
      <c r="VL339" s="0" t="n">
        <v>0</v>
      </c>
      <c r="VM339" s="0" t="n">
        <v>0</v>
      </c>
      <c r="VN339" s="0" t="n">
        <v>0</v>
      </c>
      <c r="VO339" s="0" t="n">
        <v>0</v>
      </c>
      <c r="VP339" s="0" t="n">
        <v>0</v>
      </c>
      <c r="VQ339" s="0" t="n">
        <v>0</v>
      </c>
      <c r="VR339" s="0" t="n">
        <v>0</v>
      </c>
      <c r="VS339" s="0" t="n">
        <v>18.07</v>
      </c>
      <c r="VT339" s="0" t="n">
        <v>30.57</v>
      </c>
      <c r="VU339" s="0" t="n">
        <v>7.61</v>
      </c>
      <c r="VV339" s="0" t="n">
        <v>0</v>
      </c>
      <c r="VW339" s="0" t="n">
        <v>14</v>
      </c>
      <c r="VX339" s="0" t="n">
        <v>2</v>
      </c>
      <c r="VY339" s="0" t="n">
        <v>5</v>
      </c>
      <c r="VZ339" s="0" t="n">
        <v>4.47</v>
      </c>
      <c r="WB339" s="0" t="n">
        <v>7</v>
      </c>
      <c r="WC339" s="0" t="n">
        <v>5.15</v>
      </c>
      <c r="WE339" s="0" t="n">
        <v>5</v>
      </c>
      <c r="WF339" s="0" t="n">
        <v>4.47</v>
      </c>
      <c r="WH339" s="0" t="n">
        <v>7</v>
      </c>
      <c r="WI339" s="0" t="n">
        <v>5.15</v>
      </c>
      <c r="WK339" s="0" t="n">
        <v>0</v>
      </c>
      <c r="WL339" s="0" t="n">
        <v>0</v>
      </c>
      <c r="WW339" s="18"/>
      <c r="XO339" s="0" t="n">
        <v>0</v>
      </c>
      <c r="YZ339" s="16" t="n">
        <v>4.21</v>
      </c>
      <c r="ZA339" s="16" t="n">
        <v>1</v>
      </c>
      <c r="ZB339" s="16" t="n">
        <v>2</v>
      </c>
      <c r="ZC339" s="16"/>
      <c r="ZD339" s="16" t="n">
        <f aca="false">7.46+1.59+0.6</f>
        <v>9.65</v>
      </c>
      <c r="ZE339" s="16"/>
      <c r="ZF339" s="16"/>
      <c r="ZG339" s="16"/>
      <c r="ZH339" s="16"/>
      <c r="ZI339" s="16"/>
      <c r="ZJ339" s="16"/>
      <c r="ZK339" s="16" t="n">
        <v>10.63</v>
      </c>
      <c r="ZL339" s="16" t="n">
        <v>36.38</v>
      </c>
      <c r="ZM339" s="16"/>
      <c r="ZN339" s="16"/>
      <c r="ZO339" s="16" t="n">
        <v>0</v>
      </c>
      <c r="ZP339" s="16" t="n">
        <v>0</v>
      </c>
      <c r="ZQ339" s="16" t="n">
        <v>0</v>
      </c>
      <c r="ZR339" s="0" t="n">
        <v>0</v>
      </c>
      <c r="ZS339" s="0" t="s">
        <v>226</v>
      </c>
      <c r="ZT339" s="0" t="n">
        <v>19</v>
      </c>
      <c r="ZU339" s="16" t="n">
        <v>82.6</v>
      </c>
      <c r="ZV339" s="16" t="n">
        <v>80.4</v>
      </c>
      <c r="ZW339" s="16" t="n">
        <v>7.7</v>
      </c>
      <c r="ZX339" s="0" t="n">
        <v>86.83</v>
      </c>
      <c r="ZY339" s="0" t="n">
        <v>12.69</v>
      </c>
      <c r="ZZ339" s="0" t="n">
        <v>0</v>
      </c>
      <c r="AAA339" s="0" t="n">
        <v>0</v>
      </c>
      <c r="AAB339" s="0" t="n">
        <v>0.48</v>
      </c>
      <c r="AAC339" s="0" t="n">
        <v>0</v>
      </c>
      <c r="AAD339" s="0" t="n">
        <v>0</v>
      </c>
      <c r="AAE339" s="0" t="n">
        <v>0</v>
      </c>
      <c r="AAF339" s="0" t="n">
        <v>0</v>
      </c>
      <c r="AAG339" s="0" t="n">
        <v>0</v>
      </c>
      <c r="AAH339" s="0" t="n">
        <v>0</v>
      </c>
      <c r="AAI339" s="0" t="n">
        <v>0</v>
      </c>
      <c r="AAJ339" s="0" t="n">
        <v>7.16</v>
      </c>
      <c r="AAK339" s="0" t="n">
        <v>10.76</v>
      </c>
      <c r="AAL339" s="0" t="n">
        <v>0</v>
      </c>
      <c r="AAM339" s="0" t="n">
        <v>0</v>
      </c>
      <c r="AAN339" s="0" t="n">
        <v>3.4</v>
      </c>
      <c r="AAO339" s="0" t="n">
        <v>2</v>
      </c>
      <c r="AAP339" s="0" t="n">
        <v>11.9</v>
      </c>
      <c r="AAQ339" s="0" t="n">
        <v>0.48</v>
      </c>
      <c r="AAV339" s="0" t="n">
        <v>11.9</v>
      </c>
      <c r="AAW339" s="0" t="n">
        <v>0.48</v>
      </c>
      <c r="ABB339" s="0" t="n">
        <v>0</v>
      </c>
      <c r="ABC339" s="0" t="n">
        <v>1</v>
      </c>
      <c r="ABD339" s="0" t="n">
        <v>34</v>
      </c>
      <c r="ABE339" s="0" t="n">
        <v>2</v>
      </c>
      <c r="ABF339" s="0" t="n">
        <f aca="false">0.84*2</f>
        <v>1.68</v>
      </c>
      <c r="ABG339" s="0" t="n">
        <v>1</v>
      </c>
      <c r="ABN339" s="18"/>
      <c r="ACF339" s="0" t="n">
        <v>0</v>
      </c>
      <c r="ADQ339" s="16" t="n">
        <v>3.25</v>
      </c>
      <c r="ADR339" s="16" t="n">
        <v>1</v>
      </c>
      <c r="ADS339" s="16" t="n">
        <v>2</v>
      </c>
      <c r="ADT339" s="16"/>
      <c r="ADU339" s="16" t="n">
        <f aca="false">1.59*2+0.21*2</f>
        <v>3.6</v>
      </c>
      <c r="ADV339" s="16"/>
      <c r="ADW339" s="16"/>
      <c r="ADX339" s="16"/>
      <c r="ADY339" s="16"/>
      <c r="ADZ339" s="16"/>
      <c r="AEA339" s="16"/>
      <c r="AEB339" s="16" t="n">
        <v>4.26</v>
      </c>
      <c r="AEC339" s="16" t="n">
        <v>4.25</v>
      </c>
      <c r="AED339" s="16"/>
      <c r="AEE339" s="16"/>
      <c r="AEF339" s="16" t="n">
        <v>0</v>
      </c>
      <c r="AEG339" s="16" t="n">
        <v>0</v>
      </c>
      <c r="AEH339" s="16" t="n">
        <v>0</v>
      </c>
      <c r="AEI339" s="0" t="n">
        <v>0</v>
      </c>
      <c r="AEJ339" s="0" t="s">
        <v>519</v>
      </c>
      <c r="AEK339" s="0" t="n">
        <v>17.5</v>
      </c>
      <c r="AEL339" s="16" t="n">
        <v>85.1</v>
      </c>
      <c r="AEM339" s="16" t="n">
        <v>80.4</v>
      </c>
      <c r="AEN339" s="16" t="n">
        <v>9.6</v>
      </c>
      <c r="AEO339" s="0" t="n">
        <v>86.79</v>
      </c>
      <c r="AEP339" s="0" t="n">
        <v>5.81</v>
      </c>
      <c r="AEQ339" s="0" t="n">
        <v>6.87</v>
      </c>
      <c r="AER339" s="0" t="n">
        <v>0</v>
      </c>
      <c r="AES339" s="0" t="n">
        <v>0.52</v>
      </c>
      <c r="AET339" s="0" t="n">
        <v>0</v>
      </c>
      <c r="AEU339" s="0" t="n">
        <v>0</v>
      </c>
      <c r="AEV339" s="0" t="n">
        <v>0</v>
      </c>
      <c r="AEW339" s="0" t="n">
        <v>0</v>
      </c>
      <c r="AEX339" s="0" t="n">
        <v>0</v>
      </c>
      <c r="AEY339" s="0" t="n">
        <v>0</v>
      </c>
      <c r="AEZ339" s="0" t="n">
        <v>0</v>
      </c>
      <c r="AFA339" s="0" t="n">
        <v>13.81</v>
      </c>
      <c r="AFB339" s="0" t="n">
        <v>2.99</v>
      </c>
      <c r="AFC339" s="0" t="n">
        <v>0</v>
      </c>
      <c r="AFD339" s="0" t="n">
        <v>0</v>
      </c>
      <c r="AFE339" s="0" t="n">
        <v>3.4</v>
      </c>
      <c r="AFF339" s="0" t="n">
        <v>2</v>
      </c>
      <c r="AFG339" s="0" t="n">
        <v>11.9</v>
      </c>
      <c r="AFH339" s="0" t="n">
        <v>0.48</v>
      </c>
      <c r="AFM339" s="0" t="n">
        <v>11.9</v>
      </c>
      <c r="AFN339" s="0" t="n">
        <v>0.48</v>
      </c>
      <c r="AFS339" s="0" t="n">
        <v>0</v>
      </c>
      <c r="AFT339" s="0" t="n">
        <v>1</v>
      </c>
      <c r="AFU339" s="0" t="n">
        <v>34</v>
      </c>
      <c r="AFV339" s="0" t="n">
        <v>2</v>
      </c>
      <c r="AFW339" s="0" t="n">
        <f aca="false">0.84*2</f>
        <v>1.68</v>
      </c>
      <c r="AFX339" s="0" t="n">
        <v>1</v>
      </c>
      <c r="AGE339" s="18"/>
      <c r="AGW339" s="0" t="n">
        <v>0</v>
      </c>
      <c r="AIH339" s="16" t="n">
        <v>0.81</v>
      </c>
      <c r="AII339" s="16" t="n">
        <v>1</v>
      </c>
      <c r="AIJ339" s="16" t="n">
        <v>2</v>
      </c>
      <c r="AIK339" s="16"/>
      <c r="AIL339" s="16" t="n">
        <f aca="false">1.35*2</f>
        <v>2.7</v>
      </c>
      <c r="AIM339" s="16"/>
      <c r="AIN339" s="16"/>
      <c r="AIO339" s="16"/>
      <c r="AIP339" s="16"/>
      <c r="AIQ339" s="16"/>
      <c r="AIR339" s="16"/>
      <c r="AIS339" s="16" t="n">
        <v>3.67</v>
      </c>
      <c r="AIT339" s="16" t="n">
        <v>3.18</v>
      </c>
      <c r="AIU339" s="16"/>
      <c r="AIV339" s="16"/>
      <c r="AIW339" s="16" t="n">
        <v>0</v>
      </c>
      <c r="AIX339" s="16" t="n">
        <v>0</v>
      </c>
      <c r="AIY339" s="16" t="n">
        <v>0</v>
      </c>
      <c r="AIZ339" s="0" t="n">
        <v>0</v>
      </c>
      <c r="AJA339" s="0" t="s">
        <v>520</v>
      </c>
      <c r="AJB339" s="0" t="n">
        <v>40</v>
      </c>
      <c r="AJC339" s="16" t="n">
        <v>79.7</v>
      </c>
      <c r="AJD339" s="16" t="n">
        <v>80.4</v>
      </c>
      <c r="AJE339" s="16" t="n">
        <v>13.2</v>
      </c>
      <c r="AJF339" s="0" t="n">
        <v>64.85</v>
      </c>
      <c r="AJG339" s="0" t="n">
        <v>35.15</v>
      </c>
      <c r="AJH339" s="0" t="n">
        <v>0</v>
      </c>
      <c r="AJI339" s="0" t="n">
        <v>0</v>
      </c>
      <c r="AJJ339" s="0" t="n">
        <v>0</v>
      </c>
      <c r="AJK339" s="0" t="n">
        <v>0</v>
      </c>
      <c r="AJL339" s="0" t="n">
        <v>0</v>
      </c>
      <c r="AJM339" s="0" t="n">
        <v>0</v>
      </c>
      <c r="AJN339" s="0" t="n">
        <v>0</v>
      </c>
      <c r="AJO339" s="0" t="n">
        <v>0</v>
      </c>
      <c r="AJP339" s="0" t="n">
        <v>0</v>
      </c>
      <c r="AJQ339" s="0" t="n">
        <v>0</v>
      </c>
      <c r="AJR339" s="0" t="n">
        <v>4.98</v>
      </c>
      <c r="AJS339" s="0" t="n">
        <v>32.96</v>
      </c>
      <c r="AJT339" s="0" t="n">
        <v>0</v>
      </c>
      <c r="AJU339" s="0" t="n">
        <v>0</v>
      </c>
      <c r="AJV339" s="0" t="n">
        <v>0</v>
      </c>
      <c r="AJW339" s="0" t="n">
        <v>0</v>
      </c>
      <c r="AKJ339" s="0" t="n">
        <v>0</v>
      </c>
      <c r="AKK339" s="0" t="n">
        <v>1</v>
      </c>
      <c r="AKL339" s="0" t="n">
        <v>34</v>
      </c>
      <c r="AKM339" s="0" t="n">
        <v>7</v>
      </c>
      <c r="AKN339" s="0" t="n">
        <f aca="false">1+1.59+1.2*2</f>
        <v>4.99</v>
      </c>
      <c r="AKO339" s="0" t="n">
        <v>1</v>
      </c>
      <c r="AKV339" s="18"/>
      <c r="ALN339" s="0" t="n">
        <v>0</v>
      </c>
    </row>
    <row r="340" customFormat="false" ht="13.8" hidden="false" customHeight="false" outlineLevel="0" collapsed="false">
      <c r="A340" s="1" t="s">
        <v>927</v>
      </c>
      <c r="B340" s="12" t="n">
        <v>42930</v>
      </c>
      <c r="C340" s="0" t="n">
        <v>2</v>
      </c>
      <c r="D340" s="13" t="n">
        <v>40513</v>
      </c>
      <c r="E340" s="12" t="n">
        <v>25752</v>
      </c>
      <c r="F340" s="14" t="n">
        <f aca="false">(B340-E340)/365.25</f>
        <v>47.0308008213552</v>
      </c>
      <c r="G340" s="14" t="n">
        <f aca="false">(B340-D340)/365.25</f>
        <v>6.61738535249829</v>
      </c>
      <c r="H340" s="19" t="s">
        <v>217</v>
      </c>
      <c r="I340" s="15" t="s">
        <v>218</v>
      </c>
      <c r="J340" s="15" t="s">
        <v>183</v>
      </c>
      <c r="K340" s="15" t="n">
        <v>4</v>
      </c>
      <c r="L340" s="19" t="n">
        <v>90</v>
      </c>
      <c r="M340" s="0" t="n">
        <v>1.78</v>
      </c>
      <c r="N340" s="16" t="n">
        <f aca="false">L340/(M340*M340)</f>
        <v>28.4055043555107</v>
      </c>
      <c r="O340" s="19" t="n">
        <v>0</v>
      </c>
      <c r="P340" s="19" t="n">
        <v>0</v>
      </c>
      <c r="Q340" s="19" t="n">
        <v>0</v>
      </c>
      <c r="R340" s="26" t="n">
        <v>0</v>
      </c>
      <c r="S340" s="26" t="n">
        <v>0</v>
      </c>
      <c r="T340" s="26" t="n">
        <v>0</v>
      </c>
      <c r="U340" s="19" t="n">
        <v>0</v>
      </c>
      <c r="V340" s="19" t="n">
        <v>0</v>
      </c>
      <c r="W340" s="19" t="n">
        <v>0</v>
      </c>
      <c r="X340" s="19" t="n">
        <v>0</v>
      </c>
      <c r="Y340" s="19" t="n">
        <v>1</v>
      </c>
      <c r="Z340" s="19" t="n">
        <v>1</v>
      </c>
      <c r="AA340" s="19" t="n">
        <v>120</v>
      </c>
      <c r="AB340" s="19" t="s">
        <v>441</v>
      </c>
      <c r="AC340" s="19" t="n">
        <v>0</v>
      </c>
      <c r="AD340" s="19" t="n">
        <v>0</v>
      </c>
      <c r="AE340" s="19" t="n">
        <v>0</v>
      </c>
      <c r="AF340" s="19" t="n">
        <v>0</v>
      </c>
      <c r="AG340" s="19" t="n">
        <v>0</v>
      </c>
      <c r="AH340" s="19" t="n">
        <v>0</v>
      </c>
      <c r="AI340" s="19" t="n">
        <v>0</v>
      </c>
      <c r="AJ340" s="19" t="n">
        <v>0</v>
      </c>
      <c r="AK340" s="19" t="n">
        <v>0</v>
      </c>
      <c r="AL340" s="19" t="n">
        <v>0</v>
      </c>
      <c r="AM340" s="19" t="n">
        <v>0</v>
      </c>
      <c r="AN340" s="19" t="n">
        <v>0</v>
      </c>
      <c r="AO340" s="19" t="n">
        <v>0</v>
      </c>
      <c r="AP340" s="19" t="n">
        <v>0</v>
      </c>
      <c r="AQ340" s="19" t="n">
        <v>0</v>
      </c>
      <c r="AR340" s="19" t="n">
        <v>0</v>
      </c>
      <c r="AS340" s="19" t="n">
        <v>3</v>
      </c>
      <c r="AT340" s="19" t="n">
        <v>2</v>
      </c>
      <c r="AU340" s="19" t="n">
        <v>2</v>
      </c>
      <c r="AV340" s="19" t="n">
        <v>0</v>
      </c>
      <c r="AW340" s="19" t="n">
        <v>4</v>
      </c>
      <c r="AX340" s="19" t="n">
        <v>0</v>
      </c>
      <c r="AY340" s="19" t="n">
        <v>0</v>
      </c>
      <c r="AZ340" s="19" t="n">
        <v>0</v>
      </c>
      <c r="BA340" s="19" t="n">
        <v>0</v>
      </c>
      <c r="BB340" s="19" t="n">
        <v>0</v>
      </c>
      <c r="BC340" s="19" t="n">
        <v>0</v>
      </c>
      <c r="BD340" s="19" t="n">
        <v>0</v>
      </c>
      <c r="BE340" s="19" t="n">
        <v>0</v>
      </c>
      <c r="BF340" s="19" t="n">
        <v>0</v>
      </c>
      <c r="BG340" s="19" t="n">
        <v>0</v>
      </c>
      <c r="BH340" s="19" t="n">
        <v>0</v>
      </c>
      <c r="BI340" s="19" t="n">
        <v>0</v>
      </c>
      <c r="BJ340" s="19" t="n">
        <v>0</v>
      </c>
      <c r="BK340" s="19" t="n">
        <v>0</v>
      </c>
      <c r="BL340" s="19" t="n">
        <v>0</v>
      </c>
      <c r="BM340" s="19" t="n">
        <v>0</v>
      </c>
      <c r="BN340" s="19" t="n">
        <v>0</v>
      </c>
      <c r="BO340" s="19" t="n">
        <v>0</v>
      </c>
      <c r="BP340" s="19" t="n">
        <v>0</v>
      </c>
      <c r="BQ340" s="19" t="n">
        <v>0</v>
      </c>
      <c r="BR340" s="19" t="n">
        <v>2</v>
      </c>
      <c r="BS340" s="19"/>
      <c r="BT340" s="19" t="n">
        <v>5</v>
      </c>
      <c r="BU340" s="19" t="n">
        <v>5</v>
      </c>
      <c r="BV340" s="19" t="n">
        <v>1</v>
      </c>
      <c r="BW340" s="19" t="n">
        <v>1</v>
      </c>
      <c r="BX340" s="19" t="n">
        <v>1</v>
      </c>
      <c r="BY340" s="19" t="n">
        <v>4</v>
      </c>
      <c r="BZ340" s="19" t="n">
        <v>5</v>
      </c>
      <c r="CA340" s="19" t="n">
        <v>2</v>
      </c>
      <c r="CB340" s="19" t="n">
        <v>4</v>
      </c>
      <c r="CC340" s="19" t="n">
        <v>4</v>
      </c>
      <c r="CD340" s="19" t="n">
        <v>3</v>
      </c>
      <c r="CE340" s="19" t="n">
        <v>3</v>
      </c>
      <c r="CF340" s="19" t="n">
        <v>4</v>
      </c>
      <c r="CG340" s="19" t="n">
        <v>5</v>
      </c>
      <c r="CH340" s="19" t="n">
        <v>4</v>
      </c>
      <c r="CI340" s="19" t="n">
        <v>3</v>
      </c>
      <c r="CJ340" s="19" t="n">
        <v>4</v>
      </c>
      <c r="CK340" s="19" t="n">
        <v>10</v>
      </c>
      <c r="CL340" s="0" t="s">
        <v>219</v>
      </c>
      <c r="CM340" s="0" t="n">
        <v>33.5</v>
      </c>
      <c r="CN340" s="16" t="n">
        <v>91.5</v>
      </c>
      <c r="CO340" s="16" t="n">
        <v>80.4</v>
      </c>
      <c r="CP340" s="16" t="n">
        <v>20</v>
      </c>
      <c r="CQ340" s="0" t="n">
        <v>84.58</v>
      </c>
      <c r="CR340" s="17" t="n">
        <v>0</v>
      </c>
      <c r="CS340" s="0" t="n">
        <v>15.42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13.79</v>
      </c>
      <c r="DD340" s="0" t="n">
        <v>2.67</v>
      </c>
      <c r="DE340" s="0" t="n">
        <v>11.54</v>
      </c>
      <c r="DF340" s="0" t="n">
        <v>0</v>
      </c>
      <c r="DG340" s="0" t="n">
        <v>12.3</v>
      </c>
      <c r="DH340" s="0" t="n">
        <v>2</v>
      </c>
      <c r="DI340" s="0" t="n">
        <v>5</v>
      </c>
      <c r="DJ340" s="0" t="n">
        <v>2</v>
      </c>
      <c r="DO340" s="0" t="n">
        <v>5</v>
      </c>
      <c r="DP340" s="0" t="n">
        <v>2</v>
      </c>
      <c r="DU340" s="0" t="n">
        <v>0</v>
      </c>
      <c r="DV340" s="0" t="n">
        <v>1</v>
      </c>
      <c r="DW340" s="0" t="n">
        <v>34</v>
      </c>
      <c r="DX340" s="0" t="n">
        <v>2</v>
      </c>
      <c r="DY340" s="0" t="n">
        <v>0.1</v>
      </c>
      <c r="DZ340" s="0" t="n">
        <v>1</v>
      </c>
      <c r="EA340" s="0" t="n">
        <v>10</v>
      </c>
      <c r="EB340" s="0" t="n">
        <f aca="false">8*4</f>
        <v>32</v>
      </c>
      <c r="EC340" s="0" t="n">
        <f aca="false">0.06+0.01+0.4+1.7+0.24+0.14+0.96</f>
        <v>3.51</v>
      </c>
      <c r="ED340" s="0" t="n">
        <v>3</v>
      </c>
      <c r="EG340" s="18"/>
      <c r="EY340" s="0" t="n">
        <v>0</v>
      </c>
      <c r="GJ340" s="16" t="n">
        <v>0.25</v>
      </c>
      <c r="GK340" s="16" t="n">
        <v>1</v>
      </c>
      <c r="GL340" s="16" t="n">
        <v>2</v>
      </c>
      <c r="GM340" s="16"/>
      <c r="GN340" s="16" t="n">
        <v>0.55</v>
      </c>
      <c r="GO340" s="16"/>
      <c r="GP340" s="16"/>
      <c r="GQ340" s="16"/>
      <c r="GR340" s="16"/>
      <c r="GS340" s="16"/>
      <c r="GT340" s="16"/>
      <c r="GU340" s="16" t="n">
        <v>0.55</v>
      </c>
      <c r="GV340" s="16" t="n">
        <v>0.55</v>
      </c>
      <c r="GW340" s="16"/>
      <c r="GX340" s="16"/>
      <c r="GY340" s="16" t="n">
        <v>0</v>
      </c>
      <c r="GZ340" s="16" t="n">
        <v>0</v>
      </c>
      <c r="HA340" s="16" t="n">
        <v>0</v>
      </c>
      <c r="HB340" s="0" t="n">
        <v>0</v>
      </c>
      <c r="HC340" s="0" t="s">
        <v>220</v>
      </c>
      <c r="HD340" s="0" t="n">
        <v>27</v>
      </c>
      <c r="HE340" s="16" t="n">
        <v>54.4</v>
      </c>
      <c r="HF340" s="16" t="n">
        <v>80.4</v>
      </c>
      <c r="HG340" s="16" t="n">
        <v>18.1</v>
      </c>
      <c r="HH340" s="0" t="n">
        <v>81.88</v>
      </c>
      <c r="HI340" s="17" t="n">
        <v>0</v>
      </c>
      <c r="HJ340" s="0" t="n">
        <v>9.83</v>
      </c>
      <c r="HK340" s="0" t="n">
        <v>0</v>
      </c>
      <c r="HL340" s="0" t="n">
        <v>2.14</v>
      </c>
      <c r="HM340" s="0" t="n">
        <v>0</v>
      </c>
      <c r="HN340" s="0" t="n">
        <v>0</v>
      </c>
      <c r="HO340" s="0" t="n">
        <v>0</v>
      </c>
      <c r="HP340" s="0" t="n">
        <v>0</v>
      </c>
      <c r="HQ340" s="0" t="n">
        <v>0</v>
      </c>
      <c r="HR340" s="0" t="n">
        <v>0</v>
      </c>
      <c r="HS340" s="0" t="n">
        <v>0</v>
      </c>
      <c r="HT340" s="0" t="n">
        <v>2.32</v>
      </c>
      <c r="HU340" s="0" t="n">
        <v>19.66</v>
      </c>
      <c r="HV340" s="0" t="n">
        <v>3.64</v>
      </c>
      <c r="HW340" s="0" t="n">
        <v>0</v>
      </c>
      <c r="HX340" s="0" t="n">
        <v>0</v>
      </c>
      <c r="HY340" s="0" t="n">
        <v>0</v>
      </c>
      <c r="IL340" s="0" t="n">
        <v>0</v>
      </c>
      <c r="IM340" s="0" t="n">
        <v>1</v>
      </c>
      <c r="IN340" s="0" t="n">
        <v>26</v>
      </c>
      <c r="IO340" s="0" t="n">
        <v>2</v>
      </c>
      <c r="IP340" s="0" t="n">
        <v>0.05</v>
      </c>
      <c r="IQ340" s="0" t="n">
        <v>2</v>
      </c>
      <c r="IX340" s="18"/>
      <c r="JP340" s="0" t="n">
        <v>0</v>
      </c>
      <c r="LA340" s="16" t="n">
        <v>2.1</v>
      </c>
      <c r="LB340" s="16" t="n">
        <v>1</v>
      </c>
      <c r="LC340" s="16" t="n">
        <v>1</v>
      </c>
      <c r="LD340" s="16"/>
      <c r="LE340" s="16" t="n">
        <f aca="false">0.1+0.76*2+2.02+1.35*2+0.67</f>
        <v>7.01</v>
      </c>
      <c r="LF340" s="16"/>
      <c r="LG340" s="16"/>
      <c r="LH340" s="16"/>
      <c r="LI340" s="16"/>
      <c r="LJ340" s="16"/>
      <c r="LK340" s="16"/>
      <c r="LL340" s="16" t="n">
        <v>6.35</v>
      </c>
      <c r="LM340" s="16" t="n">
        <v>14.8</v>
      </c>
      <c r="LN340" s="16"/>
      <c r="LO340" s="16"/>
      <c r="LP340" s="16" t="n">
        <v>0</v>
      </c>
      <c r="LQ340" s="16" t="n">
        <v>0</v>
      </c>
      <c r="LR340" s="16" t="n">
        <v>0</v>
      </c>
      <c r="LS340" s="0" t="n">
        <v>0</v>
      </c>
      <c r="LT340" s="0" t="s">
        <v>221</v>
      </c>
      <c r="LU340" s="0" t="n">
        <v>20.5</v>
      </c>
      <c r="LV340" s="16" t="n">
        <v>76.9</v>
      </c>
      <c r="LW340" s="16" t="n">
        <v>80.4</v>
      </c>
      <c r="LX340" s="16" t="n">
        <v>9.1</v>
      </c>
      <c r="LY340" s="0" t="n">
        <v>88.58</v>
      </c>
      <c r="LZ340" s="0" t="n">
        <v>10.3</v>
      </c>
      <c r="MA340" s="0" t="n">
        <v>1.12</v>
      </c>
      <c r="MB340" s="0" t="n">
        <v>0</v>
      </c>
      <c r="MC340" s="0" t="n">
        <v>0</v>
      </c>
      <c r="MD340" s="0" t="n">
        <v>0</v>
      </c>
      <c r="ME340" s="0" t="n">
        <v>0</v>
      </c>
      <c r="MF340" s="0" t="n">
        <v>0</v>
      </c>
      <c r="MG340" s="0" t="n">
        <v>0</v>
      </c>
      <c r="MH340" s="0" t="n">
        <v>0</v>
      </c>
      <c r="MI340" s="0" t="n">
        <v>0</v>
      </c>
      <c r="MJ340" s="0" t="n">
        <v>0</v>
      </c>
      <c r="MK340" s="0" t="n">
        <v>6.33</v>
      </c>
      <c r="ML340" s="0" t="n">
        <v>16.97</v>
      </c>
      <c r="MM340" s="0" t="n">
        <v>0</v>
      </c>
      <c r="MN340" s="0" t="n">
        <v>0</v>
      </c>
      <c r="MO340" s="0" t="n">
        <v>4.1</v>
      </c>
      <c r="MP340" s="0" t="n">
        <v>2</v>
      </c>
      <c r="MQ340" s="0" t="n">
        <v>5</v>
      </c>
      <c r="MR340" s="0" t="n">
        <v>1</v>
      </c>
      <c r="MW340" s="0" t="n">
        <v>5</v>
      </c>
      <c r="MX340" s="0" t="n">
        <v>1</v>
      </c>
      <c r="NC340" s="0" t="n">
        <v>0</v>
      </c>
      <c r="ND340" s="0" t="n">
        <v>0</v>
      </c>
      <c r="NO340" s="18"/>
      <c r="OG340" s="0" t="n">
        <v>0</v>
      </c>
      <c r="PR340" s="16" t="n">
        <v>2.24</v>
      </c>
      <c r="PS340" s="16" t="n">
        <v>1</v>
      </c>
      <c r="PT340" s="16" t="n">
        <v>2</v>
      </c>
      <c r="PU340" s="16"/>
      <c r="PV340" s="16" t="n">
        <v>4.97</v>
      </c>
      <c r="PW340" s="16"/>
      <c r="PX340" s="16"/>
      <c r="PY340" s="16"/>
      <c r="PZ340" s="16"/>
      <c r="QA340" s="16"/>
      <c r="QB340" s="16"/>
      <c r="QC340" s="16" t="n">
        <v>5.1</v>
      </c>
      <c r="QD340" s="16" t="n">
        <v>5.97</v>
      </c>
      <c r="QE340" s="16"/>
      <c r="QF340" s="16"/>
      <c r="QG340" s="16" t="n">
        <v>0</v>
      </c>
      <c r="QH340" s="16" t="n">
        <v>0</v>
      </c>
      <c r="QI340" s="16" t="n">
        <v>0</v>
      </c>
      <c r="QJ340" s="0" t="n">
        <v>0</v>
      </c>
      <c r="QK340" s="0" t="s">
        <v>222</v>
      </c>
      <c r="QL340" s="0" t="n">
        <v>32.5</v>
      </c>
      <c r="QM340" s="16" t="n">
        <v>96.7</v>
      </c>
      <c r="QN340" s="16" t="n">
        <v>80.4</v>
      </c>
      <c r="QO340" s="16" t="n">
        <v>15.1</v>
      </c>
      <c r="QP340" s="0" t="n">
        <v>52.24</v>
      </c>
      <c r="QQ340" s="0" t="n">
        <v>45.43</v>
      </c>
      <c r="QR340" s="0" t="n">
        <v>1.12</v>
      </c>
      <c r="QS340" s="0" t="n">
        <v>0</v>
      </c>
      <c r="QT340" s="0" t="n">
        <v>1.2</v>
      </c>
      <c r="QU340" s="0" t="n">
        <v>0</v>
      </c>
      <c r="QV340" s="0" t="n">
        <v>0</v>
      </c>
      <c r="QW340" s="0" t="n">
        <v>0</v>
      </c>
      <c r="QX340" s="0" t="n">
        <v>0</v>
      </c>
      <c r="QY340" s="0" t="n">
        <v>0</v>
      </c>
      <c r="QZ340" s="0" t="n">
        <v>0</v>
      </c>
      <c r="RA340" s="0" t="n">
        <v>1.2</v>
      </c>
      <c r="RB340" s="0" t="n">
        <v>15.88</v>
      </c>
      <c r="RC340" s="0" t="n">
        <v>48.59</v>
      </c>
      <c r="RD340" s="0" t="n">
        <v>0</v>
      </c>
      <c r="RE340" s="0" t="n">
        <v>0</v>
      </c>
      <c r="RF340" s="0" t="n">
        <v>0</v>
      </c>
      <c r="RG340" s="0" t="n">
        <v>0</v>
      </c>
      <c r="RT340" s="0" t="n">
        <v>0</v>
      </c>
      <c r="RU340" s="0" t="n">
        <v>0</v>
      </c>
      <c r="SF340" s="18"/>
      <c r="SX340" s="0" t="n">
        <v>1</v>
      </c>
      <c r="SY340" s="0" t="n">
        <v>50</v>
      </c>
      <c r="SZ340" s="0" t="n">
        <v>2</v>
      </c>
      <c r="TA340" s="0" t="n">
        <f aca="false">3.18+12.73</f>
        <v>15.91</v>
      </c>
      <c r="TB340" s="0" t="n">
        <v>1</v>
      </c>
      <c r="UI340" s="16" t="n">
        <v>5.9</v>
      </c>
      <c r="UJ340" s="16" t="n">
        <v>1</v>
      </c>
      <c r="UK340" s="16" t="n">
        <v>2</v>
      </c>
      <c r="UL340" s="16"/>
      <c r="UM340" s="16" t="n">
        <f aca="false">0.09+0.18*3+0.13+0.53+1.07*2+1.34*2+0.17*2+3.18+12.73</f>
        <v>22.36</v>
      </c>
      <c r="UN340" s="16"/>
      <c r="UO340" s="16"/>
      <c r="UP340" s="16"/>
      <c r="UQ340" s="16"/>
      <c r="UR340" s="16"/>
      <c r="US340" s="16"/>
      <c r="UT340" s="16" t="n">
        <v>11.45</v>
      </c>
      <c r="UU340" s="16" t="n">
        <v>41.19</v>
      </c>
      <c r="UV340" s="16"/>
      <c r="UW340" s="16"/>
      <c r="UX340" s="16" t="n">
        <v>0</v>
      </c>
      <c r="UY340" s="16" t="n">
        <v>0</v>
      </c>
      <c r="UZ340" s="16" t="n">
        <v>0</v>
      </c>
      <c r="VA340" s="0" t="n">
        <v>0</v>
      </c>
      <c r="VB340" s="0" t="s">
        <v>223</v>
      </c>
      <c r="VC340" s="0" t="n">
        <v>30.5</v>
      </c>
      <c r="VD340" s="16" t="n">
        <v>68.8</v>
      </c>
      <c r="VE340" s="16" t="n">
        <v>80.4</v>
      </c>
      <c r="VF340" s="16" t="n">
        <v>16.3</v>
      </c>
      <c r="VG340" s="0" t="n">
        <v>66.28</v>
      </c>
      <c r="VH340" s="0" t="n">
        <v>20.09</v>
      </c>
      <c r="VI340" s="0" t="n">
        <v>1.81</v>
      </c>
      <c r="VJ340" s="0" t="n">
        <v>0</v>
      </c>
      <c r="VK340" s="0" t="n">
        <v>11.82</v>
      </c>
      <c r="VL340" s="0" t="n">
        <v>0</v>
      </c>
      <c r="VM340" s="0" t="n">
        <v>0</v>
      </c>
      <c r="VN340" s="0" t="n">
        <v>0</v>
      </c>
      <c r="VO340" s="0" t="n">
        <v>0</v>
      </c>
      <c r="VP340" s="0" t="n">
        <v>0</v>
      </c>
      <c r="VQ340" s="0" t="n">
        <v>0</v>
      </c>
      <c r="VR340" s="0" t="n">
        <v>0</v>
      </c>
      <c r="VS340" s="0" t="n">
        <v>13.17</v>
      </c>
      <c r="VT340" s="0" t="n">
        <v>35.75</v>
      </c>
      <c r="VU340" s="0" t="n">
        <v>0</v>
      </c>
      <c r="VV340" s="0" t="n">
        <v>0</v>
      </c>
      <c r="VW340" s="0" t="n">
        <v>0</v>
      </c>
      <c r="VX340" s="0" t="n">
        <v>0</v>
      </c>
      <c r="WK340" s="0" t="n">
        <v>0</v>
      </c>
      <c r="WL340" s="0" t="n">
        <v>1</v>
      </c>
      <c r="WM340" s="0" t="n">
        <v>52</v>
      </c>
      <c r="WN340" s="0" t="n">
        <v>1</v>
      </c>
      <c r="WO340" s="0" t="n">
        <v>0.01</v>
      </c>
      <c r="WP340" s="0" t="n">
        <v>2</v>
      </c>
      <c r="WW340" s="18"/>
      <c r="XO340" s="0" t="n">
        <v>0</v>
      </c>
      <c r="YZ340" s="16" t="n">
        <v>5.43</v>
      </c>
      <c r="ZA340" s="16" t="n">
        <v>1</v>
      </c>
      <c r="ZB340" s="16" t="n">
        <v>1</v>
      </c>
      <c r="ZC340" s="16"/>
      <c r="ZD340" s="16" t="n">
        <f aca="false">0.09*2+0.07+1.36</f>
        <v>1.61</v>
      </c>
      <c r="ZE340" s="16" t="n">
        <v>2</v>
      </c>
      <c r="ZF340" s="16"/>
      <c r="ZG340" s="16" t="n">
        <f aca="false">4.2+0.09+0.66+0.01+3.18+3.18</f>
        <v>11.32</v>
      </c>
      <c r="ZH340" s="16"/>
      <c r="ZI340" s="16"/>
      <c r="ZJ340" s="16"/>
      <c r="ZK340" s="16" t="n">
        <v>8.61</v>
      </c>
      <c r="ZL340" s="16" t="n">
        <v>26.91</v>
      </c>
      <c r="ZM340" s="16"/>
      <c r="ZN340" s="16"/>
      <c r="ZO340" s="16" t="n">
        <v>0</v>
      </c>
      <c r="ZP340" s="16" t="n">
        <v>0</v>
      </c>
      <c r="ZQ340" s="16" t="n">
        <v>0</v>
      </c>
      <c r="ZR340" s="0" t="n">
        <v>0</v>
      </c>
      <c r="ZS340" s="0" t="s">
        <v>224</v>
      </c>
      <c r="ZT340" s="0" t="n">
        <v>39.5</v>
      </c>
      <c r="ZU340" s="16" t="n">
        <v>60.8</v>
      </c>
      <c r="ZV340" s="16" t="n">
        <v>80.4</v>
      </c>
      <c r="ZW340" s="16" t="n">
        <v>22.9</v>
      </c>
      <c r="ZX340" s="0" t="n">
        <v>67.01</v>
      </c>
      <c r="ZY340" s="0" t="n">
        <v>11.71</v>
      </c>
      <c r="ZZ340" s="0" t="n">
        <v>16.61</v>
      </c>
      <c r="AAA340" s="0" t="n">
        <v>0</v>
      </c>
      <c r="AAB340" s="0" t="n">
        <v>4.67</v>
      </c>
      <c r="AAC340" s="0" t="n">
        <v>0</v>
      </c>
      <c r="AAD340" s="0" t="n">
        <v>0</v>
      </c>
      <c r="AAE340" s="0" t="n">
        <v>0</v>
      </c>
      <c r="AAF340" s="0" t="n">
        <v>0</v>
      </c>
      <c r="AAG340" s="0" t="n">
        <v>0</v>
      </c>
      <c r="AAH340" s="0" t="n">
        <v>0</v>
      </c>
      <c r="AAI340" s="0" t="n">
        <v>0</v>
      </c>
      <c r="AAJ340" s="0" t="n">
        <v>20.9</v>
      </c>
      <c r="AAK340" s="0" t="n">
        <v>25.23</v>
      </c>
      <c r="AAL340" s="0" t="n">
        <v>0.58</v>
      </c>
      <c r="AAM340" s="0" t="n">
        <v>0</v>
      </c>
      <c r="AAN340" s="0" t="n">
        <v>0</v>
      </c>
      <c r="AAO340" s="0" t="n">
        <v>0</v>
      </c>
      <c r="ABB340" s="0" t="n">
        <v>2</v>
      </c>
      <c r="ABC340" s="0" t="n">
        <v>1</v>
      </c>
      <c r="ABD340" s="0" t="n">
        <v>103</v>
      </c>
      <c r="ABE340" s="0" t="n">
        <v>2</v>
      </c>
      <c r="ABF340" s="0" t="n">
        <f aca="false">0.18+0.14</f>
        <v>0.32</v>
      </c>
      <c r="ABG340" s="0" t="n">
        <v>1</v>
      </c>
      <c r="ABH340" s="0" t="n">
        <v>68</v>
      </c>
      <c r="ABI340" s="0" t="n">
        <v>1</v>
      </c>
      <c r="ABJ340" s="0" t="n">
        <v>0.01</v>
      </c>
      <c r="ABK340" s="0" t="n">
        <v>1</v>
      </c>
      <c r="ABL340" s="0" t="n">
        <v>52</v>
      </c>
      <c r="ABM340" s="0" t="n">
        <v>3</v>
      </c>
      <c r="ABN340" s="18" t="n">
        <v>0.05</v>
      </c>
      <c r="ABO340" s="0" t="n">
        <v>2</v>
      </c>
      <c r="ACF340" s="0" t="n">
        <v>0</v>
      </c>
      <c r="ADQ340" s="16" t="n">
        <v>3.66</v>
      </c>
      <c r="ADR340" s="16" t="n">
        <v>1</v>
      </c>
      <c r="ADS340" s="16" t="n">
        <v>1</v>
      </c>
      <c r="ADT340" s="16"/>
      <c r="ADU340" s="16" t="n">
        <f aca="false">2.69*3+1.35*3+0.14*2+0.1</f>
        <v>12.5</v>
      </c>
      <c r="ADV340" s="16" t="n">
        <v>2</v>
      </c>
      <c r="ADW340" s="16"/>
      <c r="ADX340" s="16" t="n">
        <f aca="false">0.66+0.35+0.18+0.14+1.25+1.23</f>
        <v>3.81</v>
      </c>
      <c r="ADY340" s="16"/>
      <c r="ADZ340" s="16"/>
      <c r="AEA340" s="16"/>
      <c r="AEB340" s="16" t="n">
        <v>10.05</v>
      </c>
      <c r="AEC340" s="16" t="n">
        <v>27.11</v>
      </c>
      <c r="AED340" s="16"/>
      <c r="AEE340" s="16"/>
      <c r="AEF340" s="16" t="n">
        <v>0</v>
      </c>
      <c r="AEG340" s="16" t="n">
        <v>0</v>
      </c>
      <c r="AEH340" s="16" t="n">
        <v>0</v>
      </c>
      <c r="AEI340" s="0" t="n">
        <v>0</v>
      </c>
      <c r="AEJ340" s="0" t="s">
        <v>225</v>
      </c>
      <c r="AEK340" s="0" t="n">
        <v>47</v>
      </c>
      <c r="AEL340" s="16" t="n">
        <v>72.3</v>
      </c>
      <c r="AEM340" s="16" t="n">
        <v>80.4</v>
      </c>
      <c r="AEN340" s="16" t="n">
        <v>18</v>
      </c>
      <c r="AEO340" s="0" t="n">
        <v>70.55</v>
      </c>
      <c r="AEP340" s="0" t="n">
        <v>6.81</v>
      </c>
      <c r="AEQ340" s="0" t="n">
        <v>3.09</v>
      </c>
      <c r="AER340" s="0" t="n">
        <v>0</v>
      </c>
      <c r="AES340" s="0" t="n">
        <v>19.55</v>
      </c>
      <c r="AET340" s="0" t="n">
        <v>0</v>
      </c>
      <c r="AEU340" s="0" t="n">
        <v>0</v>
      </c>
      <c r="AEV340" s="0" t="n">
        <v>0</v>
      </c>
      <c r="AEW340" s="0" t="n">
        <v>0</v>
      </c>
      <c r="AEX340" s="0" t="n">
        <v>0</v>
      </c>
      <c r="AEY340" s="0" t="n">
        <v>0</v>
      </c>
      <c r="AEZ340" s="0" t="n">
        <v>0</v>
      </c>
      <c r="AFA340" s="0" t="n">
        <v>18.07</v>
      </c>
      <c r="AFB340" s="0" t="n">
        <v>30.57</v>
      </c>
      <c r="AFC340" s="0" t="n">
        <v>7.61</v>
      </c>
      <c r="AFD340" s="0" t="n">
        <v>0</v>
      </c>
      <c r="AFE340" s="0" t="n">
        <v>14</v>
      </c>
      <c r="AFF340" s="0" t="n">
        <v>2</v>
      </c>
      <c r="AFG340" s="0" t="n">
        <v>5</v>
      </c>
      <c r="AFH340" s="0" t="n">
        <v>4.47</v>
      </c>
      <c r="AFJ340" s="0" t="n">
        <v>7</v>
      </c>
      <c r="AFK340" s="0" t="n">
        <v>5.15</v>
      </c>
      <c r="AFM340" s="0" t="n">
        <v>5</v>
      </c>
      <c r="AFN340" s="0" t="n">
        <v>4.47</v>
      </c>
      <c r="AFP340" s="0" t="n">
        <v>7</v>
      </c>
      <c r="AFQ340" s="0" t="n">
        <v>5.15</v>
      </c>
      <c r="AFS340" s="0" t="n">
        <v>0</v>
      </c>
      <c r="AFT340" s="0" t="n">
        <v>0</v>
      </c>
      <c r="AGE340" s="18"/>
      <c r="AGW340" s="0" t="n">
        <v>0</v>
      </c>
      <c r="AIH340" s="16" t="n">
        <v>4.21</v>
      </c>
      <c r="AII340" s="16" t="n">
        <v>1</v>
      </c>
      <c r="AIJ340" s="16" t="n">
        <v>2</v>
      </c>
      <c r="AIK340" s="16"/>
      <c r="AIL340" s="16" t="n">
        <f aca="false">7.46+1.59+0.6</f>
        <v>9.65</v>
      </c>
      <c r="AIM340" s="16"/>
      <c r="AIN340" s="16"/>
      <c r="AIO340" s="16"/>
      <c r="AIP340" s="16"/>
      <c r="AIQ340" s="16"/>
      <c r="AIR340" s="16"/>
      <c r="AIS340" s="16" t="n">
        <v>10.63</v>
      </c>
      <c r="AIT340" s="16" t="n">
        <v>36.38</v>
      </c>
      <c r="AIU340" s="16"/>
      <c r="AIV340" s="16"/>
      <c r="AIW340" s="16" t="n">
        <v>0</v>
      </c>
      <c r="AIX340" s="16" t="n">
        <v>0</v>
      </c>
      <c r="AIY340" s="16" t="n">
        <v>0</v>
      </c>
      <c r="AIZ340" s="0" t="n">
        <v>0</v>
      </c>
      <c r="AJA340" s="0" t="s">
        <v>226</v>
      </c>
      <c r="AJB340" s="0" t="n">
        <v>19</v>
      </c>
      <c r="AJC340" s="16" t="n">
        <v>82.6</v>
      </c>
      <c r="AJD340" s="16" t="n">
        <v>80.4</v>
      </c>
      <c r="AJE340" s="16" t="n">
        <v>7.7</v>
      </c>
      <c r="AJF340" s="0" t="n">
        <v>86.83</v>
      </c>
      <c r="AJG340" s="0" t="n">
        <v>12.69</v>
      </c>
      <c r="AJH340" s="0" t="n">
        <v>0</v>
      </c>
      <c r="AJI340" s="0" t="n">
        <v>0</v>
      </c>
      <c r="AJJ340" s="0" t="n">
        <v>0.48</v>
      </c>
      <c r="AJK340" s="0" t="n">
        <v>0</v>
      </c>
      <c r="AJL340" s="0" t="n">
        <v>0</v>
      </c>
      <c r="AJM340" s="0" t="n">
        <v>0</v>
      </c>
      <c r="AJN340" s="0" t="n">
        <v>0</v>
      </c>
      <c r="AJO340" s="0" t="n">
        <v>0</v>
      </c>
      <c r="AJP340" s="0" t="n">
        <v>0</v>
      </c>
      <c r="AJQ340" s="0" t="n">
        <v>0</v>
      </c>
      <c r="AJR340" s="0" t="n">
        <v>7.16</v>
      </c>
      <c r="AJS340" s="0" t="n">
        <v>10.76</v>
      </c>
      <c r="AJT340" s="0" t="n">
        <v>0</v>
      </c>
      <c r="AJU340" s="0" t="n">
        <v>0</v>
      </c>
      <c r="AJV340" s="0" t="n">
        <v>3.4</v>
      </c>
      <c r="AJW340" s="0" t="n">
        <v>2</v>
      </c>
      <c r="AJX340" s="0" t="n">
        <v>11.9</v>
      </c>
      <c r="AJY340" s="0" t="n">
        <v>0.48</v>
      </c>
      <c r="AKD340" s="0" t="n">
        <v>11.9</v>
      </c>
      <c r="AKE340" s="0" t="n">
        <v>0.48</v>
      </c>
      <c r="AKJ340" s="0" t="n">
        <v>0</v>
      </c>
      <c r="AKK340" s="0" t="n">
        <v>1</v>
      </c>
      <c r="AKL340" s="0" t="n">
        <v>34</v>
      </c>
      <c r="AKM340" s="0" t="n">
        <v>2</v>
      </c>
      <c r="AKN340" s="0" t="n">
        <f aca="false">0.84*2</f>
        <v>1.68</v>
      </c>
      <c r="AKO340" s="0" t="n">
        <v>1</v>
      </c>
      <c r="AKV340" s="18"/>
      <c r="ALN340" s="0" t="n">
        <v>0</v>
      </c>
    </row>
    <row r="341" customFormat="false" ht="13.8" hidden="false" customHeight="false" outlineLevel="0" collapsed="false">
      <c r="A341" s="1" t="s">
        <v>928</v>
      </c>
      <c r="B341" s="12" t="n">
        <v>42933</v>
      </c>
      <c r="C341" s="0" t="n">
        <v>2</v>
      </c>
      <c r="D341" s="13" t="n">
        <v>42811</v>
      </c>
      <c r="E341" s="12" t="n">
        <v>31163</v>
      </c>
      <c r="F341" s="14" t="n">
        <f aca="false">(B341-E341)/365.25</f>
        <v>32.2245037645448</v>
      </c>
      <c r="G341" s="14" t="n">
        <f aca="false">(B341-D341)/365.25</f>
        <v>0.334017796030116</v>
      </c>
      <c r="H341" s="19" t="s">
        <v>228</v>
      </c>
      <c r="I341" s="15" t="s">
        <v>229</v>
      </c>
      <c r="J341" s="15" t="s">
        <v>181</v>
      </c>
      <c r="K341" s="15" t="n">
        <v>8</v>
      </c>
      <c r="L341" s="19" t="n">
        <v>90</v>
      </c>
      <c r="M341" s="0" t="n">
        <v>1.77</v>
      </c>
      <c r="N341" s="16" t="n">
        <f aca="false">L341/(M341*M341)</f>
        <v>28.7273771904625</v>
      </c>
      <c r="O341" s="19" t="n">
        <v>0</v>
      </c>
      <c r="P341" s="19" t="n">
        <v>0</v>
      </c>
      <c r="Q341" s="19" t="n">
        <v>0</v>
      </c>
      <c r="R341" s="26" t="n">
        <v>0</v>
      </c>
      <c r="S341" s="26" t="n">
        <v>0</v>
      </c>
      <c r="T341" s="26" t="n">
        <v>0</v>
      </c>
      <c r="U341" s="19" t="n">
        <v>0</v>
      </c>
      <c r="V341" s="19" t="n">
        <v>0</v>
      </c>
      <c r="W341" s="19" t="n">
        <v>0</v>
      </c>
      <c r="X341" s="19" t="n">
        <v>0</v>
      </c>
      <c r="Y341" s="19" t="n">
        <v>1</v>
      </c>
      <c r="Z341" s="19" t="n">
        <v>2</v>
      </c>
      <c r="AA341" s="19" t="n">
        <v>120</v>
      </c>
      <c r="AB341" s="19" t="s">
        <v>929</v>
      </c>
      <c r="AC341" s="19" t="n">
        <v>0</v>
      </c>
      <c r="AD341" s="19" t="n">
        <v>0</v>
      </c>
      <c r="AE341" s="19"/>
      <c r="AF341" s="19"/>
      <c r="AG341" s="19"/>
      <c r="AH341" s="19"/>
      <c r="AI341" s="19" t="n">
        <v>0</v>
      </c>
      <c r="AJ341" s="19" t="n">
        <v>0</v>
      </c>
      <c r="AK341" s="19" t="n">
        <v>0</v>
      </c>
      <c r="AL341" s="19" t="n">
        <v>0</v>
      </c>
      <c r="AM341" s="19" t="n">
        <v>0</v>
      </c>
      <c r="AN341" s="19" t="n">
        <v>0</v>
      </c>
      <c r="AO341" s="19" t="n">
        <v>0</v>
      </c>
      <c r="AP341" s="19" t="n">
        <v>0</v>
      </c>
      <c r="AQ341" s="19" t="n">
        <v>0</v>
      </c>
      <c r="AR341" s="19" t="n">
        <v>0</v>
      </c>
      <c r="AS341" s="19" t="n">
        <v>3</v>
      </c>
      <c r="AT341" s="19" t="n">
        <v>1</v>
      </c>
      <c r="AU341" s="19" t="n">
        <v>3</v>
      </c>
      <c r="AV341" s="19" t="n">
        <v>5</v>
      </c>
      <c r="AW341" s="19" t="n">
        <v>5</v>
      </c>
      <c r="AX341" s="19" t="n">
        <v>0</v>
      </c>
      <c r="AY341" s="19" t="n">
        <v>0</v>
      </c>
      <c r="AZ341" s="19" t="n">
        <v>0</v>
      </c>
      <c r="BA341" s="19" t="n">
        <v>0</v>
      </c>
      <c r="BB341" s="19" t="n">
        <v>1</v>
      </c>
      <c r="BC341" s="19" t="n">
        <v>1</v>
      </c>
      <c r="BD341" s="19" t="n">
        <v>1</v>
      </c>
      <c r="BE341" s="19" t="n">
        <v>5</v>
      </c>
      <c r="BF341" s="19" t="n">
        <v>0</v>
      </c>
      <c r="BG341" s="19" t="n">
        <v>0</v>
      </c>
      <c r="BH341" s="19" t="n">
        <v>0</v>
      </c>
      <c r="BI341" s="19" t="n">
        <v>0</v>
      </c>
      <c r="BJ341" s="19" t="n">
        <v>0</v>
      </c>
      <c r="BK341" s="19" t="n">
        <v>0</v>
      </c>
      <c r="BL341" s="19" t="n">
        <v>0</v>
      </c>
      <c r="BM341" s="19" t="n">
        <v>0</v>
      </c>
      <c r="BN341" s="19" t="n">
        <v>0</v>
      </c>
      <c r="BO341" s="19" t="n">
        <v>0</v>
      </c>
      <c r="BP341" s="19" t="n">
        <v>0</v>
      </c>
      <c r="BQ341" s="19" t="n">
        <v>0</v>
      </c>
      <c r="BR341" s="19" t="n">
        <v>3</v>
      </c>
      <c r="BS341" s="19" t="n">
        <v>2</v>
      </c>
      <c r="BT341" s="19" t="n">
        <v>3</v>
      </c>
      <c r="BU341" s="19" t="n">
        <v>5</v>
      </c>
      <c r="BV341" s="19" t="n">
        <v>3</v>
      </c>
      <c r="BW341" s="19" t="n">
        <v>5</v>
      </c>
      <c r="BX341" s="19" t="n">
        <v>5</v>
      </c>
      <c r="BY341" s="19" t="n">
        <v>4</v>
      </c>
      <c r="BZ341" s="19" t="n">
        <v>3</v>
      </c>
      <c r="CA341" s="19" t="n">
        <v>4</v>
      </c>
      <c r="CB341" s="19" t="n">
        <v>4</v>
      </c>
      <c r="CC341" s="19" t="n">
        <v>4</v>
      </c>
      <c r="CD341" s="19" t="n">
        <v>4</v>
      </c>
      <c r="CE341" s="19" t="n">
        <v>4</v>
      </c>
      <c r="CF341" s="19" t="n">
        <v>4</v>
      </c>
      <c r="CG341" s="19" t="n">
        <v>4</v>
      </c>
      <c r="CH341" s="19" t="n">
        <v>4</v>
      </c>
      <c r="CI341" s="19" t="n">
        <v>4</v>
      </c>
      <c r="CJ341" s="19" t="n">
        <v>3</v>
      </c>
      <c r="CK341" s="19" t="n">
        <v>10</v>
      </c>
      <c r="CL341" s="0" t="s">
        <v>230</v>
      </c>
      <c r="CM341" s="0" t="n">
        <v>64</v>
      </c>
      <c r="CN341" s="16" t="n">
        <v>74.3</v>
      </c>
      <c r="CO341" s="16" t="n">
        <v>81</v>
      </c>
      <c r="CP341" s="16" t="n">
        <v>58.5</v>
      </c>
      <c r="CQ341" s="0" t="n">
        <v>49.17</v>
      </c>
      <c r="CR341" s="0" t="n">
        <v>0</v>
      </c>
      <c r="CS341" s="0" t="n">
        <v>34.45</v>
      </c>
      <c r="CT341" s="0" t="n">
        <v>16.22</v>
      </c>
      <c r="CU341" s="0" t="n">
        <v>0.16</v>
      </c>
      <c r="CV341" s="0" t="n">
        <v>0</v>
      </c>
      <c r="CW341" s="0" t="n">
        <v>0</v>
      </c>
      <c r="CX341" s="0" t="n">
        <v>0</v>
      </c>
      <c r="CY341" s="0" t="n">
        <v>0</v>
      </c>
      <c r="CZ341" s="0" t="n">
        <v>0</v>
      </c>
      <c r="DA341" s="0" t="n">
        <v>0</v>
      </c>
      <c r="DB341" s="0" t="n">
        <v>0</v>
      </c>
      <c r="DC341" s="0" t="n">
        <v>0</v>
      </c>
      <c r="DD341" s="0" t="n">
        <v>2.52</v>
      </c>
      <c r="DE341" s="0" t="n">
        <v>9.18</v>
      </c>
      <c r="DF341" s="0" t="n">
        <v>0</v>
      </c>
      <c r="DG341" s="0" t="n">
        <v>0</v>
      </c>
      <c r="DH341" s="0" t="n">
        <v>0</v>
      </c>
      <c r="DU341" s="0" t="n">
        <v>0.3</v>
      </c>
      <c r="DV341" s="0" t="n">
        <v>1</v>
      </c>
      <c r="DW341" s="0" t="n">
        <v>34</v>
      </c>
      <c r="DX341" s="0" t="n">
        <v>8</v>
      </c>
      <c r="DY341" s="0" t="n">
        <v>0.43</v>
      </c>
      <c r="DZ341" s="0" t="n">
        <v>1</v>
      </c>
      <c r="EA341" s="0" t="n">
        <v>47</v>
      </c>
      <c r="EB341" s="0" t="n">
        <v>1</v>
      </c>
      <c r="EC341" s="0" t="n">
        <v>0.04</v>
      </c>
      <c r="ED341" s="0" t="n">
        <v>3</v>
      </c>
      <c r="EG341" s="18"/>
      <c r="EY341" s="0" t="n">
        <v>0</v>
      </c>
      <c r="GJ341" s="16" t="n">
        <v>2.89</v>
      </c>
      <c r="GK341" s="16" t="n">
        <v>1</v>
      </c>
      <c r="GL341" s="16" t="n">
        <v>1</v>
      </c>
      <c r="GM341" s="16"/>
      <c r="GN341" s="16" t="n">
        <v>7.35</v>
      </c>
      <c r="GO341" s="16"/>
      <c r="GP341" s="16"/>
      <c r="GQ341" s="16"/>
      <c r="GR341" s="16"/>
      <c r="GS341" s="16"/>
      <c r="GT341" s="16"/>
      <c r="GU341" s="16" t="n">
        <v>0</v>
      </c>
      <c r="GV341" s="16" t="n">
        <v>0</v>
      </c>
      <c r="GW341" s="16"/>
      <c r="GX341" s="16"/>
      <c r="GY341" s="16" t="n">
        <v>0</v>
      </c>
      <c r="GZ341" s="16" t="n">
        <v>0</v>
      </c>
      <c r="HA341" s="16" t="n">
        <v>0</v>
      </c>
      <c r="HB341" s="0" t="n">
        <v>0</v>
      </c>
      <c r="HC341" s="0" t="s">
        <v>231</v>
      </c>
      <c r="HD341" s="0" t="n">
        <v>64.5</v>
      </c>
      <c r="HE341" s="16" t="n">
        <v>77.8</v>
      </c>
      <c r="HF341" s="16" t="n">
        <v>81</v>
      </c>
      <c r="HG341" s="16" t="n">
        <v>52.5</v>
      </c>
      <c r="HH341" s="0" t="n">
        <v>50.19</v>
      </c>
      <c r="HI341" s="0" t="n">
        <v>0</v>
      </c>
      <c r="HJ341" s="0" t="n">
        <v>26.36</v>
      </c>
      <c r="HK341" s="0" t="n">
        <v>23.45</v>
      </c>
      <c r="HL341" s="0" t="n">
        <v>0</v>
      </c>
      <c r="HM341" s="0" t="n">
        <v>0</v>
      </c>
      <c r="HN341" s="0" t="n">
        <v>0</v>
      </c>
      <c r="HO341" s="0" t="n">
        <v>0</v>
      </c>
      <c r="HP341" s="0" t="n">
        <v>0</v>
      </c>
      <c r="HQ341" s="0" t="n">
        <v>0</v>
      </c>
      <c r="HR341" s="0" t="n">
        <v>0</v>
      </c>
      <c r="HS341" s="0" t="n">
        <v>0</v>
      </c>
      <c r="HT341" s="0" t="n">
        <v>1.91</v>
      </c>
      <c r="HU341" s="0" t="n">
        <v>2.12</v>
      </c>
      <c r="HV341" s="0" t="n">
        <v>0</v>
      </c>
      <c r="HW341" s="0" t="n">
        <v>0</v>
      </c>
      <c r="HX341" s="0" t="n">
        <v>0</v>
      </c>
      <c r="HY341" s="0" t="n">
        <v>0</v>
      </c>
      <c r="IL341" s="0" t="n">
        <v>5.4</v>
      </c>
      <c r="IM341" s="0" t="n">
        <v>1</v>
      </c>
      <c r="IN341" s="0" t="n">
        <v>68</v>
      </c>
      <c r="IO341" s="0" t="n">
        <v>8</v>
      </c>
      <c r="IP341" s="0" t="n">
        <f aca="false">1.4*2+0.13</f>
        <v>2.93</v>
      </c>
      <c r="IQ341" s="0" t="n">
        <v>1</v>
      </c>
      <c r="IR341" s="0" t="n">
        <v>34</v>
      </c>
      <c r="IS341" s="0" t="n">
        <v>1</v>
      </c>
      <c r="IT341" s="0" t="n">
        <v>0.13</v>
      </c>
      <c r="IU341" s="0" t="n">
        <v>1</v>
      </c>
      <c r="IX341" s="18"/>
      <c r="JP341" s="0" t="n">
        <v>1</v>
      </c>
      <c r="JQ341" s="0" t="n">
        <v>60</v>
      </c>
      <c r="JR341" s="0" t="n">
        <v>1</v>
      </c>
      <c r="JS341" s="0" t="n">
        <v>0.22</v>
      </c>
      <c r="JT341" s="0" t="n">
        <v>3</v>
      </c>
      <c r="LA341" s="16" t="n">
        <v>3.48</v>
      </c>
      <c r="LB341" s="16" t="n">
        <v>1</v>
      </c>
      <c r="LC341" s="16" t="n">
        <v>1</v>
      </c>
      <c r="LD341" s="16"/>
      <c r="LE341" s="16" t="n">
        <f aca="false">7.35+1.4*2+0.62+0.74+0.03+0.7+0.18+0.03+0.05+0.01</f>
        <v>12.51</v>
      </c>
      <c r="LF341" s="16"/>
      <c r="LG341" s="16"/>
      <c r="LH341" s="16"/>
      <c r="LI341" s="16"/>
      <c r="LJ341" s="16"/>
      <c r="LK341" s="16"/>
      <c r="LL341" s="16" t="n">
        <v>0.13</v>
      </c>
      <c r="LM341" s="16" t="n">
        <v>0.13</v>
      </c>
      <c r="LN341" s="16"/>
      <c r="LO341" s="16"/>
      <c r="LP341" s="16" t="n">
        <v>0</v>
      </c>
      <c r="LQ341" s="16" t="n">
        <v>0</v>
      </c>
      <c r="LR341" s="16" t="n">
        <v>0</v>
      </c>
      <c r="LS341" s="0" t="n">
        <v>0</v>
      </c>
      <c r="LT341" s="0" t="s">
        <v>232</v>
      </c>
      <c r="LU341" s="0" t="n">
        <v>40</v>
      </c>
      <c r="LV341" s="16" t="n">
        <v>84.9</v>
      </c>
      <c r="LW341" s="16" t="n">
        <v>81</v>
      </c>
      <c r="LX341" s="16" t="n">
        <v>13.2</v>
      </c>
      <c r="LY341" s="0" t="n">
        <v>93.04</v>
      </c>
      <c r="LZ341" s="0" t="n">
        <v>0</v>
      </c>
      <c r="MA341" s="0" t="n">
        <v>0</v>
      </c>
      <c r="MB341" s="0" t="n">
        <v>3.59</v>
      </c>
      <c r="MC341" s="0" t="n">
        <v>3.38</v>
      </c>
      <c r="MD341" s="0" t="n">
        <v>0</v>
      </c>
      <c r="ME341" s="0" t="n">
        <v>0</v>
      </c>
      <c r="MF341" s="0" t="n">
        <v>0</v>
      </c>
      <c r="MG341" s="0" t="n">
        <v>0</v>
      </c>
      <c r="MH341" s="0" t="n">
        <v>0</v>
      </c>
      <c r="MI341" s="0" t="n">
        <v>0</v>
      </c>
      <c r="MJ341" s="0" t="n">
        <v>1.7</v>
      </c>
      <c r="MK341" s="0" t="n">
        <v>3.97</v>
      </c>
      <c r="ML341" s="0" t="n">
        <v>39.76</v>
      </c>
      <c r="MM341" s="0" t="n">
        <v>0.13</v>
      </c>
      <c r="MN341" s="0" t="n">
        <v>0</v>
      </c>
      <c r="MO341" s="0" t="n">
        <v>0</v>
      </c>
      <c r="MP341" s="0" t="n">
        <v>0</v>
      </c>
      <c r="NC341" s="0" t="n">
        <v>15.9</v>
      </c>
      <c r="ND341" s="0" t="n">
        <v>1</v>
      </c>
      <c r="NE341" s="0" t="n">
        <v>47</v>
      </c>
      <c r="NF341" s="0" t="n">
        <v>2</v>
      </c>
      <c r="NG341" s="0" t="n">
        <v>1.51</v>
      </c>
      <c r="NH341" s="0" t="n">
        <v>3</v>
      </c>
      <c r="NO341" s="18"/>
      <c r="OG341" s="0" t="n">
        <v>1</v>
      </c>
      <c r="OH341" s="0" t="n">
        <v>40</v>
      </c>
      <c r="OI341" s="0" t="n">
        <v>7</v>
      </c>
      <c r="OJ341" s="0" t="n">
        <f aca="false">2.27+3.02</f>
        <v>5.29</v>
      </c>
      <c r="OK341" s="0" t="n">
        <v>3</v>
      </c>
      <c r="PR341" s="16" t="n">
        <v>1.48</v>
      </c>
      <c r="PS341" s="16" t="n">
        <v>1</v>
      </c>
      <c r="PT341" s="16" t="n">
        <v>1</v>
      </c>
      <c r="PU341" s="16"/>
      <c r="PV341" s="16" t="n">
        <f aca="false">2.1+1.7+0.37+0.74</f>
        <v>4.91</v>
      </c>
      <c r="PW341" s="16"/>
      <c r="PX341" s="16"/>
      <c r="PY341" s="16"/>
      <c r="PZ341" s="16"/>
      <c r="QA341" s="16"/>
      <c r="QB341" s="16"/>
      <c r="QC341" s="16" t="n">
        <v>7.34</v>
      </c>
      <c r="QD341" s="16" t="n">
        <v>5.01</v>
      </c>
      <c r="QE341" s="16"/>
      <c r="QF341" s="16"/>
      <c r="QG341" s="16" t="n">
        <v>0</v>
      </c>
      <c r="QH341" s="16" t="n">
        <v>0</v>
      </c>
      <c r="QI341" s="16" t="n">
        <v>0</v>
      </c>
      <c r="QJ341" s="0" t="n">
        <v>0</v>
      </c>
      <c r="QK341" s="0" t="s">
        <v>233</v>
      </c>
      <c r="QL341" s="0" t="n">
        <v>39.5</v>
      </c>
      <c r="QM341" s="16" t="n">
        <v>85</v>
      </c>
      <c r="QN341" s="16" t="n">
        <v>81</v>
      </c>
      <c r="QO341" s="16" t="n">
        <v>12.7</v>
      </c>
      <c r="QP341" s="0" t="n">
        <v>93.14</v>
      </c>
      <c r="QQ341" s="0" t="n">
        <v>0</v>
      </c>
      <c r="QR341" s="0" t="n">
        <v>1.57</v>
      </c>
      <c r="QS341" s="0" t="n">
        <v>2.08</v>
      </c>
      <c r="QT341" s="0" t="n">
        <v>3.21</v>
      </c>
      <c r="QU341" s="0" t="n">
        <v>0</v>
      </c>
      <c r="QV341" s="0" t="n">
        <v>0</v>
      </c>
      <c r="QW341" s="0" t="n">
        <v>0</v>
      </c>
      <c r="QX341" s="0" t="n">
        <v>0</v>
      </c>
      <c r="QY341" s="0" t="n">
        <v>0</v>
      </c>
      <c r="QZ341" s="0" t="n">
        <v>0</v>
      </c>
      <c r="RA341" s="0" t="n">
        <v>1.7</v>
      </c>
      <c r="RB341" s="0" t="n">
        <v>6.54</v>
      </c>
      <c r="RC341" s="0" t="n">
        <v>37.88</v>
      </c>
      <c r="RD341" s="0" t="n">
        <v>3</v>
      </c>
      <c r="RE341" s="0" t="n">
        <v>0</v>
      </c>
      <c r="RF341" s="0" t="n">
        <v>0</v>
      </c>
      <c r="RG341" s="0" t="n">
        <v>0</v>
      </c>
      <c r="RT341" s="0" t="n">
        <v>15.7</v>
      </c>
      <c r="RU341" s="0" t="n">
        <v>1</v>
      </c>
      <c r="RV341" s="0" t="n">
        <v>47</v>
      </c>
      <c r="RW341" s="0" t="n">
        <v>2</v>
      </c>
      <c r="RX341" s="0" t="n">
        <v>1.51</v>
      </c>
      <c r="RY341" s="0" t="n">
        <v>3</v>
      </c>
      <c r="SF341" s="18"/>
      <c r="SX341" s="0" t="n">
        <v>1</v>
      </c>
      <c r="SY341" s="0" t="n">
        <v>50</v>
      </c>
      <c r="SZ341" s="0" t="n">
        <v>3</v>
      </c>
      <c r="TA341" s="0" t="n">
        <v>0.4</v>
      </c>
      <c r="TB341" s="0" t="n">
        <v>3</v>
      </c>
      <c r="TC341" s="0" t="n">
        <v>40</v>
      </c>
      <c r="TD341" s="0" t="n">
        <v>7</v>
      </c>
      <c r="TE341" s="0" t="n">
        <f aca="false">2.27+3.02</f>
        <v>5.29</v>
      </c>
      <c r="TF341" s="0" t="n">
        <v>3</v>
      </c>
      <c r="UI341" s="16" t="n">
        <v>1.76</v>
      </c>
      <c r="UJ341" s="16" t="n">
        <v>1</v>
      </c>
      <c r="UK341" s="16" t="n">
        <v>1</v>
      </c>
      <c r="UL341" s="16"/>
      <c r="UM341" s="16" t="n">
        <f aca="false">2.1+1.7+0.4+0.37+0.74</f>
        <v>5.31</v>
      </c>
      <c r="UN341" s="16"/>
      <c r="UO341" s="16"/>
      <c r="UP341" s="16"/>
      <c r="UQ341" s="16"/>
      <c r="UR341" s="16"/>
      <c r="US341" s="16"/>
      <c r="UT341" s="16" t="n">
        <v>7.31</v>
      </c>
      <c r="UU341" s="16" t="n">
        <v>6.99</v>
      </c>
      <c r="UV341" s="16"/>
      <c r="UW341" s="16"/>
      <c r="UX341" s="16" t="n">
        <v>0</v>
      </c>
      <c r="UY341" s="16" t="n">
        <v>0</v>
      </c>
      <c r="UZ341" s="16" t="n">
        <v>0</v>
      </c>
      <c r="VA341" s="0" t="n">
        <v>0</v>
      </c>
      <c r="VB341" s="0" t="s">
        <v>234</v>
      </c>
      <c r="VC341" s="0" t="n">
        <v>22.5</v>
      </c>
      <c r="VD341" s="16" t="n">
        <v>60.3</v>
      </c>
      <c r="VE341" s="16" t="n">
        <v>81</v>
      </c>
      <c r="VF341" s="16" t="n">
        <v>13.3</v>
      </c>
      <c r="VG341" s="0" t="n">
        <v>92.98</v>
      </c>
      <c r="VH341" s="0" t="n">
        <v>0</v>
      </c>
      <c r="VI341" s="0" t="n">
        <v>0</v>
      </c>
      <c r="VJ341" s="0" t="n">
        <v>0</v>
      </c>
      <c r="VK341" s="0" t="n">
        <v>7.02</v>
      </c>
      <c r="VL341" s="0" t="n">
        <v>0</v>
      </c>
      <c r="VM341" s="0" t="n">
        <v>0</v>
      </c>
      <c r="VN341" s="0" t="n">
        <v>0</v>
      </c>
      <c r="VO341" s="0" t="n">
        <v>0</v>
      </c>
      <c r="VP341" s="0" t="n">
        <v>0</v>
      </c>
      <c r="VQ341" s="0" t="n">
        <v>0</v>
      </c>
      <c r="VR341" s="0" t="n">
        <v>0</v>
      </c>
      <c r="VS341" s="0" t="n">
        <v>0.72</v>
      </c>
      <c r="VT341" s="0" t="n">
        <v>23.12</v>
      </c>
      <c r="VU341" s="0" t="n">
        <v>24.81</v>
      </c>
      <c r="VV341" s="0" t="n">
        <v>0</v>
      </c>
      <c r="VW341" s="0" t="n">
        <v>0</v>
      </c>
      <c r="VX341" s="0" t="n">
        <v>0</v>
      </c>
      <c r="WK341" s="0" t="n">
        <v>0</v>
      </c>
      <c r="WL341" s="0" t="n">
        <v>1</v>
      </c>
      <c r="WM341" s="0" t="n">
        <v>23</v>
      </c>
      <c r="WN341" s="0" t="n">
        <v>1</v>
      </c>
      <c r="WO341" s="0" t="n">
        <v>0.3</v>
      </c>
      <c r="WP341" s="0" t="n">
        <v>3</v>
      </c>
      <c r="WW341" s="18"/>
      <c r="XO341" s="0" t="n">
        <v>0</v>
      </c>
      <c r="YZ341" s="16" t="n">
        <v>1.26</v>
      </c>
      <c r="ZA341" s="16" t="n">
        <v>1</v>
      </c>
      <c r="ZB341" s="16" t="n">
        <v>1</v>
      </c>
      <c r="ZC341" s="16"/>
      <c r="ZD341" s="16" t="n">
        <f aca="false">2.1+1.7+0.4+0.37+0.74</f>
        <v>5.31</v>
      </c>
      <c r="ZE341" s="16"/>
      <c r="ZF341" s="16"/>
      <c r="ZG341" s="16"/>
      <c r="ZH341" s="16"/>
      <c r="ZI341" s="16"/>
      <c r="ZJ341" s="16"/>
      <c r="ZK341" s="16" t="n">
        <v>6.24</v>
      </c>
      <c r="ZL341" s="16" t="n">
        <v>6.99</v>
      </c>
      <c r="ZM341" s="16"/>
      <c r="ZN341" s="16"/>
      <c r="ZO341" s="16" t="n">
        <v>0</v>
      </c>
      <c r="ZP341" s="16" t="n">
        <v>0</v>
      </c>
      <c r="ZQ341" s="16" t="n">
        <v>0</v>
      </c>
      <c r="ZR341" s="0" t="n">
        <v>0</v>
      </c>
      <c r="ZS341" s="0" t="s">
        <v>235</v>
      </c>
      <c r="ZT341" s="0" t="n">
        <v>37</v>
      </c>
      <c r="ZU341" s="16" t="n">
        <v>81.9</v>
      </c>
      <c r="ZV341" s="16" t="n">
        <v>81</v>
      </c>
      <c r="ZW341" s="16" t="n">
        <v>26.3</v>
      </c>
      <c r="ZX341" s="0" t="n">
        <v>68.54</v>
      </c>
      <c r="ZY341" s="0" t="n">
        <v>0</v>
      </c>
      <c r="ZZ341" s="0" t="n">
        <v>0</v>
      </c>
      <c r="AAA341" s="0" t="n">
        <v>0</v>
      </c>
      <c r="AAB341" s="0" t="n">
        <v>31.46</v>
      </c>
      <c r="AAC341" s="0" t="n">
        <v>0</v>
      </c>
      <c r="AAD341" s="0" t="n">
        <v>0</v>
      </c>
      <c r="AAE341" s="0" t="n">
        <v>0</v>
      </c>
      <c r="AAF341" s="0" t="n">
        <v>0</v>
      </c>
      <c r="AAG341" s="0" t="n">
        <v>0</v>
      </c>
      <c r="AAH341" s="0" t="n">
        <v>0</v>
      </c>
      <c r="AAI341" s="0" t="n">
        <v>0</v>
      </c>
      <c r="AAJ341" s="0" t="n">
        <v>5.42</v>
      </c>
      <c r="AAK341" s="0" t="n">
        <v>17.37</v>
      </c>
      <c r="AAL341" s="0" t="n">
        <v>41.85</v>
      </c>
      <c r="AAM341" s="0" t="n">
        <v>0</v>
      </c>
      <c r="AAN341" s="0" t="n">
        <v>0</v>
      </c>
      <c r="AAO341" s="0" t="n">
        <v>0</v>
      </c>
      <c r="ABB341" s="0" t="n">
        <v>0</v>
      </c>
      <c r="ABC341" s="0" t="n">
        <v>1</v>
      </c>
      <c r="ABD341" s="0" t="n">
        <v>23</v>
      </c>
      <c r="ABE341" s="0" t="n">
        <v>2</v>
      </c>
      <c r="ABF341" s="0" t="n">
        <v>2.11</v>
      </c>
      <c r="ABG341" s="0" t="n">
        <v>3</v>
      </c>
      <c r="ABN341" s="18"/>
      <c r="ACF341" s="0" t="n">
        <v>0</v>
      </c>
      <c r="ADQ341" s="16" t="n">
        <v>2.64</v>
      </c>
      <c r="ADR341" s="16" t="n">
        <v>1</v>
      </c>
      <c r="ADS341" s="16" t="n">
        <v>1</v>
      </c>
      <c r="ADT341" s="16"/>
      <c r="ADU341" s="16" t="n">
        <f aca="false">4.2*2+1.7+5.1+0.37+0.74</f>
        <v>16.31</v>
      </c>
      <c r="ADV341" s="16"/>
      <c r="ADW341" s="16"/>
      <c r="ADX341" s="16"/>
      <c r="ADY341" s="16"/>
      <c r="ADZ341" s="16"/>
      <c r="AEA341" s="16"/>
      <c r="AEB341" s="16" t="n">
        <v>5.32</v>
      </c>
      <c r="AEC341" s="16" t="n">
        <v>8.04</v>
      </c>
      <c r="AED341" s="16"/>
      <c r="AEE341" s="16"/>
      <c r="AEF341" s="16" t="n">
        <v>0</v>
      </c>
      <c r="AEG341" s="16" t="n">
        <v>0</v>
      </c>
      <c r="AEH341" s="16" t="n">
        <v>0</v>
      </c>
      <c r="AEI341" s="0" t="n">
        <v>0</v>
      </c>
      <c r="AEJ341" s="0" t="s">
        <v>236</v>
      </c>
      <c r="AEK341" s="0" t="n">
        <v>51</v>
      </c>
      <c r="AEL341" s="16" t="n">
        <v>93.4</v>
      </c>
      <c r="AEM341" s="16" t="n">
        <v>81</v>
      </c>
      <c r="AEN341" s="16" t="n">
        <v>29.5</v>
      </c>
      <c r="AEO341" s="0" t="n">
        <v>55.24</v>
      </c>
      <c r="AEP341" s="0" t="n">
        <v>0</v>
      </c>
      <c r="AEQ341" s="0" t="n">
        <v>0</v>
      </c>
      <c r="AER341" s="0" t="n">
        <v>0</v>
      </c>
      <c r="AES341" s="0" t="n">
        <v>44.76</v>
      </c>
      <c r="AET341" s="0" t="n">
        <v>0</v>
      </c>
      <c r="AEU341" s="0" t="n">
        <v>0</v>
      </c>
      <c r="AEV341" s="0" t="n">
        <v>0</v>
      </c>
      <c r="AEW341" s="0" t="n">
        <v>0</v>
      </c>
      <c r="AEX341" s="0" t="n">
        <v>0</v>
      </c>
      <c r="AEY341" s="0" t="n">
        <v>0</v>
      </c>
      <c r="AEZ341" s="0" t="n">
        <v>0.67</v>
      </c>
      <c r="AFA341" s="0" t="n">
        <v>5.1</v>
      </c>
      <c r="AFB341" s="0" t="n">
        <v>47.22</v>
      </c>
      <c r="AFC341" s="0" t="n">
        <v>18.3</v>
      </c>
      <c r="AFD341" s="0" t="n">
        <v>0</v>
      </c>
      <c r="AFE341" s="0" t="n">
        <v>7.5</v>
      </c>
      <c r="AFF341" s="0" t="n">
        <v>1</v>
      </c>
      <c r="AFG341" s="0" t="n">
        <v>3.6</v>
      </c>
      <c r="AFI341" s="0" t="n">
        <v>1</v>
      </c>
      <c r="AFM341" s="0" t="n">
        <v>3.6</v>
      </c>
      <c r="AFO341" s="0" t="n">
        <v>1</v>
      </c>
      <c r="AFS341" s="0" t="n">
        <v>0</v>
      </c>
      <c r="AFT341" s="0" t="n">
        <v>0</v>
      </c>
      <c r="AGE341" s="18"/>
      <c r="AGW341" s="0" t="n">
        <v>0</v>
      </c>
      <c r="AIH341" s="16" t="n">
        <v>1.95</v>
      </c>
      <c r="AII341" s="16" t="n">
        <v>1</v>
      </c>
      <c r="AIJ341" s="16" t="n">
        <v>1</v>
      </c>
      <c r="AIK341" s="16"/>
      <c r="AIL341" s="16" t="n">
        <f aca="false">2.42+1.67+5+0.22+0.66+0.22</f>
        <v>10.19</v>
      </c>
      <c r="AIM341" s="16"/>
      <c r="AIN341" s="16"/>
      <c r="AIO341" s="16"/>
      <c r="AIP341" s="16"/>
      <c r="AIQ341" s="16"/>
      <c r="AIR341" s="16"/>
      <c r="AIS341" s="16" t="n">
        <v>5.63</v>
      </c>
      <c r="AIT341" s="16" t="n">
        <v>11.04</v>
      </c>
      <c r="AIU341" s="16"/>
      <c r="AIV341" s="16"/>
      <c r="AIW341" s="16" t="n">
        <v>0</v>
      </c>
      <c r="AIX341" s="16" t="n">
        <v>0</v>
      </c>
      <c r="AIY341" s="16" t="n">
        <v>0</v>
      </c>
      <c r="AIZ341" s="0" t="n">
        <v>0</v>
      </c>
      <c r="AJA341" s="0" t="s">
        <v>237</v>
      </c>
      <c r="AJB341" s="0" t="n">
        <v>46</v>
      </c>
      <c r="AJC341" s="16" t="n">
        <v>92.7</v>
      </c>
      <c r="AJD341" s="16" t="n">
        <v>81</v>
      </c>
      <c r="AJE341" s="16" t="n">
        <v>20.8</v>
      </c>
      <c r="AJF341" s="0" t="n">
        <v>76.44</v>
      </c>
      <c r="AJG341" s="0" t="n">
        <v>0</v>
      </c>
      <c r="AJH341" s="0" t="n">
        <v>0</v>
      </c>
      <c r="AJI341" s="0" t="n">
        <v>0</v>
      </c>
      <c r="AJJ341" s="0" t="n">
        <v>23.56</v>
      </c>
      <c r="AJK341" s="0" t="n">
        <v>0</v>
      </c>
      <c r="AJL341" s="0" t="n">
        <v>0</v>
      </c>
      <c r="AJM341" s="0" t="n">
        <v>0</v>
      </c>
      <c r="AJN341" s="0" t="n">
        <v>0</v>
      </c>
      <c r="AJO341" s="0" t="n">
        <v>0</v>
      </c>
      <c r="AJP341" s="0" t="n">
        <v>0</v>
      </c>
      <c r="AJQ341" s="0" t="n">
        <v>0.23</v>
      </c>
      <c r="AJR341" s="0" t="n">
        <v>0.51</v>
      </c>
      <c r="AJS341" s="0" t="n">
        <v>26.55</v>
      </c>
      <c r="AJT341" s="0" t="n">
        <v>36.69</v>
      </c>
      <c r="AJU341" s="0" t="n">
        <v>0</v>
      </c>
      <c r="AJV341" s="0" t="n">
        <v>10.6</v>
      </c>
      <c r="AJW341" s="0" t="n">
        <v>1</v>
      </c>
      <c r="AJX341" s="0" t="n">
        <v>6</v>
      </c>
      <c r="AJZ341" s="0" t="n">
        <v>1</v>
      </c>
      <c r="AKD341" s="0" t="n">
        <v>6</v>
      </c>
      <c r="AKF341" s="0" t="n">
        <v>1</v>
      </c>
      <c r="AKJ341" s="0" t="n">
        <v>7.1</v>
      </c>
      <c r="AKK341" s="0" t="n">
        <v>1</v>
      </c>
      <c r="AKL341" s="0" t="n">
        <v>35</v>
      </c>
      <c r="AKM341" s="0" t="n">
        <v>2</v>
      </c>
      <c r="AKN341" s="0" t="n">
        <f aca="false">0.76*2</f>
        <v>1.52</v>
      </c>
      <c r="AKO341" s="0" t="n">
        <v>3</v>
      </c>
      <c r="AKV341" s="18"/>
      <c r="ALN341" s="0" t="n">
        <v>0</v>
      </c>
    </row>
    <row r="342" customFormat="false" ht="13.8" hidden="false" customHeight="false" outlineLevel="0" collapsed="false">
      <c r="A342" s="1" t="s">
        <v>930</v>
      </c>
      <c r="B342" s="12" t="n">
        <v>42927</v>
      </c>
      <c r="C342" s="0" t="n">
        <v>1</v>
      </c>
      <c r="D342" s="13" t="n">
        <v>42790</v>
      </c>
      <c r="E342" s="12" t="n">
        <v>33245</v>
      </c>
      <c r="F342" s="14" t="n">
        <f aca="false">(B342-E342)/365.25</f>
        <v>26.507871321013</v>
      </c>
      <c r="G342" s="14" t="n">
        <f aca="false">(B342-D342)/365.25</f>
        <v>0.375085557837098</v>
      </c>
      <c r="H342" s="19" t="s">
        <v>228</v>
      </c>
      <c r="I342" s="15" t="s">
        <v>229</v>
      </c>
      <c r="J342" s="15" t="s">
        <v>181</v>
      </c>
      <c r="K342" s="15" t="s">
        <v>913</v>
      </c>
      <c r="L342" s="19" t="n">
        <v>55</v>
      </c>
      <c r="M342" s="0" t="n">
        <v>1.63</v>
      </c>
      <c r="N342" s="16" t="n">
        <f aca="false">L342/(M342*M342)</f>
        <v>20.7008167413151</v>
      </c>
      <c r="O342" s="19" t="n">
        <v>0</v>
      </c>
      <c r="P342" s="19" t="n">
        <v>0</v>
      </c>
      <c r="Q342" s="19" t="n">
        <v>0</v>
      </c>
      <c r="R342" s="26" t="n">
        <v>0</v>
      </c>
      <c r="S342" s="26" t="n">
        <v>0</v>
      </c>
      <c r="T342" s="26" t="n">
        <v>0</v>
      </c>
      <c r="U342" s="19" t="n">
        <v>0</v>
      </c>
      <c r="V342" s="19" t="n">
        <v>0</v>
      </c>
      <c r="W342" s="19" t="n">
        <v>0</v>
      </c>
      <c r="X342" s="19" t="n">
        <v>0</v>
      </c>
      <c r="Y342" s="19" t="n">
        <v>0</v>
      </c>
      <c r="Z342" s="19" t="n">
        <v>0</v>
      </c>
      <c r="AA342" s="19" t="n">
        <v>0</v>
      </c>
      <c r="AB342" s="19" t="n">
        <v>0</v>
      </c>
      <c r="AC342" s="19" t="n">
        <v>1</v>
      </c>
      <c r="AD342" s="19" t="n">
        <v>8</v>
      </c>
      <c r="AE342" s="19" t="n">
        <v>0</v>
      </c>
      <c r="AF342" s="19" t="n">
        <v>0</v>
      </c>
      <c r="AG342" s="19" t="n">
        <v>0</v>
      </c>
      <c r="AH342" s="19" t="n">
        <v>0</v>
      </c>
      <c r="AI342" s="19" t="n">
        <v>0</v>
      </c>
      <c r="AJ342" s="19" t="n">
        <v>0</v>
      </c>
      <c r="AK342" s="19" t="n">
        <v>0</v>
      </c>
      <c r="AL342" s="19" t="n">
        <v>0</v>
      </c>
      <c r="AM342" s="19" t="n">
        <v>0</v>
      </c>
      <c r="AN342" s="19" t="n">
        <v>0</v>
      </c>
      <c r="AO342" s="19" t="n">
        <v>0</v>
      </c>
      <c r="AP342" s="19" t="n">
        <v>0</v>
      </c>
      <c r="AQ342" s="19" t="n">
        <v>0</v>
      </c>
      <c r="AR342" s="19" t="n">
        <v>0</v>
      </c>
      <c r="AS342" s="19" t="n">
        <v>0</v>
      </c>
      <c r="AT342" s="19" t="n">
        <v>0</v>
      </c>
      <c r="AU342" s="19" t="n">
        <v>0</v>
      </c>
      <c r="AV342" s="19" t="n">
        <v>0</v>
      </c>
      <c r="AW342" s="19" t="n">
        <v>0</v>
      </c>
      <c r="AX342" s="19" t="n">
        <v>0</v>
      </c>
      <c r="AY342" s="19" t="n">
        <v>0</v>
      </c>
      <c r="AZ342" s="19" t="n">
        <v>0</v>
      </c>
      <c r="BA342" s="19" t="n">
        <v>0</v>
      </c>
      <c r="BB342" s="19" t="n">
        <v>0</v>
      </c>
      <c r="BC342" s="19" t="n">
        <v>0</v>
      </c>
      <c r="BD342" s="19" t="n">
        <v>0</v>
      </c>
      <c r="BE342" s="19" t="n">
        <v>0</v>
      </c>
      <c r="BF342" s="19" t="n">
        <v>0</v>
      </c>
      <c r="BG342" s="19" t="n">
        <v>0</v>
      </c>
      <c r="BH342" s="19" t="n">
        <v>0</v>
      </c>
      <c r="BI342" s="19" t="n">
        <v>0</v>
      </c>
      <c r="BJ342" s="19" t="n">
        <v>0</v>
      </c>
      <c r="BK342" s="19" t="n">
        <v>0</v>
      </c>
      <c r="BL342" s="19" t="n">
        <v>0</v>
      </c>
      <c r="BM342" s="19" t="n">
        <v>0</v>
      </c>
      <c r="BN342" s="19" t="n">
        <v>0</v>
      </c>
      <c r="BO342" s="19" t="n">
        <v>0</v>
      </c>
      <c r="BP342" s="19" t="n">
        <v>0</v>
      </c>
      <c r="BQ342" s="19" t="n">
        <v>0</v>
      </c>
      <c r="BR342" s="19" t="n">
        <v>1</v>
      </c>
      <c r="BS342" s="19" t="n">
        <v>1</v>
      </c>
      <c r="BT342" s="19" t="n">
        <v>2</v>
      </c>
      <c r="BU342" s="19" t="n">
        <v>4</v>
      </c>
      <c r="BV342" s="19" t="n">
        <v>3</v>
      </c>
      <c r="BW342" s="19" t="n">
        <v>3</v>
      </c>
      <c r="BX342" s="19" t="n">
        <v>3</v>
      </c>
      <c r="BY342" s="19" t="n">
        <v>3</v>
      </c>
      <c r="BZ342" s="19" t="n">
        <v>5</v>
      </c>
      <c r="CA342" s="19" t="n">
        <v>5</v>
      </c>
      <c r="CB342" s="19" t="n">
        <v>5</v>
      </c>
      <c r="CC342" s="19" t="n">
        <v>5</v>
      </c>
      <c r="CD342" s="19" t="n">
        <v>3</v>
      </c>
      <c r="CE342" s="19" t="n">
        <v>5</v>
      </c>
      <c r="CF342" s="19" t="n">
        <v>5</v>
      </c>
      <c r="CG342" s="19" t="n">
        <v>5</v>
      </c>
      <c r="CH342" s="19" t="n">
        <v>4</v>
      </c>
      <c r="CI342" s="19" t="n">
        <v>5</v>
      </c>
      <c r="CJ342" s="19" t="n">
        <v>5</v>
      </c>
      <c r="CK342" s="19" t="n">
        <v>8</v>
      </c>
      <c r="CL342" s="0" t="s">
        <v>232</v>
      </c>
      <c r="CM342" s="0" t="n">
        <v>40</v>
      </c>
      <c r="CN342" s="16" t="n">
        <v>84.9</v>
      </c>
      <c r="CO342" s="16" t="n">
        <v>81</v>
      </c>
      <c r="CP342" s="16" t="n">
        <v>13.2</v>
      </c>
      <c r="CQ342" s="0" t="n">
        <v>93.04</v>
      </c>
      <c r="CR342" s="0" t="n">
        <v>0</v>
      </c>
      <c r="CS342" s="0" t="n">
        <v>0</v>
      </c>
      <c r="CT342" s="0" t="n">
        <v>3.59</v>
      </c>
      <c r="CU342" s="0" t="n">
        <v>3.38</v>
      </c>
      <c r="CV342" s="0" t="n">
        <v>0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0</v>
      </c>
      <c r="DB342" s="0" t="n">
        <v>1.7</v>
      </c>
      <c r="DC342" s="0" t="n">
        <v>3.97</v>
      </c>
      <c r="DD342" s="0" t="n">
        <v>39.76</v>
      </c>
      <c r="DE342" s="0" t="n">
        <v>0.13</v>
      </c>
      <c r="DF342" s="0" t="n">
        <v>0</v>
      </c>
      <c r="DG342" s="0" t="n">
        <v>0</v>
      </c>
      <c r="DH342" s="0" t="n">
        <v>0</v>
      </c>
      <c r="DU342" s="0" t="n">
        <v>15.9</v>
      </c>
      <c r="DV342" s="0" t="n">
        <v>1</v>
      </c>
      <c r="DW342" s="0" t="n">
        <v>47</v>
      </c>
      <c r="DX342" s="0" t="n">
        <v>2</v>
      </c>
      <c r="DY342" s="0" t="n">
        <v>1.51</v>
      </c>
      <c r="DZ342" s="0" t="n">
        <v>3</v>
      </c>
      <c r="EG342" s="18"/>
      <c r="EY342" s="0" t="n">
        <v>1</v>
      </c>
      <c r="EZ342" s="0" t="n">
        <v>40</v>
      </c>
      <c r="FA342" s="0" t="n">
        <v>7</v>
      </c>
      <c r="FB342" s="0" t="n">
        <f aca="false">2.27+3.02</f>
        <v>5.29</v>
      </c>
      <c r="FC342" s="0" t="n">
        <v>3</v>
      </c>
      <c r="GJ342" s="16" t="n">
        <v>1.48</v>
      </c>
      <c r="GK342" s="16" t="n">
        <v>1</v>
      </c>
      <c r="GL342" s="16" t="n">
        <v>1</v>
      </c>
      <c r="GM342" s="16"/>
      <c r="GN342" s="16" t="n">
        <f aca="false">2.1+1.7+0.37+0.74</f>
        <v>4.91</v>
      </c>
      <c r="GO342" s="16"/>
      <c r="GP342" s="16"/>
      <c r="GQ342" s="16"/>
      <c r="GR342" s="16"/>
      <c r="GS342" s="16"/>
      <c r="GT342" s="16"/>
      <c r="GU342" s="16" t="n">
        <v>7.34</v>
      </c>
      <c r="GV342" s="16" t="n">
        <v>5.01</v>
      </c>
      <c r="GW342" s="16"/>
      <c r="GX342" s="16"/>
      <c r="GY342" s="16" t="n">
        <v>0</v>
      </c>
      <c r="GZ342" s="16" t="n">
        <v>0</v>
      </c>
      <c r="HA342" s="16" t="n">
        <v>0</v>
      </c>
      <c r="HB342" s="0" t="n">
        <v>0</v>
      </c>
      <c r="HC342" s="0" t="s">
        <v>233</v>
      </c>
      <c r="HD342" s="0" t="n">
        <v>39.5</v>
      </c>
      <c r="HE342" s="16" t="n">
        <v>85</v>
      </c>
      <c r="HF342" s="16" t="n">
        <v>81</v>
      </c>
      <c r="HG342" s="16" t="n">
        <v>12.7</v>
      </c>
      <c r="HH342" s="0" t="n">
        <v>93.14</v>
      </c>
      <c r="HI342" s="0" t="n">
        <v>0</v>
      </c>
      <c r="HJ342" s="0" t="n">
        <v>1.57</v>
      </c>
      <c r="HK342" s="0" t="n">
        <v>2.08</v>
      </c>
      <c r="HL342" s="0" t="n">
        <v>3.21</v>
      </c>
      <c r="HM342" s="0" t="n">
        <v>0</v>
      </c>
      <c r="HN342" s="0" t="n">
        <v>0</v>
      </c>
      <c r="HO342" s="0" t="n">
        <v>0</v>
      </c>
      <c r="HP342" s="0" t="n">
        <v>0</v>
      </c>
      <c r="HQ342" s="0" t="n">
        <v>0</v>
      </c>
      <c r="HR342" s="0" t="n">
        <v>0</v>
      </c>
      <c r="HS342" s="0" t="n">
        <v>1.7</v>
      </c>
      <c r="HT342" s="0" t="n">
        <v>6.54</v>
      </c>
      <c r="HU342" s="0" t="n">
        <v>37.88</v>
      </c>
      <c r="HV342" s="0" t="n">
        <v>3</v>
      </c>
      <c r="HW342" s="0" t="n">
        <v>0</v>
      </c>
      <c r="HX342" s="0" t="n">
        <v>0</v>
      </c>
      <c r="HY342" s="0" t="n">
        <v>0</v>
      </c>
      <c r="IL342" s="0" t="n">
        <v>15.7</v>
      </c>
      <c r="IM342" s="0" t="n">
        <v>1</v>
      </c>
      <c r="IN342" s="0" t="n">
        <v>47</v>
      </c>
      <c r="IO342" s="0" t="n">
        <v>2</v>
      </c>
      <c r="IP342" s="0" t="n">
        <v>1.51</v>
      </c>
      <c r="IQ342" s="0" t="n">
        <v>3</v>
      </c>
      <c r="IX342" s="18"/>
      <c r="JP342" s="0" t="n">
        <v>1</v>
      </c>
      <c r="JQ342" s="0" t="n">
        <v>50</v>
      </c>
      <c r="JR342" s="0" t="n">
        <v>3</v>
      </c>
      <c r="JS342" s="0" t="n">
        <v>0.4</v>
      </c>
      <c r="JT342" s="0" t="n">
        <v>3</v>
      </c>
      <c r="JU342" s="0" t="n">
        <v>40</v>
      </c>
      <c r="JV342" s="0" t="n">
        <v>7</v>
      </c>
      <c r="JW342" s="0" t="n">
        <f aca="false">2.27+3.02</f>
        <v>5.29</v>
      </c>
      <c r="JX342" s="0" t="n">
        <v>3</v>
      </c>
      <c r="LA342" s="16" t="n">
        <v>1.76</v>
      </c>
      <c r="LB342" s="16" t="n">
        <v>1</v>
      </c>
      <c r="LC342" s="16" t="n">
        <v>1</v>
      </c>
      <c r="LD342" s="16"/>
      <c r="LE342" s="16" t="n">
        <f aca="false">2.1+1.7+0.4+0.37+0.74</f>
        <v>5.31</v>
      </c>
      <c r="LF342" s="16"/>
      <c r="LG342" s="16"/>
      <c r="LH342" s="16"/>
      <c r="LI342" s="16"/>
      <c r="LJ342" s="16"/>
      <c r="LK342" s="16"/>
      <c r="LL342" s="16" t="n">
        <v>7.31</v>
      </c>
      <c r="LM342" s="16" t="n">
        <v>6.99</v>
      </c>
      <c r="LN342" s="16"/>
      <c r="LO342" s="16"/>
      <c r="LP342" s="16" t="n">
        <v>0</v>
      </c>
      <c r="LQ342" s="16" t="n">
        <v>0</v>
      </c>
      <c r="LR342" s="16" t="n">
        <v>0</v>
      </c>
      <c r="LS342" s="0" t="n">
        <v>0</v>
      </c>
      <c r="LT342" s="0" t="s">
        <v>234</v>
      </c>
      <c r="LU342" s="0" t="n">
        <v>22.5</v>
      </c>
      <c r="LV342" s="16" t="n">
        <v>60.3</v>
      </c>
      <c r="LW342" s="16" t="n">
        <v>81</v>
      </c>
      <c r="LX342" s="16" t="n">
        <v>13.3</v>
      </c>
      <c r="LY342" s="0" t="n">
        <v>92.98</v>
      </c>
      <c r="LZ342" s="0" t="n">
        <v>0</v>
      </c>
      <c r="MA342" s="0" t="n">
        <v>0</v>
      </c>
      <c r="MB342" s="0" t="n">
        <v>0</v>
      </c>
      <c r="MC342" s="0" t="n">
        <v>7.02</v>
      </c>
      <c r="MD342" s="0" t="n">
        <v>0</v>
      </c>
      <c r="ME342" s="0" t="n">
        <v>0</v>
      </c>
      <c r="MF342" s="0" t="n">
        <v>0</v>
      </c>
      <c r="MG342" s="0" t="n">
        <v>0</v>
      </c>
      <c r="MH342" s="0" t="n">
        <v>0</v>
      </c>
      <c r="MI342" s="0" t="n">
        <v>0</v>
      </c>
      <c r="MJ342" s="0" t="n">
        <v>0</v>
      </c>
      <c r="MK342" s="0" t="n">
        <v>0.72</v>
      </c>
      <c r="ML342" s="0" t="n">
        <v>23.12</v>
      </c>
      <c r="MM342" s="0" t="n">
        <v>24.81</v>
      </c>
      <c r="MN342" s="0" t="n">
        <v>0</v>
      </c>
      <c r="MO342" s="0" t="n">
        <v>0</v>
      </c>
      <c r="MP342" s="0" t="n">
        <v>0</v>
      </c>
      <c r="NC342" s="0" t="n">
        <v>0</v>
      </c>
      <c r="ND342" s="0" t="n">
        <v>1</v>
      </c>
      <c r="NE342" s="0" t="n">
        <v>23</v>
      </c>
      <c r="NF342" s="0" t="n">
        <v>1</v>
      </c>
      <c r="NG342" s="0" t="n">
        <v>0.3</v>
      </c>
      <c r="NH342" s="0" t="n">
        <v>3</v>
      </c>
      <c r="NO342" s="18"/>
      <c r="OG342" s="0" t="n">
        <v>0</v>
      </c>
      <c r="PR342" s="16" t="n">
        <v>1.26</v>
      </c>
      <c r="PS342" s="16" t="n">
        <v>1</v>
      </c>
      <c r="PT342" s="16" t="n">
        <v>1</v>
      </c>
      <c r="PU342" s="16"/>
      <c r="PV342" s="16" t="n">
        <f aca="false">2.1+1.7+0.4+0.37+0.74</f>
        <v>5.31</v>
      </c>
      <c r="PW342" s="16"/>
      <c r="PX342" s="16"/>
      <c r="PY342" s="16"/>
      <c r="PZ342" s="16"/>
      <c r="QA342" s="16"/>
      <c r="QB342" s="16"/>
      <c r="QC342" s="16" t="n">
        <v>6.24</v>
      </c>
      <c r="QD342" s="16" t="n">
        <v>6.99</v>
      </c>
      <c r="QE342" s="16"/>
      <c r="QF342" s="16"/>
      <c r="QG342" s="16" t="n">
        <v>0</v>
      </c>
      <c r="QH342" s="16" t="n">
        <v>0</v>
      </c>
      <c r="QI342" s="16" t="n">
        <v>0</v>
      </c>
      <c r="QJ342" s="0" t="n">
        <v>0</v>
      </c>
      <c r="QK342" s="0" t="s">
        <v>235</v>
      </c>
      <c r="QL342" s="0" t="n">
        <v>37</v>
      </c>
      <c r="QM342" s="16" t="n">
        <v>81.9</v>
      </c>
      <c r="QN342" s="16" t="n">
        <v>81</v>
      </c>
      <c r="QO342" s="16" t="n">
        <v>26.3</v>
      </c>
      <c r="QP342" s="0" t="n">
        <v>68.54</v>
      </c>
      <c r="QQ342" s="0" t="n">
        <v>0</v>
      </c>
      <c r="QR342" s="0" t="n">
        <v>0</v>
      </c>
      <c r="QS342" s="0" t="n">
        <v>0</v>
      </c>
      <c r="QT342" s="0" t="n">
        <v>31.46</v>
      </c>
      <c r="QU342" s="0" t="n">
        <v>0</v>
      </c>
      <c r="QV342" s="0" t="n">
        <v>0</v>
      </c>
      <c r="QW342" s="0" t="n">
        <v>0</v>
      </c>
      <c r="QX342" s="0" t="n">
        <v>0</v>
      </c>
      <c r="QY342" s="0" t="n">
        <v>0</v>
      </c>
      <c r="QZ342" s="0" t="n">
        <v>0</v>
      </c>
      <c r="RA342" s="0" t="n">
        <v>0</v>
      </c>
      <c r="RB342" s="0" t="n">
        <v>5.42</v>
      </c>
      <c r="RC342" s="0" t="n">
        <v>17.37</v>
      </c>
      <c r="RD342" s="0" t="n">
        <v>41.85</v>
      </c>
      <c r="RE342" s="0" t="n">
        <v>0</v>
      </c>
      <c r="RF342" s="0" t="n">
        <v>0</v>
      </c>
      <c r="RG342" s="0" t="n">
        <v>0</v>
      </c>
      <c r="RT342" s="0" t="n">
        <v>0</v>
      </c>
      <c r="RU342" s="0" t="n">
        <v>1</v>
      </c>
      <c r="RV342" s="0" t="n">
        <v>23</v>
      </c>
      <c r="RW342" s="0" t="n">
        <v>2</v>
      </c>
      <c r="RX342" s="0" t="n">
        <v>2.11</v>
      </c>
      <c r="RY342" s="0" t="n">
        <v>3</v>
      </c>
      <c r="SF342" s="18"/>
      <c r="SX342" s="0" t="n">
        <v>0</v>
      </c>
      <c r="UI342" s="16" t="n">
        <v>2.64</v>
      </c>
      <c r="UJ342" s="16" t="n">
        <v>1</v>
      </c>
      <c r="UK342" s="16" t="n">
        <v>1</v>
      </c>
      <c r="UL342" s="16"/>
      <c r="UM342" s="16" t="n">
        <f aca="false">4.2*2+1.7+5.1+0.37+0.74</f>
        <v>16.31</v>
      </c>
      <c r="UN342" s="16"/>
      <c r="UO342" s="16"/>
      <c r="UP342" s="16"/>
      <c r="UQ342" s="16"/>
      <c r="UR342" s="16"/>
      <c r="US342" s="16"/>
      <c r="UT342" s="16" t="n">
        <v>5.32</v>
      </c>
      <c r="UU342" s="16" t="n">
        <v>8.04</v>
      </c>
      <c r="UV342" s="16"/>
      <c r="UW342" s="16"/>
      <c r="UX342" s="16" t="n">
        <v>0</v>
      </c>
      <c r="UY342" s="16" t="n">
        <v>0</v>
      </c>
      <c r="UZ342" s="16" t="n">
        <v>0</v>
      </c>
      <c r="VA342" s="0" t="n">
        <v>0</v>
      </c>
      <c r="VB342" s="0" t="s">
        <v>236</v>
      </c>
      <c r="VC342" s="0" t="n">
        <v>51</v>
      </c>
      <c r="VD342" s="16" t="n">
        <v>93.4</v>
      </c>
      <c r="VE342" s="16" t="n">
        <v>81</v>
      </c>
      <c r="VF342" s="16" t="n">
        <v>29.5</v>
      </c>
      <c r="VG342" s="0" t="n">
        <v>55.24</v>
      </c>
      <c r="VH342" s="0" t="n">
        <v>0</v>
      </c>
      <c r="VI342" s="0" t="n">
        <v>0</v>
      </c>
      <c r="VJ342" s="0" t="n">
        <v>0</v>
      </c>
      <c r="VK342" s="0" t="n">
        <v>44.76</v>
      </c>
      <c r="VL342" s="0" t="n">
        <v>0</v>
      </c>
      <c r="VM342" s="0" t="n">
        <v>0</v>
      </c>
      <c r="VN342" s="0" t="n">
        <v>0</v>
      </c>
      <c r="VO342" s="0" t="n">
        <v>0</v>
      </c>
      <c r="VP342" s="0" t="n">
        <v>0</v>
      </c>
      <c r="VQ342" s="0" t="n">
        <v>0</v>
      </c>
      <c r="VR342" s="0" t="n">
        <v>0.67</v>
      </c>
      <c r="VS342" s="0" t="n">
        <v>5.1</v>
      </c>
      <c r="VT342" s="0" t="n">
        <v>47.22</v>
      </c>
      <c r="VU342" s="0" t="n">
        <v>18.3</v>
      </c>
      <c r="VV342" s="0" t="n">
        <v>0</v>
      </c>
      <c r="VW342" s="0" t="n">
        <v>7.5</v>
      </c>
      <c r="VX342" s="0" t="n">
        <v>1</v>
      </c>
      <c r="VY342" s="0" t="n">
        <v>3.6</v>
      </c>
      <c r="WA342" s="0" t="n">
        <v>1</v>
      </c>
      <c r="WE342" s="0" t="n">
        <v>3.6</v>
      </c>
      <c r="WG342" s="0" t="n">
        <v>1</v>
      </c>
      <c r="WK342" s="0" t="n">
        <v>0</v>
      </c>
      <c r="WL342" s="0" t="n">
        <v>0</v>
      </c>
      <c r="WW342" s="18"/>
      <c r="XO342" s="0" t="n">
        <v>0</v>
      </c>
      <c r="YZ342" s="16" t="n">
        <v>1.95</v>
      </c>
      <c r="ZA342" s="16" t="n">
        <v>1</v>
      </c>
      <c r="ZB342" s="16" t="n">
        <v>1</v>
      </c>
      <c r="ZC342" s="16"/>
      <c r="ZD342" s="16" t="n">
        <f aca="false">2.42+1.67+5+0.22+0.66+0.22</f>
        <v>10.19</v>
      </c>
      <c r="ZE342" s="16"/>
      <c r="ZF342" s="16"/>
      <c r="ZG342" s="16"/>
      <c r="ZH342" s="16"/>
      <c r="ZI342" s="16"/>
      <c r="ZJ342" s="16"/>
      <c r="ZK342" s="16" t="n">
        <v>5.63</v>
      </c>
      <c r="ZL342" s="16" t="n">
        <v>11.04</v>
      </c>
      <c r="ZM342" s="16"/>
      <c r="ZN342" s="16"/>
      <c r="ZO342" s="16" t="n">
        <v>0</v>
      </c>
      <c r="ZP342" s="16" t="n">
        <v>0</v>
      </c>
      <c r="ZQ342" s="16" t="n">
        <v>0</v>
      </c>
      <c r="ZR342" s="0" t="n">
        <v>0</v>
      </c>
      <c r="ZS342" s="0" t="s">
        <v>237</v>
      </c>
      <c r="ZT342" s="0" t="n">
        <v>46</v>
      </c>
      <c r="ZU342" s="16" t="n">
        <v>92.7</v>
      </c>
      <c r="ZV342" s="16" t="n">
        <v>81</v>
      </c>
      <c r="ZW342" s="16" t="n">
        <v>20.8</v>
      </c>
      <c r="ZX342" s="0" t="n">
        <v>76.44</v>
      </c>
      <c r="ZY342" s="0" t="n">
        <v>0</v>
      </c>
      <c r="ZZ342" s="0" t="n">
        <v>0</v>
      </c>
      <c r="AAA342" s="0" t="n">
        <v>0</v>
      </c>
      <c r="AAB342" s="0" t="n">
        <v>23.56</v>
      </c>
      <c r="AAC342" s="0" t="n">
        <v>0</v>
      </c>
      <c r="AAD342" s="0" t="n">
        <v>0</v>
      </c>
      <c r="AAE342" s="0" t="n">
        <v>0</v>
      </c>
      <c r="AAF342" s="0" t="n">
        <v>0</v>
      </c>
      <c r="AAG342" s="0" t="n">
        <v>0</v>
      </c>
      <c r="AAH342" s="0" t="n">
        <v>0</v>
      </c>
      <c r="AAI342" s="0" t="n">
        <v>0.23</v>
      </c>
      <c r="AAJ342" s="0" t="n">
        <v>0.51</v>
      </c>
      <c r="AAK342" s="0" t="n">
        <v>26.55</v>
      </c>
      <c r="AAL342" s="0" t="n">
        <v>36.69</v>
      </c>
      <c r="AAM342" s="0" t="n">
        <v>0</v>
      </c>
      <c r="AAN342" s="0" t="n">
        <v>10.6</v>
      </c>
      <c r="AAO342" s="0" t="n">
        <v>1</v>
      </c>
      <c r="AAP342" s="0" t="n">
        <v>6</v>
      </c>
      <c r="AAR342" s="0" t="n">
        <v>1</v>
      </c>
      <c r="AAV342" s="0" t="n">
        <v>6</v>
      </c>
      <c r="AAX342" s="0" t="n">
        <v>1</v>
      </c>
      <c r="ABB342" s="0" t="n">
        <v>7.1</v>
      </c>
      <c r="ABC342" s="0" t="n">
        <v>1</v>
      </c>
      <c r="ABD342" s="0" t="n">
        <v>35</v>
      </c>
      <c r="ABE342" s="0" t="n">
        <v>2</v>
      </c>
      <c r="ABF342" s="0" t="n">
        <f aca="false">0.76*2</f>
        <v>1.52</v>
      </c>
      <c r="ABG342" s="0" t="n">
        <v>3</v>
      </c>
      <c r="ABN342" s="18"/>
      <c r="ACF342" s="0" t="n">
        <v>0</v>
      </c>
      <c r="ADQ342" s="16" t="n">
        <v>2.41</v>
      </c>
      <c r="ADR342" s="16" t="n">
        <v>1</v>
      </c>
      <c r="ADS342" s="16" t="n">
        <v>1</v>
      </c>
      <c r="ADT342" s="16"/>
      <c r="ADU342" s="16" t="n">
        <f aca="false">0.41+1.67+5+0.33+0.45+0.15</f>
        <v>8.01</v>
      </c>
      <c r="ADV342" s="16"/>
      <c r="ADW342" s="16"/>
      <c r="ADX342" s="16"/>
      <c r="ADY342" s="16"/>
      <c r="ADZ342" s="16"/>
      <c r="AEA342" s="16"/>
      <c r="AEB342" s="16" t="n">
        <v>0.33</v>
      </c>
      <c r="AEC342" s="16" t="n">
        <v>0.33</v>
      </c>
      <c r="AED342" s="16"/>
      <c r="AEE342" s="16"/>
      <c r="AEF342" s="16" t="n">
        <v>0</v>
      </c>
      <c r="AEG342" s="16" t="n">
        <v>0</v>
      </c>
      <c r="AEH342" s="16" t="n">
        <v>0</v>
      </c>
      <c r="AEI342" s="0" t="n">
        <v>0</v>
      </c>
      <c r="AEJ342" s="0" t="s">
        <v>461</v>
      </c>
      <c r="AEK342" s="0" t="n">
        <v>38</v>
      </c>
      <c r="AEL342" s="16" t="n">
        <v>84.5</v>
      </c>
      <c r="AEM342" s="16" t="n">
        <v>81</v>
      </c>
      <c r="AEN342" s="16" t="n">
        <v>11.8</v>
      </c>
      <c r="AEO342" s="0" t="n">
        <v>99.78</v>
      </c>
      <c r="AEP342" s="0" t="n">
        <v>0</v>
      </c>
      <c r="AEQ342" s="0" t="n">
        <v>0</v>
      </c>
      <c r="AER342" s="0" t="n">
        <v>0</v>
      </c>
      <c r="AES342" s="0" t="n">
        <v>0.22</v>
      </c>
      <c r="AET342" s="0" t="n">
        <v>0</v>
      </c>
      <c r="AEU342" s="0" t="n">
        <v>0</v>
      </c>
      <c r="AEV342" s="0" t="n">
        <v>0</v>
      </c>
      <c r="AEW342" s="0" t="n">
        <v>0</v>
      </c>
      <c r="AEX342" s="0" t="n">
        <v>0</v>
      </c>
      <c r="AEY342" s="0" t="n">
        <v>0</v>
      </c>
      <c r="AEZ342" s="0" t="n">
        <v>7.31</v>
      </c>
      <c r="AFA342" s="0" t="n">
        <v>0</v>
      </c>
      <c r="AFB342" s="0" t="n">
        <v>30.29</v>
      </c>
      <c r="AFC342" s="0" t="n">
        <v>31.72</v>
      </c>
      <c r="AFD342" s="0" t="n">
        <v>0</v>
      </c>
      <c r="AFE342" s="0" t="n">
        <v>0</v>
      </c>
      <c r="AFF342" s="0" t="n">
        <v>0</v>
      </c>
      <c r="AFS342" s="0" t="n">
        <v>14</v>
      </c>
      <c r="AFT342" s="0" t="n">
        <v>1</v>
      </c>
      <c r="AFU342" s="0" t="n">
        <v>52</v>
      </c>
      <c r="AFV342" s="0" t="n">
        <v>6</v>
      </c>
      <c r="AFW342" s="0" t="n">
        <v>4.53</v>
      </c>
      <c r="AFX342" s="0" t="n">
        <v>2</v>
      </c>
      <c r="AGE342" s="18"/>
      <c r="AGW342" s="0" t="n">
        <v>1</v>
      </c>
      <c r="AGX342" s="0" t="n">
        <v>50</v>
      </c>
      <c r="AGY342" s="0" t="n">
        <v>3</v>
      </c>
      <c r="AGZ342" s="0" t="n">
        <v>0.4</v>
      </c>
      <c r="AHA342" s="0" t="n">
        <v>6</v>
      </c>
      <c r="AIH342" s="16" t="n">
        <v>3.9</v>
      </c>
      <c r="AII342" s="16" t="n">
        <v>1</v>
      </c>
      <c r="AIJ342" s="16" t="n">
        <v>1</v>
      </c>
      <c r="AIK342" s="16"/>
      <c r="AIL342" s="16" t="n">
        <f aca="false">1.7*3+4.53+2.64*2+0.6</f>
        <v>15.51</v>
      </c>
      <c r="AIM342" s="16"/>
      <c r="AIN342" s="16"/>
      <c r="AIO342" s="16"/>
      <c r="AIP342" s="16"/>
      <c r="AIQ342" s="16"/>
      <c r="AIR342" s="16"/>
      <c r="AIS342" s="16" t="n">
        <v>8.14</v>
      </c>
      <c r="AIT342" s="16" t="n">
        <v>15.87</v>
      </c>
      <c r="AIU342" s="16"/>
      <c r="AIV342" s="16"/>
      <c r="AIW342" s="16" t="n">
        <v>0</v>
      </c>
      <c r="AIX342" s="16" t="n">
        <v>0</v>
      </c>
      <c r="AIY342" s="16" t="n">
        <v>0</v>
      </c>
      <c r="AIZ342" s="0" t="n">
        <v>0</v>
      </c>
      <c r="AJA342" s="0" t="s">
        <v>595</v>
      </c>
      <c r="AJB342" s="0" t="n">
        <v>21.5</v>
      </c>
      <c r="AJC342" s="16" t="n">
        <v>79.7</v>
      </c>
      <c r="AJD342" s="16" t="n">
        <v>81</v>
      </c>
      <c r="AJE342" s="16" t="n">
        <v>7.9</v>
      </c>
      <c r="AJF342" s="0" t="n">
        <v>99.71</v>
      </c>
      <c r="AJG342" s="0" t="n">
        <v>0</v>
      </c>
      <c r="AJH342" s="0" t="n">
        <v>0</v>
      </c>
      <c r="AJI342" s="0" t="n">
        <v>0</v>
      </c>
      <c r="AJJ342" s="0" t="n">
        <v>0.29</v>
      </c>
      <c r="AJK342" s="0" t="n">
        <v>0</v>
      </c>
      <c r="AJL342" s="0" t="n">
        <v>0</v>
      </c>
      <c r="AJM342" s="0" t="n">
        <v>0</v>
      </c>
      <c r="AJN342" s="0" t="n">
        <v>0</v>
      </c>
      <c r="AJO342" s="0" t="n">
        <v>0</v>
      </c>
      <c r="AJP342" s="0" t="n">
        <v>0</v>
      </c>
      <c r="AJQ342" s="0" t="n">
        <v>0</v>
      </c>
      <c r="AJR342" s="0" t="n">
        <v>11.15</v>
      </c>
      <c r="AJS342" s="0" t="n">
        <v>33.12</v>
      </c>
      <c r="AJT342" s="0" t="n">
        <v>8.72</v>
      </c>
      <c r="AJU342" s="0" t="n">
        <v>0</v>
      </c>
      <c r="AJV342" s="0" t="n">
        <v>0</v>
      </c>
      <c r="AJW342" s="0" t="n">
        <v>0</v>
      </c>
      <c r="AKJ342" s="0" t="n">
        <v>0</v>
      </c>
      <c r="AKK342" s="0" t="n">
        <v>1</v>
      </c>
      <c r="AKL342" s="0" t="n">
        <v>23</v>
      </c>
      <c r="AKM342" s="0" t="n">
        <v>1</v>
      </c>
      <c r="AKN342" s="0" t="n">
        <v>2.27</v>
      </c>
      <c r="AKO342" s="0" t="n">
        <v>3</v>
      </c>
      <c r="AKV342" s="18"/>
      <c r="ALN342" s="0" t="n">
        <v>1</v>
      </c>
      <c r="ALO342" s="0" t="n">
        <v>50</v>
      </c>
      <c r="ALP342" s="0" t="n">
        <v>9</v>
      </c>
      <c r="ALQ342" s="0" t="n">
        <v>4.93</v>
      </c>
      <c r="ALR342" s="0" t="n">
        <v>3</v>
      </c>
    </row>
    <row r="343" customFormat="false" ht="13.8" hidden="false" customHeight="false" outlineLevel="0" collapsed="false">
      <c r="A343" s="1" t="s">
        <v>931</v>
      </c>
      <c r="B343" s="12" t="n">
        <v>42927</v>
      </c>
      <c r="C343" s="0" t="n">
        <v>1</v>
      </c>
      <c r="D343" s="13" t="n">
        <v>42790</v>
      </c>
      <c r="E343" s="12" t="n">
        <v>31370</v>
      </c>
      <c r="F343" s="14" t="n">
        <f aca="false">(B343-E343)/365.25</f>
        <v>31.6413415468857</v>
      </c>
      <c r="G343" s="14" t="n">
        <f aca="false">(B343-D343)/365.25</f>
        <v>0.375085557837098</v>
      </c>
      <c r="H343" s="19" t="s">
        <v>228</v>
      </c>
      <c r="I343" s="15" t="s">
        <v>229</v>
      </c>
      <c r="J343" s="15" t="s">
        <v>181</v>
      </c>
      <c r="K343" s="15" t="s">
        <v>913</v>
      </c>
      <c r="L343" s="19" t="n">
        <v>61</v>
      </c>
      <c r="M343" s="0" t="n">
        <v>1.67</v>
      </c>
      <c r="N343" s="16" t="n">
        <f aca="false">L343/(M343*M343)</f>
        <v>21.8724228190326</v>
      </c>
      <c r="O343" s="19" t="n">
        <v>0</v>
      </c>
      <c r="P343" s="19" t="n">
        <v>0</v>
      </c>
      <c r="Q343" s="19" t="n">
        <v>0</v>
      </c>
      <c r="R343" s="26" t="n">
        <v>0</v>
      </c>
      <c r="S343" s="26" t="n">
        <v>0</v>
      </c>
      <c r="T343" s="26" t="n">
        <v>0</v>
      </c>
      <c r="U343" s="19" t="n">
        <v>0</v>
      </c>
      <c r="V343" s="19" t="n">
        <v>0</v>
      </c>
      <c r="W343" s="19" t="n">
        <v>0</v>
      </c>
      <c r="X343" s="19" t="n">
        <v>0</v>
      </c>
      <c r="Y343" s="19" t="n">
        <v>1</v>
      </c>
      <c r="Z343" s="19" t="n">
        <v>1</v>
      </c>
      <c r="AA343" s="19" t="n">
        <v>60</v>
      </c>
      <c r="AB343" s="19" t="s">
        <v>215</v>
      </c>
      <c r="AC343" s="19" t="n">
        <v>0</v>
      </c>
      <c r="AD343" s="19" t="n">
        <v>0</v>
      </c>
      <c r="AE343" s="19" t="n">
        <v>0</v>
      </c>
      <c r="AF343" s="19" t="n">
        <v>0</v>
      </c>
      <c r="AG343" s="19" t="n">
        <v>0</v>
      </c>
      <c r="AH343" s="19" t="n">
        <v>0</v>
      </c>
      <c r="AI343" s="19" t="n">
        <v>0</v>
      </c>
      <c r="AJ343" s="19" t="n">
        <v>0</v>
      </c>
      <c r="AK343" s="19" t="n">
        <v>0</v>
      </c>
      <c r="AL343" s="19" t="n">
        <v>0</v>
      </c>
      <c r="AM343" s="19" t="n">
        <v>0</v>
      </c>
      <c r="AN343" s="19" t="n">
        <v>0</v>
      </c>
      <c r="AO343" s="19" t="n">
        <v>0</v>
      </c>
      <c r="AP343" s="19" t="n">
        <v>0</v>
      </c>
      <c r="AQ343" s="19" t="n">
        <v>0</v>
      </c>
      <c r="AR343" s="19" t="n">
        <v>0</v>
      </c>
      <c r="AS343" s="19" t="n">
        <v>0</v>
      </c>
      <c r="AT343" s="19" t="n">
        <v>0</v>
      </c>
      <c r="AU343" s="19" t="n">
        <v>0</v>
      </c>
      <c r="AV343" s="19" t="n">
        <v>0</v>
      </c>
      <c r="AW343" s="19" t="n">
        <v>0</v>
      </c>
      <c r="AX343" s="19" t="n">
        <v>0</v>
      </c>
      <c r="AY343" s="19" t="n">
        <v>0</v>
      </c>
      <c r="AZ343" s="19" t="n">
        <v>0</v>
      </c>
      <c r="BA343" s="19" t="n">
        <v>0</v>
      </c>
      <c r="BB343" s="19" t="n">
        <v>0</v>
      </c>
      <c r="BC343" s="19" t="n">
        <v>0</v>
      </c>
      <c r="BD343" s="19" t="n">
        <v>0</v>
      </c>
      <c r="BE343" s="19" t="n">
        <v>0</v>
      </c>
      <c r="BF343" s="19" t="n">
        <v>0</v>
      </c>
      <c r="BG343" s="19" t="n">
        <v>0</v>
      </c>
      <c r="BH343" s="19" t="n">
        <v>0</v>
      </c>
      <c r="BI343" s="19" t="n">
        <v>0</v>
      </c>
      <c r="BJ343" s="19" t="n">
        <v>0</v>
      </c>
      <c r="BK343" s="19" t="n">
        <v>0</v>
      </c>
      <c r="BL343" s="19" t="n">
        <v>0</v>
      </c>
      <c r="BM343" s="19" t="n">
        <v>0</v>
      </c>
      <c r="BN343" s="19" t="n">
        <v>0</v>
      </c>
      <c r="BO343" s="19" t="n">
        <v>0</v>
      </c>
      <c r="BP343" s="19" t="n">
        <v>0</v>
      </c>
      <c r="BQ343" s="19" t="n">
        <v>0</v>
      </c>
      <c r="BR343" s="19" t="n">
        <v>1</v>
      </c>
      <c r="BS343" s="19" t="n">
        <v>1</v>
      </c>
      <c r="BT343" s="19" t="n">
        <v>1</v>
      </c>
      <c r="BU343" s="19" t="n">
        <v>5</v>
      </c>
      <c r="BV343" s="19" t="n">
        <v>5</v>
      </c>
      <c r="BW343" s="19" t="n">
        <v>5</v>
      </c>
      <c r="BX343" s="19" t="n">
        <v>5</v>
      </c>
      <c r="BY343" s="19" t="n">
        <v>5</v>
      </c>
      <c r="BZ343" s="19" t="n">
        <v>5</v>
      </c>
      <c r="CA343" s="19" t="n">
        <v>5</v>
      </c>
      <c r="CB343" s="19" t="n">
        <v>5</v>
      </c>
      <c r="CC343" s="19" t="n">
        <v>5</v>
      </c>
      <c r="CD343" s="19" t="n">
        <v>5</v>
      </c>
      <c r="CE343" s="19" t="n">
        <v>5</v>
      </c>
      <c r="CF343" s="19" t="n">
        <v>5</v>
      </c>
      <c r="CG343" s="19" t="n">
        <v>5</v>
      </c>
      <c r="CH343" s="19" t="n">
        <v>5</v>
      </c>
      <c r="CI343" s="19" t="n">
        <v>5</v>
      </c>
      <c r="CJ343" s="19" t="n">
        <v>5</v>
      </c>
      <c r="CK343" s="19" t="n">
        <v>10</v>
      </c>
      <c r="CL343" s="0" t="s">
        <v>232</v>
      </c>
      <c r="CM343" s="0" t="n">
        <v>40</v>
      </c>
      <c r="CN343" s="16" t="n">
        <v>84.9</v>
      </c>
      <c r="CO343" s="16" t="n">
        <v>81</v>
      </c>
      <c r="CP343" s="16" t="n">
        <v>13.2</v>
      </c>
      <c r="CQ343" s="0" t="n">
        <v>93.04</v>
      </c>
      <c r="CR343" s="0" t="n">
        <v>0</v>
      </c>
      <c r="CS343" s="0" t="n">
        <v>0</v>
      </c>
      <c r="CT343" s="0" t="n">
        <v>3.59</v>
      </c>
      <c r="CU343" s="0" t="n">
        <v>3.38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v>0</v>
      </c>
      <c r="DA343" s="0" t="n">
        <v>0</v>
      </c>
      <c r="DB343" s="0" t="n">
        <v>1.7</v>
      </c>
      <c r="DC343" s="0" t="n">
        <v>3.97</v>
      </c>
      <c r="DD343" s="0" t="n">
        <v>39.76</v>
      </c>
      <c r="DE343" s="0" t="n">
        <v>0.13</v>
      </c>
      <c r="DF343" s="0" t="n">
        <v>0</v>
      </c>
      <c r="DG343" s="0" t="n">
        <v>0</v>
      </c>
      <c r="DH343" s="0" t="n">
        <v>0</v>
      </c>
      <c r="DU343" s="0" t="n">
        <v>15.9</v>
      </c>
      <c r="DV343" s="0" t="n">
        <v>1</v>
      </c>
      <c r="DW343" s="0" t="n">
        <v>47</v>
      </c>
      <c r="DX343" s="0" t="n">
        <v>2</v>
      </c>
      <c r="DY343" s="0" t="n">
        <v>1.51</v>
      </c>
      <c r="DZ343" s="0" t="n">
        <v>3</v>
      </c>
      <c r="EG343" s="18"/>
      <c r="EY343" s="0" t="n">
        <v>1</v>
      </c>
      <c r="EZ343" s="0" t="n">
        <v>40</v>
      </c>
      <c r="FA343" s="0" t="n">
        <v>7</v>
      </c>
      <c r="FB343" s="0" t="n">
        <f aca="false">2.27+3.02</f>
        <v>5.29</v>
      </c>
      <c r="FC343" s="0" t="n">
        <v>3</v>
      </c>
      <c r="GJ343" s="16" t="n">
        <v>1.48</v>
      </c>
      <c r="GK343" s="16" t="n">
        <v>1</v>
      </c>
      <c r="GL343" s="16" t="n">
        <v>1</v>
      </c>
      <c r="GM343" s="16"/>
      <c r="GN343" s="16" t="n">
        <f aca="false">2.1+1.7+0.37+0.74</f>
        <v>4.91</v>
      </c>
      <c r="GO343" s="16"/>
      <c r="GP343" s="16"/>
      <c r="GQ343" s="16"/>
      <c r="GR343" s="16"/>
      <c r="GS343" s="16"/>
      <c r="GT343" s="16"/>
      <c r="GU343" s="16" t="n">
        <v>7.34</v>
      </c>
      <c r="GV343" s="16" t="n">
        <v>5.01</v>
      </c>
      <c r="GW343" s="16"/>
      <c r="GX343" s="16"/>
      <c r="GY343" s="16" t="n">
        <v>0</v>
      </c>
      <c r="GZ343" s="16" t="n">
        <v>0</v>
      </c>
      <c r="HA343" s="16" t="n">
        <v>0</v>
      </c>
      <c r="HB343" s="0" t="n">
        <v>0</v>
      </c>
      <c r="HC343" s="0" t="s">
        <v>233</v>
      </c>
      <c r="HD343" s="0" t="n">
        <v>39.5</v>
      </c>
      <c r="HE343" s="16" t="n">
        <v>85</v>
      </c>
      <c r="HF343" s="16" t="n">
        <v>81</v>
      </c>
      <c r="HG343" s="16" t="n">
        <v>12.7</v>
      </c>
      <c r="HH343" s="0" t="n">
        <v>93.14</v>
      </c>
      <c r="HI343" s="0" t="n">
        <v>0</v>
      </c>
      <c r="HJ343" s="0" t="n">
        <v>1.57</v>
      </c>
      <c r="HK343" s="0" t="n">
        <v>2.08</v>
      </c>
      <c r="HL343" s="0" t="n">
        <v>3.21</v>
      </c>
      <c r="HM343" s="0" t="n">
        <v>0</v>
      </c>
      <c r="HN343" s="0" t="n">
        <v>0</v>
      </c>
      <c r="HO343" s="0" t="n">
        <v>0</v>
      </c>
      <c r="HP343" s="0" t="n">
        <v>0</v>
      </c>
      <c r="HQ343" s="0" t="n">
        <v>0</v>
      </c>
      <c r="HR343" s="0" t="n">
        <v>0</v>
      </c>
      <c r="HS343" s="0" t="n">
        <v>1.7</v>
      </c>
      <c r="HT343" s="0" t="n">
        <v>6.54</v>
      </c>
      <c r="HU343" s="0" t="n">
        <v>37.88</v>
      </c>
      <c r="HV343" s="0" t="n">
        <v>3</v>
      </c>
      <c r="HW343" s="0" t="n">
        <v>0</v>
      </c>
      <c r="HX343" s="0" t="n">
        <v>0</v>
      </c>
      <c r="HY343" s="0" t="n">
        <v>0</v>
      </c>
      <c r="IL343" s="0" t="n">
        <v>15.7</v>
      </c>
      <c r="IM343" s="0" t="n">
        <v>1</v>
      </c>
      <c r="IN343" s="0" t="n">
        <v>47</v>
      </c>
      <c r="IO343" s="0" t="n">
        <v>2</v>
      </c>
      <c r="IP343" s="0" t="n">
        <v>1.51</v>
      </c>
      <c r="IQ343" s="0" t="n">
        <v>3</v>
      </c>
      <c r="IX343" s="18"/>
      <c r="JP343" s="0" t="n">
        <v>1</v>
      </c>
      <c r="JQ343" s="0" t="n">
        <v>50</v>
      </c>
      <c r="JR343" s="0" t="n">
        <v>3</v>
      </c>
      <c r="JS343" s="0" t="n">
        <v>0.4</v>
      </c>
      <c r="JT343" s="0" t="n">
        <v>3</v>
      </c>
      <c r="JU343" s="0" t="n">
        <v>40</v>
      </c>
      <c r="JV343" s="0" t="n">
        <v>7</v>
      </c>
      <c r="JW343" s="0" t="n">
        <f aca="false">2.27+3.02</f>
        <v>5.29</v>
      </c>
      <c r="JX343" s="0" t="n">
        <v>3</v>
      </c>
      <c r="LA343" s="16" t="n">
        <v>1.76</v>
      </c>
      <c r="LB343" s="16" t="n">
        <v>1</v>
      </c>
      <c r="LC343" s="16" t="n">
        <v>1</v>
      </c>
      <c r="LD343" s="16"/>
      <c r="LE343" s="16" t="n">
        <f aca="false">2.1+1.7+0.4+0.37+0.74</f>
        <v>5.31</v>
      </c>
      <c r="LF343" s="16"/>
      <c r="LG343" s="16"/>
      <c r="LH343" s="16"/>
      <c r="LI343" s="16"/>
      <c r="LJ343" s="16"/>
      <c r="LK343" s="16"/>
      <c r="LL343" s="16" t="n">
        <v>7.31</v>
      </c>
      <c r="LM343" s="16" t="n">
        <v>6.99</v>
      </c>
      <c r="LN343" s="16"/>
      <c r="LO343" s="16"/>
      <c r="LP343" s="16" t="n">
        <v>0</v>
      </c>
      <c r="LQ343" s="16" t="n">
        <v>0</v>
      </c>
      <c r="LR343" s="16" t="n">
        <v>0</v>
      </c>
      <c r="LS343" s="0" t="n">
        <v>0</v>
      </c>
      <c r="LT343" s="0" t="s">
        <v>234</v>
      </c>
      <c r="LU343" s="0" t="n">
        <v>22.5</v>
      </c>
      <c r="LV343" s="16" t="n">
        <v>60.3</v>
      </c>
      <c r="LW343" s="16" t="n">
        <v>81</v>
      </c>
      <c r="LX343" s="16" t="n">
        <v>13.3</v>
      </c>
      <c r="LY343" s="0" t="n">
        <v>92.98</v>
      </c>
      <c r="LZ343" s="0" t="n">
        <v>0</v>
      </c>
      <c r="MA343" s="0" t="n">
        <v>0</v>
      </c>
      <c r="MB343" s="0" t="n">
        <v>0</v>
      </c>
      <c r="MC343" s="0" t="n">
        <v>7.02</v>
      </c>
      <c r="MD343" s="0" t="n">
        <v>0</v>
      </c>
      <c r="ME343" s="0" t="n">
        <v>0</v>
      </c>
      <c r="MF343" s="0" t="n">
        <v>0</v>
      </c>
      <c r="MG343" s="0" t="n">
        <v>0</v>
      </c>
      <c r="MH343" s="0" t="n">
        <v>0</v>
      </c>
      <c r="MI343" s="0" t="n">
        <v>0</v>
      </c>
      <c r="MJ343" s="0" t="n">
        <v>0</v>
      </c>
      <c r="MK343" s="0" t="n">
        <v>0.72</v>
      </c>
      <c r="ML343" s="0" t="n">
        <v>23.12</v>
      </c>
      <c r="MM343" s="0" t="n">
        <v>24.81</v>
      </c>
      <c r="MN343" s="0" t="n">
        <v>0</v>
      </c>
      <c r="MO343" s="0" t="n">
        <v>0</v>
      </c>
      <c r="MP343" s="0" t="n">
        <v>0</v>
      </c>
      <c r="NC343" s="0" t="n">
        <v>0</v>
      </c>
      <c r="ND343" s="0" t="n">
        <v>1</v>
      </c>
      <c r="NE343" s="0" t="n">
        <v>23</v>
      </c>
      <c r="NF343" s="0" t="n">
        <v>1</v>
      </c>
      <c r="NG343" s="0" t="n">
        <v>0.3</v>
      </c>
      <c r="NH343" s="0" t="n">
        <v>3</v>
      </c>
      <c r="NO343" s="18"/>
      <c r="OG343" s="0" t="n">
        <v>0</v>
      </c>
      <c r="PR343" s="16" t="n">
        <v>1.26</v>
      </c>
      <c r="PS343" s="16" t="n">
        <v>1</v>
      </c>
      <c r="PT343" s="16" t="n">
        <v>1</v>
      </c>
      <c r="PU343" s="16"/>
      <c r="PV343" s="16" t="n">
        <f aca="false">2.1+1.7+0.4+0.37+0.74</f>
        <v>5.31</v>
      </c>
      <c r="PW343" s="16"/>
      <c r="PX343" s="16"/>
      <c r="PY343" s="16"/>
      <c r="PZ343" s="16"/>
      <c r="QA343" s="16"/>
      <c r="QB343" s="16"/>
      <c r="QC343" s="16" t="n">
        <v>6.24</v>
      </c>
      <c r="QD343" s="16" t="n">
        <v>6.99</v>
      </c>
      <c r="QE343" s="16"/>
      <c r="QF343" s="16"/>
      <c r="QG343" s="16" t="n">
        <v>0</v>
      </c>
      <c r="QH343" s="16" t="n">
        <v>0</v>
      </c>
      <c r="QI343" s="16" t="n">
        <v>0</v>
      </c>
      <c r="QJ343" s="0" t="n">
        <v>0</v>
      </c>
      <c r="QK343" s="0" t="s">
        <v>235</v>
      </c>
      <c r="QL343" s="0" t="n">
        <v>37</v>
      </c>
      <c r="QM343" s="16" t="n">
        <v>81.9</v>
      </c>
      <c r="QN343" s="16" t="n">
        <v>81</v>
      </c>
      <c r="QO343" s="16" t="n">
        <v>26.3</v>
      </c>
      <c r="QP343" s="0" t="n">
        <v>68.54</v>
      </c>
      <c r="QQ343" s="0" t="n">
        <v>0</v>
      </c>
      <c r="QR343" s="0" t="n">
        <v>0</v>
      </c>
      <c r="QS343" s="0" t="n">
        <v>0</v>
      </c>
      <c r="QT343" s="0" t="n">
        <v>31.46</v>
      </c>
      <c r="QU343" s="0" t="n">
        <v>0</v>
      </c>
      <c r="QV343" s="0" t="n">
        <v>0</v>
      </c>
      <c r="QW343" s="0" t="n">
        <v>0</v>
      </c>
      <c r="QX343" s="0" t="n">
        <v>0</v>
      </c>
      <c r="QY343" s="0" t="n">
        <v>0</v>
      </c>
      <c r="QZ343" s="0" t="n">
        <v>0</v>
      </c>
      <c r="RA343" s="0" t="n">
        <v>0</v>
      </c>
      <c r="RB343" s="0" t="n">
        <v>5.42</v>
      </c>
      <c r="RC343" s="0" t="n">
        <v>17.37</v>
      </c>
      <c r="RD343" s="0" t="n">
        <v>41.85</v>
      </c>
      <c r="RE343" s="0" t="n">
        <v>0</v>
      </c>
      <c r="RF343" s="0" t="n">
        <v>0</v>
      </c>
      <c r="RG343" s="0" t="n">
        <v>0</v>
      </c>
      <c r="RT343" s="0" t="n">
        <v>0</v>
      </c>
      <c r="RU343" s="0" t="n">
        <v>1</v>
      </c>
      <c r="RV343" s="0" t="n">
        <v>23</v>
      </c>
      <c r="RW343" s="0" t="n">
        <v>2</v>
      </c>
      <c r="RX343" s="0" t="n">
        <v>2.11</v>
      </c>
      <c r="RY343" s="0" t="n">
        <v>3</v>
      </c>
      <c r="SF343" s="18"/>
      <c r="SX343" s="0" t="n">
        <v>0</v>
      </c>
      <c r="UI343" s="16" t="n">
        <v>2.64</v>
      </c>
      <c r="UJ343" s="16" t="n">
        <v>1</v>
      </c>
      <c r="UK343" s="16" t="n">
        <v>1</v>
      </c>
      <c r="UL343" s="16"/>
      <c r="UM343" s="16" t="n">
        <f aca="false">4.2*2+1.7+5.1+0.37+0.74</f>
        <v>16.31</v>
      </c>
      <c r="UN343" s="16"/>
      <c r="UO343" s="16"/>
      <c r="UP343" s="16"/>
      <c r="UQ343" s="16"/>
      <c r="UR343" s="16"/>
      <c r="US343" s="16"/>
      <c r="UT343" s="16" t="n">
        <v>5.32</v>
      </c>
      <c r="UU343" s="16" t="n">
        <v>8.04</v>
      </c>
      <c r="UV343" s="16"/>
      <c r="UW343" s="16"/>
      <c r="UX343" s="16" t="n">
        <v>0</v>
      </c>
      <c r="UY343" s="16" t="n">
        <v>0</v>
      </c>
      <c r="UZ343" s="16" t="n">
        <v>0</v>
      </c>
      <c r="VA343" s="0" t="n">
        <v>0</v>
      </c>
      <c r="VB343" s="0" t="s">
        <v>236</v>
      </c>
      <c r="VC343" s="0" t="n">
        <v>51</v>
      </c>
      <c r="VD343" s="16" t="n">
        <v>93.4</v>
      </c>
      <c r="VE343" s="16" t="n">
        <v>81</v>
      </c>
      <c r="VF343" s="16" t="n">
        <v>29.5</v>
      </c>
      <c r="VG343" s="0" t="n">
        <v>55.24</v>
      </c>
      <c r="VH343" s="0" t="n">
        <v>0</v>
      </c>
      <c r="VI343" s="0" t="n">
        <v>0</v>
      </c>
      <c r="VJ343" s="0" t="n">
        <v>0</v>
      </c>
      <c r="VK343" s="0" t="n">
        <v>44.76</v>
      </c>
      <c r="VL343" s="0" t="n">
        <v>0</v>
      </c>
      <c r="VM343" s="0" t="n">
        <v>0</v>
      </c>
      <c r="VN343" s="0" t="n">
        <v>0</v>
      </c>
      <c r="VO343" s="0" t="n">
        <v>0</v>
      </c>
      <c r="VP343" s="0" t="n">
        <v>0</v>
      </c>
      <c r="VQ343" s="0" t="n">
        <v>0</v>
      </c>
      <c r="VR343" s="0" t="n">
        <v>0.67</v>
      </c>
      <c r="VS343" s="0" t="n">
        <v>5.1</v>
      </c>
      <c r="VT343" s="0" t="n">
        <v>47.22</v>
      </c>
      <c r="VU343" s="0" t="n">
        <v>18.3</v>
      </c>
      <c r="VV343" s="0" t="n">
        <v>0</v>
      </c>
      <c r="VW343" s="0" t="n">
        <v>7.5</v>
      </c>
      <c r="VX343" s="0" t="n">
        <v>1</v>
      </c>
      <c r="VY343" s="0" t="n">
        <v>3.6</v>
      </c>
      <c r="WA343" s="0" t="n">
        <v>1</v>
      </c>
      <c r="WE343" s="0" t="n">
        <v>3.6</v>
      </c>
      <c r="WG343" s="0" t="n">
        <v>1</v>
      </c>
      <c r="WK343" s="0" t="n">
        <v>0</v>
      </c>
      <c r="WL343" s="0" t="n">
        <v>0</v>
      </c>
      <c r="WW343" s="18"/>
      <c r="XO343" s="0" t="n">
        <v>0</v>
      </c>
      <c r="YZ343" s="16" t="n">
        <v>1.95</v>
      </c>
      <c r="ZA343" s="16" t="n">
        <v>1</v>
      </c>
      <c r="ZB343" s="16" t="n">
        <v>1</v>
      </c>
      <c r="ZC343" s="16"/>
      <c r="ZD343" s="16" t="n">
        <f aca="false">2.42+1.67+5+0.22+0.66+0.22</f>
        <v>10.19</v>
      </c>
      <c r="ZE343" s="16"/>
      <c r="ZF343" s="16"/>
      <c r="ZG343" s="16"/>
      <c r="ZH343" s="16"/>
      <c r="ZI343" s="16"/>
      <c r="ZJ343" s="16"/>
      <c r="ZK343" s="16" t="n">
        <v>5.63</v>
      </c>
      <c r="ZL343" s="16" t="n">
        <v>11.04</v>
      </c>
      <c r="ZM343" s="16"/>
      <c r="ZN343" s="16"/>
      <c r="ZO343" s="16" t="n">
        <v>0</v>
      </c>
      <c r="ZP343" s="16" t="n">
        <v>0</v>
      </c>
      <c r="ZQ343" s="16" t="n">
        <v>0</v>
      </c>
      <c r="ZR343" s="0" t="n">
        <v>0</v>
      </c>
      <c r="ZS343" s="0" t="s">
        <v>461</v>
      </c>
      <c r="ZT343" s="0" t="n">
        <v>38</v>
      </c>
      <c r="ZU343" s="16" t="n">
        <v>84.5</v>
      </c>
      <c r="ZV343" s="16" t="n">
        <v>81</v>
      </c>
      <c r="ZW343" s="16" t="n">
        <v>11.8</v>
      </c>
      <c r="ZX343" s="0" t="n">
        <v>99.78</v>
      </c>
      <c r="ZY343" s="0" t="n">
        <v>0</v>
      </c>
      <c r="ZZ343" s="0" t="n">
        <v>0</v>
      </c>
      <c r="AAA343" s="0" t="n">
        <v>0</v>
      </c>
      <c r="AAB343" s="0" t="n">
        <v>0.22</v>
      </c>
      <c r="AAC343" s="0" t="n">
        <v>0</v>
      </c>
      <c r="AAD343" s="0" t="n">
        <v>0</v>
      </c>
      <c r="AAE343" s="0" t="n">
        <v>0</v>
      </c>
      <c r="AAF343" s="0" t="n">
        <v>0</v>
      </c>
      <c r="AAG343" s="0" t="n">
        <v>0</v>
      </c>
      <c r="AAH343" s="0" t="n">
        <v>0</v>
      </c>
      <c r="AAI343" s="0" t="n">
        <v>7.31</v>
      </c>
      <c r="AAJ343" s="0" t="n">
        <v>0</v>
      </c>
      <c r="AAK343" s="0" t="n">
        <v>30.29</v>
      </c>
      <c r="AAL343" s="0" t="n">
        <v>31.72</v>
      </c>
      <c r="AAM343" s="0" t="n">
        <v>0</v>
      </c>
      <c r="AAN343" s="0" t="n">
        <v>0</v>
      </c>
      <c r="AAO343" s="0" t="n">
        <v>0</v>
      </c>
      <c r="ABB343" s="0" t="n">
        <v>14</v>
      </c>
      <c r="ABC343" s="0" t="n">
        <v>1</v>
      </c>
      <c r="ABD343" s="0" t="n">
        <v>52</v>
      </c>
      <c r="ABE343" s="0" t="n">
        <v>6</v>
      </c>
      <c r="ABF343" s="0" t="n">
        <v>4.53</v>
      </c>
      <c r="ABG343" s="0" t="n">
        <v>2</v>
      </c>
      <c r="ABN343" s="18"/>
      <c r="ACF343" s="0" t="n">
        <v>1</v>
      </c>
      <c r="ACG343" s="0" t="n">
        <v>50</v>
      </c>
      <c r="ACH343" s="0" t="n">
        <v>3</v>
      </c>
      <c r="ACI343" s="0" t="n">
        <v>0.4</v>
      </c>
      <c r="ACJ343" s="0" t="n">
        <v>6</v>
      </c>
      <c r="ADQ343" s="16" t="n">
        <v>3.9</v>
      </c>
      <c r="ADR343" s="16" t="n">
        <v>1</v>
      </c>
      <c r="ADS343" s="16" t="n">
        <v>1</v>
      </c>
      <c r="ADT343" s="16"/>
      <c r="ADU343" s="16" t="n">
        <f aca="false">1.7*3+4.53+2.64*2+0.6</f>
        <v>15.51</v>
      </c>
      <c r="ADV343" s="16"/>
      <c r="ADW343" s="16"/>
      <c r="ADX343" s="16"/>
      <c r="ADY343" s="16"/>
      <c r="ADZ343" s="16"/>
      <c r="AEA343" s="16"/>
      <c r="AEB343" s="16" t="n">
        <v>8.14</v>
      </c>
      <c r="AEC343" s="16" t="n">
        <v>15.87</v>
      </c>
      <c r="AED343" s="16"/>
      <c r="AEE343" s="16"/>
      <c r="AEF343" s="16" t="n">
        <v>0</v>
      </c>
      <c r="AEG343" s="16" t="n">
        <v>0</v>
      </c>
      <c r="AEH343" s="16" t="n">
        <v>0</v>
      </c>
      <c r="AEI343" s="0" t="n">
        <v>0</v>
      </c>
      <c r="AEJ343" s="0" t="s">
        <v>595</v>
      </c>
      <c r="AEK343" s="0" t="n">
        <v>21.5</v>
      </c>
      <c r="AEL343" s="16" t="n">
        <v>79.7</v>
      </c>
      <c r="AEM343" s="16" t="n">
        <v>81</v>
      </c>
      <c r="AEN343" s="16" t="n">
        <v>7.9</v>
      </c>
      <c r="AEO343" s="0" t="n">
        <v>99.71</v>
      </c>
      <c r="AEP343" s="0" t="n">
        <v>0</v>
      </c>
      <c r="AEQ343" s="0" t="n">
        <v>0</v>
      </c>
      <c r="AER343" s="0" t="n">
        <v>0</v>
      </c>
      <c r="AES343" s="0" t="n">
        <v>0.29</v>
      </c>
      <c r="AET343" s="0" t="n">
        <v>0</v>
      </c>
      <c r="AEU343" s="0" t="n">
        <v>0</v>
      </c>
      <c r="AEV343" s="0" t="n">
        <v>0</v>
      </c>
      <c r="AEW343" s="0" t="n">
        <v>0</v>
      </c>
      <c r="AEX343" s="0" t="n">
        <v>0</v>
      </c>
      <c r="AEY343" s="0" t="n">
        <v>0</v>
      </c>
      <c r="AEZ343" s="0" t="n">
        <v>0</v>
      </c>
      <c r="AFA343" s="0" t="n">
        <v>11.15</v>
      </c>
      <c r="AFB343" s="0" t="n">
        <v>33.12</v>
      </c>
      <c r="AFC343" s="0" t="n">
        <v>8.72</v>
      </c>
      <c r="AFD343" s="0" t="n">
        <v>0</v>
      </c>
      <c r="AFE343" s="0" t="n">
        <v>0</v>
      </c>
      <c r="AFF343" s="0" t="n">
        <v>0</v>
      </c>
      <c r="AFS343" s="0" t="n">
        <v>0</v>
      </c>
      <c r="AFT343" s="0" t="n">
        <v>1</v>
      </c>
      <c r="AFU343" s="0" t="n">
        <v>23</v>
      </c>
      <c r="AFV343" s="0" t="n">
        <v>1</v>
      </c>
      <c r="AFW343" s="0" t="n">
        <v>2.27</v>
      </c>
      <c r="AFX343" s="0" t="n">
        <v>3</v>
      </c>
      <c r="AGE343" s="18"/>
      <c r="AGW343" s="0" t="n">
        <v>1</v>
      </c>
      <c r="AGX343" s="0" t="n">
        <v>50</v>
      </c>
      <c r="AGY343" s="0" t="n">
        <v>9</v>
      </c>
      <c r="AGZ343" s="0" t="n">
        <v>4.93</v>
      </c>
      <c r="AHA343" s="0" t="n">
        <v>3</v>
      </c>
      <c r="AIH343" s="16" t="n">
        <v>2</v>
      </c>
      <c r="AII343" s="16" t="n">
        <v>1</v>
      </c>
      <c r="AIJ343" s="16" t="n">
        <v>1</v>
      </c>
      <c r="AIK343" s="16"/>
      <c r="AIL343" s="16" t="n">
        <f aca="false">1.7+2.1*2+0.6</f>
        <v>6.5</v>
      </c>
      <c r="AIM343" s="16"/>
      <c r="AIN343" s="16"/>
      <c r="AIO343" s="16"/>
      <c r="AIP343" s="16"/>
      <c r="AIQ343" s="16"/>
      <c r="AIR343" s="16"/>
      <c r="AIS343" s="16" t="n">
        <v>11.21</v>
      </c>
      <c r="AIT343" s="16" t="n">
        <v>16.21</v>
      </c>
      <c r="AIU343" s="16"/>
      <c r="AIV343" s="16"/>
      <c r="AIW343" s="16" t="n">
        <v>0</v>
      </c>
      <c r="AIX343" s="16" t="n">
        <v>0</v>
      </c>
      <c r="AIY343" s="16" t="n">
        <v>0</v>
      </c>
      <c r="AIZ343" s="0" t="n">
        <v>0</v>
      </c>
      <c r="AJA343" s="0" t="s">
        <v>462</v>
      </c>
      <c r="AJB343" s="0" t="n">
        <v>47.5</v>
      </c>
      <c r="AJC343" s="16" t="n">
        <v>85.1</v>
      </c>
      <c r="AJD343" s="16" t="n">
        <v>81</v>
      </c>
      <c r="AJE343" s="16" t="n">
        <v>33.2</v>
      </c>
      <c r="AJF343" s="0" t="n">
        <v>52.89</v>
      </c>
      <c r="AJG343" s="0" t="n">
        <v>0</v>
      </c>
      <c r="AJH343" s="0" t="n">
        <v>0</v>
      </c>
      <c r="AJI343" s="0" t="n">
        <v>0</v>
      </c>
      <c r="AJJ343" s="0" t="n">
        <v>47.11</v>
      </c>
      <c r="AJK343" s="0" t="n">
        <v>0</v>
      </c>
      <c r="AJL343" s="0" t="n">
        <v>0</v>
      </c>
      <c r="AJM343" s="0" t="n">
        <v>0</v>
      </c>
      <c r="AJN343" s="0" t="n">
        <v>0</v>
      </c>
      <c r="AJO343" s="0" t="n">
        <v>0</v>
      </c>
      <c r="AJP343" s="0" t="n">
        <v>0</v>
      </c>
      <c r="AJQ343" s="0" t="n">
        <v>3.65</v>
      </c>
      <c r="AJR343" s="0" t="n">
        <v>0</v>
      </c>
      <c r="AJS343" s="0" t="n">
        <v>19.66</v>
      </c>
      <c r="AJT343" s="0" t="n">
        <v>48.22</v>
      </c>
      <c r="AJU343" s="0" t="n">
        <v>0</v>
      </c>
      <c r="AJV343" s="0" t="n">
        <v>5.3</v>
      </c>
      <c r="AJW343" s="0" t="n">
        <v>1</v>
      </c>
      <c r="AJX343" s="0" t="n">
        <v>5</v>
      </c>
      <c r="AJZ343" s="0" t="n">
        <v>1</v>
      </c>
      <c r="AKD343" s="0" t="n">
        <v>5</v>
      </c>
      <c r="AKF343" s="0" t="n">
        <v>1</v>
      </c>
      <c r="AKJ343" s="0" t="n">
        <v>1.5</v>
      </c>
      <c r="AKK343" s="0" t="n">
        <v>0</v>
      </c>
      <c r="AKV343" s="18"/>
      <c r="ALN343" s="0" t="n">
        <v>1</v>
      </c>
      <c r="ALO343" s="0" t="n">
        <v>60</v>
      </c>
      <c r="ALP343" s="0" t="n">
        <v>1</v>
      </c>
      <c r="ALQ343" s="0" t="n">
        <v>3.97</v>
      </c>
      <c r="ALR343" s="0" t="n">
        <v>4</v>
      </c>
      <c r="ALS343" s="0" t="n">
        <v>60</v>
      </c>
      <c r="ALT343" s="0" t="n">
        <v>1</v>
      </c>
      <c r="ALU343" s="0" t="n">
        <v>0.2</v>
      </c>
      <c r="ALV343" s="0" t="n">
        <v>3</v>
      </c>
    </row>
    <row r="344" customFormat="false" ht="13.8" hidden="false" customHeight="false" outlineLevel="0" collapsed="false">
      <c r="A344" s="1" t="s">
        <v>932</v>
      </c>
      <c r="B344" s="12" t="n">
        <v>42894</v>
      </c>
      <c r="C344" s="0" t="n">
        <v>2</v>
      </c>
      <c r="D344" s="13" t="n">
        <v>42849</v>
      </c>
      <c r="E344" s="12" t="n">
        <v>30004</v>
      </c>
      <c r="F344" s="14" t="n">
        <f aca="false">(B344-E344)/365.25</f>
        <v>35.2908966461328</v>
      </c>
      <c r="G344" s="14" t="n">
        <f aca="false">(B344-D344)/365.25</f>
        <v>0.123203285420945</v>
      </c>
      <c r="H344" s="19" t="s">
        <v>183</v>
      </c>
      <c r="I344" s="15" t="s">
        <v>298</v>
      </c>
      <c r="J344" s="15" t="s">
        <v>181</v>
      </c>
      <c r="K344" s="15" t="n">
        <v>4</v>
      </c>
      <c r="L344" s="19" t="n">
        <v>81</v>
      </c>
      <c r="M344" s="0" t="n">
        <v>1.82</v>
      </c>
      <c r="N344" s="16" t="n">
        <f aca="false">L344/(M344*M344)</f>
        <v>24.4535684096124</v>
      </c>
      <c r="O344" s="19" t="n">
        <v>0</v>
      </c>
      <c r="P344" s="19" t="n">
        <v>0</v>
      </c>
      <c r="Q344" s="19" t="n">
        <v>0</v>
      </c>
      <c r="R344" s="26" t="n">
        <v>0</v>
      </c>
      <c r="S344" s="26" t="n">
        <v>0</v>
      </c>
      <c r="T344" s="26" t="n">
        <v>0</v>
      </c>
      <c r="U344" s="19" t="n">
        <v>0</v>
      </c>
      <c r="V344" s="19" t="n">
        <v>0</v>
      </c>
      <c r="W344" s="19" t="n">
        <v>0</v>
      </c>
      <c r="X344" s="19" t="n">
        <v>0</v>
      </c>
      <c r="Y344" s="19" t="n">
        <v>1</v>
      </c>
      <c r="Z344" s="19" t="n">
        <v>2</v>
      </c>
      <c r="AA344" s="19" t="n">
        <v>60</v>
      </c>
      <c r="AB344" s="19" t="s">
        <v>933</v>
      </c>
      <c r="AC344" s="19" t="n">
        <v>0</v>
      </c>
      <c r="AD344" s="19" t="n">
        <v>0</v>
      </c>
      <c r="AE344" s="19" t="n">
        <v>0</v>
      </c>
      <c r="AF344" s="19" t="n">
        <v>0</v>
      </c>
      <c r="AG344" s="19" t="n">
        <v>0</v>
      </c>
      <c r="AH344" s="19" t="n">
        <v>0</v>
      </c>
      <c r="AI344" s="19" t="n">
        <v>0</v>
      </c>
      <c r="AJ344" s="19" t="n">
        <v>0</v>
      </c>
      <c r="AK344" s="19" t="n">
        <v>0</v>
      </c>
      <c r="AL344" s="19" t="n">
        <v>0</v>
      </c>
      <c r="AM344" s="19" t="n">
        <v>0</v>
      </c>
      <c r="AN344" s="19" t="n">
        <v>0</v>
      </c>
      <c r="AO344" s="19" t="n">
        <v>0</v>
      </c>
      <c r="AP344" s="19" t="n">
        <v>0</v>
      </c>
      <c r="AQ344" s="19" t="n">
        <v>0</v>
      </c>
      <c r="AR344" s="19" t="n">
        <v>0</v>
      </c>
      <c r="AS344" s="19" t="n">
        <v>1</v>
      </c>
      <c r="AT344" s="19" t="n">
        <v>1</v>
      </c>
      <c r="AU344" s="19" t="n">
        <v>1</v>
      </c>
      <c r="AV344" s="19" t="n">
        <v>5</v>
      </c>
      <c r="AW344" s="19" t="n">
        <v>0</v>
      </c>
      <c r="AX344" s="19" t="n">
        <v>0</v>
      </c>
      <c r="AY344" s="19" t="n">
        <v>0</v>
      </c>
      <c r="AZ344" s="19" t="n">
        <v>0</v>
      </c>
      <c r="BA344" s="19" t="n">
        <v>0</v>
      </c>
      <c r="BB344" s="19" t="n">
        <v>0</v>
      </c>
      <c r="BC344" s="19" t="n">
        <v>0</v>
      </c>
      <c r="BD344" s="19" t="n">
        <v>0</v>
      </c>
      <c r="BE344" s="19" t="n">
        <v>0</v>
      </c>
      <c r="BF344" s="19" t="n">
        <v>0</v>
      </c>
      <c r="BG344" s="19" t="n">
        <v>0</v>
      </c>
      <c r="BH344" s="19" t="n">
        <v>0</v>
      </c>
      <c r="BI344" s="19" t="n">
        <v>0</v>
      </c>
      <c r="BJ344" s="19" t="n">
        <v>0</v>
      </c>
      <c r="BK344" s="19" t="n">
        <v>0</v>
      </c>
      <c r="BL344" s="19" t="n">
        <v>0</v>
      </c>
      <c r="BM344" s="19" t="n">
        <v>0</v>
      </c>
      <c r="BN344" s="19" t="n">
        <v>0</v>
      </c>
      <c r="BO344" s="19" t="n">
        <v>0</v>
      </c>
      <c r="BP344" s="19" t="n">
        <v>0</v>
      </c>
      <c r="BQ344" s="19" t="n">
        <v>0</v>
      </c>
      <c r="BR344" s="19" t="n">
        <v>3</v>
      </c>
      <c r="BS344" s="19" t="n">
        <v>3</v>
      </c>
      <c r="BT344" s="19" t="n">
        <v>4</v>
      </c>
      <c r="BU344" s="19" t="n">
        <v>5</v>
      </c>
      <c r="BV344" s="19" t="n">
        <v>3</v>
      </c>
      <c r="BW344" s="19" t="n">
        <v>4</v>
      </c>
      <c r="BX344" s="19" t="n">
        <v>3</v>
      </c>
      <c r="BY344" s="19" t="n">
        <v>3</v>
      </c>
      <c r="BZ344" s="19" t="n">
        <v>3</v>
      </c>
      <c r="CA344" s="19" t="n">
        <v>3</v>
      </c>
      <c r="CB344" s="19" t="n">
        <v>4</v>
      </c>
      <c r="CC344" s="19" t="n">
        <v>4</v>
      </c>
      <c r="CD344" s="19" t="n">
        <v>3</v>
      </c>
      <c r="CE344" s="19" t="n">
        <v>2</v>
      </c>
      <c r="CF344" s="19" t="n">
        <v>4</v>
      </c>
      <c r="CG344" s="19" t="n">
        <v>4</v>
      </c>
      <c r="CH344" s="19" t="n">
        <v>3</v>
      </c>
      <c r="CI344" s="19" t="n">
        <v>2</v>
      </c>
      <c r="CJ344" s="19" t="n">
        <v>3</v>
      </c>
      <c r="CK344" s="19" t="n">
        <v>9</v>
      </c>
      <c r="CL344" s="0" t="s">
        <v>299</v>
      </c>
      <c r="CM344" s="0" t="n">
        <v>17.5</v>
      </c>
      <c r="CN344" s="16" t="n">
        <v>81.9</v>
      </c>
      <c r="CO344" s="16" t="n">
        <v>80.4</v>
      </c>
      <c r="CP344" s="16" t="n">
        <v>12.5</v>
      </c>
      <c r="CQ344" s="0" t="n">
        <v>85.79</v>
      </c>
      <c r="CS344" s="0" t="n">
        <v>10.02</v>
      </c>
      <c r="CT344" s="0" t="n">
        <v>0</v>
      </c>
      <c r="CU344" s="0" t="n">
        <v>0</v>
      </c>
      <c r="CV344" s="0" t="n">
        <v>0</v>
      </c>
      <c r="CW344" s="0" t="n">
        <v>4.19</v>
      </c>
      <c r="CX344" s="0" t="n">
        <v>0</v>
      </c>
      <c r="CY344" s="0" t="n">
        <v>0</v>
      </c>
      <c r="CZ344" s="0" t="n">
        <v>0</v>
      </c>
      <c r="DA344" s="0" t="n">
        <v>0</v>
      </c>
      <c r="DB344" s="0" t="n">
        <v>0</v>
      </c>
      <c r="DC344" s="0" t="n">
        <v>53.51</v>
      </c>
      <c r="DD344" s="0" t="n">
        <v>0</v>
      </c>
      <c r="DE344" s="0" t="n">
        <v>0</v>
      </c>
      <c r="DF344" s="0" t="n">
        <v>0</v>
      </c>
      <c r="DG344" s="0" t="n">
        <v>0</v>
      </c>
      <c r="DH344" s="0" t="n">
        <v>0</v>
      </c>
      <c r="DU344" s="0" t="n">
        <v>0</v>
      </c>
      <c r="DV344" s="0" t="n">
        <v>0</v>
      </c>
      <c r="EG344" s="20"/>
      <c r="EY344" s="0" t="n">
        <v>0</v>
      </c>
      <c r="GJ344" s="16" t="n">
        <v>3.38</v>
      </c>
      <c r="GK344" s="16" t="n">
        <v>1</v>
      </c>
      <c r="GL344" s="16" t="n">
        <v>1</v>
      </c>
      <c r="GM344" s="16"/>
      <c r="GN344" s="16" t="n">
        <v>12.64</v>
      </c>
      <c r="GO344" s="16"/>
      <c r="GP344" s="16"/>
      <c r="GQ344" s="16"/>
      <c r="GR344" s="16"/>
      <c r="GS344" s="16"/>
      <c r="GT344" s="16"/>
      <c r="GU344" s="16" t="n">
        <v>0</v>
      </c>
      <c r="GV344" s="16" t="n">
        <v>0</v>
      </c>
      <c r="GW344" s="16" t="n">
        <v>0</v>
      </c>
      <c r="GX344" s="16" t="n">
        <v>0</v>
      </c>
      <c r="GY344" s="16" t="n">
        <v>0</v>
      </c>
      <c r="GZ344" s="16" t="n">
        <v>0</v>
      </c>
      <c r="HA344" s="16" t="n">
        <v>0</v>
      </c>
      <c r="HB344" s="0" t="n">
        <v>0</v>
      </c>
      <c r="HC344" s="0" t="s">
        <v>300</v>
      </c>
      <c r="HD344" s="0" t="n">
        <v>31</v>
      </c>
      <c r="HE344" s="16" t="n">
        <v>86.2</v>
      </c>
      <c r="HF344" s="16" t="n">
        <v>80.4</v>
      </c>
      <c r="HG344" s="16" t="n">
        <v>19.4</v>
      </c>
      <c r="HH344" s="0" t="n">
        <v>23.44</v>
      </c>
      <c r="HJ344" s="0" t="n">
        <v>0</v>
      </c>
      <c r="HK344" s="0" t="n">
        <v>0</v>
      </c>
      <c r="HL344" s="0" t="n">
        <v>0.94</v>
      </c>
      <c r="HM344" s="0" t="n">
        <v>0</v>
      </c>
      <c r="HN344" s="0" t="n">
        <v>75.62</v>
      </c>
      <c r="HO344" s="0" t="n">
        <v>16.83</v>
      </c>
      <c r="HP344" s="0" t="n">
        <v>0</v>
      </c>
      <c r="HQ344" s="0" t="n">
        <v>0</v>
      </c>
      <c r="HR344" s="0" t="n">
        <v>0</v>
      </c>
      <c r="HS344" s="0" t="n">
        <v>0</v>
      </c>
      <c r="HT344" s="0" t="n">
        <v>6.9</v>
      </c>
      <c r="HU344" s="0" t="n">
        <v>42.32</v>
      </c>
      <c r="HV344" s="0" t="n">
        <v>0</v>
      </c>
      <c r="HW344" s="0" t="n">
        <v>0</v>
      </c>
      <c r="HX344" s="0" t="n">
        <v>0</v>
      </c>
      <c r="HY344" s="0" t="n">
        <v>0</v>
      </c>
      <c r="IL344" s="0" t="n">
        <v>0</v>
      </c>
      <c r="IM344" s="0" t="n">
        <v>0</v>
      </c>
      <c r="IX344" s="20"/>
      <c r="JP344" s="0" t="n">
        <v>0</v>
      </c>
      <c r="LA344" s="16" t="n">
        <v>5.06</v>
      </c>
      <c r="LB344" s="16" t="n">
        <v>1</v>
      </c>
      <c r="LC344" s="16" t="n">
        <v>1</v>
      </c>
      <c r="LD344" s="16"/>
      <c r="LE344" s="16" t="n">
        <v>6.74</v>
      </c>
      <c r="LF344" s="16" t="n">
        <v>2</v>
      </c>
      <c r="LG344" s="16"/>
      <c r="LH344" s="16" t="n">
        <v>10.7</v>
      </c>
      <c r="LI344" s="16"/>
      <c r="LJ344" s="16"/>
      <c r="LK344" s="16"/>
      <c r="LL344" s="16" t="n">
        <v>0</v>
      </c>
      <c r="LM344" s="16" t="n">
        <v>0</v>
      </c>
      <c r="LN344" s="16" t="n">
        <v>0</v>
      </c>
      <c r="LO344" s="16" t="n">
        <v>0</v>
      </c>
      <c r="LP344" s="16" t="n">
        <v>5.97</v>
      </c>
      <c r="LQ344" s="16" t="n">
        <v>0</v>
      </c>
      <c r="LR344" s="16" t="n">
        <v>0</v>
      </c>
      <c r="LS344" s="0" t="n">
        <v>1</v>
      </c>
      <c r="LT344" s="0" t="s">
        <v>301</v>
      </c>
      <c r="LU344" s="0" t="n">
        <v>44</v>
      </c>
      <c r="LV344" s="16" t="n">
        <v>88.4</v>
      </c>
      <c r="LW344" s="16" t="n">
        <v>80.4</v>
      </c>
      <c r="LX344" s="16" t="n">
        <v>40</v>
      </c>
      <c r="LY344" s="0" t="n">
        <v>11.38</v>
      </c>
      <c r="MA344" s="0" t="n">
        <v>0</v>
      </c>
      <c r="MB344" s="0" t="n">
        <v>0</v>
      </c>
      <c r="MC344" s="0" t="n">
        <v>0</v>
      </c>
      <c r="MD344" s="0" t="n">
        <v>0</v>
      </c>
      <c r="ME344" s="0" t="n">
        <v>88.62</v>
      </c>
      <c r="MF344" s="0" t="n">
        <v>22.58</v>
      </c>
      <c r="MG344" s="0" t="n">
        <v>24.22</v>
      </c>
      <c r="MH344" s="0" t="n">
        <v>0</v>
      </c>
      <c r="MI344" s="0" t="n">
        <v>0</v>
      </c>
      <c r="MJ344" s="0" t="n">
        <v>0</v>
      </c>
      <c r="MK344" s="0" t="n">
        <v>26.59</v>
      </c>
      <c r="ML344" s="0" t="n">
        <v>0.54</v>
      </c>
      <c r="MM344" s="0" t="n">
        <v>0</v>
      </c>
      <c r="MN344" s="0" t="n">
        <v>0</v>
      </c>
      <c r="MO344" s="0" t="n">
        <v>0</v>
      </c>
      <c r="MP344" s="0" t="n">
        <v>0</v>
      </c>
      <c r="NC344" s="0" t="n">
        <v>0</v>
      </c>
      <c r="ND344" s="0" t="n">
        <v>0</v>
      </c>
      <c r="NO344" s="20"/>
      <c r="OG344" s="0" t="n">
        <v>1</v>
      </c>
      <c r="OH344" s="0" t="n">
        <v>40</v>
      </c>
      <c r="OI344" s="0" t="n">
        <v>2</v>
      </c>
      <c r="OJ344" s="0" t="n">
        <v>0.26</v>
      </c>
      <c r="OK344" s="0" t="n">
        <v>3</v>
      </c>
      <c r="PR344" s="16" t="n">
        <v>3.77</v>
      </c>
      <c r="PS344" s="16" t="n">
        <v>1</v>
      </c>
      <c r="PT344" s="16" t="n">
        <v>1</v>
      </c>
      <c r="PU344" s="16"/>
      <c r="PV344" s="16" t="n">
        <v>25.78</v>
      </c>
      <c r="PW344" s="16"/>
      <c r="PX344" s="16"/>
      <c r="PY344" s="16"/>
      <c r="PZ344" s="16"/>
      <c r="QA344" s="16"/>
      <c r="QB344" s="16"/>
      <c r="QC344" s="16" t="n">
        <v>0</v>
      </c>
      <c r="QD344" s="16" t="n">
        <v>0</v>
      </c>
      <c r="QE344" s="16" t="n">
        <v>0</v>
      </c>
      <c r="QF344" s="16" t="n">
        <v>0</v>
      </c>
      <c r="QG344" s="16" t="n">
        <v>0</v>
      </c>
      <c r="QH344" s="16" t="n">
        <v>0</v>
      </c>
      <c r="QI344" s="16" t="n">
        <v>0</v>
      </c>
      <c r="QJ344" s="0" t="n">
        <v>0</v>
      </c>
      <c r="QK344" s="0" t="s">
        <v>208</v>
      </c>
      <c r="QL344" s="0" t="n">
        <v>35</v>
      </c>
      <c r="QM344" s="16" t="n">
        <v>69.2</v>
      </c>
      <c r="QN344" s="16" t="n">
        <v>80.4</v>
      </c>
      <c r="QO344" s="16" t="n">
        <v>24</v>
      </c>
      <c r="QP344" s="0" t="n">
        <v>71.73</v>
      </c>
      <c r="QR344" s="0" t="n">
        <v>0</v>
      </c>
      <c r="QS344" s="0" t="n">
        <v>6.09</v>
      </c>
      <c r="QT344" s="0" t="n">
        <v>19.28</v>
      </c>
      <c r="QU344" s="0" t="n">
        <v>0</v>
      </c>
      <c r="QV344" s="0" t="n">
        <v>2.83</v>
      </c>
      <c r="QW344" s="0" t="n">
        <v>0</v>
      </c>
      <c r="QX344" s="0" t="n">
        <v>0</v>
      </c>
      <c r="QY344" s="0" t="n">
        <v>0</v>
      </c>
      <c r="QZ344" s="0" t="n">
        <v>0</v>
      </c>
      <c r="RA344" s="0" t="n">
        <v>14.46</v>
      </c>
      <c r="RB344" s="0" t="n">
        <v>19.89</v>
      </c>
      <c r="RC344" s="0" t="n">
        <v>24.43</v>
      </c>
      <c r="RD344" s="0" t="n">
        <v>0</v>
      </c>
      <c r="RE344" s="0" t="n">
        <v>0.07</v>
      </c>
      <c r="RF344" s="0" t="n">
        <v>0</v>
      </c>
      <c r="RG344" s="0" t="n">
        <v>0</v>
      </c>
      <c r="RT344" s="0" t="n">
        <v>2</v>
      </c>
      <c r="RU344" s="0" t="n">
        <v>0</v>
      </c>
      <c r="SF344" s="20"/>
      <c r="SX344" s="0" t="n">
        <v>1</v>
      </c>
      <c r="SY344" s="0" t="n">
        <v>40</v>
      </c>
      <c r="SZ344" s="0" t="n">
        <v>2</v>
      </c>
      <c r="TA344" s="0" t="n">
        <v>1.52</v>
      </c>
      <c r="TB344" s="0" t="n">
        <v>3</v>
      </c>
      <c r="TC344" s="0" t="n">
        <v>50</v>
      </c>
      <c r="TD344" s="0" t="n">
        <v>4</v>
      </c>
      <c r="TE344" s="0" t="n">
        <v>0.54</v>
      </c>
      <c r="TF344" s="0" t="n">
        <v>1</v>
      </c>
      <c r="UI344" s="16" t="n">
        <v>1.6</v>
      </c>
      <c r="UJ344" s="16" t="n">
        <v>1</v>
      </c>
      <c r="UK344" s="16" t="n">
        <v>1</v>
      </c>
      <c r="UL344" s="16"/>
      <c r="UM344" s="16" t="n">
        <v>7.09</v>
      </c>
      <c r="UN344" s="16"/>
      <c r="UO344" s="16"/>
      <c r="UP344" s="16"/>
      <c r="UQ344" s="16"/>
      <c r="UR344" s="16"/>
      <c r="US344" s="16"/>
      <c r="UT344" s="16" t="n">
        <v>1.12</v>
      </c>
      <c r="UU344" s="16" t="n">
        <v>0.27</v>
      </c>
      <c r="UV344" s="16" t="n">
        <v>0</v>
      </c>
      <c r="UW344" s="16" t="n">
        <v>0</v>
      </c>
      <c r="UX344" s="16" t="n">
        <v>0</v>
      </c>
      <c r="UY344" s="16" t="n">
        <v>0</v>
      </c>
      <c r="UZ344" s="16" t="n">
        <v>3</v>
      </c>
      <c r="VA344" s="0" t="n">
        <v>0</v>
      </c>
      <c r="VB344" s="0" t="s">
        <v>302</v>
      </c>
      <c r="VC344" s="0" t="n">
        <v>22</v>
      </c>
      <c r="VD344" s="16" t="n">
        <v>87.6</v>
      </c>
      <c r="VE344" s="16" t="n">
        <v>80.4</v>
      </c>
      <c r="VF344" s="16" t="n">
        <v>4.5</v>
      </c>
      <c r="VG344" s="0" t="n">
        <v>100</v>
      </c>
      <c r="VI344" s="0" t="n">
        <v>0</v>
      </c>
      <c r="VJ344" s="0" t="n">
        <v>0</v>
      </c>
      <c r="VK344" s="0" t="n">
        <v>0</v>
      </c>
      <c r="VL344" s="0" t="n">
        <v>0</v>
      </c>
      <c r="VM344" s="0" t="n">
        <v>0</v>
      </c>
      <c r="VN344" s="0" t="n">
        <v>0</v>
      </c>
      <c r="VO344" s="0" t="n">
        <v>0</v>
      </c>
      <c r="VP344" s="0" t="n">
        <v>0</v>
      </c>
      <c r="VQ344" s="0" t="n">
        <v>0</v>
      </c>
      <c r="VR344" s="0" t="n">
        <v>1.14</v>
      </c>
      <c r="VS344" s="0" t="n">
        <v>27.07</v>
      </c>
      <c r="VT344" s="0" t="n">
        <v>1.9</v>
      </c>
      <c r="VU344" s="0" t="n">
        <v>0</v>
      </c>
      <c r="VV344" s="0" t="n">
        <v>0</v>
      </c>
      <c r="VW344" s="0" t="n">
        <v>0</v>
      </c>
      <c r="VX344" s="0" t="n">
        <v>0</v>
      </c>
      <c r="WK344" s="0" t="n">
        <v>8</v>
      </c>
      <c r="WL344" s="0" t="n">
        <v>1</v>
      </c>
      <c r="WM344" s="0" t="n">
        <v>35</v>
      </c>
      <c r="WN344" s="0" t="n">
        <v>2</v>
      </c>
      <c r="WO344" s="0" t="n">
        <v>1.52</v>
      </c>
      <c r="WP344" s="0" t="n">
        <v>3</v>
      </c>
      <c r="WW344" s="20"/>
      <c r="XO344" s="0" t="n">
        <v>1</v>
      </c>
      <c r="XP344" s="0" t="n">
        <v>40</v>
      </c>
      <c r="XQ344" s="0" t="n">
        <v>3</v>
      </c>
      <c r="XR344" s="0" t="n">
        <v>2.28</v>
      </c>
      <c r="XS344" s="0" t="n">
        <v>3</v>
      </c>
      <c r="YZ344" s="16" t="n">
        <v>1.12</v>
      </c>
      <c r="ZA344" s="16" t="n">
        <v>1</v>
      </c>
      <c r="ZB344" s="16" t="n">
        <v>1</v>
      </c>
      <c r="ZC344" s="16"/>
      <c r="ZD344" s="16" t="n">
        <v>2.24</v>
      </c>
      <c r="ZE344" s="16"/>
      <c r="ZF344" s="16"/>
      <c r="ZG344" s="16"/>
      <c r="ZH344" s="16"/>
      <c r="ZI344" s="16"/>
      <c r="ZJ344" s="16"/>
      <c r="ZK344" s="16" t="n">
        <v>6.72</v>
      </c>
      <c r="ZL344" s="16" t="n">
        <v>0</v>
      </c>
      <c r="ZM344" s="16" t="n">
        <v>0</v>
      </c>
      <c r="ZN344" s="16" t="n">
        <v>0</v>
      </c>
      <c r="ZO344" s="16" t="n">
        <v>0</v>
      </c>
      <c r="ZP344" s="16" t="n">
        <v>0</v>
      </c>
      <c r="ZQ344" s="16" t="n">
        <v>0</v>
      </c>
      <c r="ZR344" s="0" t="n">
        <v>1</v>
      </c>
      <c r="ZS344" s="0" t="s">
        <v>303</v>
      </c>
      <c r="ZT344" s="0" t="n">
        <v>18</v>
      </c>
      <c r="ZU344" s="16" t="n">
        <v>84.7</v>
      </c>
      <c r="ZV344" s="16" t="n">
        <v>80.4</v>
      </c>
      <c r="ZW344" s="16" t="n">
        <v>6.7</v>
      </c>
      <c r="ZX344" s="0" t="n">
        <v>100</v>
      </c>
      <c r="ZZ344" s="0" t="n">
        <v>0</v>
      </c>
      <c r="AAA344" s="0" t="n">
        <v>0</v>
      </c>
      <c r="AAB344" s="0" t="n">
        <v>0</v>
      </c>
      <c r="AAC344" s="0" t="n">
        <v>0</v>
      </c>
      <c r="AAD344" s="0" t="n">
        <v>0</v>
      </c>
      <c r="AAE344" s="0" t="n">
        <v>0</v>
      </c>
      <c r="AAF344" s="0" t="n">
        <v>0</v>
      </c>
      <c r="AAG344" s="0" t="n">
        <v>0</v>
      </c>
      <c r="AAH344" s="0" t="n">
        <v>0</v>
      </c>
      <c r="AAI344" s="0" t="n">
        <v>14.84</v>
      </c>
      <c r="AAJ344" s="0" t="n">
        <v>28.79</v>
      </c>
      <c r="AAK344" s="0" t="n">
        <v>1.9</v>
      </c>
      <c r="AAL344" s="0" t="n">
        <v>0</v>
      </c>
      <c r="AAM344" s="0" t="n">
        <v>0</v>
      </c>
      <c r="AAN344" s="0" t="n">
        <v>0</v>
      </c>
      <c r="AAO344" s="0" t="n">
        <v>0</v>
      </c>
      <c r="ABB344" s="0" t="n">
        <v>1.9</v>
      </c>
      <c r="ABC344" s="0" t="n">
        <v>0</v>
      </c>
      <c r="ABN344" s="20"/>
      <c r="ACF344" s="0" t="n">
        <v>1</v>
      </c>
      <c r="ACG344" s="0" t="n">
        <v>50</v>
      </c>
      <c r="ACH344" s="0" t="n">
        <v>3</v>
      </c>
      <c r="ACI344" s="0" t="n">
        <v>2.28</v>
      </c>
      <c r="ACJ344" s="0" t="n">
        <v>3</v>
      </c>
      <c r="ADQ344" s="16" t="n">
        <v>1.12</v>
      </c>
      <c r="ADR344" s="16" t="n">
        <v>1</v>
      </c>
      <c r="ADS344" s="16" t="n">
        <v>1</v>
      </c>
      <c r="ADT344" s="16"/>
      <c r="ADU344" s="16" t="n">
        <v>2.24</v>
      </c>
      <c r="ADV344" s="16"/>
      <c r="ADW344" s="16"/>
      <c r="ADX344" s="16"/>
      <c r="ADY344" s="16"/>
      <c r="ADZ344" s="16"/>
      <c r="AEA344" s="16"/>
      <c r="AEB344" s="16" t="n">
        <v>0</v>
      </c>
      <c r="AEC344" s="16" t="n">
        <v>0</v>
      </c>
      <c r="AED344" s="16" t="n">
        <v>0</v>
      </c>
      <c r="AEE344" s="16" t="n">
        <v>0</v>
      </c>
      <c r="AEF344" s="16" t="n">
        <v>6.72</v>
      </c>
      <c r="AEG344" s="16" t="n">
        <v>0</v>
      </c>
      <c r="AEH344" s="16" t="n">
        <v>0</v>
      </c>
      <c r="AEI344" s="0" t="n">
        <v>1</v>
      </c>
      <c r="AEJ344" s="0" t="s">
        <v>304</v>
      </c>
      <c r="AEK344" s="0" t="n">
        <v>29</v>
      </c>
      <c r="AEL344" s="16" t="n">
        <v>84.9</v>
      </c>
      <c r="AEM344" s="16" t="n">
        <v>80.4</v>
      </c>
      <c r="AEN344" s="16" t="n">
        <v>22.7</v>
      </c>
      <c r="AEO344" s="0" t="n">
        <v>47.69</v>
      </c>
      <c r="AEQ344" s="0" t="n">
        <v>0</v>
      </c>
      <c r="AER344" s="0" t="n">
        <v>0</v>
      </c>
      <c r="AES344" s="0" t="n">
        <v>22.69</v>
      </c>
      <c r="AET344" s="0" t="n">
        <v>0</v>
      </c>
      <c r="AEU344" s="0" t="n">
        <v>28.56</v>
      </c>
      <c r="AEV344" s="0" t="n">
        <v>0</v>
      </c>
      <c r="AEW344" s="0" t="n">
        <v>0</v>
      </c>
      <c r="AEX344" s="0" t="n">
        <v>0</v>
      </c>
      <c r="AEY344" s="0" t="n">
        <v>0</v>
      </c>
      <c r="AEZ344" s="0" t="n">
        <v>30.64</v>
      </c>
      <c r="AFA344" s="0" t="n">
        <v>8.38</v>
      </c>
      <c r="AFB344" s="0" t="n">
        <v>43.35</v>
      </c>
      <c r="AFC344" s="0" t="n">
        <v>6.09</v>
      </c>
      <c r="AFD344" s="0" t="n">
        <v>0</v>
      </c>
      <c r="AFE344" s="0" t="n">
        <v>0</v>
      </c>
      <c r="AFF344" s="0" t="n">
        <v>0</v>
      </c>
      <c r="AFS344" s="0" t="n">
        <v>2.5</v>
      </c>
      <c r="AFT344" s="0" t="n">
        <v>1</v>
      </c>
      <c r="AFU344" s="0" t="n">
        <v>35</v>
      </c>
      <c r="AFV344" s="0" t="n">
        <v>4</v>
      </c>
      <c r="AFW344" s="0" t="n">
        <v>0.54</v>
      </c>
      <c r="AFX344" s="0" t="n">
        <v>3</v>
      </c>
      <c r="AGE344" s="20"/>
      <c r="AGW344" s="0" t="n">
        <v>1</v>
      </c>
      <c r="AGX344" s="0" t="n">
        <v>40</v>
      </c>
      <c r="AGY344" s="0" t="n">
        <v>2</v>
      </c>
      <c r="AGZ344" s="0" t="n">
        <v>0.26</v>
      </c>
      <c r="AHA344" s="0" t="n">
        <v>3</v>
      </c>
      <c r="AIH344" s="16" t="n">
        <v>2.35</v>
      </c>
      <c r="AII344" s="16" t="n">
        <v>1</v>
      </c>
      <c r="AIJ344" s="16" t="n">
        <v>1</v>
      </c>
      <c r="AIK344" s="16"/>
      <c r="AIL344" s="16" t="n">
        <v>19.34</v>
      </c>
      <c r="AIM344" s="16"/>
      <c r="AIN344" s="16"/>
      <c r="AIO344" s="16"/>
      <c r="AIP344" s="16"/>
      <c r="AIQ344" s="16"/>
      <c r="AIR344" s="16"/>
      <c r="AIS344" s="16" t="n">
        <v>0</v>
      </c>
      <c r="AIT344" s="16" t="n">
        <v>0</v>
      </c>
      <c r="AIU344" s="16" t="n">
        <v>0</v>
      </c>
      <c r="AIV344" s="16" t="n">
        <v>0</v>
      </c>
      <c r="AIW344" s="16" t="n">
        <v>0</v>
      </c>
      <c r="AIX344" s="16" t="n">
        <v>0</v>
      </c>
      <c r="AIY344" s="16" t="n">
        <v>0</v>
      </c>
      <c r="AIZ344" s="0" t="n">
        <v>0</v>
      </c>
      <c r="AJA344" s="0" t="s">
        <v>934</v>
      </c>
      <c r="AJB344" s="0" t="n">
        <v>35</v>
      </c>
      <c r="AJC344" s="16" t="n">
        <v>81</v>
      </c>
      <c r="AJD344" s="16" t="n">
        <v>80.4</v>
      </c>
      <c r="AJE344" s="16" t="n">
        <v>8.6</v>
      </c>
      <c r="AJF344" s="0" t="n">
        <v>17.69</v>
      </c>
      <c r="AJH344" s="0" t="n">
        <v>1.29</v>
      </c>
      <c r="AJI344" s="0" t="n">
        <v>0</v>
      </c>
      <c r="AJJ344" s="0" t="n">
        <v>0</v>
      </c>
      <c r="AJK344" s="0" t="n">
        <v>0</v>
      </c>
      <c r="AJL344" s="0" t="n">
        <v>81.02</v>
      </c>
      <c r="AJM344" s="0" t="n">
        <v>0</v>
      </c>
      <c r="AJN344" s="0" t="n">
        <v>0</v>
      </c>
      <c r="AJO344" s="0" t="n">
        <v>0</v>
      </c>
      <c r="AJP344" s="0" t="n">
        <v>0</v>
      </c>
      <c r="AJQ344" s="0" t="n">
        <v>0.9</v>
      </c>
      <c r="AJR344" s="0" t="n">
        <v>32.39</v>
      </c>
      <c r="AJS344" s="0" t="n">
        <v>4.43</v>
      </c>
      <c r="AJT344" s="0" t="n">
        <v>0.12</v>
      </c>
      <c r="AJU344" s="0" t="n">
        <v>0</v>
      </c>
      <c r="AJV344" s="0" t="n">
        <v>17.8</v>
      </c>
      <c r="AJW344" s="0" t="n">
        <v>1</v>
      </c>
      <c r="AJX344" s="0" t="n">
        <v>5</v>
      </c>
      <c r="AJZ344" s="0" t="n">
        <v>2</v>
      </c>
      <c r="AKA344" s="0" t="n">
        <v>3</v>
      </c>
      <c r="AKC344" s="0" t="n">
        <v>4</v>
      </c>
      <c r="AKD344" s="0" t="n">
        <v>5</v>
      </c>
      <c r="AKF344" s="0" t="n">
        <v>2</v>
      </c>
      <c r="AKG344" s="0" t="n">
        <v>3</v>
      </c>
      <c r="AKI344" s="0" t="n">
        <v>4</v>
      </c>
      <c r="AKJ344" s="0" t="n">
        <v>0</v>
      </c>
      <c r="AKK344" s="0" t="n">
        <v>0</v>
      </c>
      <c r="AKV344" s="20"/>
      <c r="ALN344" s="0" t="n">
        <v>0</v>
      </c>
    </row>
    <row r="345" customFormat="false" ht="13.8" hidden="false" customHeight="false" outlineLevel="0" collapsed="false">
      <c r="A345" s="1" t="s">
        <v>935</v>
      </c>
      <c r="B345" s="12" t="n">
        <v>42907</v>
      </c>
      <c r="C345" s="0" t="n">
        <v>2</v>
      </c>
      <c r="D345" s="13" t="n">
        <v>37187</v>
      </c>
      <c r="E345" s="12" t="n">
        <v>25316</v>
      </c>
      <c r="F345" s="14" t="n">
        <f aca="false">(B345-E345)/365.25</f>
        <v>48.1615331964408</v>
      </c>
      <c r="G345" s="14" t="n">
        <f aca="false">(B345-D345)/365.25</f>
        <v>15.6605065023956</v>
      </c>
      <c r="H345" s="19" t="s">
        <v>183</v>
      </c>
      <c r="I345" s="15" t="s">
        <v>571</v>
      </c>
      <c r="J345" s="21" t="s">
        <v>181</v>
      </c>
      <c r="K345" s="21" t="n">
        <v>8</v>
      </c>
      <c r="L345" s="19" t="n">
        <v>86</v>
      </c>
      <c r="M345" s="0" t="n">
        <v>1.72</v>
      </c>
      <c r="N345" s="16" t="n">
        <f aca="false">L345/(M345*M345)</f>
        <v>29.0697674418605</v>
      </c>
      <c r="O345" s="19" t="n">
        <v>0</v>
      </c>
      <c r="P345" s="19" t="n">
        <v>0</v>
      </c>
      <c r="Q345" s="19" t="n">
        <v>0</v>
      </c>
      <c r="R345" s="26" t="n">
        <v>0</v>
      </c>
      <c r="S345" s="26" t="n">
        <v>0</v>
      </c>
      <c r="T345" s="26" t="n">
        <v>0</v>
      </c>
      <c r="U345" s="19" t="n">
        <v>0</v>
      </c>
      <c r="V345" s="19" t="n">
        <v>0</v>
      </c>
      <c r="W345" s="19" t="n">
        <v>1</v>
      </c>
      <c r="X345" s="19" t="n">
        <v>1</v>
      </c>
      <c r="Y345" s="19" t="n">
        <v>1</v>
      </c>
      <c r="Z345" s="19" t="n">
        <v>3</v>
      </c>
      <c r="AA345" s="19" t="n">
        <v>30</v>
      </c>
      <c r="AB345" s="19" t="s">
        <v>215</v>
      </c>
      <c r="AC345" s="19" t="n">
        <v>0</v>
      </c>
      <c r="AD345" s="19" t="n">
        <v>0</v>
      </c>
      <c r="AE345" s="19" t="n">
        <v>1</v>
      </c>
      <c r="AF345" s="19" t="n">
        <v>1</v>
      </c>
      <c r="AG345" s="19" t="n">
        <v>1</v>
      </c>
      <c r="AH345" s="19" t="n">
        <v>6</v>
      </c>
      <c r="AI345" s="19" t="n">
        <v>3</v>
      </c>
      <c r="AJ345" s="19" t="n">
        <v>3</v>
      </c>
      <c r="AK345" s="19" t="n">
        <v>3</v>
      </c>
      <c r="AL345" s="19" t="n">
        <v>6</v>
      </c>
      <c r="AM345" s="19" t="n">
        <v>4</v>
      </c>
      <c r="AN345" s="19" t="n">
        <v>1</v>
      </c>
      <c r="AO345" s="19" t="n">
        <v>1</v>
      </c>
      <c r="AP345" s="19" t="n">
        <v>1</v>
      </c>
      <c r="AQ345" s="19" t="n">
        <v>4</v>
      </c>
      <c r="AR345" s="19" t="n">
        <v>0</v>
      </c>
      <c r="AS345" s="19" t="n">
        <v>1</v>
      </c>
      <c r="AT345" s="19" t="n">
        <v>1</v>
      </c>
      <c r="AU345" s="19" t="n">
        <v>1</v>
      </c>
      <c r="AV345" s="19" t="n">
        <v>6</v>
      </c>
      <c r="AW345" s="19" t="n">
        <v>0</v>
      </c>
      <c r="AX345" s="19" t="n">
        <v>0</v>
      </c>
      <c r="AY345" s="19" t="n">
        <v>0</v>
      </c>
      <c r="AZ345" s="19" t="n">
        <v>0</v>
      </c>
      <c r="BA345" s="19" t="n">
        <v>0</v>
      </c>
      <c r="BB345" s="19" t="n">
        <v>1</v>
      </c>
      <c r="BC345" s="19" t="n">
        <v>1</v>
      </c>
      <c r="BD345" s="19" t="n">
        <v>1</v>
      </c>
      <c r="BE345" s="19" t="n">
        <v>4</v>
      </c>
      <c r="BF345" s="19" t="n">
        <v>0</v>
      </c>
      <c r="BG345" s="19" t="n">
        <v>0</v>
      </c>
      <c r="BH345" s="19" t="n">
        <v>0</v>
      </c>
      <c r="BI345" s="19" t="n">
        <v>0</v>
      </c>
      <c r="BJ345" s="19" t="n">
        <v>1</v>
      </c>
      <c r="BK345" s="19" t="n">
        <v>1</v>
      </c>
      <c r="BL345" s="19" t="n">
        <v>0</v>
      </c>
      <c r="BM345" s="19" t="n">
        <v>0</v>
      </c>
      <c r="BN345" s="19" t="n">
        <v>0</v>
      </c>
      <c r="BO345" s="19" t="n">
        <v>0</v>
      </c>
      <c r="BP345" s="19" t="n">
        <v>0</v>
      </c>
      <c r="BQ345" s="19" t="n">
        <v>0</v>
      </c>
      <c r="BR345" s="19" t="n">
        <v>4</v>
      </c>
      <c r="BS345" s="19" t="n">
        <v>4</v>
      </c>
      <c r="BT345" s="19" t="n">
        <v>4</v>
      </c>
      <c r="BU345" s="19" t="n">
        <v>5</v>
      </c>
      <c r="BV345" s="19" t="n">
        <v>4</v>
      </c>
      <c r="BW345" s="19" t="n">
        <v>4</v>
      </c>
      <c r="BX345" s="19" t="n">
        <v>5</v>
      </c>
      <c r="BY345" s="19" t="n">
        <v>5</v>
      </c>
      <c r="BZ345" s="19" t="n">
        <v>3</v>
      </c>
      <c r="CA345" s="19" t="n">
        <v>1</v>
      </c>
      <c r="CB345" s="19" t="n">
        <v>3</v>
      </c>
      <c r="CC345" s="19" t="n">
        <v>5</v>
      </c>
      <c r="CD345" s="19" t="n">
        <v>3</v>
      </c>
      <c r="CE345" s="19" t="n">
        <v>3</v>
      </c>
      <c r="CF345" s="19" t="n">
        <v>3</v>
      </c>
      <c r="CG345" s="19" t="n">
        <v>4</v>
      </c>
      <c r="CH345" s="19" t="n">
        <v>3</v>
      </c>
      <c r="CI345" s="19" t="n">
        <v>3</v>
      </c>
      <c r="CJ345" s="19" t="n">
        <v>3</v>
      </c>
      <c r="CK345" s="19" t="n">
        <v>6</v>
      </c>
      <c r="CL345" s="0" t="s">
        <v>540</v>
      </c>
      <c r="CM345" s="0" t="n">
        <v>70.5</v>
      </c>
      <c r="CN345" s="16" t="n">
        <v>88.2</v>
      </c>
      <c r="CO345" s="16" t="n">
        <v>80.4</v>
      </c>
      <c r="CP345" s="16" t="n">
        <v>36.3</v>
      </c>
      <c r="CQ345" s="0" t="n">
        <v>72.69</v>
      </c>
      <c r="CR345" s="17" t="n">
        <v>0</v>
      </c>
      <c r="CS345" s="0" t="n">
        <v>10.32</v>
      </c>
      <c r="CT345" s="0" t="n">
        <v>16.99</v>
      </c>
      <c r="CU345" s="0" t="n">
        <v>0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v>0</v>
      </c>
      <c r="DA345" s="0" t="n">
        <v>0</v>
      </c>
      <c r="DB345" s="0" t="n">
        <v>0</v>
      </c>
      <c r="DC345" s="0" t="n">
        <v>36.66</v>
      </c>
      <c r="DD345" s="0" t="n">
        <v>7.54</v>
      </c>
      <c r="DE345" s="0" t="n">
        <v>10.32</v>
      </c>
      <c r="DF345" s="0" t="n">
        <v>0</v>
      </c>
      <c r="DG345" s="0" t="n">
        <v>0</v>
      </c>
      <c r="DH345" s="0" t="n">
        <v>0</v>
      </c>
      <c r="DU345" s="0" t="n">
        <v>21.2</v>
      </c>
      <c r="DV345" s="0" t="n">
        <v>1</v>
      </c>
      <c r="DW345" s="0" t="n">
        <v>35</v>
      </c>
      <c r="DX345" s="0" t="n">
        <v>7</v>
      </c>
      <c r="DY345" s="0" t="n">
        <f aca="false">5.71+0.54</f>
        <v>6.25</v>
      </c>
      <c r="DZ345" s="0" t="n">
        <v>3</v>
      </c>
      <c r="EA345" s="0" t="n">
        <v>47</v>
      </c>
      <c r="EB345" s="0" t="n">
        <v>2</v>
      </c>
      <c r="EC345" s="0" t="n">
        <v>0.4</v>
      </c>
      <c r="ED345" s="0" t="n">
        <v>3</v>
      </c>
      <c r="EG345" s="20"/>
      <c r="EY345" s="0" t="n">
        <v>0</v>
      </c>
      <c r="GJ345" s="16" t="n">
        <v>11.58</v>
      </c>
      <c r="GK345" s="16" t="n">
        <v>1</v>
      </c>
      <c r="GL345" s="16" t="n">
        <v>2</v>
      </c>
      <c r="GM345" s="16"/>
      <c r="GN345" s="16" t="n">
        <f aca="false">0.22+1.95+3.81+0.27+0.32+0.04+0.05</f>
        <v>6.66</v>
      </c>
      <c r="GO345" s="16"/>
      <c r="GP345" s="16"/>
      <c r="GQ345" s="16"/>
      <c r="GR345" s="16"/>
      <c r="GS345" s="16"/>
      <c r="GT345" s="16"/>
      <c r="GU345" s="16" t="n">
        <v>0.27</v>
      </c>
      <c r="GV345" s="16" t="n">
        <v>0.27</v>
      </c>
      <c r="GW345" s="16" t="n">
        <v>0</v>
      </c>
      <c r="GX345" s="16" t="n">
        <v>0</v>
      </c>
      <c r="GY345" s="16" t="n">
        <v>0</v>
      </c>
      <c r="GZ345" s="16" t="n">
        <v>0</v>
      </c>
      <c r="HA345" s="16" t="n">
        <v>0</v>
      </c>
      <c r="HB345" s="0" t="n">
        <v>0</v>
      </c>
      <c r="HC345" s="0" t="s">
        <v>541</v>
      </c>
      <c r="HD345" s="0" t="n">
        <v>94.5</v>
      </c>
      <c r="HE345" s="16" t="n">
        <v>88.2</v>
      </c>
      <c r="HF345" s="16" t="n">
        <v>80.4</v>
      </c>
      <c r="HG345" s="16" t="n">
        <v>73.1</v>
      </c>
      <c r="HH345" s="0" t="n">
        <v>41.34</v>
      </c>
      <c r="HI345" s="17" t="n">
        <v>0</v>
      </c>
      <c r="HJ345" s="0" t="n">
        <v>8.63</v>
      </c>
      <c r="HK345" s="0" t="n">
        <v>0.04</v>
      </c>
      <c r="HL345" s="0" t="n">
        <v>0</v>
      </c>
      <c r="HM345" s="0" t="n">
        <v>0</v>
      </c>
      <c r="HN345" s="0" t="n">
        <v>0</v>
      </c>
      <c r="HO345" s="0" t="n">
        <v>0</v>
      </c>
      <c r="HP345" s="0" t="n">
        <v>0</v>
      </c>
      <c r="HQ345" s="0" t="n">
        <v>0</v>
      </c>
      <c r="HR345" s="0" t="n">
        <v>0</v>
      </c>
      <c r="HS345" s="0" t="n">
        <v>0</v>
      </c>
      <c r="HT345" s="0" t="n">
        <v>8.06</v>
      </c>
      <c r="HU345" s="0" t="n">
        <v>3.65</v>
      </c>
      <c r="HV345" s="0" t="n">
        <v>7.2</v>
      </c>
      <c r="HW345" s="0" t="n">
        <v>0</v>
      </c>
      <c r="HX345" s="0" t="n">
        <v>0</v>
      </c>
      <c r="HY345" s="0" t="n">
        <v>0</v>
      </c>
      <c r="IL345" s="0" t="n">
        <v>9.4</v>
      </c>
      <c r="IM345" s="0" t="n">
        <v>1</v>
      </c>
      <c r="IN345" s="0" t="n">
        <v>35</v>
      </c>
      <c r="IO345" s="0" t="n">
        <v>2</v>
      </c>
      <c r="IP345" s="0" t="n">
        <f aca="false">0.76+0.45</f>
        <v>1.21</v>
      </c>
      <c r="IQ345" s="0" t="n">
        <v>3</v>
      </c>
      <c r="IX345" s="20"/>
      <c r="JP345" s="0" t="n">
        <v>1</v>
      </c>
      <c r="JQ345" s="0" t="n">
        <v>70</v>
      </c>
      <c r="JR345" s="0" t="n">
        <v>2</v>
      </c>
      <c r="JS345" s="0" t="n">
        <f aca="false">0.75+1.69</f>
        <v>2.44</v>
      </c>
      <c r="JT345" s="0" t="n">
        <v>2</v>
      </c>
      <c r="LA345" s="16" t="n">
        <v>0.84</v>
      </c>
      <c r="LB345" s="16" t="n">
        <v>1</v>
      </c>
      <c r="LC345" s="16" t="n">
        <v>1</v>
      </c>
      <c r="LD345" s="16"/>
      <c r="LE345" s="16" t="n">
        <v>0.6</v>
      </c>
      <c r="LF345" s="16"/>
      <c r="LG345" s="16"/>
      <c r="LH345" s="16"/>
      <c r="LI345" s="16"/>
      <c r="LJ345" s="16"/>
      <c r="LK345" s="16"/>
      <c r="LL345" s="16" t="n">
        <v>10.19</v>
      </c>
      <c r="LM345" s="16" t="n">
        <v>8.46</v>
      </c>
      <c r="LN345" s="16" t="n">
        <v>0</v>
      </c>
      <c r="LO345" s="16" t="n">
        <v>0</v>
      </c>
      <c r="LP345" s="16" t="n">
        <v>0</v>
      </c>
      <c r="LQ345" s="16" t="n">
        <v>0</v>
      </c>
      <c r="LR345" s="16" t="n">
        <v>0</v>
      </c>
      <c r="LS345" s="0" t="n">
        <v>0</v>
      </c>
      <c r="LT345" s="0" t="s">
        <v>542</v>
      </c>
      <c r="LU345" s="0" t="n">
        <v>75</v>
      </c>
      <c r="LV345" s="16" t="n">
        <v>91.2</v>
      </c>
      <c r="LW345" s="16" t="n">
        <v>80.4</v>
      </c>
      <c r="LX345" s="16" t="n">
        <v>61</v>
      </c>
      <c r="LY345" s="0" t="n">
        <v>53.67</v>
      </c>
      <c r="LZ345" s="17" t="n">
        <v>0</v>
      </c>
      <c r="MA345" s="0" t="n">
        <v>16.76</v>
      </c>
      <c r="MB345" s="0" t="n">
        <v>29.58</v>
      </c>
      <c r="MC345" s="0" t="n">
        <v>0</v>
      </c>
      <c r="MD345" s="0" t="n">
        <v>0</v>
      </c>
      <c r="ME345" s="0" t="n">
        <v>0</v>
      </c>
      <c r="MF345" s="0" t="n">
        <v>0</v>
      </c>
      <c r="MG345" s="0" t="n">
        <v>0</v>
      </c>
      <c r="MH345" s="0" t="n">
        <v>0</v>
      </c>
      <c r="MI345" s="0" t="n">
        <v>0</v>
      </c>
      <c r="MJ345" s="0" t="n">
        <v>0</v>
      </c>
      <c r="MK345" s="0" t="n">
        <v>6.79</v>
      </c>
      <c r="ML345" s="0" t="n">
        <v>14.97</v>
      </c>
      <c r="MM345" s="0" t="n">
        <v>18.24</v>
      </c>
      <c r="MN345" s="0" t="n">
        <v>0</v>
      </c>
      <c r="MO345" s="0" t="n">
        <v>0</v>
      </c>
      <c r="MP345" s="0" t="n">
        <v>0</v>
      </c>
      <c r="NC345" s="0" t="n">
        <v>9</v>
      </c>
      <c r="ND345" s="0" t="n">
        <v>1</v>
      </c>
      <c r="NE345" s="0" t="n">
        <v>68</v>
      </c>
      <c r="NF345" s="0" t="n">
        <v>1</v>
      </c>
      <c r="NG345" s="0" t="n">
        <v>0.38</v>
      </c>
      <c r="NH345" s="0" t="n">
        <v>1</v>
      </c>
      <c r="NI345" s="0" t="n">
        <v>47</v>
      </c>
      <c r="NJ345" s="0" t="n">
        <v>1</v>
      </c>
      <c r="NK345" s="0" t="n">
        <v>1.13</v>
      </c>
      <c r="NL345" s="0" t="n">
        <v>3</v>
      </c>
      <c r="NO345" s="20"/>
      <c r="OG345" s="0" t="n">
        <v>1</v>
      </c>
      <c r="OH345" s="0" t="n">
        <v>70</v>
      </c>
      <c r="OI345" s="0" t="n">
        <v>2</v>
      </c>
      <c r="OJ345" s="0" t="n">
        <f aca="false">1.69+0.75</f>
        <v>2.44</v>
      </c>
      <c r="OK345" s="0" t="n">
        <v>2</v>
      </c>
      <c r="PR345" s="16" t="n">
        <v>1.88</v>
      </c>
      <c r="PS345" s="16" t="n">
        <v>1</v>
      </c>
      <c r="PT345" s="16" t="n">
        <v>1</v>
      </c>
      <c r="PU345" s="16"/>
      <c r="PV345" s="16" t="n">
        <f aca="false">1.04+1.04+1.04</f>
        <v>3.12</v>
      </c>
      <c r="PW345" s="16"/>
      <c r="PX345" s="16"/>
      <c r="PY345" s="16"/>
      <c r="PZ345" s="16"/>
      <c r="QA345" s="16"/>
      <c r="QB345" s="16"/>
      <c r="QC345" s="16" t="n">
        <v>1.5</v>
      </c>
      <c r="QD345" s="16" t="n">
        <v>1.5</v>
      </c>
      <c r="QE345" s="16" t="n">
        <v>0</v>
      </c>
      <c r="QF345" s="16" t="n">
        <v>0</v>
      </c>
      <c r="QG345" s="16" t="n">
        <v>0</v>
      </c>
      <c r="QH345" s="16" t="n">
        <v>0</v>
      </c>
      <c r="QI345" s="16" t="n">
        <v>0</v>
      </c>
      <c r="QJ345" s="0" t="n">
        <v>0</v>
      </c>
      <c r="QK345" s="0" t="s">
        <v>543</v>
      </c>
      <c r="QL345" s="0" t="n">
        <v>21</v>
      </c>
      <c r="QM345" s="16" t="n">
        <v>77.9</v>
      </c>
      <c r="QN345" s="16" t="n">
        <v>160.8</v>
      </c>
      <c r="QO345" s="16" t="n">
        <v>14.1</v>
      </c>
      <c r="QP345" s="0" t="n">
        <v>87.99</v>
      </c>
      <c r="QQ345" s="17" t="n">
        <v>0</v>
      </c>
      <c r="QR345" s="0" t="n">
        <v>3.38</v>
      </c>
      <c r="QS345" s="0" t="n">
        <v>0</v>
      </c>
      <c r="QT345" s="0" t="n">
        <v>8.63</v>
      </c>
      <c r="QU345" s="0" t="n">
        <v>0</v>
      </c>
      <c r="QV345" s="0" t="n">
        <v>0</v>
      </c>
      <c r="QW345" s="0" t="n">
        <v>0</v>
      </c>
      <c r="QX345" s="0" t="n">
        <v>0</v>
      </c>
      <c r="QY345" s="0" t="n">
        <v>0</v>
      </c>
      <c r="QZ345" s="0" t="n">
        <v>0</v>
      </c>
      <c r="RA345" s="0" t="n">
        <v>0</v>
      </c>
      <c r="RB345" s="0" t="n">
        <v>0</v>
      </c>
      <c r="RC345" s="0" t="n">
        <v>65.6</v>
      </c>
      <c r="RD345" s="0" t="n">
        <v>0</v>
      </c>
      <c r="RE345" s="0" t="n">
        <v>0</v>
      </c>
      <c r="RF345" s="0" t="n">
        <v>0</v>
      </c>
      <c r="RG345" s="0" t="n">
        <v>0</v>
      </c>
      <c r="RT345" s="0" t="n">
        <v>1.4</v>
      </c>
      <c r="RU345" s="0" t="n">
        <v>1</v>
      </c>
      <c r="RV345" s="0" t="n">
        <v>35</v>
      </c>
      <c r="RW345" s="0" t="n">
        <v>3</v>
      </c>
      <c r="RX345" s="0" t="n">
        <f aca="false">0.38</f>
        <v>0.38</v>
      </c>
      <c r="RY345" s="0" t="n">
        <v>3</v>
      </c>
      <c r="RZ345" s="0" t="n">
        <v>34</v>
      </c>
      <c r="SA345" s="0" t="n">
        <v>27</v>
      </c>
      <c r="SB345" s="0" t="n">
        <f aca="false">0.19+0.19+1.13+3.38+0.56+1.5+1.13+0.38</f>
        <v>8.46</v>
      </c>
      <c r="SC345" s="0" t="n">
        <v>1</v>
      </c>
      <c r="SF345" s="20"/>
      <c r="SX345" s="0" t="n">
        <v>1</v>
      </c>
      <c r="SY345" s="0" t="n">
        <v>40</v>
      </c>
      <c r="SZ345" s="0" t="n">
        <v>9</v>
      </c>
      <c r="TA345" s="0" t="n">
        <f aca="false">0.38+1.13+3+1.88+0.75</f>
        <v>7.14</v>
      </c>
      <c r="TB345" s="0" t="n">
        <v>3</v>
      </c>
      <c r="UI345" s="16" t="n">
        <v>0</v>
      </c>
      <c r="UJ345" s="16" t="n">
        <v>0</v>
      </c>
      <c r="UK345" s="16"/>
      <c r="UL345" s="16"/>
      <c r="UM345" s="16"/>
      <c r="UN345" s="16"/>
      <c r="UO345" s="16"/>
      <c r="UP345" s="16"/>
      <c r="UQ345" s="16"/>
      <c r="UR345" s="16"/>
      <c r="US345" s="16"/>
      <c r="UT345" s="16" t="n">
        <v>5.27</v>
      </c>
      <c r="UU345" s="16" t="n">
        <v>1.5</v>
      </c>
      <c r="UV345" s="16" t="n">
        <v>0</v>
      </c>
      <c r="UW345" s="16" t="n">
        <v>0</v>
      </c>
      <c r="UX345" s="16" t="n">
        <v>0</v>
      </c>
      <c r="UY345" s="16" t="n">
        <v>0</v>
      </c>
      <c r="UZ345" s="16" t="n">
        <v>0</v>
      </c>
      <c r="VA345" s="0" t="n">
        <v>0</v>
      </c>
      <c r="VE345" s="15"/>
      <c r="VF345" s="15"/>
      <c r="VM345" s="15"/>
      <c r="VN345" s="15"/>
      <c r="VU345" s="15"/>
      <c r="VV345" s="15"/>
      <c r="WC345" s="15"/>
      <c r="WD345" s="15"/>
      <c r="WK345" s="15"/>
      <c r="WL345" s="15"/>
      <c r="WS345" s="15"/>
      <c r="WT345" s="15"/>
      <c r="XA345" s="15"/>
      <c r="XB345" s="15"/>
      <c r="XI345" s="15"/>
      <c r="XJ345" s="15"/>
      <c r="XQ345" s="15"/>
      <c r="XR345" s="15"/>
      <c r="XY345" s="15"/>
      <c r="XZ345" s="15"/>
      <c r="YG345" s="15"/>
      <c r="YH345" s="15"/>
      <c r="YO345" s="15"/>
      <c r="YP345" s="15"/>
      <c r="YW345" s="15"/>
      <c r="YX345" s="15"/>
      <c r="ZE345" s="15"/>
      <c r="ZF345" s="15"/>
      <c r="ZM345" s="15"/>
      <c r="ZN345" s="15"/>
      <c r="ZU345" s="15"/>
      <c r="ZV345" s="15"/>
      <c r="AAC345" s="15"/>
      <c r="AAD345" s="15"/>
      <c r="AAK345" s="15"/>
      <c r="AAL345" s="15"/>
      <c r="AAS345" s="15"/>
      <c r="AAT345" s="15"/>
      <c r="ABA345" s="15"/>
      <c r="ABB345" s="15"/>
      <c r="ABI345" s="15"/>
      <c r="ABJ345" s="15"/>
      <c r="ABQ345" s="15"/>
      <c r="ABR345" s="15"/>
      <c r="ABY345" s="15"/>
      <c r="ABZ345" s="15"/>
      <c r="ACG345" s="15"/>
      <c r="ACH345" s="15"/>
      <c r="ACO345" s="15"/>
      <c r="ACP345" s="15"/>
      <c r="ACW345" s="15"/>
      <c r="ACX345" s="15"/>
      <c r="ADE345" s="15"/>
      <c r="ADF345" s="15"/>
      <c r="ADM345" s="15"/>
      <c r="ADN345" s="15"/>
      <c r="ADU345" s="15"/>
      <c r="ADV345" s="15"/>
      <c r="AEC345" s="15"/>
      <c r="AED345" s="15"/>
      <c r="AEK345" s="15"/>
      <c r="AEL345" s="15"/>
      <c r="AES345" s="15"/>
      <c r="AET345" s="15"/>
      <c r="AFA345" s="15"/>
      <c r="AFB345" s="15"/>
      <c r="AFI345" s="15"/>
      <c r="AFJ345" s="15"/>
      <c r="AFQ345" s="15"/>
      <c r="AFR345" s="15"/>
      <c r="AFY345" s="15"/>
      <c r="AFZ345" s="15"/>
      <c r="AGG345" s="15"/>
      <c r="AGH345" s="15"/>
      <c r="AGO345" s="15"/>
      <c r="AGP345" s="15"/>
      <c r="AGW345" s="15"/>
      <c r="AGX345" s="15"/>
      <c r="AHE345" s="15"/>
      <c r="AHF345" s="15"/>
      <c r="AHM345" s="15"/>
      <c r="AHN345" s="15"/>
      <c r="AHU345" s="15"/>
      <c r="AHV345" s="15"/>
      <c r="AIC345" s="15"/>
      <c r="AID345" s="15"/>
      <c r="AIK345" s="15"/>
      <c r="AIL345" s="15"/>
      <c r="AIS345" s="15"/>
      <c r="AIT345" s="15"/>
      <c r="AJA345" s="15"/>
      <c r="AJB345" s="15"/>
      <c r="AJI345" s="15"/>
      <c r="AJJ345" s="15"/>
      <c r="AJQ345" s="15"/>
      <c r="AJR345" s="15"/>
      <c r="AJY345" s="15"/>
      <c r="AJZ345" s="15"/>
      <c r="AKG345" s="15"/>
      <c r="AKH345" s="15"/>
      <c r="AKO345" s="15"/>
      <c r="AKP345" s="15"/>
      <c r="AKW345" s="15"/>
      <c r="AKX345" s="15"/>
      <c r="ALE345" s="15"/>
      <c r="ALF345" s="15"/>
      <c r="ALM345" s="15"/>
      <c r="ALN345" s="15"/>
      <c r="ALU345" s="15"/>
      <c r="ALV345" s="15"/>
      <c r="AMC345" s="15"/>
      <c r="AMD345" s="15"/>
    </row>
    <row r="346" s="24" customFormat="true" ht="13.8" hidden="false" customHeight="false" outlineLevel="0" collapsed="false">
      <c r="A346" s="1" t="s">
        <v>936</v>
      </c>
      <c r="B346" s="12" t="n">
        <v>42926</v>
      </c>
      <c r="C346" s="0" t="n">
        <v>1</v>
      </c>
      <c r="D346" s="13" t="n">
        <v>40700</v>
      </c>
      <c r="E346" s="12" t="n">
        <v>25905</v>
      </c>
      <c r="F346" s="14" t="n">
        <f aca="false">(B346-E346)/365.25</f>
        <v>46.6009582477755</v>
      </c>
      <c r="G346" s="14" t="n">
        <f aca="false">(B346-D346)/365.25</f>
        <v>6.09445585215606</v>
      </c>
      <c r="H346" s="19" t="s">
        <v>306</v>
      </c>
      <c r="I346" s="15" t="s">
        <v>777</v>
      </c>
      <c r="J346" s="21" t="s">
        <v>181</v>
      </c>
      <c r="K346" s="21" t="s">
        <v>913</v>
      </c>
      <c r="L346" s="19" t="n">
        <v>75</v>
      </c>
      <c r="M346" s="0" t="n">
        <v>1.71</v>
      </c>
      <c r="N346" s="16" t="n">
        <f aca="false">L346/(M346*M346)</f>
        <v>25.6489176156766</v>
      </c>
      <c r="O346" s="19" t="n">
        <v>0</v>
      </c>
      <c r="P346" s="19" t="n">
        <v>0</v>
      </c>
      <c r="Q346" s="19" t="n">
        <v>0</v>
      </c>
      <c r="R346" s="26" t="n">
        <v>0</v>
      </c>
      <c r="S346" s="26" t="n">
        <v>0</v>
      </c>
      <c r="T346" s="26" t="n">
        <v>0</v>
      </c>
      <c r="U346" s="19" t="n">
        <v>0</v>
      </c>
      <c r="V346" s="19" t="n">
        <v>0</v>
      </c>
      <c r="W346" s="19" t="n">
        <v>1</v>
      </c>
      <c r="X346" s="19" t="n">
        <v>0</v>
      </c>
      <c r="Y346" s="19" t="n">
        <v>0</v>
      </c>
      <c r="Z346" s="19" t="n">
        <v>0</v>
      </c>
      <c r="AA346" s="19" t="n">
        <v>0</v>
      </c>
      <c r="AB346" s="19" t="n">
        <v>0</v>
      </c>
      <c r="AC346" s="19" t="n">
        <v>0</v>
      </c>
      <c r="AD346" s="19" t="n">
        <v>0</v>
      </c>
      <c r="AE346" s="19" t="n">
        <v>0</v>
      </c>
      <c r="AF346" s="19" t="n">
        <v>0</v>
      </c>
      <c r="AG346" s="19" t="n">
        <v>0</v>
      </c>
      <c r="AH346" s="19" t="n">
        <v>0</v>
      </c>
      <c r="AI346" s="19" t="n">
        <v>1</v>
      </c>
      <c r="AJ346" s="19" t="n">
        <v>1</v>
      </c>
      <c r="AK346" s="19" t="n">
        <v>1</v>
      </c>
      <c r="AL346" s="19" t="n">
        <v>7</v>
      </c>
      <c r="AM346" s="19" t="n">
        <v>0</v>
      </c>
      <c r="AN346" s="19" t="n">
        <v>1</v>
      </c>
      <c r="AO346" s="19" t="n">
        <v>1</v>
      </c>
      <c r="AP346" s="19" t="n">
        <v>1</v>
      </c>
      <c r="AQ346" s="19" t="n">
        <v>7</v>
      </c>
      <c r="AR346" s="19" t="n">
        <v>0</v>
      </c>
      <c r="AS346" s="19" t="n">
        <v>1</v>
      </c>
      <c r="AT346" s="19" t="n">
        <v>0</v>
      </c>
      <c r="AU346" s="19" t="n">
        <v>0</v>
      </c>
      <c r="AV346" s="19" t="n">
        <v>0</v>
      </c>
      <c r="AW346" s="19" t="n">
        <v>0</v>
      </c>
      <c r="AX346" s="19" t="n">
        <v>0</v>
      </c>
      <c r="AY346" s="19" t="n">
        <v>0</v>
      </c>
      <c r="AZ346" s="19" t="n">
        <v>0</v>
      </c>
      <c r="BA346" s="19" t="n">
        <v>0</v>
      </c>
      <c r="BB346" s="19" t="n">
        <v>1</v>
      </c>
      <c r="BC346" s="19" t="n">
        <v>1</v>
      </c>
      <c r="BD346" s="19" t="n">
        <v>0</v>
      </c>
      <c r="BE346" s="19" t="n">
        <v>0</v>
      </c>
      <c r="BF346" s="19" t="n">
        <v>0</v>
      </c>
      <c r="BG346" s="19" t="n">
        <v>0</v>
      </c>
      <c r="BH346" s="19" t="n">
        <v>0</v>
      </c>
      <c r="BI346" s="19" t="n">
        <v>0</v>
      </c>
      <c r="BJ346" s="19" t="n">
        <v>0</v>
      </c>
      <c r="BK346" s="19"/>
      <c r="BL346" s="19"/>
      <c r="BM346" s="19"/>
      <c r="BN346" s="19" t="n">
        <v>0</v>
      </c>
      <c r="BO346" s="19" t="n">
        <v>0</v>
      </c>
      <c r="BP346" s="19" t="n">
        <v>0</v>
      </c>
      <c r="BQ346" s="19" t="n">
        <v>0</v>
      </c>
      <c r="BR346" s="19" t="n">
        <v>3</v>
      </c>
      <c r="BS346" s="19" t="n">
        <v>2</v>
      </c>
      <c r="BT346" s="19" t="n">
        <v>5</v>
      </c>
      <c r="BU346" s="19" t="n">
        <v>5</v>
      </c>
      <c r="BV346" s="19" t="n">
        <v>3</v>
      </c>
      <c r="BW346" s="19" t="n">
        <v>4</v>
      </c>
      <c r="BX346" s="19" t="n">
        <v>2</v>
      </c>
      <c r="BY346" s="19" t="n">
        <v>3</v>
      </c>
      <c r="BZ346" s="19" t="n">
        <v>3</v>
      </c>
      <c r="CA346" s="19" t="n">
        <v>3</v>
      </c>
      <c r="CB346" s="19" t="n">
        <v>4</v>
      </c>
      <c r="CC346" s="19" t="n">
        <v>4</v>
      </c>
      <c r="CD346" s="19" t="n">
        <v>3</v>
      </c>
      <c r="CE346" s="19" t="n">
        <v>4</v>
      </c>
      <c r="CF346" s="19" t="n">
        <v>4</v>
      </c>
      <c r="CG346" s="19" t="n">
        <v>5</v>
      </c>
      <c r="CH346" s="19" t="n">
        <v>3</v>
      </c>
      <c r="CI346" s="19" t="n">
        <v>4</v>
      </c>
      <c r="CJ346" s="19" t="n">
        <v>3</v>
      </c>
      <c r="CK346" s="19" t="n">
        <v>8</v>
      </c>
      <c r="CL346" s="24" t="s">
        <v>779</v>
      </c>
      <c r="CM346" s="24" t="n">
        <v>43</v>
      </c>
      <c r="CN346" s="27" t="n">
        <v>91.8</v>
      </c>
      <c r="CO346" s="27" t="n">
        <v>83.4</v>
      </c>
      <c r="CP346" s="27" t="n">
        <v>25.8</v>
      </c>
      <c r="CQ346" s="24" t="n">
        <v>68.3</v>
      </c>
      <c r="CR346" s="24" t="n">
        <v>0</v>
      </c>
      <c r="CS346" s="24" t="n">
        <v>0</v>
      </c>
      <c r="CT346" s="24" t="n">
        <v>0</v>
      </c>
      <c r="CU346" s="24" t="n">
        <v>31.54</v>
      </c>
      <c r="CV346" s="24" t="n">
        <v>0</v>
      </c>
      <c r="CW346" s="24" t="n">
        <v>0</v>
      </c>
      <c r="CX346" s="24" t="n">
        <v>0</v>
      </c>
      <c r="CY346" s="24" t="n">
        <v>0</v>
      </c>
      <c r="CZ346" s="24" t="n">
        <v>0</v>
      </c>
      <c r="DA346" s="24" t="n">
        <v>0</v>
      </c>
      <c r="DB346" s="24" t="n">
        <v>48.27</v>
      </c>
      <c r="DC346" s="24" t="n">
        <v>58.3</v>
      </c>
      <c r="DD346" s="24" t="n">
        <v>1.34</v>
      </c>
      <c r="DE346" s="24" t="n">
        <v>0</v>
      </c>
      <c r="DF346" s="24" t="n">
        <v>0.16</v>
      </c>
      <c r="DG346" s="24" t="n">
        <v>0</v>
      </c>
      <c r="DH346" s="24" t="n">
        <v>0</v>
      </c>
      <c r="DU346" s="24" t="n">
        <v>11</v>
      </c>
      <c r="DV346" s="24" t="n">
        <v>1</v>
      </c>
      <c r="DW346" s="24" t="n">
        <v>30</v>
      </c>
      <c r="DX346" s="24" t="n">
        <v>1</v>
      </c>
      <c r="DY346" s="24" t="n">
        <v>0.73</v>
      </c>
      <c r="DZ346" s="24" t="n">
        <v>1</v>
      </c>
      <c r="EG346" s="28"/>
      <c r="EY346" s="24" t="n">
        <v>1</v>
      </c>
      <c r="EZ346" s="24" t="n">
        <v>60</v>
      </c>
      <c r="FA346" s="24" t="n">
        <v>14</v>
      </c>
      <c r="FB346" s="24" t="n">
        <f aca="false">1.25+0.05+0.21+0.21+0.31+0.08</f>
        <v>2.11</v>
      </c>
      <c r="FC346" s="24" t="n">
        <v>6</v>
      </c>
      <c r="FD346" s="24" t="n">
        <v>50</v>
      </c>
      <c r="FE346" s="24" t="n">
        <v>8</v>
      </c>
      <c r="FF346" s="24" t="n">
        <f aca="false">2.94*2</f>
        <v>5.88</v>
      </c>
      <c r="FG346" s="24" t="n">
        <v>4</v>
      </c>
      <c r="GJ346" s="27" t="n">
        <v>2.45</v>
      </c>
      <c r="GK346" s="27" t="n">
        <v>1</v>
      </c>
      <c r="GL346" s="27" t="n">
        <v>1</v>
      </c>
      <c r="GM346" s="27"/>
      <c r="GN346" s="27" t="n">
        <f aca="false">0.03*2+0.16+0.46</f>
        <v>0.68</v>
      </c>
      <c r="GO346" s="27" t="n">
        <v>2</v>
      </c>
      <c r="GP346" s="27"/>
      <c r="GQ346" s="27" t="n">
        <f aca="false">6.12+0.54</f>
        <v>6.66</v>
      </c>
      <c r="GR346" s="27"/>
      <c r="GS346" s="27"/>
      <c r="GT346" s="27"/>
      <c r="GU346" s="27" t="n">
        <v>3.68</v>
      </c>
      <c r="GV346" s="27" t="n">
        <v>1.63</v>
      </c>
      <c r="GW346" s="27"/>
      <c r="GX346" s="27"/>
      <c r="GY346" s="27" t="n">
        <v>0</v>
      </c>
      <c r="GZ346" s="27" t="n">
        <v>0</v>
      </c>
      <c r="HA346" s="27" t="n">
        <v>0</v>
      </c>
      <c r="HB346" s="24" t="n">
        <v>0</v>
      </c>
      <c r="HC346" s="24" t="s">
        <v>780</v>
      </c>
      <c r="HD346" s="24" t="n">
        <v>46</v>
      </c>
      <c r="HE346" s="27" t="n">
        <v>101.6</v>
      </c>
      <c r="HF346" s="27" t="n">
        <v>83.4</v>
      </c>
      <c r="HG346" s="27" t="n">
        <v>27.8</v>
      </c>
      <c r="HH346" s="24" t="n">
        <v>66.04</v>
      </c>
      <c r="HI346" s="24" t="n">
        <v>0</v>
      </c>
      <c r="HJ346" s="24" t="n">
        <v>0</v>
      </c>
      <c r="HK346" s="24" t="n">
        <v>0</v>
      </c>
      <c r="HL346" s="24" t="n">
        <v>35.15</v>
      </c>
      <c r="HM346" s="24" t="n">
        <v>0</v>
      </c>
      <c r="HN346" s="24" t="n">
        <v>0</v>
      </c>
      <c r="HO346" s="24" t="n">
        <v>0</v>
      </c>
      <c r="HP346" s="24" t="n">
        <v>0</v>
      </c>
      <c r="HQ346" s="24" t="n">
        <v>0</v>
      </c>
      <c r="HR346" s="24" t="n">
        <v>0</v>
      </c>
      <c r="HS346" s="24" t="n">
        <v>43.27</v>
      </c>
      <c r="HT346" s="24" t="n">
        <v>65.02</v>
      </c>
      <c r="HU346" s="24" t="n">
        <v>6.59</v>
      </c>
      <c r="HV346" s="24" t="n">
        <v>0.88</v>
      </c>
      <c r="HW346" s="24" t="n">
        <v>0.16</v>
      </c>
      <c r="HX346" s="24" t="n">
        <v>0</v>
      </c>
      <c r="HY346" s="24" t="n">
        <v>0</v>
      </c>
      <c r="IL346" s="24" t="n">
        <v>14.9</v>
      </c>
      <c r="IM346" s="24" t="n">
        <v>1</v>
      </c>
      <c r="IN346" s="24" t="n">
        <v>30</v>
      </c>
      <c r="IO346" s="24" t="n">
        <v>1</v>
      </c>
      <c r="IP346" s="24" t="n">
        <v>0.73</v>
      </c>
      <c r="IQ346" s="24" t="n">
        <v>1</v>
      </c>
      <c r="IR346" s="24" t="n">
        <v>47</v>
      </c>
      <c r="IS346" s="24" t="n">
        <v>1</v>
      </c>
      <c r="IT346" s="24" t="n">
        <v>0.11</v>
      </c>
      <c r="IU346" s="24" t="n">
        <v>3</v>
      </c>
      <c r="IX346" s="28"/>
      <c r="JP346" s="24" t="n">
        <v>1</v>
      </c>
      <c r="JQ346" s="24" t="n">
        <v>60</v>
      </c>
      <c r="JR346" s="24" t="n">
        <v>4</v>
      </c>
      <c r="JS346" s="24" t="n">
        <v>1.68</v>
      </c>
      <c r="JT346" s="24" t="n">
        <v>6</v>
      </c>
      <c r="JU346" s="24" t="n">
        <v>50</v>
      </c>
      <c r="JV346" s="24" t="n">
        <v>8</v>
      </c>
      <c r="JW346" s="24" t="n">
        <f aca="false">2.94*2</f>
        <v>5.88</v>
      </c>
      <c r="JX346" s="24" t="n">
        <v>4</v>
      </c>
      <c r="JY346" s="24" t="n">
        <v>50</v>
      </c>
      <c r="JZ346" s="24" t="n">
        <v>4</v>
      </c>
      <c r="KA346" s="24" t="n">
        <v>0.76</v>
      </c>
      <c r="KB346" s="24" t="n">
        <v>6</v>
      </c>
      <c r="KC346" s="24" t="n">
        <v>80</v>
      </c>
      <c r="KD346" s="24" t="n">
        <v>8</v>
      </c>
      <c r="KE346" s="24" t="n">
        <f aca="false">0.31+0.21</f>
        <v>0.52</v>
      </c>
      <c r="KF346" s="24" t="n">
        <v>6</v>
      </c>
      <c r="LA346" s="27" t="n">
        <v>2.05</v>
      </c>
      <c r="LB346" s="27" t="n">
        <v>1</v>
      </c>
      <c r="LC346" s="27" t="n">
        <v>1</v>
      </c>
      <c r="LD346" s="27"/>
      <c r="LE346" s="27" t="n">
        <f aca="false">6.12+0.54+0.36</f>
        <v>7.02</v>
      </c>
      <c r="LF346" s="27" t="n">
        <v>2</v>
      </c>
      <c r="LG346" s="27"/>
      <c r="LH346" s="27" t="n">
        <v>6.01</v>
      </c>
      <c r="LI346" s="27"/>
      <c r="LJ346" s="27"/>
      <c r="LK346" s="27"/>
      <c r="LL346" s="27" t="n">
        <v>0.86</v>
      </c>
      <c r="LM346" s="27" t="n">
        <v>0.85</v>
      </c>
      <c r="LN346" s="27"/>
      <c r="LO346" s="27"/>
      <c r="LP346" s="27" t="n">
        <v>0</v>
      </c>
      <c r="LQ346" s="27" t="n">
        <v>0</v>
      </c>
      <c r="LR346" s="27" t="n">
        <v>0</v>
      </c>
      <c r="LS346" s="24" t="n">
        <v>0</v>
      </c>
      <c r="LT346" s="24" t="n">
        <v>100</v>
      </c>
      <c r="LU346" s="24" t="n">
        <v>29.5</v>
      </c>
      <c r="LV346" s="27" t="n">
        <v>94.9</v>
      </c>
      <c r="LW346" s="27" t="n">
        <v>83.4</v>
      </c>
      <c r="LX346" s="27" t="n">
        <v>17.6</v>
      </c>
      <c r="LY346" s="24" t="n">
        <v>85.6</v>
      </c>
      <c r="LZ346" s="24" t="n">
        <v>0</v>
      </c>
      <c r="MA346" s="24" t="n">
        <v>0</v>
      </c>
      <c r="MB346" s="24" t="n">
        <v>0</v>
      </c>
      <c r="MC346" s="24" t="n">
        <v>14.4</v>
      </c>
      <c r="MD346" s="24" t="n">
        <v>0</v>
      </c>
      <c r="ME346" s="24" t="n">
        <v>0</v>
      </c>
      <c r="MF346" s="24" t="n">
        <v>0</v>
      </c>
      <c r="MG346" s="24" t="n">
        <v>0</v>
      </c>
      <c r="MH346" s="24" t="n">
        <v>0</v>
      </c>
      <c r="MI346" s="24" t="n">
        <v>0</v>
      </c>
      <c r="MJ346" s="24" t="n">
        <v>1.95</v>
      </c>
      <c r="MK346" s="24" t="n">
        <v>9.45</v>
      </c>
      <c r="ML346" s="24" t="n">
        <v>11.24</v>
      </c>
      <c r="MM346" s="24" t="n">
        <v>36.94</v>
      </c>
      <c r="MN346" s="24" t="n">
        <v>0</v>
      </c>
      <c r="MO346" s="24" t="n">
        <v>11.5</v>
      </c>
      <c r="MP346" s="24" t="n">
        <v>1</v>
      </c>
      <c r="MQ346" s="24" t="n">
        <v>5</v>
      </c>
      <c r="MS346" s="24" t="n">
        <v>4</v>
      </c>
      <c r="NC346" s="24" t="n">
        <v>0</v>
      </c>
      <c r="ND346" s="24" t="n">
        <v>0</v>
      </c>
      <c r="NO346" s="28"/>
      <c r="OG346" s="24" t="n">
        <v>0</v>
      </c>
      <c r="PR346" s="27" t="n">
        <v>0.2</v>
      </c>
      <c r="PS346" s="27" t="n">
        <v>1</v>
      </c>
      <c r="PT346" s="27" t="n">
        <v>1</v>
      </c>
      <c r="PU346" s="27"/>
      <c r="PV346" s="27" t="n">
        <f aca="false">0.14+0.23+0.07+0.21</f>
        <v>0.65</v>
      </c>
      <c r="PW346" s="27"/>
      <c r="PX346" s="27"/>
      <c r="PY346" s="27"/>
      <c r="PZ346" s="27"/>
      <c r="QA346" s="27"/>
      <c r="QB346" s="27"/>
      <c r="QC346" s="27" t="n">
        <v>0.23</v>
      </c>
      <c r="QD346" s="27" t="n">
        <v>0.23</v>
      </c>
      <c r="QE346" s="27"/>
      <c r="QF346" s="27"/>
      <c r="QG346" s="27" t="n">
        <v>0</v>
      </c>
      <c r="QH346" s="27" t="n">
        <v>0</v>
      </c>
      <c r="QI346" s="27" t="n">
        <v>0</v>
      </c>
      <c r="QJ346" s="24" t="n">
        <v>0</v>
      </c>
      <c r="QK346" s="24" t="s">
        <v>781</v>
      </c>
      <c r="QL346" s="24" t="n">
        <v>47.5</v>
      </c>
      <c r="QM346" s="27" t="n">
        <v>49.3</v>
      </c>
      <c r="QN346" s="27" t="n">
        <v>83.4</v>
      </c>
      <c r="QO346" s="27" t="n">
        <v>35.7</v>
      </c>
      <c r="QP346" s="24" t="n">
        <v>66.48</v>
      </c>
      <c r="QQ346" s="24" t="n">
        <v>0</v>
      </c>
      <c r="QR346" s="24" t="n">
        <v>6.11</v>
      </c>
      <c r="QS346" s="24" t="n">
        <v>0</v>
      </c>
      <c r="QT346" s="24" t="n">
        <v>9.56</v>
      </c>
      <c r="QU346" s="24" t="n">
        <v>0</v>
      </c>
      <c r="QV346" s="24" t="n">
        <v>6.1</v>
      </c>
      <c r="QW346" s="24" t="n">
        <v>3.05</v>
      </c>
      <c r="QX346" s="24" t="n">
        <v>0</v>
      </c>
      <c r="QY346" s="24" t="n">
        <v>0</v>
      </c>
      <c r="QZ346" s="24" t="n">
        <v>0</v>
      </c>
      <c r="RA346" s="24" t="n">
        <v>0</v>
      </c>
      <c r="RB346" s="24" t="n">
        <v>17.78</v>
      </c>
      <c r="RC346" s="24" t="n">
        <v>9.13</v>
      </c>
      <c r="RD346" s="24" t="n">
        <v>2.7</v>
      </c>
      <c r="RE346" s="24" t="n">
        <v>11.73</v>
      </c>
      <c r="RF346" s="24" t="n">
        <v>0</v>
      </c>
      <c r="RG346" s="24" t="n">
        <v>0</v>
      </c>
      <c r="RT346" s="24" t="n">
        <v>5.7</v>
      </c>
      <c r="RU346" s="24" t="n">
        <v>1</v>
      </c>
      <c r="RV346" s="24" t="n">
        <v>30</v>
      </c>
      <c r="RW346" s="24" t="n">
        <v>10</v>
      </c>
      <c r="RX346" s="24" t="n">
        <f aca="false">0.15*2+0.16*8</f>
        <v>1.58</v>
      </c>
      <c r="RY346" s="24" t="n">
        <v>3</v>
      </c>
      <c r="SF346" s="28"/>
      <c r="SX346" s="24" t="n">
        <v>1</v>
      </c>
      <c r="SY346" s="24" t="n">
        <v>40</v>
      </c>
      <c r="SZ346" s="24" t="n">
        <v>4</v>
      </c>
      <c r="TA346" s="24" t="n">
        <v>0.6</v>
      </c>
      <c r="TB346" s="24" t="n">
        <v>2</v>
      </c>
      <c r="UI346" s="27" t="n">
        <v>0.53</v>
      </c>
      <c r="UJ346" s="27" t="n">
        <v>1</v>
      </c>
      <c r="UK346" s="27" t="n">
        <v>1</v>
      </c>
      <c r="UL346" s="27"/>
      <c r="UM346" s="27" t="n">
        <f aca="false">0.64*4+0.08</f>
        <v>2.64</v>
      </c>
      <c r="UN346" s="27"/>
      <c r="UO346" s="27"/>
      <c r="UP346" s="27"/>
      <c r="UQ346" s="27"/>
      <c r="UR346" s="27"/>
      <c r="US346" s="27"/>
      <c r="UT346" s="27" t="n">
        <v>5.06</v>
      </c>
      <c r="UU346" s="27" t="n">
        <v>1.58</v>
      </c>
      <c r="UV346" s="27"/>
      <c r="UW346" s="27"/>
      <c r="UX346" s="27" t="n">
        <v>0</v>
      </c>
      <c r="UY346" s="27" t="n">
        <v>0</v>
      </c>
      <c r="UZ346" s="27" t="n">
        <v>0</v>
      </c>
      <c r="VA346" s="24" t="n">
        <v>0</v>
      </c>
      <c r="VB346" s="24" t="s">
        <v>782</v>
      </c>
      <c r="VC346" s="24" t="n">
        <v>71</v>
      </c>
      <c r="VD346" s="27" t="n">
        <v>92</v>
      </c>
      <c r="VE346" s="27" t="n">
        <v>166.8</v>
      </c>
      <c r="VF346" s="27" t="n">
        <v>65</v>
      </c>
      <c r="VG346" s="24" t="n">
        <v>28.78</v>
      </c>
      <c r="VH346" s="24" t="n">
        <v>0</v>
      </c>
      <c r="VI346" s="24" t="n">
        <v>0</v>
      </c>
      <c r="VJ346" s="24" t="n">
        <v>0</v>
      </c>
      <c r="VK346" s="24" t="n">
        <v>2.5</v>
      </c>
      <c r="VL346" s="24" t="n">
        <v>0</v>
      </c>
      <c r="VM346" s="24" t="n">
        <v>8.54</v>
      </c>
      <c r="VN346" s="24" t="n">
        <v>0</v>
      </c>
      <c r="VO346" s="24" t="n">
        <v>0</v>
      </c>
      <c r="VP346" s="24" t="n">
        <v>2.76</v>
      </c>
      <c r="VQ346" s="24" t="n">
        <v>0</v>
      </c>
      <c r="VR346" s="24" t="n">
        <v>9.52</v>
      </c>
      <c r="VS346" s="24" t="n">
        <v>36.91</v>
      </c>
      <c r="VT346" s="24" t="n">
        <v>26.15</v>
      </c>
      <c r="VU346" s="24" t="n">
        <v>1.97</v>
      </c>
      <c r="VV346" s="24" t="n">
        <v>60.18</v>
      </c>
      <c r="VW346" s="24" t="n">
        <v>0</v>
      </c>
      <c r="VX346" s="24" t="n">
        <v>0</v>
      </c>
      <c r="WK346" s="24" t="n">
        <v>0.1</v>
      </c>
      <c r="WL346" s="24" t="n">
        <v>0</v>
      </c>
      <c r="WW346" s="28"/>
      <c r="XO346" s="24" t="n">
        <v>1</v>
      </c>
      <c r="XP346" s="24" t="n">
        <v>50</v>
      </c>
      <c r="XQ346" s="24" t="n">
        <v>4</v>
      </c>
      <c r="XR346" s="24" t="n">
        <f aca="false">0.37*4</f>
        <v>1.48</v>
      </c>
      <c r="XS346" s="24" t="n">
        <v>3</v>
      </c>
      <c r="XT346" s="24" t="n">
        <v>40</v>
      </c>
      <c r="XU346" s="24" t="n">
        <v>6</v>
      </c>
      <c r="XV346" s="24" t="n">
        <v>2.2</v>
      </c>
      <c r="XW346" s="24" t="n">
        <v>3</v>
      </c>
      <c r="XX346" s="24" t="n">
        <v>50</v>
      </c>
      <c r="XY346" s="24" t="n">
        <v>1</v>
      </c>
      <c r="XZ346" s="24" t="n">
        <v>0.06</v>
      </c>
      <c r="YA346" s="24" t="n">
        <v>1</v>
      </c>
      <c r="YB346" s="24" t="n">
        <v>60</v>
      </c>
      <c r="YC346" s="24" t="n">
        <v>3</v>
      </c>
      <c r="YD346" s="24" t="n">
        <v>0.19</v>
      </c>
      <c r="YE346" s="24" t="n">
        <v>4</v>
      </c>
      <c r="YZ346" s="27" t="n">
        <v>1.11</v>
      </c>
      <c r="ZA346" s="27" t="n">
        <v>1</v>
      </c>
      <c r="ZB346" s="27" t="n">
        <v>1</v>
      </c>
      <c r="ZC346" s="27"/>
      <c r="ZD346" s="27" t="n">
        <f aca="false">0.51*2+0.09+0.15*2+1.65+0.18+0.72</f>
        <v>3.96</v>
      </c>
      <c r="ZE346" s="27"/>
      <c r="ZF346" s="27"/>
      <c r="ZG346" s="27"/>
      <c r="ZH346" s="27"/>
      <c r="ZI346" s="27"/>
      <c r="ZJ346" s="27"/>
      <c r="ZK346" s="27" t="n">
        <v>1.95</v>
      </c>
      <c r="ZL346" s="27" t="n">
        <v>1.96</v>
      </c>
      <c r="ZM346" s="27"/>
      <c r="ZN346" s="27"/>
      <c r="ZO346" s="27" t="n">
        <v>2.88</v>
      </c>
      <c r="ZP346" s="27" t="n">
        <v>0</v>
      </c>
      <c r="ZQ346" s="27" t="n">
        <v>0</v>
      </c>
      <c r="ZR346" s="24" t="n">
        <v>2</v>
      </c>
      <c r="ZS346" s="24" t="s">
        <v>783</v>
      </c>
      <c r="ZT346" s="24" t="n">
        <v>35</v>
      </c>
      <c r="ZU346" s="27" t="n">
        <v>89.3</v>
      </c>
      <c r="ZV346" s="27" t="n">
        <v>83.4</v>
      </c>
      <c r="ZW346" s="27" t="n">
        <v>12.6</v>
      </c>
      <c r="ZX346" s="24" t="n">
        <v>87.93</v>
      </c>
      <c r="ZY346" s="24" t="n">
        <v>0</v>
      </c>
      <c r="ZZ346" s="24" t="n">
        <v>0</v>
      </c>
      <c r="AAA346" s="24" t="n">
        <v>1.49</v>
      </c>
      <c r="AAB346" s="24" t="n">
        <v>10.58</v>
      </c>
      <c r="AAC346" s="24" t="n">
        <v>0</v>
      </c>
      <c r="AAD346" s="24" t="n">
        <v>0</v>
      </c>
      <c r="AAE346" s="24" t="n">
        <v>0</v>
      </c>
      <c r="AAF346" s="24" t="n">
        <v>0</v>
      </c>
      <c r="AAG346" s="24" t="n">
        <v>0</v>
      </c>
      <c r="AAH346" s="24" t="n">
        <v>0</v>
      </c>
      <c r="AAI346" s="24" t="n">
        <v>0.17</v>
      </c>
      <c r="AAJ346" s="24" t="n">
        <v>38.78</v>
      </c>
      <c r="AAK346" s="24" t="n">
        <v>29.47</v>
      </c>
      <c r="AAL346" s="24" t="n">
        <v>0</v>
      </c>
      <c r="AAM346" s="24" t="n">
        <v>0</v>
      </c>
      <c r="AAN346" s="24" t="n">
        <v>4</v>
      </c>
      <c r="AAO346" s="24" t="n">
        <v>1</v>
      </c>
      <c r="AAP346" s="24" t="n">
        <v>3</v>
      </c>
      <c r="AAR346" s="24" t="n">
        <v>4</v>
      </c>
      <c r="ABB346" s="24" t="n">
        <v>9.7</v>
      </c>
      <c r="ABC346" s="24" t="n">
        <v>1</v>
      </c>
      <c r="ABD346" s="24" t="n">
        <v>68</v>
      </c>
      <c r="ABE346" s="24" t="n">
        <v>1</v>
      </c>
      <c r="ABF346" s="24" t="n">
        <v>0.02</v>
      </c>
      <c r="ABG346" s="24" t="n">
        <v>1</v>
      </c>
      <c r="ABH346" s="24" t="n">
        <v>35</v>
      </c>
      <c r="ABI346" s="24" t="n">
        <v>10</v>
      </c>
      <c r="ABJ346" s="24" t="n">
        <f aca="false">0.22*2+0.43*2+0.65+0.04+0.02+0.08</f>
        <v>2.09</v>
      </c>
      <c r="ABK346" s="24" t="n">
        <v>3</v>
      </c>
      <c r="ABN346" s="28"/>
      <c r="ACF346" s="24" t="n">
        <v>1</v>
      </c>
      <c r="ACG346" s="24" t="n">
        <v>50</v>
      </c>
      <c r="ACH346" s="24" t="n">
        <f aca="false">4*3+3*4</f>
        <v>24</v>
      </c>
      <c r="ACI346" s="24" t="n">
        <f aca="false">0.07+0.25+0.11+0.65+1.3+15</f>
        <v>17.38</v>
      </c>
      <c r="ACJ346" s="24" t="n">
        <v>1</v>
      </c>
      <c r="ACK346" s="24" t="n">
        <v>40</v>
      </c>
      <c r="ACL346" s="24" t="n">
        <v>18</v>
      </c>
      <c r="ACM346" s="24" t="n">
        <f aca="false">0.87+0.17+0.08+0.34+1.73+0.43+0.87+0.07</f>
        <v>4.56</v>
      </c>
      <c r="ACN346" s="24" t="n">
        <v>1</v>
      </c>
      <c r="ACO346" s="24" t="n">
        <v>40</v>
      </c>
      <c r="ACP346" s="24" t="n">
        <v>2</v>
      </c>
      <c r="ACQ346" s="24" t="n">
        <v>0.12</v>
      </c>
      <c r="ACR346" s="24" t="n">
        <v>5</v>
      </c>
      <c r="ACS346" s="24" t="n">
        <v>50</v>
      </c>
      <c r="ACT346" s="24" t="n">
        <v>1</v>
      </c>
      <c r="ACU346" s="24" t="n">
        <v>0.22</v>
      </c>
      <c r="ACV346" s="24" t="n">
        <v>6</v>
      </c>
      <c r="ACW346" s="24" t="n">
        <v>40</v>
      </c>
      <c r="ACX346" s="24" t="n">
        <v>3</v>
      </c>
      <c r="ACY346" s="24" t="n">
        <v>0.16</v>
      </c>
      <c r="ACZ346" s="24" t="n">
        <v>6</v>
      </c>
      <c r="ADQ346" s="27" t="n">
        <v>0.68</v>
      </c>
      <c r="ADR346" s="27" t="n">
        <v>1</v>
      </c>
      <c r="ADS346" s="27" t="n">
        <v>1</v>
      </c>
      <c r="ADT346" s="27"/>
      <c r="ADU346" s="27" t="n">
        <f aca="false">0.34+0.91+1.8+0.08+0.3</f>
        <v>3.43</v>
      </c>
      <c r="ADV346" s="27"/>
      <c r="ADW346" s="27"/>
      <c r="ADX346" s="27"/>
      <c r="ADY346" s="27"/>
      <c r="ADZ346" s="27"/>
      <c r="AEA346" s="27"/>
      <c r="AEB346" s="27" t="n">
        <v>7.83</v>
      </c>
      <c r="AEC346" s="27" t="n">
        <v>8.68</v>
      </c>
      <c r="AED346" s="27"/>
      <c r="AEE346" s="27"/>
      <c r="AEF346" s="27" t="n">
        <v>0</v>
      </c>
      <c r="AEG346" s="27" t="n">
        <v>0</v>
      </c>
      <c r="AEH346" s="27" t="n">
        <v>0</v>
      </c>
      <c r="AEI346" s="24" t="n">
        <v>0</v>
      </c>
      <c r="AEJ346" s="24" t="s">
        <v>784</v>
      </c>
      <c r="AEK346" s="24" t="n">
        <v>38</v>
      </c>
      <c r="AEL346" s="27" t="n">
        <v>92.6</v>
      </c>
      <c r="AEM346" s="27" t="n">
        <v>83.4</v>
      </c>
      <c r="AEN346" s="27" t="n">
        <v>16.5</v>
      </c>
      <c r="AEO346" s="24" t="n">
        <v>77.87</v>
      </c>
      <c r="AEP346" s="24" t="n">
        <v>0</v>
      </c>
      <c r="AEQ346" s="24" t="n">
        <v>0</v>
      </c>
      <c r="AER346" s="24" t="n">
        <v>0</v>
      </c>
      <c r="AES346" s="24" t="n">
        <v>21.87</v>
      </c>
      <c r="AET346" s="24" t="n">
        <v>0</v>
      </c>
      <c r="AEU346" s="24" t="n">
        <v>0</v>
      </c>
      <c r="AEV346" s="24" t="n">
        <v>0</v>
      </c>
      <c r="AEW346" s="24" t="n">
        <v>0</v>
      </c>
      <c r="AEX346" s="24" t="n">
        <v>0</v>
      </c>
      <c r="AEY346" s="24" t="n">
        <v>0</v>
      </c>
      <c r="AEZ346" s="24" t="n">
        <v>0.29</v>
      </c>
      <c r="AFA346" s="24" t="n">
        <v>38.85</v>
      </c>
      <c r="AFB346" s="24" t="n">
        <v>37.36</v>
      </c>
      <c r="AFC346" s="24" t="n">
        <v>5.57</v>
      </c>
      <c r="AFD346" s="24" t="n">
        <v>0</v>
      </c>
      <c r="AFE346" s="24" t="n">
        <v>0</v>
      </c>
      <c r="AFF346" s="24" t="n">
        <v>0</v>
      </c>
      <c r="AFS346" s="24" t="n">
        <v>17.5</v>
      </c>
      <c r="AFT346" s="24" t="n">
        <v>0</v>
      </c>
      <c r="AGE346" s="28"/>
      <c r="AGW346" s="24" t="n">
        <v>1</v>
      </c>
      <c r="AGX346" s="24" t="n">
        <v>70</v>
      </c>
      <c r="AGY346" s="24" t="n">
        <f aca="false">8*3+3</f>
        <v>27</v>
      </c>
      <c r="AGZ346" s="24" t="n">
        <f aca="false">5.87*3+0.58</f>
        <v>18.19</v>
      </c>
      <c r="AHA346" s="24" t="n">
        <v>1</v>
      </c>
      <c r="AIH346" s="27" t="n">
        <v>3.74</v>
      </c>
      <c r="AII346" s="27" t="n">
        <v>1</v>
      </c>
      <c r="AIJ346" s="27" t="n">
        <v>1</v>
      </c>
      <c r="AIK346" s="27"/>
      <c r="AIL346" s="27" t="n">
        <f aca="false">1.65+2.04*2+0.36*2+0.54</f>
        <v>6.99</v>
      </c>
      <c r="AIM346" s="27" t="n">
        <v>2</v>
      </c>
      <c r="AIN346" s="27"/>
      <c r="AIO346" s="27" t="n">
        <v>0.91</v>
      </c>
      <c r="AIP346" s="27"/>
      <c r="AIQ346" s="27"/>
      <c r="AIR346" s="27"/>
      <c r="AIS346" s="27" t="n">
        <v>0.19</v>
      </c>
      <c r="AIT346" s="27" t="n">
        <v>0.19</v>
      </c>
      <c r="AIU346" s="27"/>
      <c r="AIV346" s="27"/>
      <c r="AIW346" s="27" t="n">
        <v>0</v>
      </c>
      <c r="AIX346" s="27" t="n">
        <v>0</v>
      </c>
      <c r="AIY346" s="27" t="n">
        <v>0</v>
      </c>
      <c r="AIZ346" s="24" t="n">
        <v>0</v>
      </c>
      <c r="AJA346" s="24" t="s">
        <v>785</v>
      </c>
      <c r="AJB346" s="24" t="n">
        <v>37.5</v>
      </c>
      <c r="AJC346" s="27" t="n">
        <v>94.9</v>
      </c>
      <c r="AJD346" s="27" t="n">
        <v>83.4</v>
      </c>
      <c r="AJE346" s="27" t="n">
        <v>16</v>
      </c>
      <c r="AJF346" s="24" t="n">
        <v>79.43</v>
      </c>
      <c r="AJG346" s="24" t="n">
        <v>0</v>
      </c>
      <c r="AJH346" s="24" t="n">
        <v>0</v>
      </c>
      <c r="AJI346" s="24" t="n">
        <v>0</v>
      </c>
      <c r="AJJ346" s="24" t="n">
        <v>20.31</v>
      </c>
      <c r="AJK346" s="24" t="n">
        <v>0</v>
      </c>
      <c r="AJL346" s="24" t="n">
        <v>0</v>
      </c>
      <c r="AJM346" s="24" t="n">
        <v>0</v>
      </c>
      <c r="AJN346" s="24" t="n">
        <v>0</v>
      </c>
      <c r="AJO346" s="24" t="n">
        <v>0</v>
      </c>
      <c r="AJP346" s="24" t="n">
        <v>0</v>
      </c>
      <c r="AJQ346" s="24" t="n">
        <v>0.29</v>
      </c>
      <c r="AJR346" s="24" t="n">
        <v>37.58</v>
      </c>
      <c r="AJS346" s="24" t="n">
        <v>37.76</v>
      </c>
      <c r="AJT346" s="24" t="n">
        <v>5.57</v>
      </c>
      <c r="AJU346" s="24" t="n">
        <v>0</v>
      </c>
      <c r="AJV346" s="24" t="n">
        <v>0</v>
      </c>
      <c r="AJW346" s="24" t="n">
        <v>0</v>
      </c>
      <c r="AKJ346" s="24" t="n">
        <v>17.5</v>
      </c>
      <c r="AKK346" s="24" t="n">
        <v>0</v>
      </c>
      <c r="AKV346" s="28"/>
      <c r="ALN346" s="24" t="n">
        <v>1</v>
      </c>
      <c r="ALO346" s="24" t="n">
        <v>71</v>
      </c>
      <c r="ALP346" s="24" t="n">
        <f aca="false">8*3+3</f>
        <v>27</v>
      </c>
      <c r="ALQ346" s="24" t="n">
        <f aca="false">5.87*3+0.58</f>
        <v>18.19</v>
      </c>
      <c r="ALR346" s="24" t="n">
        <v>2</v>
      </c>
    </row>
    <row r="347" customFormat="false" ht="13.8" hidden="false" customHeight="false" outlineLevel="0" collapsed="false">
      <c r="A347" s="1" t="s">
        <v>937</v>
      </c>
      <c r="B347" s="12" t="n">
        <v>42926</v>
      </c>
      <c r="C347" s="0" t="n">
        <v>2</v>
      </c>
      <c r="D347" s="13" t="n">
        <v>42797</v>
      </c>
      <c r="E347" s="12" t="n">
        <v>34919</v>
      </c>
      <c r="F347" s="14" t="n">
        <f aca="false">(B347-E347)/365.25</f>
        <v>21.9219712525667</v>
      </c>
      <c r="G347" s="14" t="n">
        <f aca="false">(B347-D347)/365.25</f>
        <v>0.353182751540041</v>
      </c>
      <c r="H347" s="19" t="s">
        <v>306</v>
      </c>
      <c r="I347" s="15" t="s">
        <v>777</v>
      </c>
      <c r="J347" s="21" t="s">
        <v>181</v>
      </c>
      <c r="K347" s="21" t="s">
        <v>913</v>
      </c>
      <c r="L347" s="19" t="n">
        <v>65</v>
      </c>
      <c r="M347" s="0" t="n">
        <v>1.74</v>
      </c>
      <c r="N347" s="16" t="n">
        <f aca="false">L347/(M347*M347)</f>
        <v>21.4691504822301</v>
      </c>
      <c r="O347" s="19" t="n">
        <v>0</v>
      </c>
      <c r="P347" s="19" t="n">
        <v>0</v>
      </c>
      <c r="Q347" s="19" t="n">
        <v>0</v>
      </c>
      <c r="R347" s="26" t="n">
        <v>0</v>
      </c>
      <c r="S347" s="26" t="n">
        <v>0</v>
      </c>
      <c r="T347" s="26" t="n">
        <v>0</v>
      </c>
      <c r="U347" s="19" t="n">
        <v>1</v>
      </c>
      <c r="V347" s="19" t="n">
        <v>9</v>
      </c>
      <c r="W347" s="19" t="n">
        <v>0</v>
      </c>
      <c r="X347" s="19" t="n">
        <v>0</v>
      </c>
      <c r="Y347" s="19" t="n">
        <v>0</v>
      </c>
      <c r="Z347" s="19" t="n">
        <v>0</v>
      </c>
      <c r="AA347" s="19" t="n">
        <v>0</v>
      </c>
      <c r="AB347" s="19" t="n">
        <v>0</v>
      </c>
      <c r="AC347" s="19" t="n">
        <v>1</v>
      </c>
      <c r="AD347" s="19" t="n">
        <v>10</v>
      </c>
      <c r="AE347" s="19" t="n">
        <v>1</v>
      </c>
      <c r="AF347" s="19" t="n">
        <v>0</v>
      </c>
      <c r="AG347" s="19" t="n">
        <v>0</v>
      </c>
      <c r="AH347" s="19" t="n">
        <v>0</v>
      </c>
      <c r="AI347" s="19" t="n">
        <v>3</v>
      </c>
      <c r="AJ347" s="19" t="n">
        <v>0</v>
      </c>
      <c r="AK347" s="19" t="n">
        <v>0</v>
      </c>
      <c r="AL347" s="19" t="n">
        <v>0</v>
      </c>
      <c r="AM347" s="19" t="n">
        <v>0</v>
      </c>
      <c r="AN347" s="19" t="n">
        <v>0</v>
      </c>
      <c r="AO347" s="19" t="n">
        <v>0</v>
      </c>
      <c r="AP347" s="19" t="n">
        <v>0</v>
      </c>
      <c r="AQ347" s="19" t="n">
        <v>0</v>
      </c>
      <c r="AR347" s="19" t="n">
        <v>0</v>
      </c>
      <c r="AS347" s="19" t="n">
        <v>3</v>
      </c>
      <c r="AT347" s="19" t="n">
        <v>0</v>
      </c>
      <c r="AU347" s="19" t="n">
        <v>0</v>
      </c>
      <c r="AV347" s="19" t="n">
        <v>0</v>
      </c>
      <c r="AW347" s="19" t="n">
        <v>0</v>
      </c>
      <c r="AX347" s="19" t="n">
        <v>1</v>
      </c>
      <c r="AY347" s="19" t="n">
        <v>0</v>
      </c>
      <c r="AZ347" s="19" t="n">
        <v>0</v>
      </c>
      <c r="BA347" s="19" t="n">
        <v>0</v>
      </c>
      <c r="BB347" s="19" t="n">
        <v>0</v>
      </c>
      <c r="BC347" s="19" t="n">
        <v>0</v>
      </c>
      <c r="BD347" s="19" t="n">
        <v>0</v>
      </c>
      <c r="BE347" s="19" t="n">
        <v>0</v>
      </c>
      <c r="BF347" s="19" t="n">
        <v>0</v>
      </c>
      <c r="BG347" s="19" t="n">
        <v>0</v>
      </c>
      <c r="BH347" s="19" t="n">
        <v>0</v>
      </c>
      <c r="BI347" s="19" t="n">
        <v>0</v>
      </c>
      <c r="BJ347" s="19" t="n">
        <v>1</v>
      </c>
      <c r="BK347" s="19" t="n">
        <v>0</v>
      </c>
      <c r="BL347" s="19" t="n">
        <v>0</v>
      </c>
      <c r="BM347" s="19" t="n">
        <v>0</v>
      </c>
      <c r="BN347" s="19" t="n">
        <v>0</v>
      </c>
      <c r="BO347" s="19" t="n">
        <v>0</v>
      </c>
      <c r="BP347" s="19" t="n">
        <v>0</v>
      </c>
      <c r="BQ347" s="19" t="n">
        <v>0</v>
      </c>
      <c r="BR347" s="19" t="n">
        <v>2</v>
      </c>
      <c r="BS347" s="19" t="n">
        <v>2</v>
      </c>
      <c r="BT347" s="19" t="n">
        <v>4</v>
      </c>
      <c r="BU347" s="19" t="n">
        <v>5</v>
      </c>
      <c r="BV347" s="19" t="n">
        <v>2</v>
      </c>
      <c r="BW347" s="19" t="n">
        <v>1</v>
      </c>
      <c r="BX347" s="19" t="n">
        <v>4</v>
      </c>
      <c r="BY347" s="19" t="n">
        <v>3</v>
      </c>
      <c r="BZ347" s="19" t="n">
        <v>5</v>
      </c>
      <c r="CA347" s="19" t="n">
        <v>3</v>
      </c>
      <c r="CB347" s="19" t="n">
        <v>3</v>
      </c>
      <c r="CC347" s="19" t="n">
        <v>5</v>
      </c>
      <c r="CD347" s="19" t="n">
        <v>3</v>
      </c>
      <c r="CE347" s="19" t="n">
        <v>3</v>
      </c>
      <c r="CF347" s="19" t="n">
        <v>4</v>
      </c>
      <c r="CG347" s="19" t="n">
        <v>4</v>
      </c>
      <c r="CH347" s="19" t="n">
        <v>4</v>
      </c>
      <c r="CI347" s="19" t="n">
        <v>4</v>
      </c>
      <c r="CJ347" s="19" t="n">
        <v>4</v>
      </c>
      <c r="CK347" s="19" t="n">
        <v>8</v>
      </c>
      <c r="CL347" s="24" t="s">
        <v>780</v>
      </c>
      <c r="CM347" s="24" t="n">
        <v>46</v>
      </c>
      <c r="CN347" s="27" t="n">
        <v>101.6</v>
      </c>
      <c r="CO347" s="27" t="n">
        <v>83.4</v>
      </c>
      <c r="CP347" s="27" t="n">
        <v>27.8</v>
      </c>
      <c r="CQ347" s="24" t="n">
        <v>66.04</v>
      </c>
      <c r="CR347" s="24" t="n">
        <v>0</v>
      </c>
      <c r="CS347" s="24" t="n">
        <v>0</v>
      </c>
      <c r="CT347" s="24" t="n">
        <v>0</v>
      </c>
      <c r="CU347" s="24" t="n">
        <v>35.15</v>
      </c>
      <c r="CV347" s="24" t="n">
        <v>0</v>
      </c>
      <c r="CW347" s="24" t="n">
        <v>0</v>
      </c>
      <c r="CX347" s="24" t="n">
        <v>0</v>
      </c>
      <c r="CY347" s="24" t="n">
        <v>0</v>
      </c>
      <c r="CZ347" s="24" t="n">
        <v>0</v>
      </c>
      <c r="DA347" s="24" t="n">
        <v>0</v>
      </c>
      <c r="DB347" s="24" t="n">
        <v>43.27</v>
      </c>
      <c r="DC347" s="24" t="n">
        <v>65.02</v>
      </c>
      <c r="DD347" s="24" t="n">
        <v>6.59</v>
      </c>
      <c r="DE347" s="24" t="n">
        <v>0.88</v>
      </c>
      <c r="DF347" s="24" t="n">
        <v>0.16</v>
      </c>
      <c r="DG347" s="24" t="n">
        <v>0</v>
      </c>
      <c r="DH347" s="24" t="n">
        <v>0</v>
      </c>
      <c r="DI347" s="24"/>
      <c r="DJ347" s="24"/>
      <c r="DK347" s="24"/>
      <c r="DL347" s="24"/>
      <c r="DM347" s="24"/>
      <c r="DN347" s="24"/>
      <c r="DO347" s="24"/>
      <c r="DP347" s="24"/>
      <c r="DQ347" s="24"/>
      <c r="DR347" s="24"/>
      <c r="DS347" s="24"/>
      <c r="DT347" s="24"/>
      <c r="DU347" s="24" t="n">
        <v>14.9</v>
      </c>
      <c r="DV347" s="24" t="n">
        <v>1</v>
      </c>
      <c r="DW347" s="24" t="n">
        <v>30</v>
      </c>
      <c r="DX347" s="24" t="n">
        <v>1</v>
      </c>
      <c r="DY347" s="24" t="n">
        <v>0.73</v>
      </c>
      <c r="DZ347" s="24" t="n">
        <v>1</v>
      </c>
      <c r="EA347" s="24" t="n">
        <v>47</v>
      </c>
      <c r="EB347" s="24" t="n">
        <v>1</v>
      </c>
      <c r="EC347" s="24" t="n">
        <v>0.11</v>
      </c>
      <c r="ED347" s="24" t="n">
        <v>3</v>
      </c>
      <c r="EG347" s="28"/>
      <c r="EY347" s="24" t="n">
        <v>1</v>
      </c>
      <c r="EZ347" s="24" t="n">
        <v>60</v>
      </c>
      <c r="FA347" s="24" t="n">
        <v>4</v>
      </c>
      <c r="FB347" s="24" t="n">
        <v>1.68</v>
      </c>
      <c r="FC347" s="24" t="n">
        <v>6</v>
      </c>
      <c r="FD347" s="24" t="n">
        <v>50</v>
      </c>
      <c r="FE347" s="24" t="n">
        <v>8</v>
      </c>
      <c r="FF347" s="24" t="n">
        <f aca="false">2.94*2</f>
        <v>5.88</v>
      </c>
      <c r="FG347" s="24" t="n">
        <v>4</v>
      </c>
      <c r="FH347" s="24" t="n">
        <v>50</v>
      </c>
      <c r="FI347" s="24" t="n">
        <v>4</v>
      </c>
      <c r="FJ347" s="24" t="n">
        <v>0.76</v>
      </c>
      <c r="FK347" s="24" t="n">
        <v>6</v>
      </c>
      <c r="FL347" s="24" t="n">
        <v>80</v>
      </c>
      <c r="FM347" s="24" t="n">
        <v>8</v>
      </c>
      <c r="FN347" s="24" t="n">
        <f aca="false">0.31+0.21</f>
        <v>0.52</v>
      </c>
      <c r="FO347" s="24" t="n">
        <v>6</v>
      </c>
      <c r="GJ347" s="27" t="n">
        <v>2.05</v>
      </c>
      <c r="GK347" s="27" t="n">
        <v>1</v>
      </c>
      <c r="GL347" s="27" t="n">
        <v>1</v>
      </c>
      <c r="GM347" s="27"/>
      <c r="GN347" s="27" t="n">
        <f aca="false">6.12+0.54+0.36</f>
        <v>7.02</v>
      </c>
      <c r="GO347" s="27" t="n">
        <v>2</v>
      </c>
      <c r="GP347" s="27"/>
      <c r="GQ347" s="27" t="n">
        <v>6.01</v>
      </c>
      <c r="GR347" s="27"/>
      <c r="GS347" s="27"/>
      <c r="GT347" s="27"/>
      <c r="GU347" s="27" t="n">
        <v>0.86</v>
      </c>
      <c r="GV347" s="27" t="n">
        <v>0.85</v>
      </c>
      <c r="GW347" s="27"/>
      <c r="GX347" s="27"/>
      <c r="GY347" s="27" t="n">
        <v>0</v>
      </c>
      <c r="GZ347" s="27" t="n">
        <v>0</v>
      </c>
      <c r="HA347" s="27" t="n">
        <v>0</v>
      </c>
      <c r="HB347" s="24" t="n">
        <v>0</v>
      </c>
      <c r="HC347" s="24" t="n">
        <v>100</v>
      </c>
      <c r="HD347" s="24" t="n">
        <v>29.5</v>
      </c>
      <c r="HE347" s="27" t="n">
        <v>94.9</v>
      </c>
      <c r="HF347" s="27" t="n">
        <v>83.4</v>
      </c>
      <c r="HG347" s="27" t="n">
        <v>17.6</v>
      </c>
      <c r="HH347" s="24" t="n">
        <v>85.6</v>
      </c>
      <c r="HI347" s="24" t="n">
        <v>0</v>
      </c>
      <c r="HJ347" s="24" t="n">
        <v>0</v>
      </c>
      <c r="HK347" s="24" t="n">
        <v>0</v>
      </c>
      <c r="HL347" s="24" t="n">
        <v>14.4</v>
      </c>
      <c r="HM347" s="24" t="n">
        <v>0</v>
      </c>
      <c r="HN347" s="24" t="n">
        <v>0</v>
      </c>
      <c r="HO347" s="24" t="n">
        <v>0</v>
      </c>
      <c r="HP347" s="24" t="n">
        <v>0</v>
      </c>
      <c r="HQ347" s="24" t="n">
        <v>0</v>
      </c>
      <c r="HR347" s="24" t="n">
        <v>0</v>
      </c>
      <c r="HS347" s="24" t="n">
        <v>1.95</v>
      </c>
      <c r="HT347" s="24" t="n">
        <v>9.45</v>
      </c>
      <c r="HU347" s="24" t="n">
        <v>11.24</v>
      </c>
      <c r="HV347" s="24" t="n">
        <v>36.94</v>
      </c>
      <c r="HW347" s="24" t="n">
        <v>0</v>
      </c>
      <c r="HX347" s="24" t="n">
        <v>11.5</v>
      </c>
      <c r="HY347" s="24" t="n">
        <v>1</v>
      </c>
      <c r="HZ347" s="24" t="n">
        <v>5</v>
      </c>
      <c r="IB347" s="24" t="n">
        <v>4</v>
      </c>
      <c r="IL347" s="24" t="n">
        <v>0</v>
      </c>
      <c r="IM347" s="24" t="n">
        <v>0</v>
      </c>
      <c r="IX347" s="28"/>
      <c r="JP347" s="24" t="n">
        <v>0</v>
      </c>
      <c r="LA347" s="27" t="n">
        <v>0.2</v>
      </c>
      <c r="LB347" s="27" t="n">
        <v>1</v>
      </c>
      <c r="LC347" s="27" t="n">
        <v>1</v>
      </c>
      <c r="LD347" s="27"/>
      <c r="LE347" s="27" t="n">
        <f aca="false">0.14+0.23+0.07+0.21</f>
        <v>0.65</v>
      </c>
      <c r="LF347" s="27"/>
      <c r="LG347" s="27"/>
      <c r="LH347" s="27"/>
      <c r="LI347" s="27"/>
      <c r="LJ347" s="27"/>
      <c r="LK347" s="27"/>
      <c r="LL347" s="27" t="n">
        <v>0.23</v>
      </c>
      <c r="LM347" s="27" t="n">
        <v>0.23</v>
      </c>
      <c r="LN347" s="27"/>
      <c r="LO347" s="27"/>
      <c r="LP347" s="27" t="n">
        <v>0</v>
      </c>
      <c r="LQ347" s="27" t="n">
        <v>0</v>
      </c>
      <c r="LR347" s="27" t="n">
        <v>0</v>
      </c>
      <c r="LS347" s="24" t="n">
        <v>0</v>
      </c>
      <c r="LT347" s="24" t="s">
        <v>781</v>
      </c>
      <c r="LU347" s="24" t="n">
        <v>47.5</v>
      </c>
      <c r="LV347" s="27" t="n">
        <v>49.3</v>
      </c>
      <c r="LW347" s="27" t="n">
        <v>83.4</v>
      </c>
      <c r="LX347" s="27" t="n">
        <v>35.7</v>
      </c>
      <c r="LY347" s="24" t="n">
        <v>66.48</v>
      </c>
      <c r="LZ347" s="24" t="n">
        <v>0</v>
      </c>
      <c r="MA347" s="24" t="n">
        <v>6.11</v>
      </c>
      <c r="MB347" s="24" t="n">
        <v>0</v>
      </c>
      <c r="MC347" s="24" t="n">
        <v>9.56</v>
      </c>
      <c r="MD347" s="24" t="n">
        <v>0</v>
      </c>
      <c r="ME347" s="24" t="n">
        <v>6.1</v>
      </c>
      <c r="MF347" s="24" t="n">
        <v>3.05</v>
      </c>
      <c r="MG347" s="24" t="n">
        <v>0</v>
      </c>
      <c r="MH347" s="24" t="n">
        <v>0</v>
      </c>
      <c r="MI347" s="24" t="n">
        <v>0</v>
      </c>
      <c r="MJ347" s="24" t="n">
        <v>0</v>
      </c>
      <c r="MK347" s="24" t="n">
        <v>17.78</v>
      </c>
      <c r="ML347" s="24" t="n">
        <v>9.13</v>
      </c>
      <c r="MM347" s="24" t="n">
        <v>2.7</v>
      </c>
      <c r="MN347" s="24" t="n">
        <v>11.73</v>
      </c>
      <c r="MO347" s="24" t="n">
        <v>0</v>
      </c>
      <c r="MP347" s="24" t="n">
        <v>0</v>
      </c>
      <c r="NC347" s="24" t="n">
        <v>5.7</v>
      </c>
      <c r="ND347" s="24" t="n">
        <v>1</v>
      </c>
      <c r="NE347" s="24" t="n">
        <v>30</v>
      </c>
      <c r="NF347" s="24" t="n">
        <v>10</v>
      </c>
      <c r="NG347" s="24" t="n">
        <f aca="false">0.15*2+0.16*8</f>
        <v>1.58</v>
      </c>
      <c r="NH347" s="24" t="n">
        <v>3</v>
      </c>
      <c r="NO347" s="28"/>
      <c r="OG347" s="24" t="n">
        <v>1</v>
      </c>
      <c r="OH347" s="24" t="n">
        <v>40</v>
      </c>
      <c r="OI347" s="24" t="n">
        <v>4</v>
      </c>
      <c r="OJ347" s="24" t="n">
        <v>0.6</v>
      </c>
      <c r="OK347" s="24" t="n">
        <v>2</v>
      </c>
      <c r="PR347" s="27" t="n">
        <v>0.53</v>
      </c>
      <c r="PS347" s="27" t="n">
        <v>1</v>
      </c>
      <c r="PT347" s="27" t="n">
        <v>1</v>
      </c>
      <c r="PU347" s="27"/>
      <c r="PV347" s="27" t="n">
        <f aca="false">0.64*4+0.08</f>
        <v>2.64</v>
      </c>
      <c r="PW347" s="27"/>
      <c r="PX347" s="27"/>
      <c r="PY347" s="27"/>
      <c r="PZ347" s="27"/>
      <c r="QA347" s="27"/>
      <c r="QB347" s="27"/>
      <c r="QC347" s="27" t="n">
        <v>5.06</v>
      </c>
      <c r="QD347" s="27" t="n">
        <v>1.58</v>
      </c>
      <c r="QE347" s="27"/>
      <c r="QF347" s="27"/>
      <c r="QG347" s="27" t="n">
        <v>0</v>
      </c>
      <c r="QH347" s="27" t="n">
        <v>0</v>
      </c>
      <c r="QI347" s="27" t="n">
        <v>0</v>
      </c>
      <c r="QJ347" s="24" t="n">
        <v>0</v>
      </c>
      <c r="QK347" s="24" t="s">
        <v>782</v>
      </c>
      <c r="QL347" s="24" t="n">
        <v>71</v>
      </c>
      <c r="QM347" s="27" t="n">
        <v>92</v>
      </c>
      <c r="QN347" s="27" t="n">
        <v>166.8</v>
      </c>
      <c r="QO347" s="27" t="n">
        <v>65</v>
      </c>
      <c r="QP347" s="24" t="n">
        <v>28.78</v>
      </c>
      <c r="QQ347" s="24" t="n">
        <v>0</v>
      </c>
      <c r="QR347" s="24" t="n">
        <v>0</v>
      </c>
      <c r="QS347" s="24" t="n">
        <v>0</v>
      </c>
      <c r="QT347" s="24" t="n">
        <v>2.5</v>
      </c>
      <c r="QU347" s="24" t="n">
        <v>0</v>
      </c>
      <c r="QV347" s="24" t="n">
        <v>8.54</v>
      </c>
      <c r="QW347" s="24" t="n">
        <v>0</v>
      </c>
      <c r="QX347" s="24" t="n">
        <v>0</v>
      </c>
      <c r="QY347" s="24" t="n">
        <v>2.76</v>
      </c>
      <c r="QZ347" s="24" t="n">
        <v>0</v>
      </c>
      <c r="RA347" s="24" t="n">
        <v>9.52</v>
      </c>
      <c r="RB347" s="24" t="n">
        <v>36.91</v>
      </c>
      <c r="RC347" s="24" t="n">
        <v>26.15</v>
      </c>
      <c r="RD347" s="24" t="n">
        <v>1.97</v>
      </c>
      <c r="RE347" s="24" t="n">
        <v>60.18</v>
      </c>
      <c r="RF347" s="24" t="n">
        <v>0</v>
      </c>
      <c r="RG347" s="24" t="n">
        <v>0</v>
      </c>
      <c r="RT347" s="24" t="n">
        <v>0.1</v>
      </c>
      <c r="RU347" s="24" t="n">
        <v>0</v>
      </c>
      <c r="SF347" s="28"/>
      <c r="SX347" s="24" t="n">
        <v>1</v>
      </c>
      <c r="SY347" s="24" t="n">
        <v>50</v>
      </c>
      <c r="SZ347" s="24" t="n">
        <v>4</v>
      </c>
      <c r="TA347" s="24" t="n">
        <f aca="false">0.37*4</f>
        <v>1.48</v>
      </c>
      <c r="TB347" s="24" t="n">
        <v>3</v>
      </c>
      <c r="TC347" s="24" t="n">
        <v>40</v>
      </c>
      <c r="TD347" s="24" t="n">
        <v>6</v>
      </c>
      <c r="TE347" s="24" t="n">
        <v>2.2</v>
      </c>
      <c r="TF347" s="24" t="n">
        <v>3</v>
      </c>
      <c r="TG347" s="24" t="n">
        <v>50</v>
      </c>
      <c r="TH347" s="24" t="n">
        <v>1</v>
      </c>
      <c r="TI347" s="24" t="n">
        <v>0.06</v>
      </c>
      <c r="TJ347" s="24" t="n">
        <v>1</v>
      </c>
      <c r="TK347" s="24" t="n">
        <v>60</v>
      </c>
      <c r="TL347" s="24" t="n">
        <v>3</v>
      </c>
      <c r="TM347" s="24" t="n">
        <v>0.19</v>
      </c>
      <c r="TN347" s="24" t="n">
        <v>4</v>
      </c>
      <c r="UI347" s="27" t="n">
        <v>1.11</v>
      </c>
      <c r="UJ347" s="27" t="n">
        <v>1</v>
      </c>
      <c r="UK347" s="27" t="n">
        <v>1</v>
      </c>
      <c r="UL347" s="27"/>
      <c r="UM347" s="27" t="n">
        <f aca="false">0.51*2+0.09+0.15*2+1.65+0.18+0.72</f>
        <v>3.96</v>
      </c>
      <c r="UN347" s="27"/>
      <c r="UO347" s="27"/>
      <c r="UP347" s="27"/>
      <c r="UQ347" s="27"/>
      <c r="UR347" s="27"/>
      <c r="US347" s="27"/>
      <c r="UT347" s="27" t="n">
        <v>1.95</v>
      </c>
      <c r="UU347" s="27" t="n">
        <v>1.96</v>
      </c>
      <c r="UV347" s="27"/>
      <c r="UW347" s="27"/>
      <c r="UX347" s="27" t="n">
        <v>2.88</v>
      </c>
      <c r="UY347" s="27" t="n">
        <v>0</v>
      </c>
      <c r="UZ347" s="27" t="n">
        <v>0</v>
      </c>
      <c r="VA347" s="24" t="n">
        <v>2</v>
      </c>
      <c r="VB347" s="24" t="s">
        <v>785</v>
      </c>
      <c r="VC347" s="24" t="n">
        <v>37.5</v>
      </c>
      <c r="VD347" s="27" t="n">
        <v>94.9</v>
      </c>
      <c r="VE347" s="27" t="n">
        <v>83.4</v>
      </c>
      <c r="VF347" s="27" t="n">
        <v>16</v>
      </c>
      <c r="VG347" s="24" t="n">
        <v>79.43</v>
      </c>
      <c r="VH347" s="24" t="n">
        <v>0</v>
      </c>
      <c r="VI347" s="24" t="n">
        <v>0</v>
      </c>
      <c r="VJ347" s="24" t="n">
        <v>0</v>
      </c>
      <c r="VK347" s="24" t="n">
        <v>20.31</v>
      </c>
      <c r="VL347" s="24" t="n">
        <v>0</v>
      </c>
      <c r="VM347" s="24" t="n">
        <v>0</v>
      </c>
      <c r="VN347" s="24" t="n">
        <v>0</v>
      </c>
      <c r="VO347" s="24" t="n">
        <v>0</v>
      </c>
      <c r="VP347" s="24" t="n">
        <v>0</v>
      </c>
      <c r="VQ347" s="24" t="n">
        <v>0</v>
      </c>
      <c r="VR347" s="24" t="n">
        <v>0.29</v>
      </c>
      <c r="VS347" s="24" t="n">
        <v>37.58</v>
      </c>
      <c r="VT347" s="24" t="n">
        <v>37.76</v>
      </c>
      <c r="VU347" s="24" t="n">
        <v>5.57</v>
      </c>
      <c r="VV347" s="24" t="n">
        <v>0</v>
      </c>
      <c r="VW347" s="24" t="n">
        <v>0</v>
      </c>
      <c r="VX347" s="24" t="n">
        <v>0</v>
      </c>
      <c r="WK347" s="24" t="n">
        <v>17.5</v>
      </c>
      <c r="WL347" s="24" t="n">
        <v>0</v>
      </c>
      <c r="WW347" s="28"/>
      <c r="XO347" s="24" t="n">
        <v>1</v>
      </c>
      <c r="XP347" s="24" t="n">
        <v>71</v>
      </c>
      <c r="XQ347" s="24" t="n">
        <f aca="false">8*3+3</f>
        <v>27</v>
      </c>
      <c r="XR347" s="24" t="n">
        <f aca="false">5.87*3+0.58</f>
        <v>18.19</v>
      </c>
      <c r="XS347" s="24" t="n">
        <v>2</v>
      </c>
      <c r="YZ347" s="27" t="n">
        <v>3.74</v>
      </c>
      <c r="ZA347" s="27" t="n">
        <v>1</v>
      </c>
      <c r="ZB347" s="27" t="n">
        <v>1</v>
      </c>
      <c r="ZC347" s="27"/>
      <c r="ZD347" s="27" t="n">
        <f aca="false">1.65+2.04*2+0.36*2+0.54</f>
        <v>6.99</v>
      </c>
      <c r="ZE347" s="27" t="n">
        <v>2</v>
      </c>
      <c r="ZF347" s="27"/>
      <c r="ZG347" s="27" t="n">
        <v>0.91</v>
      </c>
      <c r="ZH347" s="27" t="n">
        <v>1</v>
      </c>
      <c r="ZI347" s="27" t="n">
        <v>1</v>
      </c>
      <c r="ZJ347" s="27"/>
      <c r="ZK347" s="27" t="n">
        <v>0.19</v>
      </c>
      <c r="ZL347" s="27" t="n">
        <v>0.19</v>
      </c>
      <c r="ZM347" s="27"/>
      <c r="ZN347" s="27"/>
      <c r="ZO347" s="27" t="n">
        <v>0</v>
      </c>
      <c r="ZP347" s="27" t="n">
        <v>0</v>
      </c>
      <c r="ZQ347" s="27" t="n">
        <v>0</v>
      </c>
      <c r="ZR347" s="24" t="n">
        <v>0</v>
      </c>
      <c r="ZU347" s="15"/>
      <c r="ZV347" s="15"/>
      <c r="AAC347" s="15"/>
      <c r="AAD347" s="15"/>
      <c r="AAK347" s="15"/>
      <c r="AAL347" s="15"/>
      <c r="AAS347" s="15"/>
      <c r="AAT347" s="15"/>
      <c r="ABA347" s="15"/>
      <c r="ABB347" s="15"/>
      <c r="ABI347" s="15"/>
      <c r="ABJ347" s="15"/>
      <c r="ABQ347" s="15"/>
      <c r="ABR347" s="15"/>
      <c r="ABY347" s="15"/>
      <c r="ABZ347" s="15"/>
      <c r="ACG347" s="15"/>
      <c r="ACH347" s="15"/>
      <c r="ACO347" s="15"/>
      <c r="ACP347" s="15"/>
      <c r="ACW347" s="15"/>
      <c r="ACX347" s="15"/>
      <c r="ADE347" s="15"/>
      <c r="ADF347" s="15"/>
      <c r="ADM347" s="15"/>
      <c r="ADN347" s="15"/>
      <c r="ADU347" s="15"/>
      <c r="ADV347" s="15"/>
      <c r="AEC347" s="15"/>
      <c r="AED347" s="15"/>
      <c r="AEK347" s="15"/>
      <c r="AEL347" s="15"/>
      <c r="AES347" s="15"/>
      <c r="AET347" s="15"/>
      <c r="AFA347" s="15"/>
      <c r="AFB347" s="15"/>
      <c r="AFI347" s="15"/>
      <c r="AFJ347" s="15"/>
      <c r="AFQ347" s="15"/>
      <c r="AFR347" s="15"/>
      <c r="AFY347" s="15"/>
      <c r="AFZ347" s="15"/>
      <c r="AGG347" s="15"/>
      <c r="AGH347" s="15"/>
      <c r="AGO347" s="15"/>
      <c r="AGP347" s="15"/>
      <c r="AGW347" s="15"/>
      <c r="AGX347" s="15"/>
      <c r="AHE347" s="15"/>
      <c r="AHF347" s="15"/>
      <c r="AHM347" s="15"/>
      <c r="AHN347" s="15"/>
      <c r="AHU347" s="15"/>
      <c r="AHV347" s="15"/>
      <c r="AIC347" s="15"/>
      <c r="AID347" s="15"/>
      <c r="AIK347" s="15"/>
      <c r="AIL347" s="15"/>
      <c r="AIS347" s="15"/>
      <c r="AIT347" s="15"/>
      <c r="AJA347" s="15"/>
      <c r="AJB347" s="15"/>
      <c r="AJI347" s="15"/>
      <c r="AJJ347" s="15"/>
      <c r="AJQ347" s="15"/>
      <c r="AJR347" s="15"/>
      <c r="AJY347" s="15"/>
      <c r="AJZ347" s="15"/>
      <c r="AKG347" s="15"/>
      <c r="AKH347" s="15"/>
      <c r="AKO347" s="15"/>
      <c r="AKP347" s="15"/>
      <c r="AKW347" s="15"/>
      <c r="AKX347" s="15"/>
      <c r="ALE347" s="15"/>
      <c r="ALF347" s="15"/>
      <c r="ALM347" s="15"/>
      <c r="ALN347" s="15"/>
      <c r="ALU347" s="15"/>
      <c r="ALV347" s="15"/>
      <c r="AMC347" s="15"/>
      <c r="AMD347" s="15"/>
    </row>
    <row r="348" customFormat="false" ht="13.8" hidden="false" customHeight="false" outlineLevel="0" collapsed="false">
      <c r="A348" s="1" t="s">
        <v>938</v>
      </c>
      <c r="B348" s="12" t="n">
        <v>42927</v>
      </c>
      <c r="C348" s="0" t="n">
        <v>2</v>
      </c>
      <c r="D348" s="13" t="n">
        <v>42814</v>
      </c>
      <c r="E348" s="12" t="n">
        <v>32402</v>
      </c>
      <c r="F348" s="14" t="n">
        <f aca="false">(B348-E348)/365.25</f>
        <v>28.8158795345654</v>
      </c>
      <c r="G348" s="14" t="n">
        <f aca="false">(B348-D348)/365.25</f>
        <v>0.309377138945927</v>
      </c>
      <c r="H348" s="19" t="s">
        <v>306</v>
      </c>
      <c r="I348" s="15" t="s">
        <v>777</v>
      </c>
      <c r="J348" s="21" t="s">
        <v>181</v>
      </c>
      <c r="K348" s="21" t="s">
        <v>913</v>
      </c>
      <c r="L348" s="19" t="n">
        <v>72</v>
      </c>
      <c r="M348" s="0" t="n">
        <v>1.83</v>
      </c>
      <c r="N348" s="16" t="n">
        <f aca="false">L348/(M348*M348)</f>
        <v>21.4995968825585</v>
      </c>
      <c r="O348" s="19" t="n">
        <v>0</v>
      </c>
      <c r="P348" s="19" t="n">
        <v>0</v>
      </c>
      <c r="Q348" s="19" t="n">
        <v>0</v>
      </c>
      <c r="R348" s="26" t="n">
        <v>0</v>
      </c>
      <c r="S348" s="26" t="n">
        <v>0</v>
      </c>
      <c r="T348" s="26" t="n">
        <v>0</v>
      </c>
      <c r="U348" s="19" t="n">
        <v>1</v>
      </c>
      <c r="V348" s="19" t="n">
        <v>4</v>
      </c>
      <c r="W348" s="19" t="n">
        <v>0</v>
      </c>
      <c r="X348" s="19" t="n">
        <v>0</v>
      </c>
      <c r="Y348" s="19" t="n">
        <v>0</v>
      </c>
      <c r="Z348" s="19" t="n">
        <v>0</v>
      </c>
      <c r="AA348" s="19" t="n">
        <v>0</v>
      </c>
      <c r="AB348" s="19" t="n">
        <v>0</v>
      </c>
      <c r="AC348" s="19" t="n">
        <v>1</v>
      </c>
      <c r="AD348" s="19" t="n">
        <v>10</v>
      </c>
      <c r="AE348" s="19" t="n">
        <v>0</v>
      </c>
      <c r="AF348" s="19" t="n">
        <v>0</v>
      </c>
      <c r="AG348" s="19" t="n">
        <v>0</v>
      </c>
      <c r="AH348" s="19" t="n">
        <v>0</v>
      </c>
      <c r="AI348" s="19" t="n">
        <v>0</v>
      </c>
      <c r="AJ348" s="19" t="n">
        <v>0</v>
      </c>
      <c r="AK348" s="19" t="n">
        <v>0</v>
      </c>
      <c r="AL348" s="19" t="n">
        <v>0</v>
      </c>
      <c r="AM348" s="19" t="n">
        <v>0</v>
      </c>
      <c r="AN348" s="19" t="n">
        <v>0</v>
      </c>
      <c r="AO348" s="19" t="n">
        <v>0</v>
      </c>
      <c r="AP348" s="19" t="n">
        <v>0</v>
      </c>
      <c r="AQ348" s="19" t="n">
        <v>0</v>
      </c>
      <c r="AR348" s="19" t="n">
        <v>0</v>
      </c>
      <c r="AS348" s="19" t="n">
        <v>0</v>
      </c>
      <c r="AT348" s="19" t="n">
        <v>0</v>
      </c>
      <c r="AU348" s="19" t="n">
        <v>0</v>
      </c>
      <c r="AV348" s="19" t="n">
        <v>0</v>
      </c>
      <c r="AW348" s="19" t="n">
        <v>0</v>
      </c>
      <c r="AX348" s="19" t="n">
        <v>0</v>
      </c>
      <c r="AY348" s="19" t="n">
        <v>0</v>
      </c>
      <c r="AZ348" s="19" t="n">
        <v>0</v>
      </c>
      <c r="BA348" s="19" t="n">
        <v>0</v>
      </c>
      <c r="BB348" s="19" t="n">
        <v>0</v>
      </c>
      <c r="BC348" s="19" t="n">
        <v>0</v>
      </c>
      <c r="BD348" s="19" t="n">
        <v>0</v>
      </c>
      <c r="BE348" s="19" t="n">
        <v>0</v>
      </c>
      <c r="BF348" s="19" t="n">
        <v>0</v>
      </c>
      <c r="BG348" s="19" t="n">
        <v>0</v>
      </c>
      <c r="BH348" s="19" t="n">
        <v>0</v>
      </c>
      <c r="BI348" s="19" t="n">
        <v>0</v>
      </c>
      <c r="BJ348" s="19" t="n">
        <v>0</v>
      </c>
      <c r="BK348" s="19" t="n">
        <v>0</v>
      </c>
      <c r="BL348" s="19" t="n">
        <v>0</v>
      </c>
      <c r="BM348" s="19" t="n">
        <v>0</v>
      </c>
      <c r="BN348" s="19" t="n">
        <v>0</v>
      </c>
      <c r="BO348" s="19" t="n">
        <v>0</v>
      </c>
      <c r="BP348" s="19" t="n">
        <v>0</v>
      </c>
      <c r="BQ348" s="19" t="n">
        <v>0</v>
      </c>
      <c r="BR348" s="19" t="n">
        <v>2</v>
      </c>
      <c r="BS348" s="19" t="n">
        <v>2</v>
      </c>
      <c r="BT348" s="19" t="n">
        <v>4</v>
      </c>
      <c r="BU348" s="19" t="n">
        <v>4</v>
      </c>
      <c r="BV348" s="19" t="n">
        <v>2</v>
      </c>
      <c r="BW348" s="19" t="n">
        <v>2</v>
      </c>
      <c r="BX348" s="19" t="n">
        <v>3</v>
      </c>
      <c r="BY348" s="19" t="n">
        <v>3</v>
      </c>
      <c r="BZ348" s="19" t="n">
        <v>3</v>
      </c>
      <c r="CA348" s="19" t="n">
        <v>3</v>
      </c>
      <c r="CB348" s="19" t="n">
        <v>4</v>
      </c>
      <c r="CC348" s="19" t="n">
        <v>5</v>
      </c>
      <c r="CD348" s="19" t="n">
        <v>3</v>
      </c>
      <c r="CE348" s="19" t="n">
        <v>5</v>
      </c>
      <c r="CF348" s="19" t="n">
        <v>3</v>
      </c>
      <c r="CG348" s="19" t="n">
        <v>5</v>
      </c>
      <c r="CH348" s="19" t="n">
        <v>3</v>
      </c>
      <c r="CI348" s="19" t="n">
        <v>4</v>
      </c>
      <c r="CJ348" s="19" t="n">
        <v>3</v>
      </c>
      <c r="CK348" s="19" t="n">
        <v>8</v>
      </c>
      <c r="CL348" s="24" t="s">
        <v>780</v>
      </c>
      <c r="CM348" s="24" t="n">
        <v>46</v>
      </c>
      <c r="CN348" s="27" t="n">
        <v>101.6</v>
      </c>
      <c r="CO348" s="27" t="n">
        <v>83.4</v>
      </c>
      <c r="CP348" s="27" t="n">
        <v>27.8</v>
      </c>
      <c r="CQ348" s="24" t="n">
        <v>66.04</v>
      </c>
      <c r="CR348" s="24" t="n">
        <v>0</v>
      </c>
      <c r="CS348" s="24" t="n">
        <v>0</v>
      </c>
      <c r="CT348" s="24" t="n">
        <v>0</v>
      </c>
      <c r="CU348" s="24" t="n">
        <v>35.15</v>
      </c>
      <c r="CV348" s="24" t="n">
        <v>0</v>
      </c>
      <c r="CW348" s="24" t="n">
        <v>0</v>
      </c>
      <c r="CX348" s="24" t="n">
        <v>0</v>
      </c>
      <c r="CY348" s="24" t="n">
        <v>0</v>
      </c>
      <c r="CZ348" s="24" t="n">
        <v>0</v>
      </c>
      <c r="DA348" s="24" t="n">
        <v>0</v>
      </c>
      <c r="DB348" s="24" t="n">
        <v>43.27</v>
      </c>
      <c r="DC348" s="24" t="n">
        <v>65.02</v>
      </c>
      <c r="DD348" s="24" t="n">
        <v>6.59</v>
      </c>
      <c r="DE348" s="24" t="n">
        <v>0.88</v>
      </c>
      <c r="DF348" s="24" t="n">
        <v>0.16</v>
      </c>
      <c r="DG348" s="24" t="n">
        <v>0</v>
      </c>
      <c r="DH348" s="24" t="n">
        <v>0</v>
      </c>
      <c r="DU348" s="24" t="n">
        <v>14.9</v>
      </c>
      <c r="DV348" s="24" t="n">
        <v>1</v>
      </c>
      <c r="DW348" s="24" t="n">
        <v>30</v>
      </c>
      <c r="DX348" s="24" t="n">
        <v>1</v>
      </c>
      <c r="DY348" s="24" t="n">
        <v>0.73</v>
      </c>
      <c r="DZ348" s="24" t="n">
        <v>1</v>
      </c>
      <c r="EA348" s="24" t="n">
        <v>47</v>
      </c>
      <c r="EB348" s="24" t="n">
        <v>1</v>
      </c>
      <c r="EC348" s="24" t="n">
        <v>0.11</v>
      </c>
      <c r="ED348" s="24" t="n">
        <v>3</v>
      </c>
      <c r="EG348" s="28"/>
      <c r="EY348" s="24" t="n">
        <v>1</v>
      </c>
      <c r="EZ348" s="24" t="n">
        <v>60</v>
      </c>
      <c r="FA348" s="24" t="n">
        <v>4</v>
      </c>
      <c r="FB348" s="24" t="n">
        <v>1.68</v>
      </c>
      <c r="FC348" s="24" t="n">
        <v>6</v>
      </c>
      <c r="FD348" s="24" t="n">
        <v>50</v>
      </c>
      <c r="FE348" s="24" t="n">
        <v>8</v>
      </c>
      <c r="FF348" s="24" t="n">
        <f aca="false">2.94*2</f>
        <v>5.88</v>
      </c>
      <c r="FG348" s="24" t="n">
        <v>4</v>
      </c>
      <c r="FH348" s="24" t="n">
        <v>50</v>
      </c>
      <c r="FI348" s="24" t="n">
        <v>4</v>
      </c>
      <c r="FJ348" s="24" t="n">
        <v>0.76</v>
      </c>
      <c r="FK348" s="24" t="n">
        <v>6</v>
      </c>
      <c r="FL348" s="24" t="n">
        <v>80</v>
      </c>
      <c r="FM348" s="24" t="n">
        <v>8</v>
      </c>
      <c r="FN348" s="24" t="n">
        <f aca="false">0.31+0.21</f>
        <v>0.52</v>
      </c>
      <c r="FO348" s="24" t="n">
        <v>6</v>
      </c>
      <c r="GJ348" s="27" t="n">
        <v>2.05</v>
      </c>
      <c r="GK348" s="27" t="n">
        <v>1</v>
      </c>
      <c r="GL348" s="27" t="n">
        <v>1</v>
      </c>
      <c r="GM348" s="27"/>
      <c r="GN348" s="27" t="n">
        <f aca="false">6.12+0.54+0.36</f>
        <v>7.02</v>
      </c>
      <c r="GO348" s="27" t="n">
        <v>2</v>
      </c>
      <c r="GP348" s="27"/>
      <c r="GQ348" s="27" t="n">
        <v>6.01</v>
      </c>
      <c r="GR348" s="27"/>
      <c r="GS348" s="27"/>
      <c r="GT348" s="27"/>
      <c r="GU348" s="27" t="n">
        <v>0.86</v>
      </c>
      <c r="GV348" s="27" t="n">
        <v>0.85</v>
      </c>
      <c r="GW348" s="27"/>
      <c r="GX348" s="27"/>
      <c r="GY348" s="27" t="n">
        <v>0</v>
      </c>
      <c r="GZ348" s="27" t="n">
        <v>0</v>
      </c>
      <c r="HA348" s="27" t="n">
        <v>0</v>
      </c>
      <c r="HB348" s="24" t="n">
        <v>0</v>
      </c>
      <c r="HC348" s="24" t="n">
        <v>100</v>
      </c>
      <c r="HD348" s="24" t="n">
        <v>29.5</v>
      </c>
      <c r="HE348" s="27" t="n">
        <v>94.9</v>
      </c>
      <c r="HF348" s="27" t="n">
        <v>83.4</v>
      </c>
      <c r="HG348" s="27" t="n">
        <v>17.6</v>
      </c>
      <c r="HH348" s="24" t="n">
        <v>85.6</v>
      </c>
      <c r="HI348" s="24" t="n">
        <v>0</v>
      </c>
      <c r="HJ348" s="24" t="n">
        <v>0</v>
      </c>
      <c r="HK348" s="24" t="n">
        <v>0</v>
      </c>
      <c r="HL348" s="24" t="n">
        <v>14.4</v>
      </c>
      <c r="HM348" s="24" t="n">
        <v>0</v>
      </c>
      <c r="HN348" s="24" t="n">
        <v>0</v>
      </c>
      <c r="HO348" s="24" t="n">
        <v>0</v>
      </c>
      <c r="HP348" s="24" t="n">
        <v>0</v>
      </c>
      <c r="HQ348" s="24" t="n">
        <v>0</v>
      </c>
      <c r="HR348" s="24" t="n">
        <v>0</v>
      </c>
      <c r="HS348" s="24" t="n">
        <v>1.95</v>
      </c>
      <c r="HT348" s="24" t="n">
        <v>9.45</v>
      </c>
      <c r="HU348" s="24" t="n">
        <v>11.24</v>
      </c>
      <c r="HV348" s="24" t="n">
        <v>36.94</v>
      </c>
      <c r="HW348" s="24" t="n">
        <v>0</v>
      </c>
      <c r="HX348" s="24" t="n">
        <v>11.5</v>
      </c>
      <c r="HY348" s="24" t="n">
        <v>1</v>
      </c>
      <c r="HZ348" s="24" t="n">
        <v>5</v>
      </c>
      <c r="IB348" s="24" t="n">
        <v>4</v>
      </c>
      <c r="IL348" s="24" t="n">
        <v>0</v>
      </c>
      <c r="IM348" s="24" t="n">
        <v>0</v>
      </c>
      <c r="IX348" s="28"/>
      <c r="JP348" s="24" t="n">
        <v>0</v>
      </c>
      <c r="LA348" s="27" t="n">
        <v>0.2</v>
      </c>
      <c r="LB348" s="27" t="n">
        <v>1</v>
      </c>
      <c r="LC348" s="27" t="n">
        <v>1</v>
      </c>
      <c r="LD348" s="27"/>
      <c r="LE348" s="27" t="n">
        <f aca="false">0.14+0.23+0.07+0.21</f>
        <v>0.65</v>
      </c>
      <c r="LF348" s="27"/>
      <c r="LG348" s="27"/>
      <c r="LH348" s="27"/>
      <c r="LI348" s="27"/>
      <c r="LJ348" s="27"/>
      <c r="LK348" s="27"/>
      <c r="LL348" s="27" t="n">
        <v>0.23</v>
      </c>
      <c r="LM348" s="27" t="n">
        <v>0.23</v>
      </c>
      <c r="LN348" s="27"/>
      <c r="LO348" s="27"/>
      <c r="LP348" s="27" t="n">
        <v>0</v>
      </c>
      <c r="LQ348" s="27" t="n">
        <v>0</v>
      </c>
      <c r="LR348" s="27" t="n">
        <v>0</v>
      </c>
      <c r="LS348" s="24" t="n">
        <v>0</v>
      </c>
      <c r="LT348" s="24" t="s">
        <v>782</v>
      </c>
      <c r="LU348" s="24" t="n">
        <v>71</v>
      </c>
      <c r="LV348" s="27" t="n">
        <v>92</v>
      </c>
      <c r="LW348" s="27" t="n">
        <v>166.8</v>
      </c>
      <c r="LX348" s="27" t="n">
        <v>65</v>
      </c>
      <c r="LY348" s="24" t="n">
        <v>28.78</v>
      </c>
      <c r="LZ348" s="24" t="n">
        <v>0</v>
      </c>
      <c r="MA348" s="24" t="n">
        <v>0</v>
      </c>
      <c r="MB348" s="24" t="n">
        <v>0</v>
      </c>
      <c r="MC348" s="24" t="n">
        <v>2.5</v>
      </c>
      <c r="MD348" s="24" t="n">
        <v>0</v>
      </c>
      <c r="ME348" s="24" t="n">
        <v>8.54</v>
      </c>
      <c r="MF348" s="24" t="n">
        <v>0</v>
      </c>
      <c r="MG348" s="24" t="n">
        <v>0</v>
      </c>
      <c r="MH348" s="24" t="n">
        <v>2.76</v>
      </c>
      <c r="MI348" s="24" t="n">
        <v>0</v>
      </c>
      <c r="MJ348" s="24" t="n">
        <v>9.52</v>
      </c>
      <c r="MK348" s="24" t="n">
        <v>36.91</v>
      </c>
      <c r="ML348" s="24" t="n">
        <v>26.15</v>
      </c>
      <c r="MM348" s="24" t="n">
        <v>1.97</v>
      </c>
      <c r="MN348" s="24" t="n">
        <v>60.18</v>
      </c>
      <c r="MO348" s="24" t="n">
        <v>0</v>
      </c>
      <c r="MP348" s="24" t="n">
        <v>0</v>
      </c>
      <c r="NC348" s="24" t="n">
        <v>0.1</v>
      </c>
      <c r="ND348" s="24" t="n">
        <v>0</v>
      </c>
      <c r="NO348" s="28"/>
      <c r="OG348" s="24" t="n">
        <v>1</v>
      </c>
      <c r="OH348" s="24" t="n">
        <v>50</v>
      </c>
      <c r="OI348" s="24" t="n">
        <v>4</v>
      </c>
      <c r="OJ348" s="24" t="n">
        <f aca="false">0.37*4</f>
        <v>1.48</v>
      </c>
      <c r="OK348" s="24" t="n">
        <v>3</v>
      </c>
      <c r="OL348" s="24" t="n">
        <v>40</v>
      </c>
      <c r="OM348" s="24" t="n">
        <v>6</v>
      </c>
      <c r="ON348" s="24" t="n">
        <v>2.2</v>
      </c>
      <c r="OO348" s="24" t="n">
        <v>3</v>
      </c>
      <c r="OP348" s="24" t="n">
        <v>50</v>
      </c>
      <c r="OQ348" s="24" t="n">
        <v>1</v>
      </c>
      <c r="OR348" s="24" t="n">
        <v>0.06</v>
      </c>
      <c r="OS348" s="24" t="n">
        <v>1</v>
      </c>
      <c r="OT348" s="24" t="n">
        <v>60</v>
      </c>
      <c r="OU348" s="24" t="n">
        <v>3</v>
      </c>
      <c r="OV348" s="24" t="n">
        <v>0.19</v>
      </c>
      <c r="OW348" s="24" t="n">
        <v>4</v>
      </c>
      <c r="PR348" s="27" t="n">
        <v>1.11</v>
      </c>
      <c r="PS348" s="27" t="n">
        <v>1</v>
      </c>
      <c r="PT348" s="27" t="n">
        <v>1</v>
      </c>
      <c r="PU348" s="27"/>
      <c r="PV348" s="27" t="n">
        <f aca="false">0.51*2+0.09+0.15*2+1.65+0.18+0.72</f>
        <v>3.96</v>
      </c>
      <c r="PW348" s="27"/>
      <c r="PX348" s="27"/>
      <c r="PY348" s="27"/>
      <c r="PZ348" s="27"/>
      <c r="QA348" s="27"/>
      <c r="QB348" s="27"/>
      <c r="QC348" s="27" t="n">
        <v>1.95</v>
      </c>
      <c r="QD348" s="27" t="n">
        <v>1.96</v>
      </c>
      <c r="QE348" s="27"/>
      <c r="QF348" s="27"/>
      <c r="QG348" s="27" t="n">
        <v>2.88</v>
      </c>
      <c r="QH348" s="27" t="n">
        <v>0</v>
      </c>
      <c r="QI348" s="27" t="n">
        <v>0</v>
      </c>
      <c r="QJ348" s="24" t="n">
        <v>2</v>
      </c>
      <c r="QK348" s="24" t="s">
        <v>783</v>
      </c>
      <c r="QL348" s="24" t="n">
        <v>35</v>
      </c>
      <c r="QM348" s="27" t="n">
        <v>89.3</v>
      </c>
      <c r="QN348" s="27" t="n">
        <v>83.4</v>
      </c>
      <c r="QO348" s="27" t="n">
        <v>12.6</v>
      </c>
      <c r="QP348" s="24" t="n">
        <v>87.93</v>
      </c>
      <c r="QQ348" s="24" t="n">
        <v>0</v>
      </c>
      <c r="QR348" s="24" t="n">
        <v>0</v>
      </c>
      <c r="QS348" s="24" t="n">
        <v>1.49</v>
      </c>
      <c r="QT348" s="24" t="n">
        <v>10.58</v>
      </c>
      <c r="QU348" s="24" t="n">
        <v>0</v>
      </c>
      <c r="QV348" s="24" t="n">
        <v>0</v>
      </c>
      <c r="QW348" s="24" t="n">
        <v>0</v>
      </c>
      <c r="QX348" s="24" t="n">
        <v>0</v>
      </c>
      <c r="QY348" s="24" t="n">
        <v>0</v>
      </c>
      <c r="QZ348" s="24" t="n">
        <v>0</v>
      </c>
      <c r="RA348" s="24" t="n">
        <v>0.17</v>
      </c>
      <c r="RB348" s="24" t="n">
        <v>38.78</v>
      </c>
      <c r="RC348" s="24" t="n">
        <v>29.47</v>
      </c>
      <c r="RD348" s="24" t="n">
        <v>0</v>
      </c>
      <c r="RE348" s="24" t="n">
        <v>0</v>
      </c>
      <c r="RF348" s="24" t="n">
        <v>4</v>
      </c>
      <c r="RG348" s="24" t="n">
        <v>1</v>
      </c>
      <c r="RH348" s="24" t="n">
        <v>3</v>
      </c>
      <c r="RJ348" s="24" t="n">
        <v>4</v>
      </c>
      <c r="RT348" s="24" t="n">
        <v>9.7</v>
      </c>
      <c r="RU348" s="24" t="n">
        <v>1</v>
      </c>
      <c r="RV348" s="24" t="n">
        <v>68</v>
      </c>
      <c r="RW348" s="24" t="n">
        <v>1</v>
      </c>
      <c r="RX348" s="24" t="n">
        <v>0.02</v>
      </c>
      <c r="RY348" s="24" t="n">
        <v>1</v>
      </c>
      <c r="RZ348" s="24" t="n">
        <v>35</v>
      </c>
      <c r="SA348" s="24" t="n">
        <v>10</v>
      </c>
      <c r="SB348" s="24" t="n">
        <f aca="false">0.22*2+0.43*2+0.65+0.04+0.02+0.08</f>
        <v>2.09</v>
      </c>
      <c r="SC348" s="24" t="n">
        <v>3</v>
      </c>
      <c r="SF348" s="28"/>
      <c r="SX348" s="24" t="n">
        <v>1</v>
      </c>
      <c r="SY348" s="24" t="n">
        <v>50</v>
      </c>
      <c r="SZ348" s="24" t="n">
        <f aca="false">4*3+3*4</f>
        <v>24</v>
      </c>
      <c r="TA348" s="24" t="n">
        <f aca="false">0.07+0.25+0.11+0.65+1.3+15</f>
        <v>17.38</v>
      </c>
      <c r="TB348" s="24" t="n">
        <v>1</v>
      </c>
      <c r="TC348" s="24" t="n">
        <v>40</v>
      </c>
      <c r="TD348" s="24" t="n">
        <v>18</v>
      </c>
      <c r="TE348" s="24" t="n">
        <f aca="false">0.87+0.17+0.08+0.34+1.73+0.43+0.87+0.07</f>
        <v>4.56</v>
      </c>
      <c r="TF348" s="24" t="n">
        <v>1</v>
      </c>
      <c r="TG348" s="24" t="n">
        <v>40</v>
      </c>
      <c r="TH348" s="24" t="n">
        <v>2</v>
      </c>
      <c r="TI348" s="24" t="n">
        <v>0.12</v>
      </c>
      <c r="TJ348" s="24" t="n">
        <v>5</v>
      </c>
      <c r="TK348" s="24" t="n">
        <v>50</v>
      </c>
      <c r="TL348" s="24" t="n">
        <v>1</v>
      </c>
      <c r="TM348" s="24" t="n">
        <v>0.22</v>
      </c>
      <c r="TN348" s="24" t="n">
        <v>6</v>
      </c>
      <c r="TO348" s="24" t="n">
        <v>40</v>
      </c>
      <c r="TP348" s="24" t="n">
        <v>3</v>
      </c>
      <c r="TQ348" s="24" t="n">
        <v>0.16</v>
      </c>
      <c r="TR348" s="24" t="n">
        <v>6</v>
      </c>
      <c r="UI348" s="27" t="n">
        <v>0.68</v>
      </c>
      <c r="UJ348" s="27" t="n">
        <v>1</v>
      </c>
      <c r="UK348" s="27" t="n">
        <v>1</v>
      </c>
      <c r="UL348" s="27"/>
      <c r="UM348" s="27" t="n">
        <f aca="false">0.34+0.91+1.8+0.08+0.3</f>
        <v>3.43</v>
      </c>
      <c r="UN348" s="27"/>
      <c r="UO348" s="27"/>
      <c r="UP348" s="27"/>
      <c r="UQ348" s="27"/>
      <c r="UR348" s="27"/>
      <c r="US348" s="27"/>
      <c r="UT348" s="27" t="n">
        <v>7.83</v>
      </c>
      <c r="UU348" s="27" t="n">
        <v>8.68</v>
      </c>
      <c r="UV348" s="27"/>
      <c r="UW348" s="27"/>
      <c r="UX348" s="27" t="n">
        <v>0</v>
      </c>
      <c r="UY348" s="27" t="n">
        <v>0</v>
      </c>
      <c r="UZ348" s="27" t="n">
        <v>0</v>
      </c>
      <c r="VA348" s="24" t="n">
        <v>0</v>
      </c>
      <c r="VB348" s="24" t="s">
        <v>784</v>
      </c>
      <c r="VC348" s="24" t="n">
        <v>38</v>
      </c>
      <c r="VD348" s="27" t="n">
        <v>92.6</v>
      </c>
      <c r="VE348" s="27" t="n">
        <v>83.4</v>
      </c>
      <c r="VF348" s="27" t="n">
        <v>16.5</v>
      </c>
      <c r="VG348" s="24" t="n">
        <v>77.87</v>
      </c>
      <c r="VH348" s="24" t="n">
        <v>0</v>
      </c>
      <c r="VI348" s="24" t="n">
        <v>0</v>
      </c>
      <c r="VJ348" s="24" t="n">
        <v>0</v>
      </c>
      <c r="VK348" s="24" t="n">
        <v>21.87</v>
      </c>
      <c r="VL348" s="24" t="n">
        <v>0</v>
      </c>
      <c r="VM348" s="24" t="n">
        <v>0</v>
      </c>
      <c r="VN348" s="24" t="n">
        <v>0</v>
      </c>
      <c r="VO348" s="24" t="n">
        <v>0</v>
      </c>
      <c r="VP348" s="24" t="n">
        <v>0</v>
      </c>
      <c r="VQ348" s="24" t="n">
        <v>0</v>
      </c>
      <c r="VR348" s="24" t="n">
        <v>0.29</v>
      </c>
      <c r="VS348" s="24" t="n">
        <v>38.85</v>
      </c>
      <c r="VT348" s="24" t="n">
        <v>37.36</v>
      </c>
      <c r="VU348" s="24" t="n">
        <v>5.57</v>
      </c>
      <c r="VV348" s="24" t="n">
        <v>0</v>
      </c>
      <c r="VW348" s="24" t="n">
        <v>0</v>
      </c>
      <c r="VX348" s="24" t="n">
        <v>0</v>
      </c>
      <c r="WK348" s="24" t="n">
        <v>17.5</v>
      </c>
      <c r="WL348" s="24" t="n">
        <v>0</v>
      </c>
      <c r="WW348" s="28"/>
      <c r="XO348" s="24" t="n">
        <v>1</v>
      </c>
      <c r="XP348" s="24" t="n">
        <v>70</v>
      </c>
      <c r="XQ348" s="24" t="n">
        <f aca="false">8*3+3</f>
        <v>27</v>
      </c>
      <c r="XR348" s="24" t="n">
        <f aca="false">5.87*3+0.58</f>
        <v>18.19</v>
      </c>
      <c r="XS348" s="24" t="n">
        <v>1</v>
      </c>
      <c r="YZ348" s="27" t="n">
        <v>3.74</v>
      </c>
      <c r="ZA348" s="27" t="n">
        <v>1</v>
      </c>
      <c r="ZB348" s="27" t="n">
        <v>1</v>
      </c>
      <c r="ZC348" s="27"/>
      <c r="ZD348" s="27" t="n">
        <f aca="false">1.65+2.04*2+0.36*2+0.54</f>
        <v>6.99</v>
      </c>
      <c r="ZE348" s="27" t="n">
        <v>2</v>
      </c>
      <c r="ZF348" s="27"/>
      <c r="ZG348" s="27" t="n">
        <v>0.91</v>
      </c>
      <c r="ZH348" s="27"/>
      <c r="ZI348" s="27"/>
      <c r="ZJ348" s="27"/>
      <c r="ZK348" s="27" t="n">
        <v>0.19</v>
      </c>
      <c r="ZL348" s="27" t="n">
        <v>0.19</v>
      </c>
      <c r="ZM348" s="27"/>
      <c r="ZN348" s="27"/>
      <c r="ZO348" s="27" t="n">
        <v>0</v>
      </c>
      <c r="ZP348" s="27" t="n">
        <v>0</v>
      </c>
      <c r="ZQ348" s="27" t="n">
        <v>0</v>
      </c>
      <c r="ZR348" s="24" t="n">
        <v>0</v>
      </c>
      <c r="ZU348" s="15"/>
      <c r="ZV348" s="15"/>
      <c r="AAC348" s="15"/>
      <c r="AAD348" s="15"/>
      <c r="AAK348" s="15"/>
      <c r="AAL348" s="15"/>
      <c r="AAS348" s="15"/>
      <c r="AAT348" s="15"/>
      <c r="ABA348" s="15"/>
      <c r="ABB348" s="15"/>
      <c r="ABI348" s="15"/>
      <c r="ABJ348" s="15"/>
      <c r="ABQ348" s="15"/>
      <c r="ABR348" s="15"/>
      <c r="ABY348" s="15"/>
      <c r="ABZ348" s="15"/>
      <c r="ACG348" s="15"/>
      <c r="ACH348" s="15"/>
      <c r="ACO348" s="15"/>
      <c r="ACP348" s="15"/>
      <c r="ACW348" s="15"/>
      <c r="ACX348" s="15"/>
      <c r="ADE348" s="15"/>
      <c r="ADF348" s="15"/>
      <c r="ADM348" s="15"/>
      <c r="ADN348" s="15"/>
      <c r="ADU348" s="15"/>
      <c r="ADV348" s="15"/>
      <c r="AEC348" s="15"/>
      <c r="AED348" s="15"/>
      <c r="AEK348" s="15"/>
      <c r="AEL348" s="15"/>
      <c r="AES348" s="15"/>
      <c r="AET348" s="15"/>
      <c r="AFA348" s="15"/>
      <c r="AFB348" s="15"/>
      <c r="AFI348" s="15"/>
      <c r="AFJ348" s="15"/>
      <c r="AFQ348" s="15"/>
      <c r="AFR348" s="15"/>
      <c r="AFY348" s="15"/>
      <c r="AFZ348" s="15"/>
      <c r="AGG348" s="15"/>
      <c r="AGH348" s="15"/>
      <c r="AGO348" s="15"/>
      <c r="AGP348" s="15"/>
      <c r="AGW348" s="15"/>
      <c r="AGX348" s="15"/>
      <c r="AHE348" s="15"/>
      <c r="AHF348" s="15"/>
      <c r="AHM348" s="15"/>
      <c r="AHN348" s="15"/>
      <c r="AHU348" s="15"/>
      <c r="AHV348" s="15"/>
      <c r="AIC348" s="15"/>
      <c r="AID348" s="15"/>
      <c r="AIK348" s="15"/>
      <c r="AIL348" s="15"/>
      <c r="AIS348" s="15"/>
      <c r="AIT348" s="15"/>
      <c r="AJA348" s="15"/>
      <c r="AJB348" s="15"/>
      <c r="AJI348" s="15"/>
      <c r="AJJ348" s="15"/>
      <c r="AJQ348" s="15"/>
      <c r="AJR348" s="15"/>
      <c r="AJY348" s="15"/>
      <c r="AJZ348" s="15"/>
      <c r="AKG348" s="15"/>
      <c r="AKH348" s="15"/>
      <c r="AKO348" s="15"/>
      <c r="AKP348" s="15"/>
      <c r="AKW348" s="15"/>
      <c r="AKX348" s="15"/>
      <c r="ALE348" s="15"/>
      <c r="ALF348" s="15"/>
      <c r="ALM348" s="15"/>
      <c r="ALN348" s="15"/>
      <c r="ALU348" s="15"/>
      <c r="ALV348" s="15"/>
      <c r="AMC348" s="15"/>
      <c r="AMD348" s="15"/>
    </row>
    <row r="349" customFormat="false" ht="13.8" hidden="false" customHeight="false" outlineLevel="0" collapsed="false">
      <c r="A349" s="1" t="s">
        <v>939</v>
      </c>
      <c r="B349" s="12" t="n">
        <v>42926</v>
      </c>
      <c r="C349" s="0" t="n">
        <v>2</v>
      </c>
      <c r="D349" s="13" t="n">
        <v>40700</v>
      </c>
      <c r="E349" s="12" t="n">
        <v>24838</v>
      </c>
      <c r="F349" s="14" t="n">
        <f aca="false">(B349-E349)/365.25</f>
        <v>49.5222450376455</v>
      </c>
      <c r="G349" s="14" t="n">
        <f aca="false">(B349-D349)/365.25</f>
        <v>6.09445585215606</v>
      </c>
      <c r="H349" s="19" t="s">
        <v>306</v>
      </c>
      <c r="I349" s="15" t="s">
        <v>777</v>
      </c>
      <c r="J349" s="21" t="s">
        <v>181</v>
      </c>
      <c r="K349" s="21" t="s">
        <v>913</v>
      </c>
      <c r="L349" s="19" t="n">
        <v>74</v>
      </c>
      <c r="M349" s="0" t="n">
        <v>1.72</v>
      </c>
      <c r="N349" s="16" t="n">
        <f aca="false">L349/(M349*M349)</f>
        <v>25.013520822066</v>
      </c>
      <c r="O349" s="19" t="n">
        <v>0</v>
      </c>
      <c r="P349" s="19" t="n">
        <v>0</v>
      </c>
      <c r="Q349" s="19" t="n">
        <v>0</v>
      </c>
      <c r="R349" s="26" t="n">
        <v>0</v>
      </c>
      <c r="S349" s="26" t="n">
        <v>0</v>
      </c>
      <c r="T349" s="26" t="n">
        <v>0</v>
      </c>
      <c r="U349" s="19" t="n">
        <v>0</v>
      </c>
      <c r="V349" s="19" t="n">
        <v>0</v>
      </c>
      <c r="W349" s="19" t="n">
        <v>0</v>
      </c>
      <c r="X349" s="19"/>
      <c r="Y349" s="19"/>
      <c r="Z349" s="19"/>
      <c r="AA349" s="19"/>
      <c r="AB349" s="19"/>
      <c r="AC349" s="19" t="n">
        <v>1</v>
      </c>
      <c r="AD349" s="19" t="n">
        <v>15</v>
      </c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 t="n">
        <v>3</v>
      </c>
      <c r="BS349" s="19" t="n">
        <v>3</v>
      </c>
      <c r="BT349" s="19" t="n">
        <v>4</v>
      </c>
      <c r="BU349" s="19" t="n">
        <v>5</v>
      </c>
      <c r="BV349" s="19" t="n">
        <v>3</v>
      </c>
      <c r="BW349" s="19" t="n">
        <v>5</v>
      </c>
      <c r="BX349" s="19" t="n">
        <v>4</v>
      </c>
      <c r="BY349" s="19" t="n">
        <v>5</v>
      </c>
      <c r="BZ349" s="19" t="n">
        <v>5</v>
      </c>
      <c r="CA349" s="19" t="n">
        <v>4</v>
      </c>
      <c r="CB349" s="19" t="n">
        <v>3</v>
      </c>
      <c r="CC349" s="19" t="n">
        <v>5</v>
      </c>
      <c r="CD349" s="19" t="n">
        <v>5</v>
      </c>
      <c r="CE349" s="19" t="n">
        <v>5</v>
      </c>
      <c r="CF349" s="19" t="n">
        <v>5</v>
      </c>
      <c r="CG349" s="19" t="n">
        <v>5</v>
      </c>
      <c r="CH349" s="19" t="n">
        <v>5</v>
      </c>
      <c r="CI349" s="19" t="n">
        <v>4</v>
      </c>
      <c r="CJ349" s="19" t="n">
        <v>5</v>
      </c>
      <c r="CK349" s="19" t="n">
        <v>10</v>
      </c>
      <c r="CL349" s="24" t="s">
        <v>779</v>
      </c>
      <c r="CM349" s="24" t="n">
        <v>43</v>
      </c>
      <c r="CN349" s="27" t="n">
        <v>91.8</v>
      </c>
      <c r="CO349" s="27" t="n">
        <v>83.4</v>
      </c>
      <c r="CP349" s="27" t="n">
        <v>25.8</v>
      </c>
      <c r="CQ349" s="24" t="n">
        <v>68.3</v>
      </c>
      <c r="CR349" s="24" t="n">
        <v>0</v>
      </c>
      <c r="CS349" s="24" t="n">
        <v>0</v>
      </c>
      <c r="CT349" s="24" t="n">
        <v>0</v>
      </c>
      <c r="CU349" s="24" t="n">
        <v>31.54</v>
      </c>
      <c r="CV349" s="24" t="n">
        <v>0</v>
      </c>
      <c r="CW349" s="24" t="n">
        <v>0</v>
      </c>
      <c r="CX349" s="24" t="n">
        <v>0</v>
      </c>
      <c r="CY349" s="24" t="n">
        <v>0</v>
      </c>
      <c r="CZ349" s="24" t="n">
        <v>0</v>
      </c>
      <c r="DA349" s="24" t="n">
        <v>0</v>
      </c>
      <c r="DB349" s="24" t="n">
        <v>48.27</v>
      </c>
      <c r="DC349" s="24" t="n">
        <v>58.3</v>
      </c>
      <c r="DD349" s="24" t="n">
        <v>1.34</v>
      </c>
      <c r="DE349" s="24" t="n">
        <v>0</v>
      </c>
      <c r="DF349" s="24" t="n">
        <v>0.16</v>
      </c>
      <c r="DG349" s="24" t="n">
        <v>0</v>
      </c>
      <c r="DH349" s="24" t="n">
        <v>0</v>
      </c>
      <c r="DU349" s="24" t="n">
        <v>11</v>
      </c>
      <c r="DV349" s="24" t="n">
        <v>1</v>
      </c>
      <c r="DW349" s="24" t="n">
        <v>30</v>
      </c>
      <c r="DX349" s="24" t="n">
        <v>1</v>
      </c>
      <c r="DY349" s="24" t="n">
        <v>0.73</v>
      </c>
      <c r="DZ349" s="24" t="n">
        <v>1</v>
      </c>
      <c r="EG349" s="28"/>
      <c r="EY349" s="24" t="n">
        <v>1</v>
      </c>
      <c r="EZ349" s="24" t="n">
        <v>60</v>
      </c>
      <c r="FA349" s="24" t="n">
        <v>14</v>
      </c>
      <c r="FB349" s="24" t="n">
        <f aca="false">1.25+0.05+0.21+0.21+0.31+0.08</f>
        <v>2.11</v>
      </c>
      <c r="FC349" s="24" t="n">
        <v>6</v>
      </c>
      <c r="FD349" s="24" t="n">
        <v>50</v>
      </c>
      <c r="FE349" s="24" t="n">
        <v>8</v>
      </c>
      <c r="FF349" s="24" t="n">
        <f aca="false">2.94*2</f>
        <v>5.88</v>
      </c>
      <c r="FG349" s="24" t="n">
        <v>4</v>
      </c>
      <c r="GJ349" s="27" t="n">
        <v>2.45</v>
      </c>
      <c r="GK349" s="27" t="n">
        <v>1</v>
      </c>
      <c r="GL349" s="27" t="n">
        <v>1</v>
      </c>
      <c r="GM349" s="27"/>
      <c r="GN349" s="27" t="n">
        <f aca="false">0.03*2+0.16+0.46</f>
        <v>0.68</v>
      </c>
      <c r="GO349" s="27" t="n">
        <v>2</v>
      </c>
      <c r="GP349" s="27"/>
      <c r="GQ349" s="27" t="n">
        <f aca="false">6.12+0.54</f>
        <v>6.66</v>
      </c>
      <c r="GR349" s="27"/>
      <c r="GS349" s="27"/>
      <c r="GT349" s="27"/>
      <c r="GU349" s="27" t="n">
        <v>3.68</v>
      </c>
      <c r="GV349" s="27" t="n">
        <v>1.63</v>
      </c>
      <c r="GW349" s="27"/>
      <c r="GX349" s="27"/>
      <c r="GY349" s="27" t="n">
        <v>0</v>
      </c>
      <c r="GZ349" s="27" t="n">
        <v>0</v>
      </c>
      <c r="HA349" s="27" t="n">
        <v>0</v>
      </c>
      <c r="HB349" s="24" t="n">
        <v>0</v>
      </c>
      <c r="HC349" s="24" t="s">
        <v>781</v>
      </c>
      <c r="HD349" s="24" t="n">
        <v>47.5</v>
      </c>
      <c r="HE349" s="27" t="n">
        <v>49.3</v>
      </c>
      <c r="HF349" s="27" t="n">
        <v>83.4</v>
      </c>
      <c r="HG349" s="27" t="n">
        <v>35.7</v>
      </c>
      <c r="HH349" s="24" t="n">
        <v>66.48</v>
      </c>
      <c r="HI349" s="24" t="n">
        <v>0</v>
      </c>
      <c r="HJ349" s="24" t="n">
        <v>6.11</v>
      </c>
      <c r="HK349" s="24" t="n">
        <v>0</v>
      </c>
      <c r="HL349" s="24" t="n">
        <v>9.56</v>
      </c>
      <c r="HM349" s="24" t="n">
        <v>0</v>
      </c>
      <c r="HN349" s="24" t="n">
        <v>6.1</v>
      </c>
      <c r="HO349" s="24" t="n">
        <v>3.05</v>
      </c>
      <c r="HP349" s="24" t="n">
        <v>0</v>
      </c>
      <c r="HQ349" s="24" t="n">
        <v>0</v>
      </c>
      <c r="HR349" s="24" t="n">
        <v>0</v>
      </c>
      <c r="HS349" s="24" t="n">
        <v>0</v>
      </c>
      <c r="HT349" s="24" t="n">
        <v>17.78</v>
      </c>
      <c r="HU349" s="24" t="n">
        <v>9.13</v>
      </c>
      <c r="HV349" s="24" t="n">
        <v>2.7</v>
      </c>
      <c r="HW349" s="24" t="n">
        <v>11.73</v>
      </c>
      <c r="HX349" s="24" t="n">
        <v>0</v>
      </c>
      <c r="HY349" s="24" t="n">
        <v>0</v>
      </c>
      <c r="IL349" s="24" t="n">
        <v>5.7</v>
      </c>
      <c r="IM349" s="24" t="n">
        <v>1</v>
      </c>
      <c r="IN349" s="24" t="n">
        <v>30</v>
      </c>
      <c r="IO349" s="24" t="n">
        <v>10</v>
      </c>
      <c r="IP349" s="24" t="n">
        <f aca="false">0.15*2+0.16*8</f>
        <v>1.58</v>
      </c>
      <c r="IQ349" s="24" t="n">
        <v>3</v>
      </c>
      <c r="IX349" s="28"/>
      <c r="JP349" s="24" t="n">
        <v>1</v>
      </c>
      <c r="JQ349" s="24" t="n">
        <v>40</v>
      </c>
      <c r="JR349" s="24" t="n">
        <v>4</v>
      </c>
      <c r="JS349" s="24" t="n">
        <v>0.6</v>
      </c>
      <c r="JT349" s="24" t="n">
        <v>2</v>
      </c>
      <c r="LA349" s="27" t="n">
        <v>0.53</v>
      </c>
      <c r="LB349" s="27" t="n">
        <v>1</v>
      </c>
      <c r="LC349" s="27" t="n">
        <v>1</v>
      </c>
      <c r="LD349" s="27"/>
      <c r="LE349" s="27" t="n">
        <f aca="false">0.64*4+0.08</f>
        <v>2.64</v>
      </c>
      <c r="LF349" s="27"/>
      <c r="LG349" s="27"/>
      <c r="LH349" s="27"/>
      <c r="LI349" s="27"/>
      <c r="LJ349" s="27"/>
      <c r="LK349" s="27"/>
      <c r="LL349" s="27" t="n">
        <v>5.06</v>
      </c>
      <c r="LM349" s="27" t="n">
        <v>1.58</v>
      </c>
      <c r="LN349" s="27"/>
      <c r="LO349" s="27"/>
      <c r="LP349" s="27" t="n">
        <v>0</v>
      </c>
      <c r="LQ349" s="27" t="n">
        <v>0</v>
      </c>
      <c r="LR349" s="27" t="n">
        <v>0</v>
      </c>
      <c r="LS349" s="24" t="n">
        <v>0</v>
      </c>
      <c r="LT349" s="24" t="s">
        <v>782</v>
      </c>
      <c r="LU349" s="24" t="n">
        <v>71</v>
      </c>
      <c r="LV349" s="27" t="n">
        <v>92</v>
      </c>
      <c r="LW349" s="27" t="n">
        <v>166.8</v>
      </c>
      <c r="LX349" s="27" t="n">
        <v>65</v>
      </c>
      <c r="LY349" s="24" t="n">
        <v>28.78</v>
      </c>
      <c r="LZ349" s="24" t="n">
        <v>0</v>
      </c>
      <c r="MA349" s="24" t="n">
        <v>0</v>
      </c>
      <c r="MB349" s="24" t="n">
        <v>0</v>
      </c>
      <c r="MC349" s="24" t="n">
        <v>2.5</v>
      </c>
      <c r="MD349" s="24" t="n">
        <v>0</v>
      </c>
      <c r="ME349" s="24" t="n">
        <v>8.54</v>
      </c>
      <c r="MF349" s="24" t="n">
        <v>0</v>
      </c>
      <c r="MG349" s="24" t="n">
        <v>0</v>
      </c>
      <c r="MH349" s="24" t="n">
        <v>2.76</v>
      </c>
      <c r="MI349" s="24" t="n">
        <v>0</v>
      </c>
      <c r="MJ349" s="24" t="n">
        <v>9.52</v>
      </c>
      <c r="MK349" s="24" t="n">
        <v>36.91</v>
      </c>
      <c r="ML349" s="24" t="n">
        <v>26.15</v>
      </c>
      <c r="MM349" s="24" t="n">
        <v>1.97</v>
      </c>
      <c r="MN349" s="24" t="n">
        <v>60.18</v>
      </c>
      <c r="MO349" s="24" t="n">
        <v>0</v>
      </c>
      <c r="MP349" s="24" t="n">
        <v>0</v>
      </c>
      <c r="NC349" s="24" t="n">
        <v>0.1</v>
      </c>
      <c r="ND349" s="24" t="n">
        <v>0</v>
      </c>
      <c r="NO349" s="28"/>
      <c r="OG349" s="24" t="n">
        <v>1</v>
      </c>
      <c r="OH349" s="24" t="n">
        <v>50</v>
      </c>
      <c r="OI349" s="24" t="n">
        <v>4</v>
      </c>
      <c r="OJ349" s="24" t="n">
        <f aca="false">0.37*4</f>
        <v>1.48</v>
      </c>
      <c r="OK349" s="24" t="n">
        <v>3</v>
      </c>
      <c r="OL349" s="24" t="n">
        <v>40</v>
      </c>
      <c r="OM349" s="24" t="n">
        <v>6</v>
      </c>
      <c r="ON349" s="24" t="n">
        <v>2.2</v>
      </c>
      <c r="OO349" s="24" t="n">
        <v>3</v>
      </c>
      <c r="OP349" s="24" t="n">
        <v>50</v>
      </c>
      <c r="OQ349" s="24" t="n">
        <v>1</v>
      </c>
      <c r="OR349" s="24" t="n">
        <v>0.06</v>
      </c>
      <c r="OS349" s="24" t="n">
        <v>1</v>
      </c>
      <c r="OT349" s="24" t="n">
        <v>60</v>
      </c>
      <c r="OU349" s="24" t="n">
        <v>3</v>
      </c>
      <c r="OV349" s="24" t="n">
        <v>0.19</v>
      </c>
      <c r="OW349" s="24" t="n">
        <v>4</v>
      </c>
      <c r="PR349" s="27" t="n">
        <v>1.11</v>
      </c>
      <c r="PS349" s="27" t="n">
        <v>1</v>
      </c>
      <c r="PT349" s="27" t="n">
        <v>1</v>
      </c>
      <c r="PU349" s="27"/>
      <c r="PV349" s="27" t="n">
        <f aca="false">0.51*2+0.09+0.15*2+1.65+0.18+0.72</f>
        <v>3.96</v>
      </c>
      <c r="PW349" s="27"/>
      <c r="PX349" s="27"/>
      <c r="PY349" s="27"/>
      <c r="PZ349" s="27"/>
      <c r="QA349" s="27"/>
      <c r="QB349" s="27"/>
      <c r="QC349" s="27" t="n">
        <v>1.95</v>
      </c>
      <c r="QD349" s="27" t="n">
        <v>1.96</v>
      </c>
      <c r="QE349" s="27"/>
      <c r="QF349" s="27"/>
      <c r="QG349" s="27" t="n">
        <v>2.88</v>
      </c>
      <c r="QH349" s="27" t="n">
        <v>0</v>
      </c>
      <c r="QI349" s="27" t="n">
        <v>0</v>
      </c>
      <c r="QJ349" s="24" t="n">
        <v>2</v>
      </c>
      <c r="QK349" s="24" t="s">
        <v>783</v>
      </c>
      <c r="QL349" s="24" t="n">
        <v>35</v>
      </c>
      <c r="QM349" s="27" t="n">
        <v>89.3</v>
      </c>
      <c r="QN349" s="27" t="n">
        <v>83.4</v>
      </c>
      <c r="QO349" s="27" t="n">
        <v>12.6</v>
      </c>
      <c r="QP349" s="24" t="n">
        <v>87.93</v>
      </c>
      <c r="QQ349" s="24" t="n">
        <v>0</v>
      </c>
      <c r="QR349" s="24" t="n">
        <v>0</v>
      </c>
      <c r="QS349" s="24" t="n">
        <v>1.49</v>
      </c>
      <c r="QT349" s="24" t="n">
        <v>10.58</v>
      </c>
      <c r="QU349" s="24" t="n">
        <v>0</v>
      </c>
      <c r="QV349" s="24" t="n">
        <v>0</v>
      </c>
      <c r="QW349" s="24" t="n">
        <v>0</v>
      </c>
      <c r="QX349" s="24" t="n">
        <v>0</v>
      </c>
      <c r="QY349" s="24" t="n">
        <v>0</v>
      </c>
      <c r="QZ349" s="24" t="n">
        <v>0</v>
      </c>
      <c r="RA349" s="24" t="n">
        <v>0.17</v>
      </c>
      <c r="RB349" s="24" t="n">
        <v>38.78</v>
      </c>
      <c r="RC349" s="24" t="n">
        <v>29.47</v>
      </c>
      <c r="RD349" s="24" t="n">
        <v>0</v>
      </c>
      <c r="RE349" s="24" t="n">
        <v>0</v>
      </c>
      <c r="RF349" s="24" t="n">
        <v>4</v>
      </c>
      <c r="RG349" s="24" t="n">
        <v>1</v>
      </c>
      <c r="RH349" s="24" t="n">
        <v>3</v>
      </c>
      <c r="RJ349" s="24" t="n">
        <v>4</v>
      </c>
      <c r="RT349" s="24" t="n">
        <v>9.7</v>
      </c>
      <c r="RU349" s="24" t="n">
        <v>1</v>
      </c>
      <c r="RV349" s="24" t="n">
        <v>68</v>
      </c>
      <c r="RW349" s="24" t="n">
        <v>1</v>
      </c>
      <c r="RX349" s="24" t="n">
        <v>0.02</v>
      </c>
      <c r="RY349" s="24" t="n">
        <v>1</v>
      </c>
      <c r="RZ349" s="24" t="n">
        <v>35</v>
      </c>
      <c r="SA349" s="24" t="n">
        <v>10</v>
      </c>
      <c r="SB349" s="24" t="n">
        <f aca="false">0.22*2+0.43*2+0.65+0.04+0.02+0.08</f>
        <v>2.09</v>
      </c>
      <c r="SC349" s="24" t="n">
        <v>3</v>
      </c>
      <c r="SF349" s="28"/>
      <c r="SX349" s="24" t="n">
        <v>1</v>
      </c>
      <c r="SY349" s="24" t="n">
        <v>50</v>
      </c>
      <c r="SZ349" s="24" t="n">
        <f aca="false">4*3+3*4</f>
        <v>24</v>
      </c>
      <c r="TA349" s="24" t="n">
        <f aca="false">0.07+0.25+0.11+0.65+1.3+15</f>
        <v>17.38</v>
      </c>
      <c r="TB349" s="24" t="n">
        <v>1</v>
      </c>
      <c r="TC349" s="24" t="n">
        <v>40</v>
      </c>
      <c r="TD349" s="24" t="n">
        <v>18</v>
      </c>
      <c r="TE349" s="24" t="n">
        <f aca="false">0.87+0.17+0.08+0.34+1.73+0.43+0.87+0.07</f>
        <v>4.56</v>
      </c>
      <c r="TF349" s="24" t="n">
        <v>1</v>
      </c>
      <c r="TG349" s="24" t="n">
        <v>40</v>
      </c>
      <c r="TH349" s="24" t="n">
        <v>2</v>
      </c>
      <c r="TI349" s="24" t="n">
        <v>0.12</v>
      </c>
      <c r="TJ349" s="24" t="n">
        <v>5</v>
      </c>
      <c r="TK349" s="24" t="n">
        <v>50</v>
      </c>
      <c r="TL349" s="24" t="n">
        <v>1</v>
      </c>
      <c r="TM349" s="24" t="n">
        <v>0.22</v>
      </c>
      <c r="TN349" s="24" t="n">
        <v>6</v>
      </c>
      <c r="TO349" s="24" t="n">
        <v>40</v>
      </c>
      <c r="TP349" s="24" t="n">
        <v>3</v>
      </c>
      <c r="TQ349" s="24" t="n">
        <v>0.16</v>
      </c>
      <c r="TR349" s="24" t="n">
        <v>6</v>
      </c>
      <c r="UI349" s="27" t="n">
        <v>0.68</v>
      </c>
      <c r="UJ349" s="27" t="n">
        <v>1</v>
      </c>
      <c r="UK349" s="27" t="n">
        <v>1</v>
      </c>
      <c r="UL349" s="27"/>
      <c r="UM349" s="27" t="n">
        <f aca="false">0.34+0.91+1.8+0.08+0.3</f>
        <v>3.43</v>
      </c>
      <c r="UN349" s="27"/>
      <c r="UO349" s="27"/>
      <c r="UP349" s="27"/>
      <c r="UQ349" s="27"/>
      <c r="UR349" s="27"/>
      <c r="US349" s="27"/>
      <c r="UT349" s="27" t="n">
        <v>7.83</v>
      </c>
      <c r="UU349" s="27" t="n">
        <v>8.68</v>
      </c>
      <c r="UV349" s="27"/>
      <c r="UW349" s="27"/>
      <c r="UX349" s="27" t="n">
        <v>0</v>
      </c>
      <c r="UY349" s="27" t="n">
        <v>0</v>
      </c>
      <c r="UZ349" s="27" t="n">
        <v>0</v>
      </c>
      <c r="VA349" s="24" t="n">
        <v>0</v>
      </c>
      <c r="VB349" s="24" t="s">
        <v>784</v>
      </c>
      <c r="VC349" s="24" t="n">
        <v>38</v>
      </c>
      <c r="VD349" s="27" t="n">
        <v>92.6</v>
      </c>
      <c r="VE349" s="27" t="n">
        <v>83.4</v>
      </c>
      <c r="VF349" s="27" t="n">
        <v>16.5</v>
      </c>
      <c r="VG349" s="24" t="n">
        <v>77.87</v>
      </c>
      <c r="VH349" s="24" t="n">
        <v>0</v>
      </c>
      <c r="VI349" s="24" t="n">
        <v>0</v>
      </c>
      <c r="VJ349" s="24" t="n">
        <v>0</v>
      </c>
      <c r="VK349" s="24" t="n">
        <v>21.87</v>
      </c>
      <c r="VL349" s="24" t="n">
        <v>0</v>
      </c>
      <c r="VM349" s="24" t="n">
        <v>0</v>
      </c>
      <c r="VN349" s="24" t="n">
        <v>0</v>
      </c>
      <c r="VO349" s="24" t="n">
        <v>0</v>
      </c>
      <c r="VP349" s="24" t="n">
        <v>0</v>
      </c>
      <c r="VQ349" s="24" t="n">
        <v>0</v>
      </c>
      <c r="VR349" s="24" t="n">
        <v>0.29</v>
      </c>
      <c r="VS349" s="24" t="n">
        <v>38.85</v>
      </c>
      <c r="VT349" s="24" t="n">
        <v>37.36</v>
      </c>
      <c r="VU349" s="24" t="n">
        <v>5.57</v>
      </c>
      <c r="VV349" s="24" t="n">
        <v>0</v>
      </c>
      <c r="VW349" s="24" t="n">
        <v>0</v>
      </c>
      <c r="VX349" s="24" t="n">
        <v>0</v>
      </c>
      <c r="WK349" s="24" t="n">
        <v>17.5</v>
      </c>
      <c r="WL349" s="24" t="n">
        <v>0</v>
      </c>
      <c r="WW349" s="28"/>
      <c r="XO349" s="24" t="n">
        <v>1</v>
      </c>
      <c r="XP349" s="24" t="n">
        <v>70</v>
      </c>
      <c r="XQ349" s="24" t="n">
        <f aca="false">8*3+3</f>
        <v>27</v>
      </c>
      <c r="XR349" s="24" t="n">
        <f aca="false">5.87*3+0.58</f>
        <v>18.19</v>
      </c>
      <c r="XS349" s="24" t="n">
        <v>1</v>
      </c>
      <c r="YZ349" s="27" t="n">
        <v>3.74</v>
      </c>
      <c r="ZA349" s="27" t="n">
        <v>1</v>
      </c>
      <c r="ZB349" s="27" t="n">
        <v>1</v>
      </c>
      <c r="ZC349" s="27"/>
      <c r="ZD349" s="27" t="n">
        <f aca="false">1.65+2.04*2+0.36*2+0.54</f>
        <v>6.99</v>
      </c>
      <c r="ZE349" s="27" t="n">
        <v>2</v>
      </c>
      <c r="ZF349" s="27"/>
      <c r="ZG349" s="27" t="n">
        <v>0.91</v>
      </c>
      <c r="ZH349" s="27"/>
      <c r="ZI349" s="27"/>
      <c r="ZJ349" s="27"/>
      <c r="ZK349" s="27" t="n">
        <v>0.19</v>
      </c>
      <c r="ZL349" s="27" t="n">
        <v>0.19</v>
      </c>
      <c r="ZM349" s="27"/>
      <c r="ZN349" s="27"/>
      <c r="ZO349" s="27" t="n">
        <v>0</v>
      </c>
      <c r="ZP349" s="27" t="n">
        <v>0</v>
      </c>
      <c r="ZQ349" s="27" t="n">
        <v>0</v>
      </c>
      <c r="ZR349" s="24" t="n">
        <v>0</v>
      </c>
      <c r="ZS349" s="24" t="s">
        <v>785</v>
      </c>
      <c r="ZT349" s="24" t="n">
        <v>37.5</v>
      </c>
      <c r="ZU349" s="27" t="n">
        <v>94.9</v>
      </c>
      <c r="ZV349" s="27" t="n">
        <v>83.4</v>
      </c>
      <c r="ZW349" s="27" t="n">
        <v>16</v>
      </c>
      <c r="ZX349" s="24" t="n">
        <v>79.43</v>
      </c>
      <c r="ZY349" s="24" t="n">
        <v>0</v>
      </c>
      <c r="ZZ349" s="24" t="n">
        <v>0</v>
      </c>
      <c r="AAA349" s="24" t="n">
        <v>0</v>
      </c>
      <c r="AAB349" s="24" t="n">
        <v>20.31</v>
      </c>
      <c r="AAC349" s="24" t="n">
        <v>0</v>
      </c>
      <c r="AAD349" s="24" t="n">
        <v>0</v>
      </c>
      <c r="AAE349" s="24" t="n">
        <v>0</v>
      </c>
      <c r="AAF349" s="24" t="n">
        <v>0</v>
      </c>
      <c r="AAG349" s="24" t="n">
        <v>0</v>
      </c>
      <c r="AAH349" s="24" t="n">
        <v>0</v>
      </c>
      <c r="AAI349" s="24" t="n">
        <v>0.29</v>
      </c>
      <c r="AAJ349" s="24" t="n">
        <v>37.58</v>
      </c>
      <c r="AAK349" s="24" t="n">
        <v>37.76</v>
      </c>
      <c r="AAL349" s="24" t="n">
        <v>5.57</v>
      </c>
      <c r="AAM349" s="24" t="n">
        <v>0</v>
      </c>
      <c r="AAN349" s="24" t="n">
        <v>0</v>
      </c>
      <c r="AAO349" s="24" t="n">
        <v>0</v>
      </c>
      <c r="ABB349" s="24" t="n">
        <v>17.5</v>
      </c>
      <c r="ABC349" s="24" t="n">
        <v>0</v>
      </c>
      <c r="ABN349" s="28"/>
      <c r="ACF349" s="24" t="n">
        <v>1</v>
      </c>
      <c r="ACG349" s="24" t="n">
        <v>71</v>
      </c>
      <c r="ACH349" s="24" t="n">
        <f aca="false">8*3+3</f>
        <v>27</v>
      </c>
      <c r="ACI349" s="24" t="n">
        <f aca="false">5.87*3+0.58</f>
        <v>18.19</v>
      </c>
      <c r="ACJ349" s="24" t="n">
        <v>2</v>
      </c>
      <c r="ADQ349" s="27" t="n">
        <v>3.74</v>
      </c>
      <c r="ADR349" s="27" t="n">
        <v>1</v>
      </c>
      <c r="ADS349" s="27" t="n">
        <v>1</v>
      </c>
      <c r="ADT349" s="27"/>
      <c r="ADU349" s="27" t="n">
        <f aca="false">1.65+2.04*2+0.36*2+0.54</f>
        <v>6.99</v>
      </c>
      <c r="ADV349" s="27" t="n">
        <v>2</v>
      </c>
      <c r="ADW349" s="27"/>
      <c r="ADX349" s="27" t="n">
        <v>0.91</v>
      </c>
      <c r="ADY349" s="27" t="n">
        <v>1</v>
      </c>
      <c r="ADZ349" s="27" t="n">
        <v>1</v>
      </c>
      <c r="AEA349" s="27"/>
      <c r="AEB349" s="27" t="n">
        <v>0.19</v>
      </c>
      <c r="AEC349" s="27" t="n">
        <v>0.19</v>
      </c>
      <c r="AED349" s="27"/>
      <c r="AEE349" s="27"/>
      <c r="AEF349" s="27" t="n">
        <v>0</v>
      </c>
      <c r="AEG349" s="27" t="n">
        <v>0</v>
      </c>
      <c r="AEH349" s="27" t="n">
        <v>0</v>
      </c>
      <c r="AEI349" s="24" t="n">
        <v>0</v>
      </c>
      <c r="AEK349" s="15"/>
      <c r="AEL349" s="15"/>
      <c r="AES349" s="15"/>
      <c r="AET349" s="15"/>
      <c r="AFA349" s="15"/>
      <c r="AFB349" s="15"/>
      <c r="AFI349" s="15"/>
      <c r="AFJ349" s="15"/>
      <c r="AFQ349" s="15"/>
      <c r="AFR349" s="15"/>
      <c r="AFY349" s="15"/>
      <c r="AFZ349" s="15"/>
      <c r="AGG349" s="15"/>
      <c r="AGH349" s="15"/>
      <c r="AGO349" s="15"/>
      <c r="AGP349" s="15"/>
      <c r="AGW349" s="15"/>
      <c r="AGX349" s="15"/>
      <c r="AHE349" s="15"/>
      <c r="AHF349" s="15"/>
      <c r="AHM349" s="15"/>
      <c r="AHN349" s="15"/>
      <c r="AHU349" s="15"/>
      <c r="AHV349" s="15"/>
      <c r="AIC349" s="15"/>
      <c r="AID349" s="15"/>
      <c r="AIK349" s="15"/>
      <c r="AIL349" s="15"/>
      <c r="AIS349" s="15"/>
      <c r="AIT349" s="15"/>
      <c r="AJA349" s="15"/>
      <c r="AJB349" s="15"/>
      <c r="AJI349" s="15"/>
      <c r="AJJ349" s="15"/>
      <c r="AJQ349" s="15"/>
      <c r="AJR349" s="15"/>
      <c r="AJY349" s="15"/>
      <c r="AJZ349" s="15"/>
      <c r="AKG349" s="15"/>
      <c r="AKH349" s="15"/>
      <c r="AKO349" s="15"/>
      <c r="AKP349" s="15"/>
      <c r="AKW349" s="15"/>
      <c r="AKX349" s="15"/>
      <c r="ALE349" s="15"/>
      <c r="ALF349" s="15"/>
      <c r="ALM349" s="15"/>
      <c r="ALN349" s="15"/>
      <c r="ALU349" s="15"/>
      <c r="ALV349" s="15"/>
      <c r="AMC349" s="15"/>
      <c r="AMD349" s="15"/>
    </row>
    <row r="350" customFormat="false" ht="13.8" hidden="false" customHeight="false" outlineLevel="0" collapsed="false">
      <c r="A350" s="1" t="s">
        <v>940</v>
      </c>
      <c r="B350" s="12" t="n">
        <v>42926</v>
      </c>
      <c r="C350" s="0" t="n">
        <v>2</v>
      </c>
      <c r="D350" s="13" t="n">
        <v>42801</v>
      </c>
      <c r="E350" s="12" t="n">
        <v>35048</v>
      </c>
      <c r="F350" s="14" t="n">
        <f aca="false">(B350-E350)/365.25</f>
        <v>21.5687885010267</v>
      </c>
      <c r="G350" s="14" t="n">
        <f aca="false">(B350-D350)/365.25</f>
        <v>0.342231348391513</v>
      </c>
      <c r="H350" s="19" t="s">
        <v>306</v>
      </c>
      <c r="I350" s="15" t="s">
        <v>777</v>
      </c>
      <c r="J350" s="21" t="s">
        <v>181</v>
      </c>
      <c r="K350" s="21" t="s">
        <v>913</v>
      </c>
      <c r="L350" s="19" t="n">
        <v>75</v>
      </c>
      <c r="M350" s="0" t="n">
        <v>1.82</v>
      </c>
      <c r="N350" s="16" t="n">
        <f aca="false">L350/(M350*M350)</f>
        <v>22.6421929718633</v>
      </c>
      <c r="O350" s="19" t="n">
        <v>0</v>
      </c>
      <c r="P350" s="19" t="n">
        <v>0</v>
      </c>
      <c r="Q350" s="19" t="n">
        <v>0</v>
      </c>
      <c r="R350" s="26" t="n">
        <v>0</v>
      </c>
      <c r="S350" s="26" t="n">
        <v>0</v>
      </c>
      <c r="T350" s="26" t="n">
        <v>0</v>
      </c>
      <c r="U350" s="19" t="n">
        <v>0</v>
      </c>
      <c r="V350" s="19" t="n">
        <v>0</v>
      </c>
      <c r="W350" s="19" t="n">
        <v>0</v>
      </c>
      <c r="X350" s="19" t="n">
        <v>0</v>
      </c>
      <c r="Y350" s="19" t="n">
        <v>1</v>
      </c>
      <c r="Z350" s="19" t="n">
        <v>3</v>
      </c>
      <c r="AA350" s="19" t="n">
        <v>60</v>
      </c>
      <c r="AB350" s="19" t="s">
        <v>308</v>
      </c>
      <c r="AC350" s="19" t="n">
        <v>1</v>
      </c>
      <c r="AD350" s="19" t="n">
        <v>5</v>
      </c>
      <c r="AE350" s="19" t="n">
        <v>0</v>
      </c>
      <c r="AF350" s="19" t="n">
        <v>0</v>
      </c>
      <c r="AG350" s="19" t="n">
        <v>0</v>
      </c>
      <c r="AH350" s="19" t="n">
        <v>0</v>
      </c>
      <c r="AI350" s="19" t="n">
        <v>0</v>
      </c>
      <c r="AJ350" s="19" t="n">
        <v>0</v>
      </c>
      <c r="AK350" s="19" t="n">
        <v>0</v>
      </c>
      <c r="AL350" s="19" t="n">
        <v>0</v>
      </c>
      <c r="AM350" s="19" t="n">
        <v>0</v>
      </c>
      <c r="AN350" s="19" t="n">
        <v>0</v>
      </c>
      <c r="AO350" s="19" t="n">
        <v>0</v>
      </c>
      <c r="AP350" s="19" t="n">
        <v>0</v>
      </c>
      <c r="AQ350" s="19" t="n">
        <v>0</v>
      </c>
      <c r="AR350" s="19" t="n">
        <v>0</v>
      </c>
      <c r="AS350" s="19" t="n">
        <v>0</v>
      </c>
      <c r="AT350" s="19" t="n">
        <v>0</v>
      </c>
      <c r="AU350" s="19" t="n">
        <v>0</v>
      </c>
      <c r="AV350" s="19" t="n">
        <v>0</v>
      </c>
      <c r="AW350" s="19" t="n">
        <v>0</v>
      </c>
      <c r="AX350" s="19" t="n">
        <v>0</v>
      </c>
      <c r="AY350" s="19" t="n">
        <v>0</v>
      </c>
      <c r="AZ350" s="19" t="n">
        <v>0</v>
      </c>
      <c r="BA350" s="19" t="n">
        <v>0</v>
      </c>
      <c r="BB350" s="19" t="n">
        <v>0</v>
      </c>
      <c r="BC350" s="19" t="n">
        <v>0</v>
      </c>
      <c r="BD350" s="19" t="n">
        <v>0</v>
      </c>
      <c r="BE350" s="19" t="n">
        <v>0</v>
      </c>
      <c r="BF350" s="19" t="n">
        <v>0</v>
      </c>
      <c r="BG350" s="19" t="n">
        <v>0</v>
      </c>
      <c r="BH350" s="19" t="n">
        <v>0</v>
      </c>
      <c r="BI350" s="19" t="n">
        <v>0</v>
      </c>
      <c r="BJ350" s="19" t="n">
        <v>0</v>
      </c>
      <c r="BK350" s="19" t="n">
        <v>0</v>
      </c>
      <c r="BL350" s="19" t="n">
        <v>0</v>
      </c>
      <c r="BM350" s="19" t="n">
        <v>0</v>
      </c>
      <c r="BN350" s="19" t="n">
        <v>0</v>
      </c>
      <c r="BO350" s="19" t="n">
        <v>0</v>
      </c>
      <c r="BP350" s="19" t="n">
        <v>0</v>
      </c>
      <c r="BQ350" s="19" t="n">
        <v>0</v>
      </c>
      <c r="BR350" s="19" t="n">
        <v>1</v>
      </c>
      <c r="BS350" s="19" t="n">
        <v>2</v>
      </c>
      <c r="BT350" s="19" t="n">
        <v>3</v>
      </c>
      <c r="BU350" s="19" t="n">
        <v>5</v>
      </c>
      <c r="BV350" s="19" t="n">
        <v>1</v>
      </c>
      <c r="BW350" s="19" t="n">
        <v>1</v>
      </c>
      <c r="BX350" s="19" t="n">
        <v>2</v>
      </c>
      <c r="BY350" s="19" t="n">
        <v>4</v>
      </c>
      <c r="BZ350" s="19" t="n">
        <v>2</v>
      </c>
      <c r="CA350" s="19" t="n">
        <v>5</v>
      </c>
      <c r="CB350" s="19" t="n">
        <v>5</v>
      </c>
      <c r="CC350" s="19" t="n">
        <v>5</v>
      </c>
      <c r="CD350" s="19" t="n">
        <v>4</v>
      </c>
      <c r="CE350" s="19" t="n">
        <v>5</v>
      </c>
      <c r="CF350" s="19" t="n">
        <v>5</v>
      </c>
      <c r="CG350" s="19" t="n">
        <v>5</v>
      </c>
      <c r="CH350" s="19" t="n">
        <v>5</v>
      </c>
      <c r="CI350" s="19" t="n">
        <v>5</v>
      </c>
      <c r="CJ350" s="19" t="n">
        <v>5</v>
      </c>
      <c r="CK350" s="19" t="n">
        <v>8</v>
      </c>
      <c r="CL350" s="24" t="s">
        <v>779</v>
      </c>
      <c r="CM350" s="24" t="n">
        <v>43</v>
      </c>
      <c r="CN350" s="27" t="n">
        <v>91.8</v>
      </c>
      <c r="CO350" s="27" t="n">
        <v>83.4</v>
      </c>
      <c r="CP350" s="27" t="n">
        <v>25.8</v>
      </c>
      <c r="CQ350" s="24" t="n">
        <v>68.3</v>
      </c>
      <c r="CR350" s="24" t="n">
        <v>0</v>
      </c>
      <c r="CS350" s="24" t="n">
        <v>0</v>
      </c>
      <c r="CT350" s="24" t="n">
        <v>0</v>
      </c>
      <c r="CU350" s="24" t="n">
        <v>31.54</v>
      </c>
      <c r="CV350" s="24" t="n">
        <v>0</v>
      </c>
      <c r="CW350" s="24" t="n">
        <v>0</v>
      </c>
      <c r="CX350" s="24" t="n">
        <v>0</v>
      </c>
      <c r="CY350" s="24" t="n">
        <v>0</v>
      </c>
      <c r="CZ350" s="24" t="n">
        <v>0</v>
      </c>
      <c r="DA350" s="24" t="n">
        <v>0</v>
      </c>
      <c r="DB350" s="24" t="n">
        <v>48.27</v>
      </c>
      <c r="DC350" s="24" t="n">
        <v>58.3</v>
      </c>
      <c r="DD350" s="24" t="n">
        <v>1.34</v>
      </c>
      <c r="DE350" s="24" t="n">
        <v>0</v>
      </c>
      <c r="DF350" s="24" t="n">
        <v>0.16</v>
      </c>
      <c r="DG350" s="24" t="n">
        <v>0</v>
      </c>
      <c r="DH350" s="24" t="n">
        <v>0</v>
      </c>
      <c r="DU350" s="24" t="n">
        <v>11</v>
      </c>
      <c r="DV350" s="24" t="n">
        <v>1</v>
      </c>
      <c r="DW350" s="24" t="n">
        <v>30</v>
      </c>
      <c r="DX350" s="24" t="n">
        <v>1</v>
      </c>
      <c r="DY350" s="24" t="n">
        <v>0.73</v>
      </c>
      <c r="DZ350" s="24" t="n">
        <v>1</v>
      </c>
      <c r="EG350" s="28"/>
      <c r="EY350" s="24" t="n">
        <v>1</v>
      </c>
      <c r="EZ350" s="24" t="n">
        <v>60</v>
      </c>
      <c r="FA350" s="24" t="n">
        <v>14</v>
      </c>
      <c r="FB350" s="24" t="n">
        <f aca="false">1.25+0.05+0.21+0.21+0.31+0.08</f>
        <v>2.11</v>
      </c>
      <c r="FC350" s="24" t="n">
        <v>6</v>
      </c>
      <c r="FD350" s="24" t="n">
        <v>50</v>
      </c>
      <c r="FE350" s="24" t="n">
        <v>8</v>
      </c>
      <c r="FF350" s="24" t="n">
        <f aca="false">2.94*2</f>
        <v>5.88</v>
      </c>
      <c r="FG350" s="24" t="n">
        <v>4</v>
      </c>
      <c r="GJ350" s="27" t="n">
        <v>2.45</v>
      </c>
      <c r="GK350" s="27" t="n">
        <v>1</v>
      </c>
      <c r="GL350" s="27" t="n">
        <v>1</v>
      </c>
      <c r="GM350" s="27"/>
      <c r="GN350" s="27" t="n">
        <f aca="false">0.03*2+0.16+0.46</f>
        <v>0.68</v>
      </c>
      <c r="GO350" s="27" t="n">
        <v>2</v>
      </c>
      <c r="GP350" s="27"/>
      <c r="GQ350" s="27" t="n">
        <f aca="false">6.12+0.54</f>
        <v>6.66</v>
      </c>
      <c r="GR350" s="27"/>
      <c r="GS350" s="27"/>
      <c r="GT350" s="27"/>
      <c r="GU350" s="27" t="n">
        <v>3.68</v>
      </c>
      <c r="GV350" s="27" t="n">
        <v>1.63</v>
      </c>
      <c r="GW350" s="27"/>
      <c r="GX350" s="27"/>
      <c r="GY350" s="27" t="n">
        <v>0</v>
      </c>
      <c r="GZ350" s="27" t="n">
        <v>0</v>
      </c>
      <c r="HA350" s="27" t="n">
        <v>0</v>
      </c>
      <c r="HB350" s="24" t="n">
        <v>0</v>
      </c>
      <c r="HC350" s="24" t="s">
        <v>780</v>
      </c>
      <c r="HD350" s="24" t="n">
        <v>46</v>
      </c>
      <c r="HE350" s="27" t="n">
        <v>101.6</v>
      </c>
      <c r="HF350" s="27" t="n">
        <v>83.4</v>
      </c>
      <c r="HG350" s="27" t="n">
        <v>27.8</v>
      </c>
      <c r="HH350" s="24" t="n">
        <v>66.04</v>
      </c>
      <c r="HI350" s="24" t="n">
        <v>0</v>
      </c>
      <c r="HJ350" s="24" t="n">
        <v>0</v>
      </c>
      <c r="HK350" s="24" t="n">
        <v>0</v>
      </c>
      <c r="HL350" s="24" t="n">
        <v>35.15</v>
      </c>
      <c r="HM350" s="24" t="n">
        <v>0</v>
      </c>
      <c r="HN350" s="24" t="n">
        <v>0</v>
      </c>
      <c r="HO350" s="24" t="n">
        <v>0</v>
      </c>
      <c r="HP350" s="24" t="n">
        <v>0</v>
      </c>
      <c r="HQ350" s="24" t="n">
        <v>0</v>
      </c>
      <c r="HR350" s="24" t="n">
        <v>0</v>
      </c>
      <c r="HS350" s="24" t="n">
        <v>43.27</v>
      </c>
      <c r="HT350" s="24" t="n">
        <v>65.02</v>
      </c>
      <c r="HU350" s="24" t="n">
        <v>6.59</v>
      </c>
      <c r="HV350" s="24" t="n">
        <v>0.88</v>
      </c>
      <c r="HW350" s="24" t="n">
        <v>0.16</v>
      </c>
      <c r="HX350" s="24" t="n">
        <v>0</v>
      </c>
      <c r="HY350" s="24" t="n">
        <v>0</v>
      </c>
      <c r="IL350" s="24" t="n">
        <v>14.9</v>
      </c>
      <c r="IM350" s="24" t="n">
        <v>1</v>
      </c>
      <c r="IN350" s="24" t="n">
        <v>30</v>
      </c>
      <c r="IO350" s="24" t="n">
        <v>1</v>
      </c>
      <c r="IP350" s="24" t="n">
        <v>0.73</v>
      </c>
      <c r="IQ350" s="24" t="n">
        <v>1</v>
      </c>
      <c r="IR350" s="24" t="n">
        <v>47</v>
      </c>
      <c r="IS350" s="24" t="n">
        <v>1</v>
      </c>
      <c r="IT350" s="24" t="n">
        <v>0.11</v>
      </c>
      <c r="IU350" s="24" t="n">
        <v>3</v>
      </c>
      <c r="IX350" s="28"/>
      <c r="JP350" s="24" t="n">
        <v>1</v>
      </c>
      <c r="JQ350" s="24" t="n">
        <v>60</v>
      </c>
      <c r="JR350" s="24" t="n">
        <v>4</v>
      </c>
      <c r="JS350" s="24" t="n">
        <v>1.68</v>
      </c>
      <c r="JT350" s="24" t="n">
        <v>6</v>
      </c>
      <c r="JU350" s="24" t="n">
        <v>50</v>
      </c>
      <c r="JV350" s="24" t="n">
        <v>8</v>
      </c>
      <c r="JW350" s="24" t="n">
        <f aca="false">2.94*2</f>
        <v>5.88</v>
      </c>
      <c r="JX350" s="24" t="n">
        <v>4</v>
      </c>
      <c r="JY350" s="24" t="n">
        <v>50</v>
      </c>
      <c r="JZ350" s="24" t="n">
        <v>4</v>
      </c>
      <c r="KA350" s="24" t="n">
        <v>0.76</v>
      </c>
      <c r="KB350" s="24" t="n">
        <v>6</v>
      </c>
      <c r="KC350" s="24" t="n">
        <v>80</v>
      </c>
      <c r="KD350" s="24" t="n">
        <v>8</v>
      </c>
      <c r="KE350" s="24" t="n">
        <f aca="false">0.31+0.21</f>
        <v>0.52</v>
      </c>
      <c r="KF350" s="24" t="n">
        <v>6</v>
      </c>
      <c r="LA350" s="27" t="n">
        <v>2.05</v>
      </c>
      <c r="LB350" s="27" t="n">
        <v>1</v>
      </c>
      <c r="LC350" s="27" t="n">
        <v>1</v>
      </c>
      <c r="LD350" s="27"/>
      <c r="LE350" s="27" t="n">
        <f aca="false">6.12+0.54+0.36</f>
        <v>7.02</v>
      </c>
      <c r="LF350" s="27" t="n">
        <v>2</v>
      </c>
      <c r="LG350" s="27"/>
      <c r="LH350" s="27" t="n">
        <v>6.01</v>
      </c>
      <c r="LI350" s="27"/>
      <c r="LJ350" s="27"/>
      <c r="LK350" s="27"/>
      <c r="LL350" s="27" t="n">
        <v>0.86</v>
      </c>
      <c r="LM350" s="27" t="n">
        <v>0.85</v>
      </c>
      <c r="LN350" s="27"/>
      <c r="LO350" s="27"/>
      <c r="LP350" s="27" t="n">
        <v>0</v>
      </c>
      <c r="LQ350" s="27" t="n">
        <v>0</v>
      </c>
      <c r="LR350" s="27" t="n">
        <v>0</v>
      </c>
      <c r="LS350" s="24" t="n">
        <v>0</v>
      </c>
      <c r="LT350" s="24" t="n">
        <v>100</v>
      </c>
      <c r="LU350" s="24" t="n">
        <v>29.5</v>
      </c>
      <c r="LV350" s="27" t="n">
        <v>94.9</v>
      </c>
      <c r="LW350" s="27" t="n">
        <v>83.4</v>
      </c>
      <c r="LX350" s="27" t="n">
        <v>17.6</v>
      </c>
      <c r="LY350" s="24" t="n">
        <v>85.6</v>
      </c>
      <c r="LZ350" s="24" t="n">
        <v>0</v>
      </c>
      <c r="MA350" s="24" t="n">
        <v>0</v>
      </c>
      <c r="MB350" s="24" t="n">
        <v>0</v>
      </c>
      <c r="MC350" s="24" t="n">
        <v>14.4</v>
      </c>
      <c r="MD350" s="24" t="n">
        <v>0</v>
      </c>
      <c r="ME350" s="24" t="n">
        <v>0</v>
      </c>
      <c r="MF350" s="24" t="n">
        <v>0</v>
      </c>
      <c r="MG350" s="24" t="n">
        <v>0</v>
      </c>
      <c r="MH350" s="24" t="n">
        <v>0</v>
      </c>
      <c r="MI350" s="24" t="n">
        <v>0</v>
      </c>
      <c r="MJ350" s="24" t="n">
        <v>1.95</v>
      </c>
      <c r="MK350" s="24" t="n">
        <v>9.45</v>
      </c>
      <c r="ML350" s="24" t="n">
        <v>11.24</v>
      </c>
      <c r="MM350" s="24" t="n">
        <v>36.94</v>
      </c>
      <c r="MN350" s="24" t="n">
        <v>0</v>
      </c>
      <c r="MO350" s="24" t="n">
        <v>11.5</v>
      </c>
      <c r="MP350" s="24" t="n">
        <v>1</v>
      </c>
      <c r="MQ350" s="24" t="n">
        <v>5</v>
      </c>
      <c r="MS350" s="24" t="n">
        <v>4</v>
      </c>
      <c r="NC350" s="24" t="n">
        <v>0</v>
      </c>
      <c r="ND350" s="24" t="n">
        <v>0</v>
      </c>
      <c r="NO350" s="28"/>
      <c r="OG350" s="24" t="n">
        <v>0</v>
      </c>
      <c r="PR350" s="27" t="n">
        <v>0.2</v>
      </c>
      <c r="PS350" s="27" t="n">
        <v>1</v>
      </c>
      <c r="PT350" s="27" t="n">
        <v>1</v>
      </c>
      <c r="PU350" s="27"/>
      <c r="PV350" s="27" t="n">
        <f aca="false">0.14+0.23+0.07+0.21</f>
        <v>0.65</v>
      </c>
      <c r="PW350" s="27"/>
      <c r="PX350" s="27"/>
      <c r="PY350" s="27"/>
      <c r="PZ350" s="27"/>
      <c r="QA350" s="27"/>
      <c r="QB350" s="27"/>
      <c r="QC350" s="27" t="n">
        <v>0.23</v>
      </c>
      <c r="QD350" s="27" t="n">
        <v>0.23</v>
      </c>
      <c r="QE350" s="27"/>
      <c r="QF350" s="27"/>
      <c r="QG350" s="27" t="n">
        <v>0</v>
      </c>
      <c r="QH350" s="27" t="n">
        <v>0</v>
      </c>
      <c r="QI350" s="27" t="n">
        <v>0</v>
      </c>
      <c r="QJ350" s="24" t="n">
        <v>0</v>
      </c>
      <c r="QK350" s="24" t="s">
        <v>781</v>
      </c>
      <c r="QL350" s="24" t="n">
        <v>47.5</v>
      </c>
      <c r="QM350" s="27" t="n">
        <v>49.3</v>
      </c>
      <c r="QN350" s="27" t="n">
        <v>83.4</v>
      </c>
      <c r="QO350" s="27" t="n">
        <v>35.7</v>
      </c>
      <c r="QP350" s="24" t="n">
        <v>66.48</v>
      </c>
      <c r="QQ350" s="24" t="n">
        <v>0</v>
      </c>
      <c r="QR350" s="24" t="n">
        <v>6.11</v>
      </c>
      <c r="QS350" s="24" t="n">
        <v>0</v>
      </c>
      <c r="QT350" s="24" t="n">
        <v>9.56</v>
      </c>
      <c r="QU350" s="24" t="n">
        <v>0</v>
      </c>
      <c r="QV350" s="24" t="n">
        <v>6.1</v>
      </c>
      <c r="QW350" s="24" t="n">
        <v>3.05</v>
      </c>
      <c r="QX350" s="24" t="n">
        <v>0</v>
      </c>
      <c r="QY350" s="24" t="n">
        <v>0</v>
      </c>
      <c r="QZ350" s="24" t="n">
        <v>0</v>
      </c>
      <c r="RA350" s="24" t="n">
        <v>0</v>
      </c>
      <c r="RB350" s="24" t="n">
        <v>17.78</v>
      </c>
      <c r="RC350" s="24" t="n">
        <v>9.13</v>
      </c>
      <c r="RD350" s="24" t="n">
        <v>2.7</v>
      </c>
      <c r="RE350" s="24" t="n">
        <v>11.73</v>
      </c>
      <c r="RF350" s="24" t="n">
        <v>0</v>
      </c>
      <c r="RG350" s="24" t="n">
        <v>0</v>
      </c>
      <c r="RT350" s="24" t="n">
        <v>5.7</v>
      </c>
      <c r="RU350" s="24" t="n">
        <v>1</v>
      </c>
      <c r="RV350" s="24" t="n">
        <v>30</v>
      </c>
      <c r="RW350" s="24" t="n">
        <v>10</v>
      </c>
      <c r="RX350" s="24" t="n">
        <f aca="false">0.15*2+0.16*8</f>
        <v>1.58</v>
      </c>
      <c r="RY350" s="24" t="n">
        <v>3</v>
      </c>
      <c r="SF350" s="28"/>
      <c r="SX350" s="24" t="n">
        <v>1</v>
      </c>
      <c r="SY350" s="24" t="n">
        <v>40</v>
      </c>
      <c r="SZ350" s="24" t="n">
        <v>4</v>
      </c>
      <c r="TA350" s="24" t="n">
        <v>0.6</v>
      </c>
      <c r="TB350" s="24" t="n">
        <v>2</v>
      </c>
      <c r="UI350" s="27" t="n">
        <v>0.53</v>
      </c>
      <c r="UJ350" s="27" t="n">
        <v>1</v>
      </c>
      <c r="UK350" s="27" t="n">
        <v>1</v>
      </c>
      <c r="UL350" s="27"/>
      <c r="UM350" s="27" t="n">
        <f aca="false">0.64*4+0.08</f>
        <v>2.64</v>
      </c>
      <c r="UN350" s="27"/>
      <c r="UO350" s="27"/>
      <c r="UP350" s="27"/>
      <c r="UQ350" s="27"/>
      <c r="UR350" s="27"/>
      <c r="US350" s="27"/>
      <c r="UT350" s="27" t="n">
        <v>5.06</v>
      </c>
      <c r="UU350" s="27" t="n">
        <v>1.58</v>
      </c>
      <c r="UV350" s="27"/>
      <c r="UW350" s="27"/>
      <c r="UX350" s="27" t="n">
        <v>0</v>
      </c>
      <c r="UY350" s="27" t="n">
        <v>0</v>
      </c>
      <c r="UZ350" s="27" t="n">
        <v>0</v>
      </c>
      <c r="VA350" s="24" t="n">
        <v>0</v>
      </c>
      <c r="VB350" s="24" t="s">
        <v>782</v>
      </c>
      <c r="VC350" s="24" t="n">
        <v>71</v>
      </c>
      <c r="VD350" s="27" t="n">
        <v>92</v>
      </c>
      <c r="VE350" s="27" t="n">
        <v>166.8</v>
      </c>
      <c r="VF350" s="27" t="n">
        <v>65</v>
      </c>
      <c r="VG350" s="24" t="n">
        <v>28.78</v>
      </c>
      <c r="VH350" s="24" t="n">
        <v>0</v>
      </c>
      <c r="VI350" s="24" t="n">
        <v>0</v>
      </c>
      <c r="VJ350" s="24" t="n">
        <v>0</v>
      </c>
      <c r="VK350" s="24" t="n">
        <v>2.5</v>
      </c>
      <c r="VL350" s="24" t="n">
        <v>0</v>
      </c>
      <c r="VM350" s="24" t="n">
        <v>8.54</v>
      </c>
      <c r="VN350" s="24" t="n">
        <v>0</v>
      </c>
      <c r="VO350" s="24" t="n">
        <v>0</v>
      </c>
      <c r="VP350" s="24" t="n">
        <v>2.76</v>
      </c>
      <c r="VQ350" s="24" t="n">
        <v>0</v>
      </c>
      <c r="VR350" s="24" t="n">
        <v>9.52</v>
      </c>
      <c r="VS350" s="24" t="n">
        <v>36.91</v>
      </c>
      <c r="VT350" s="24" t="n">
        <v>26.15</v>
      </c>
      <c r="VU350" s="24" t="n">
        <v>1.97</v>
      </c>
      <c r="VV350" s="24" t="n">
        <v>60.18</v>
      </c>
      <c r="VW350" s="24" t="n">
        <v>0</v>
      </c>
      <c r="VX350" s="24" t="n">
        <v>0</v>
      </c>
      <c r="WK350" s="24" t="n">
        <v>0.1</v>
      </c>
      <c r="WL350" s="24" t="n">
        <v>0</v>
      </c>
      <c r="WW350" s="28"/>
      <c r="XO350" s="24" t="n">
        <v>1</v>
      </c>
      <c r="XP350" s="24" t="n">
        <v>50</v>
      </c>
      <c r="XQ350" s="24" t="n">
        <v>4</v>
      </c>
      <c r="XR350" s="24" t="n">
        <f aca="false">0.37*4</f>
        <v>1.48</v>
      </c>
      <c r="XS350" s="24" t="n">
        <v>3</v>
      </c>
      <c r="XT350" s="24" t="n">
        <v>40</v>
      </c>
      <c r="XU350" s="24" t="n">
        <v>6</v>
      </c>
      <c r="XV350" s="24" t="n">
        <v>2.2</v>
      </c>
      <c r="XW350" s="24" t="n">
        <v>3</v>
      </c>
      <c r="XX350" s="24" t="n">
        <v>50</v>
      </c>
      <c r="XY350" s="24" t="n">
        <v>1</v>
      </c>
      <c r="XZ350" s="24" t="n">
        <v>0.06</v>
      </c>
      <c r="YA350" s="24" t="n">
        <v>1</v>
      </c>
      <c r="YB350" s="24" t="n">
        <v>60</v>
      </c>
      <c r="YC350" s="24" t="n">
        <v>3</v>
      </c>
      <c r="YD350" s="24" t="n">
        <v>0.19</v>
      </c>
      <c r="YE350" s="24" t="n">
        <v>4</v>
      </c>
      <c r="YZ350" s="27" t="n">
        <v>1.11</v>
      </c>
      <c r="ZA350" s="27" t="n">
        <v>1</v>
      </c>
      <c r="ZB350" s="27" t="n">
        <v>1</v>
      </c>
      <c r="ZC350" s="27"/>
      <c r="ZD350" s="27" t="n">
        <f aca="false">0.51*2+0.09+0.15*2+1.65+0.18+0.72</f>
        <v>3.96</v>
      </c>
      <c r="ZE350" s="27"/>
      <c r="ZF350" s="27"/>
      <c r="ZG350" s="27"/>
      <c r="ZH350" s="27"/>
      <c r="ZI350" s="27"/>
      <c r="ZJ350" s="27"/>
      <c r="ZK350" s="27" t="n">
        <v>1.95</v>
      </c>
      <c r="ZL350" s="27" t="n">
        <v>1.96</v>
      </c>
      <c r="ZM350" s="27"/>
      <c r="ZN350" s="27"/>
      <c r="ZO350" s="27" t="n">
        <v>2.88</v>
      </c>
      <c r="ZP350" s="27" t="n">
        <v>0</v>
      </c>
      <c r="ZQ350" s="27" t="n">
        <v>0</v>
      </c>
      <c r="ZR350" s="24" t="n">
        <v>2</v>
      </c>
      <c r="ZS350" s="24" t="s">
        <v>783</v>
      </c>
      <c r="ZT350" s="24" t="n">
        <v>35</v>
      </c>
      <c r="ZU350" s="27" t="n">
        <v>89.3</v>
      </c>
      <c r="ZV350" s="27" t="n">
        <v>83.4</v>
      </c>
      <c r="ZW350" s="27" t="n">
        <v>12.6</v>
      </c>
      <c r="ZX350" s="24" t="n">
        <v>87.93</v>
      </c>
      <c r="ZY350" s="24" t="n">
        <v>0</v>
      </c>
      <c r="ZZ350" s="24" t="n">
        <v>0</v>
      </c>
      <c r="AAA350" s="24" t="n">
        <v>1.49</v>
      </c>
      <c r="AAB350" s="24" t="n">
        <v>10.58</v>
      </c>
      <c r="AAC350" s="24" t="n">
        <v>0</v>
      </c>
      <c r="AAD350" s="24" t="n">
        <v>0</v>
      </c>
      <c r="AAE350" s="24" t="n">
        <v>0</v>
      </c>
      <c r="AAF350" s="24" t="n">
        <v>0</v>
      </c>
      <c r="AAG350" s="24" t="n">
        <v>0</v>
      </c>
      <c r="AAH350" s="24" t="n">
        <v>0</v>
      </c>
      <c r="AAI350" s="24" t="n">
        <v>0.17</v>
      </c>
      <c r="AAJ350" s="24" t="n">
        <v>38.78</v>
      </c>
      <c r="AAK350" s="24" t="n">
        <v>29.47</v>
      </c>
      <c r="AAL350" s="24" t="n">
        <v>0</v>
      </c>
      <c r="AAM350" s="24" t="n">
        <v>0</v>
      </c>
      <c r="AAN350" s="24" t="n">
        <v>4</v>
      </c>
      <c r="AAO350" s="24" t="n">
        <v>1</v>
      </c>
      <c r="AAP350" s="24" t="n">
        <v>3</v>
      </c>
      <c r="AAR350" s="24" t="n">
        <v>4</v>
      </c>
      <c r="ABB350" s="24" t="n">
        <v>9.7</v>
      </c>
      <c r="ABC350" s="24" t="n">
        <v>1</v>
      </c>
      <c r="ABD350" s="24" t="n">
        <v>68</v>
      </c>
      <c r="ABE350" s="24" t="n">
        <v>1</v>
      </c>
      <c r="ABF350" s="24" t="n">
        <v>0.02</v>
      </c>
      <c r="ABG350" s="24" t="n">
        <v>1</v>
      </c>
      <c r="ABH350" s="24" t="n">
        <v>35</v>
      </c>
      <c r="ABI350" s="24" t="n">
        <v>10</v>
      </c>
      <c r="ABJ350" s="24" t="n">
        <f aca="false">0.22*2+0.43*2+0.65+0.04+0.02+0.08</f>
        <v>2.09</v>
      </c>
      <c r="ABK350" s="24" t="n">
        <v>3</v>
      </c>
      <c r="ABN350" s="28"/>
      <c r="ACF350" s="24" t="n">
        <v>1</v>
      </c>
      <c r="ACG350" s="24" t="n">
        <v>50</v>
      </c>
      <c r="ACH350" s="24" t="n">
        <f aca="false">4*3+3*4</f>
        <v>24</v>
      </c>
      <c r="ACI350" s="24" t="n">
        <f aca="false">0.07+0.25+0.11+0.65+1.3+15</f>
        <v>17.38</v>
      </c>
      <c r="ACJ350" s="24" t="n">
        <v>1</v>
      </c>
      <c r="ACK350" s="24" t="n">
        <v>40</v>
      </c>
      <c r="ACL350" s="24" t="n">
        <v>18</v>
      </c>
      <c r="ACM350" s="24" t="n">
        <f aca="false">0.87+0.17+0.08+0.34+1.73+0.43+0.87+0.07</f>
        <v>4.56</v>
      </c>
      <c r="ACN350" s="24" t="n">
        <v>1</v>
      </c>
      <c r="ACO350" s="24" t="n">
        <v>40</v>
      </c>
      <c r="ACP350" s="24" t="n">
        <v>2</v>
      </c>
      <c r="ACQ350" s="24" t="n">
        <v>0.12</v>
      </c>
      <c r="ACR350" s="24" t="n">
        <v>5</v>
      </c>
      <c r="ACS350" s="24" t="n">
        <v>50</v>
      </c>
      <c r="ACT350" s="24" t="n">
        <v>1</v>
      </c>
      <c r="ACU350" s="24" t="n">
        <v>0.22</v>
      </c>
      <c r="ACV350" s="24" t="n">
        <v>6</v>
      </c>
      <c r="ACW350" s="24" t="n">
        <v>40</v>
      </c>
      <c r="ACX350" s="24" t="n">
        <v>3</v>
      </c>
      <c r="ACY350" s="24" t="n">
        <v>0.16</v>
      </c>
      <c r="ACZ350" s="24" t="n">
        <v>6</v>
      </c>
      <c r="ADQ350" s="27" t="n">
        <v>0.68</v>
      </c>
      <c r="ADR350" s="27" t="n">
        <v>1</v>
      </c>
      <c r="ADS350" s="27" t="n">
        <v>1</v>
      </c>
      <c r="ADT350" s="27"/>
      <c r="ADU350" s="27" t="n">
        <f aca="false">0.34+0.91+1.8+0.08+0.3</f>
        <v>3.43</v>
      </c>
      <c r="ADV350" s="27"/>
      <c r="ADW350" s="27"/>
      <c r="ADX350" s="27"/>
      <c r="ADY350" s="27"/>
      <c r="ADZ350" s="27"/>
      <c r="AEA350" s="27"/>
      <c r="AEB350" s="27" t="n">
        <v>7.83</v>
      </c>
      <c r="AEC350" s="27" t="n">
        <v>8.68</v>
      </c>
      <c r="AED350" s="27"/>
      <c r="AEE350" s="27"/>
      <c r="AEF350" s="27" t="n">
        <v>0</v>
      </c>
      <c r="AEG350" s="27" t="n">
        <v>0</v>
      </c>
      <c r="AEH350" s="27" t="n">
        <v>0</v>
      </c>
      <c r="AEI350" s="24" t="n">
        <v>0</v>
      </c>
      <c r="AEJ350" s="24" t="s">
        <v>784</v>
      </c>
      <c r="AEK350" s="24" t="n">
        <v>38</v>
      </c>
      <c r="AEL350" s="27" t="n">
        <v>92.6</v>
      </c>
      <c r="AEM350" s="27" t="n">
        <v>83.4</v>
      </c>
      <c r="AEN350" s="27" t="n">
        <v>16.5</v>
      </c>
      <c r="AEO350" s="24" t="n">
        <v>77.87</v>
      </c>
      <c r="AEP350" s="24" t="n">
        <v>0</v>
      </c>
      <c r="AEQ350" s="24" t="n">
        <v>0</v>
      </c>
      <c r="AER350" s="24" t="n">
        <v>0</v>
      </c>
      <c r="AES350" s="24" t="n">
        <v>21.87</v>
      </c>
      <c r="AET350" s="24" t="n">
        <v>0</v>
      </c>
      <c r="AEU350" s="24" t="n">
        <v>0</v>
      </c>
      <c r="AEV350" s="24" t="n">
        <v>0</v>
      </c>
      <c r="AEW350" s="24" t="n">
        <v>0</v>
      </c>
      <c r="AEX350" s="24" t="n">
        <v>0</v>
      </c>
      <c r="AEY350" s="24" t="n">
        <v>0</v>
      </c>
      <c r="AEZ350" s="24" t="n">
        <v>0.29</v>
      </c>
      <c r="AFA350" s="24" t="n">
        <v>38.85</v>
      </c>
      <c r="AFB350" s="24" t="n">
        <v>37.36</v>
      </c>
      <c r="AFC350" s="24" t="n">
        <v>5.57</v>
      </c>
      <c r="AFD350" s="24" t="n">
        <v>0</v>
      </c>
      <c r="AFE350" s="24" t="n">
        <v>0</v>
      </c>
      <c r="AFF350" s="24" t="n">
        <v>0</v>
      </c>
      <c r="AFS350" s="24" t="n">
        <v>17.5</v>
      </c>
      <c r="AFT350" s="24" t="n">
        <v>0</v>
      </c>
      <c r="AGE350" s="28"/>
      <c r="AGW350" s="24" t="n">
        <v>1</v>
      </c>
      <c r="AGX350" s="24" t="n">
        <v>70</v>
      </c>
      <c r="AGY350" s="24" t="n">
        <f aca="false">8*3+3</f>
        <v>27</v>
      </c>
      <c r="AGZ350" s="24" t="n">
        <f aca="false">5.87*3+0.58</f>
        <v>18.19</v>
      </c>
      <c r="AHA350" s="24" t="n">
        <v>1</v>
      </c>
      <c r="AIH350" s="27" t="n">
        <v>3.74</v>
      </c>
      <c r="AII350" s="27" t="n">
        <v>1</v>
      </c>
      <c r="AIJ350" s="27" t="n">
        <v>1</v>
      </c>
      <c r="AIK350" s="27"/>
      <c r="AIL350" s="27" t="n">
        <f aca="false">1.65+2.04*2+0.36*2+0.54</f>
        <v>6.99</v>
      </c>
      <c r="AIM350" s="27" t="n">
        <v>2</v>
      </c>
      <c r="AIN350" s="27"/>
      <c r="AIO350" s="27" t="n">
        <v>0.91</v>
      </c>
      <c r="AIP350" s="27"/>
      <c r="AIQ350" s="27"/>
      <c r="AIR350" s="27"/>
      <c r="AIS350" s="27" t="n">
        <v>0.19</v>
      </c>
      <c r="AIT350" s="27" t="n">
        <v>0.19</v>
      </c>
      <c r="AIU350" s="27"/>
      <c r="AIV350" s="27"/>
      <c r="AIW350" s="27" t="n">
        <v>0</v>
      </c>
      <c r="AIX350" s="27" t="n">
        <v>0</v>
      </c>
      <c r="AIY350" s="27" t="n">
        <v>0</v>
      </c>
      <c r="AIZ350" s="24" t="n">
        <v>0</v>
      </c>
      <c r="AJA350" s="24" t="s">
        <v>785</v>
      </c>
      <c r="AJB350" s="24" t="n">
        <v>37.5</v>
      </c>
      <c r="AJC350" s="27" t="n">
        <v>94.9</v>
      </c>
      <c r="AJD350" s="27" t="n">
        <v>83.4</v>
      </c>
      <c r="AJE350" s="27" t="n">
        <v>16</v>
      </c>
      <c r="AJF350" s="24" t="n">
        <v>79.43</v>
      </c>
      <c r="AJG350" s="24" t="n">
        <v>0</v>
      </c>
      <c r="AJH350" s="24" t="n">
        <v>0</v>
      </c>
      <c r="AJI350" s="24" t="n">
        <v>0</v>
      </c>
      <c r="AJJ350" s="24" t="n">
        <v>20.31</v>
      </c>
      <c r="AJK350" s="24" t="n">
        <v>0</v>
      </c>
      <c r="AJL350" s="24" t="n">
        <v>0</v>
      </c>
      <c r="AJM350" s="24" t="n">
        <v>0</v>
      </c>
      <c r="AJN350" s="24" t="n">
        <v>0</v>
      </c>
      <c r="AJO350" s="24" t="n">
        <v>0</v>
      </c>
      <c r="AJP350" s="24" t="n">
        <v>0</v>
      </c>
      <c r="AJQ350" s="24" t="n">
        <v>0.29</v>
      </c>
      <c r="AJR350" s="24" t="n">
        <v>37.58</v>
      </c>
      <c r="AJS350" s="24" t="n">
        <v>37.76</v>
      </c>
      <c r="AJT350" s="24" t="n">
        <v>5.57</v>
      </c>
      <c r="AJU350" s="24" t="n">
        <v>0</v>
      </c>
      <c r="AJV350" s="24" t="n">
        <v>0</v>
      </c>
      <c r="AJW350" s="24" t="n">
        <v>0</v>
      </c>
      <c r="AKJ350" s="24" t="n">
        <v>17.5</v>
      </c>
      <c r="AKK350" s="24" t="n">
        <v>0</v>
      </c>
      <c r="AKV350" s="28"/>
      <c r="ALN350" s="24" t="n">
        <v>1</v>
      </c>
      <c r="ALO350" s="24" t="n">
        <v>71</v>
      </c>
      <c r="ALP350" s="24" t="n">
        <f aca="false">8*3+3</f>
        <v>27</v>
      </c>
      <c r="ALQ350" s="24" t="n">
        <f aca="false">5.87*3+0.58</f>
        <v>18.19</v>
      </c>
      <c r="ALR350" s="24" t="n">
        <v>2</v>
      </c>
    </row>
    <row r="351" customFormat="false" ht="13.8" hidden="false" customHeight="false" outlineLevel="0" collapsed="false">
      <c r="A351" s="1" t="s">
        <v>941</v>
      </c>
      <c r="B351" s="12" t="n">
        <v>42926</v>
      </c>
      <c r="C351" s="0" t="n">
        <v>2</v>
      </c>
      <c r="D351" s="13" t="n">
        <v>42797</v>
      </c>
      <c r="E351" s="12" t="n">
        <v>33683</v>
      </c>
      <c r="F351" s="14" t="n">
        <f aca="false">(B351-E351)/365.25</f>
        <v>25.305954825462</v>
      </c>
      <c r="G351" s="14" t="n">
        <f aca="false">(B351-D351)/365.25</f>
        <v>0.353182751540041</v>
      </c>
      <c r="H351" s="19" t="s">
        <v>306</v>
      </c>
      <c r="I351" s="15" t="s">
        <v>777</v>
      </c>
      <c r="J351" s="21" t="s">
        <v>181</v>
      </c>
      <c r="K351" s="21" t="s">
        <v>913</v>
      </c>
      <c r="L351" s="19" t="n">
        <v>70</v>
      </c>
      <c r="M351" s="0" t="n">
        <v>1.71</v>
      </c>
      <c r="N351" s="16" t="n">
        <f aca="false">L351/(M351*M351)</f>
        <v>23.9389897746315</v>
      </c>
      <c r="O351" s="19" t="n">
        <v>0</v>
      </c>
      <c r="P351" s="19" t="n">
        <v>0</v>
      </c>
      <c r="Q351" s="19" t="n">
        <v>0</v>
      </c>
      <c r="R351" s="26" t="n">
        <v>0</v>
      </c>
      <c r="S351" s="26" t="n">
        <v>0</v>
      </c>
      <c r="T351" s="26" t="n">
        <v>0</v>
      </c>
      <c r="U351" s="19" t="n">
        <v>1</v>
      </c>
      <c r="V351" s="19" t="n">
        <v>5</v>
      </c>
      <c r="W351" s="19" t="n">
        <v>1</v>
      </c>
      <c r="X351" s="19" t="n">
        <v>0</v>
      </c>
      <c r="Y351" s="19" t="n">
        <v>1</v>
      </c>
      <c r="Z351" s="19" t="n">
        <v>3</v>
      </c>
      <c r="AA351" s="19" t="n">
        <v>120</v>
      </c>
      <c r="AB351" s="19" t="s">
        <v>308</v>
      </c>
      <c r="AC351" s="19" t="n">
        <v>1</v>
      </c>
      <c r="AD351" s="19" t="n">
        <v>5</v>
      </c>
      <c r="AE351" s="19" t="n">
        <v>1</v>
      </c>
      <c r="AF351" s="19" t="n">
        <v>0</v>
      </c>
      <c r="AG351" s="19" t="n">
        <v>0</v>
      </c>
      <c r="AH351" s="19" t="n">
        <v>0</v>
      </c>
      <c r="AI351" s="19" t="n">
        <v>1</v>
      </c>
      <c r="AJ351" s="19" t="n">
        <v>0</v>
      </c>
      <c r="AK351" s="19" t="n">
        <v>0</v>
      </c>
      <c r="AL351" s="19" t="n">
        <v>0</v>
      </c>
      <c r="AM351" s="19" t="n">
        <v>0</v>
      </c>
      <c r="AN351" s="19" t="n">
        <v>0</v>
      </c>
      <c r="AO351" s="19" t="n">
        <v>0</v>
      </c>
      <c r="AP351" s="19" t="n">
        <v>0</v>
      </c>
      <c r="AQ351" s="19" t="n">
        <v>0</v>
      </c>
      <c r="AR351" s="19" t="n">
        <v>0</v>
      </c>
      <c r="AS351" s="19" t="n">
        <v>0</v>
      </c>
      <c r="AT351" s="19" t="n">
        <v>0</v>
      </c>
      <c r="AU351" s="19" t="n">
        <v>0</v>
      </c>
      <c r="AV351" s="19" t="n">
        <v>0</v>
      </c>
      <c r="AW351" s="19" t="n">
        <v>0</v>
      </c>
      <c r="AX351" s="19" t="n">
        <v>1</v>
      </c>
      <c r="AY351" s="19" t="n">
        <v>1</v>
      </c>
      <c r="AZ351" s="19" t="n">
        <v>1</v>
      </c>
      <c r="BA351" s="19" t="n">
        <v>5</v>
      </c>
      <c r="BB351" s="19" t="n">
        <v>1</v>
      </c>
      <c r="BC351" s="19" t="n">
        <v>1</v>
      </c>
      <c r="BD351" s="19" t="n">
        <v>1</v>
      </c>
      <c r="BE351" s="19" t="n">
        <v>9</v>
      </c>
      <c r="BF351" s="19" t="n">
        <v>0</v>
      </c>
      <c r="BG351" s="19" t="n">
        <v>0</v>
      </c>
      <c r="BH351" s="19" t="n">
        <v>0</v>
      </c>
      <c r="BI351" s="19" t="n">
        <v>0</v>
      </c>
      <c r="BJ351" s="19" t="n">
        <v>0</v>
      </c>
      <c r="BK351" s="19" t="n">
        <v>0</v>
      </c>
      <c r="BL351" s="19" t="n">
        <v>0</v>
      </c>
      <c r="BM351" s="19" t="n">
        <v>0</v>
      </c>
      <c r="BN351" s="19" t="n">
        <v>0</v>
      </c>
      <c r="BO351" s="19" t="n">
        <v>0</v>
      </c>
      <c r="BP351" s="19" t="n">
        <v>0</v>
      </c>
      <c r="BQ351" s="19" t="n">
        <v>0</v>
      </c>
      <c r="BR351" s="19" t="n">
        <v>3</v>
      </c>
      <c r="BS351" s="19" t="n">
        <v>2</v>
      </c>
      <c r="BT351" s="19" t="n">
        <v>4</v>
      </c>
      <c r="BU351" s="19" t="n">
        <v>4</v>
      </c>
      <c r="BV351" s="19" t="n">
        <v>3</v>
      </c>
      <c r="BW351" s="19" t="n">
        <v>4</v>
      </c>
      <c r="BX351" s="19" t="n">
        <v>4</v>
      </c>
      <c r="BY351" s="19" t="n">
        <v>3</v>
      </c>
      <c r="BZ351" s="19" t="n">
        <v>1</v>
      </c>
      <c r="CA351" s="19" t="n">
        <v>3</v>
      </c>
      <c r="CB351" s="19" t="n">
        <v>3</v>
      </c>
      <c r="CC351" s="19" t="n">
        <v>4</v>
      </c>
      <c r="CD351" s="19" t="n">
        <v>4</v>
      </c>
      <c r="CE351" s="19" t="n">
        <v>3</v>
      </c>
      <c r="CF351" s="19" t="n">
        <v>4</v>
      </c>
      <c r="CG351" s="19" t="n">
        <v>5</v>
      </c>
      <c r="CH351" s="19" t="n">
        <v>4</v>
      </c>
      <c r="CI351" s="19" t="n">
        <v>4</v>
      </c>
      <c r="CJ351" s="19" t="n">
        <v>2</v>
      </c>
      <c r="CK351" s="19" t="n">
        <v>7</v>
      </c>
      <c r="CL351" s="24" t="s">
        <v>779</v>
      </c>
      <c r="CM351" s="24" t="n">
        <v>43</v>
      </c>
      <c r="CN351" s="27" t="n">
        <v>91.8</v>
      </c>
      <c r="CO351" s="27" t="n">
        <v>83.4</v>
      </c>
      <c r="CP351" s="27" t="n">
        <v>25.8</v>
      </c>
      <c r="CQ351" s="24" t="n">
        <v>68.3</v>
      </c>
      <c r="CR351" s="24" t="n">
        <v>0</v>
      </c>
      <c r="CS351" s="24" t="n">
        <v>0</v>
      </c>
      <c r="CT351" s="24" t="n">
        <v>0</v>
      </c>
      <c r="CU351" s="24" t="n">
        <v>31.54</v>
      </c>
      <c r="CV351" s="24" t="n">
        <v>0</v>
      </c>
      <c r="CW351" s="24" t="n">
        <v>0</v>
      </c>
      <c r="CX351" s="24" t="n">
        <v>0</v>
      </c>
      <c r="CY351" s="24" t="n">
        <v>0</v>
      </c>
      <c r="CZ351" s="24" t="n">
        <v>0</v>
      </c>
      <c r="DA351" s="24" t="n">
        <v>0</v>
      </c>
      <c r="DB351" s="24" t="n">
        <v>48.27</v>
      </c>
      <c r="DC351" s="24" t="n">
        <v>58.3</v>
      </c>
      <c r="DD351" s="24" t="n">
        <v>1.34</v>
      </c>
      <c r="DE351" s="24" t="n">
        <v>0</v>
      </c>
      <c r="DF351" s="24" t="n">
        <v>0.16</v>
      </c>
      <c r="DG351" s="24" t="n">
        <v>0</v>
      </c>
      <c r="DH351" s="24" t="n">
        <v>0</v>
      </c>
      <c r="DU351" s="24" t="n">
        <v>11</v>
      </c>
      <c r="DV351" s="24" t="n">
        <v>1</v>
      </c>
      <c r="DW351" s="24" t="n">
        <v>30</v>
      </c>
      <c r="DX351" s="24" t="n">
        <v>1</v>
      </c>
      <c r="DY351" s="24" t="n">
        <v>0.73</v>
      </c>
      <c r="DZ351" s="24" t="n">
        <v>1</v>
      </c>
      <c r="EG351" s="28"/>
      <c r="EY351" s="24" t="n">
        <v>1</v>
      </c>
      <c r="EZ351" s="24" t="n">
        <v>60</v>
      </c>
      <c r="FA351" s="24" t="n">
        <v>14</v>
      </c>
      <c r="FB351" s="24" t="n">
        <f aca="false">1.25+0.05+0.21+0.21+0.31+0.08</f>
        <v>2.11</v>
      </c>
      <c r="FC351" s="24" t="n">
        <v>6</v>
      </c>
      <c r="FD351" s="24" t="n">
        <v>50</v>
      </c>
      <c r="FE351" s="24" t="n">
        <v>8</v>
      </c>
      <c r="FF351" s="24" t="n">
        <f aca="false">2.94*2</f>
        <v>5.88</v>
      </c>
      <c r="FG351" s="24" t="n">
        <v>4</v>
      </c>
      <c r="GJ351" s="27" t="n">
        <v>2.45</v>
      </c>
      <c r="GK351" s="27" t="n">
        <v>1</v>
      </c>
      <c r="GL351" s="27" t="n">
        <v>1</v>
      </c>
      <c r="GM351" s="27"/>
      <c r="GN351" s="27" t="n">
        <f aca="false">0.03*2+0.16+0.46</f>
        <v>0.68</v>
      </c>
      <c r="GO351" s="27" t="n">
        <v>2</v>
      </c>
      <c r="GP351" s="27"/>
      <c r="GQ351" s="27" t="n">
        <f aca="false">6.12+0.54</f>
        <v>6.66</v>
      </c>
      <c r="GR351" s="27"/>
      <c r="GS351" s="27"/>
      <c r="GT351" s="27"/>
      <c r="GU351" s="27" t="n">
        <v>3.68</v>
      </c>
      <c r="GV351" s="27" t="n">
        <v>1.63</v>
      </c>
      <c r="GW351" s="27"/>
      <c r="GX351" s="27"/>
      <c r="GY351" s="27" t="n">
        <v>0</v>
      </c>
      <c r="GZ351" s="27" t="n">
        <v>0</v>
      </c>
      <c r="HA351" s="27" t="n">
        <v>0</v>
      </c>
      <c r="HB351" s="24" t="n">
        <v>0</v>
      </c>
      <c r="HC351" s="24" t="s">
        <v>780</v>
      </c>
      <c r="HD351" s="24" t="n">
        <v>46</v>
      </c>
      <c r="HE351" s="27" t="n">
        <v>101.6</v>
      </c>
      <c r="HF351" s="27" t="n">
        <v>83.4</v>
      </c>
      <c r="HG351" s="27" t="n">
        <v>27.8</v>
      </c>
      <c r="HH351" s="24" t="n">
        <v>66.04</v>
      </c>
      <c r="HI351" s="24" t="n">
        <v>0</v>
      </c>
      <c r="HJ351" s="24" t="n">
        <v>0</v>
      </c>
      <c r="HK351" s="24" t="n">
        <v>0</v>
      </c>
      <c r="HL351" s="24" t="n">
        <v>35.15</v>
      </c>
      <c r="HM351" s="24" t="n">
        <v>0</v>
      </c>
      <c r="HN351" s="24" t="n">
        <v>0</v>
      </c>
      <c r="HO351" s="24" t="n">
        <v>0</v>
      </c>
      <c r="HP351" s="24" t="n">
        <v>0</v>
      </c>
      <c r="HQ351" s="24" t="n">
        <v>0</v>
      </c>
      <c r="HR351" s="24" t="n">
        <v>0</v>
      </c>
      <c r="HS351" s="24" t="n">
        <v>43.27</v>
      </c>
      <c r="HT351" s="24" t="n">
        <v>65.02</v>
      </c>
      <c r="HU351" s="24" t="n">
        <v>6.59</v>
      </c>
      <c r="HV351" s="24" t="n">
        <v>0.88</v>
      </c>
      <c r="HW351" s="24" t="n">
        <v>0.16</v>
      </c>
      <c r="HX351" s="24" t="n">
        <v>0</v>
      </c>
      <c r="HY351" s="24" t="n">
        <v>0</v>
      </c>
      <c r="IL351" s="24" t="n">
        <v>14.9</v>
      </c>
      <c r="IM351" s="24" t="n">
        <v>1</v>
      </c>
      <c r="IN351" s="24" t="n">
        <v>30</v>
      </c>
      <c r="IO351" s="24" t="n">
        <v>1</v>
      </c>
      <c r="IP351" s="24" t="n">
        <v>0.73</v>
      </c>
      <c r="IQ351" s="24" t="n">
        <v>1</v>
      </c>
      <c r="IR351" s="24" t="n">
        <v>47</v>
      </c>
      <c r="IS351" s="24" t="n">
        <v>1</v>
      </c>
      <c r="IT351" s="24" t="n">
        <v>0.11</v>
      </c>
      <c r="IU351" s="24" t="n">
        <v>3</v>
      </c>
      <c r="IX351" s="28"/>
      <c r="JP351" s="24" t="n">
        <v>1</v>
      </c>
      <c r="JQ351" s="24" t="n">
        <v>60</v>
      </c>
      <c r="JR351" s="24" t="n">
        <v>4</v>
      </c>
      <c r="JS351" s="24" t="n">
        <v>1.68</v>
      </c>
      <c r="JT351" s="24" t="n">
        <v>6</v>
      </c>
      <c r="JU351" s="24" t="n">
        <v>50</v>
      </c>
      <c r="JV351" s="24" t="n">
        <v>8</v>
      </c>
      <c r="JW351" s="24" t="n">
        <f aca="false">2.94*2</f>
        <v>5.88</v>
      </c>
      <c r="JX351" s="24" t="n">
        <v>4</v>
      </c>
      <c r="JY351" s="24" t="n">
        <v>50</v>
      </c>
      <c r="JZ351" s="24" t="n">
        <v>4</v>
      </c>
      <c r="KA351" s="24" t="n">
        <v>0.76</v>
      </c>
      <c r="KB351" s="24" t="n">
        <v>6</v>
      </c>
      <c r="KC351" s="24" t="n">
        <v>80</v>
      </c>
      <c r="KD351" s="24" t="n">
        <v>8</v>
      </c>
      <c r="KE351" s="24" t="n">
        <f aca="false">0.31+0.21</f>
        <v>0.52</v>
      </c>
      <c r="KF351" s="24" t="n">
        <v>6</v>
      </c>
      <c r="LA351" s="27" t="n">
        <v>2.05</v>
      </c>
      <c r="LB351" s="27" t="n">
        <v>1</v>
      </c>
      <c r="LC351" s="27" t="n">
        <v>1</v>
      </c>
      <c r="LD351" s="27"/>
      <c r="LE351" s="27" t="n">
        <f aca="false">6.12+0.54+0.36</f>
        <v>7.02</v>
      </c>
      <c r="LF351" s="27" t="n">
        <v>2</v>
      </c>
      <c r="LG351" s="27"/>
      <c r="LH351" s="27" t="n">
        <v>6.01</v>
      </c>
      <c r="LI351" s="27"/>
      <c r="LJ351" s="27"/>
      <c r="LK351" s="27"/>
      <c r="LL351" s="27" t="n">
        <v>0.86</v>
      </c>
      <c r="LM351" s="27" t="n">
        <v>0.85</v>
      </c>
      <c r="LN351" s="27"/>
      <c r="LO351" s="27"/>
      <c r="LP351" s="27" t="n">
        <v>0</v>
      </c>
      <c r="LQ351" s="27" t="n">
        <v>0</v>
      </c>
      <c r="LR351" s="27" t="n">
        <v>0</v>
      </c>
      <c r="LS351" s="24" t="n">
        <v>0</v>
      </c>
      <c r="LT351" s="24" t="n">
        <v>100</v>
      </c>
      <c r="LU351" s="24" t="n">
        <v>29.5</v>
      </c>
      <c r="LV351" s="27" t="n">
        <v>94.9</v>
      </c>
      <c r="LW351" s="27" t="n">
        <v>83.4</v>
      </c>
      <c r="LX351" s="27" t="n">
        <v>17.6</v>
      </c>
      <c r="LY351" s="24" t="n">
        <v>85.6</v>
      </c>
      <c r="LZ351" s="24" t="n">
        <v>0</v>
      </c>
      <c r="MA351" s="24" t="n">
        <v>0</v>
      </c>
      <c r="MB351" s="24" t="n">
        <v>0</v>
      </c>
      <c r="MC351" s="24" t="n">
        <v>14.4</v>
      </c>
      <c r="MD351" s="24" t="n">
        <v>0</v>
      </c>
      <c r="ME351" s="24" t="n">
        <v>0</v>
      </c>
      <c r="MF351" s="24" t="n">
        <v>0</v>
      </c>
      <c r="MG351" s="24" t="n">
        <v>0</v>
      </c>
      <c r="MH351" s="24" t="n">
        <v>0</v>
      </c>
      <c r="MI351" s="24" t="n">
        <v>0</v>
      </c>
      <c r="MJ351" s="24" t="n">
        <v>1.95</v>
      </c>
      <c r="MK351" s="24" t="n">
        <v>9.45</v>
      </c>
      <c r="ML351" s="24" t="n">
        <v>11.24</v>
      </c>
      <c r="MM351" s="24" t="n">
        <v>36.94</v>
      </c>
      <c r="MN351" s="24" t="n">
        <v>0</v>
      </c>
      <c r="MO351" s="24" t="n">
        <v>11.5</v>
      </c>
      <c r="MP351" s="24" t="n">
        <v>1</v>
      </c>
      <c r="MQ351" s="24" t="n">
        <v>5</v>
      </c>
      <c r="MS351" s="24" t="n">
        <v>4</v>
      </c>
      <c r="NC351" s="24" t="n">
        <v>0</v>
      </c>
      <c r="ND351" s="24" t="n">
        <v>0</v>
      </c>
      <c r="NO351" s="28"/>
      <c r="OG351" s="24" t="n">
        <v>0</v>
      </c>
      <c r="PR351" s="27" t="n">
        <v>0.2</v>
      </c>
      <c r="PS351" s="27" t="n">
        <v>1</v>
      </c>
      <c r="PT351" s="27" t="n">
        <v>1</v>
      </c>
      <c r="PU351" s="27"/>
      <c r="PV351" s="27" t="n">
        <f aca="false">0.14+0.23+0.07+0.21</f>
        <v>0.65</v>
      </c>
      <c r="PW351" s="27"/>
      <c r="PX351" s="27"/>
      <c r="PY351" s="27"/>
      <c r="PZ351" s="27"/>
      <c r="QA351" s="27"/>
      <c r="QB351" s="27"/>
      <c r="QC351" s="27" t="n">
        <v>0.23</v>
      </c>
      <c r="QD351" s="27" t="n">
        <v>0.23</v>
      </c>
      <c r="QE351" s="27"/>
      <c r="QF351" s="27"/>
      <c r="QG351" s="27" t="n">
        <v>0</v>
      </c>
      <c r="QH351" s="27" t="n">
        <v>0</v>
      </c>
      <c r="QI351" s="27" t="n">
        <v>0</v>
      </c>
      <c r="QJ351" s="24" t="n">
        <v>0</v>
      </c>
      <c r="QK351" s="24" t="s">
        <v>781</v>
      </c>
      <c r="QL351" s="24" t="n">
        <v>47.5</v>
      </c>
      <c r="QM351" s="27" t="n">
        <v>49.3</v>
      </c>
      <c r="QN351" s="27" t="n">
        <v>83.4</v>
      </c>
      <c r="QO351" s="27" t="n">
        <v>35.7</v>
      </c>
      <c r="QP351" s="24" t="n">
        <v>66.48</v>
      </c>
      <c r="QQ351" s="24" t="n">
        <v>0</v>
      </c>
      <c r="QR351" s="24" t="n">
        <v>6.11</v>
      </c>
      <c r="QS351" s="24" t="n">
        <v>0</v>
      </c>
      <c r="QT351" s="24" t="n">
        <v>9.56</v>
      </c>
      <c r="QU351" s="24" t="n">
        <v>0</v>
      </c>
      <c r="QV351" s="24" t="n">
        <v>6.1</v>
      </c>
      <c r="QW351" s="24" t="n">
        <v>3.05</v>
      </c>
      <c r="QX351" s="24" t="n">
        <v>0</v>
      </c>
      <c r="QY351" s="24" t="n">
        <v>0</v>
      </c>
      <c r="QZ351" s="24" t="n">
        <v>0</v>
      </c>
      <c r="RA351" s="24" t="n">
        <v>0</v>
      </c>
      <c r="RB351" s="24" t="n">
        <v>17.78</v>
      </c>
      <c r="RC351" s="24" t="n">
        <v>9.13</v>
      </c>
      <c r="RD351" s="24" t="n">
        <v>2.7</v>
      </c>
      <c r="RE351" s="24" t="n">
        <v>11.73</v>
      </c>
      <c r="RF351" s="24" t="n">
        <v>0</v>
      </c>
      <c r="RG351" s="24" t="n">
        <v>0</v>
      </c>
      <c r="RT351" s="24" t="n">
        <v>5.7</v>
      </c>
      <c r="RU351" s="24" t="n">
        <v>1</v>
      </c>
      <c r="RV351" s="24" t="n">
        <v>30</v>
      </c>
      <c r="RW351" s="24" t="n">
        <v>10</v>
      </c>
      <c r="RX351" s="24" t="n">
        <f aca="false">0.15*2+0.16*8</f>
        <v>1.58</v>
      </c>
      <c r="RY351" s="24" t="n">
        <v>3</v>
      </c>
      <c r="SF351" s="28"/>
      <c r="SX351" s="24" t="n">
        <v>1</v>
      </c>
      <c r="SY351" s="24" t="n">
        <v>40</v>
      </c>
      <c r="SZ351" s="24" t="n">
        <v>4</v>
      </c>
      <c r="TA351" s="24" t="n">
        <v>0.6</v>
      </c>
      <c r="TB351" s="24" t="n">
        <v>2</v>
      </c>
      <c r="UI351" s="27" t="n">
        <v>0.53</v>
      </c>
      <c r="UJ351" s="27" t="n">
        <v>1</v>
      </c>
      <c r="UK351" s="27" t="n">
        <v>1</v>
      </c>
      <c r="UL351" s="27"/>
      <c r="UM351" s="27" t="n">
        <f aca="false">0.64*4+0.08</f>
        <v>2.64</v>
      </c>
      <c r="UN351" s="27"/>
      <c r="UO351" s="27"/>
      <c r="UP351" s="27"/>
      <c r="UQ351" s="27"/>
      <c r="UR351" s="27"/>
      <c r="US351" s="27"/>
      <c r="UT351" s="27" t="n">
        <v>5.06</v>
      </c>
      <c r="UU351" s="27" t="n">
        <v>1.58</v>
      </c>
      <c r="UV351" s="27"/>
      <c r="UW351" s="27"/>
      <c r="UX351" s="27" t="n">
        <v>0</v>
      </c>
      <c r="UY351" s="27" t="n">
        <v>0</v>
      </c>
      <c r="UZ351" s="27" t="n">
        <v>0</v>
      </c>
      <c r="VA351" s="24" t="n">
        <v>0</v>
      </c>
      <c r="VB351" s="24" t="s">
        <v>782</v>
      </c>
      <c r="VC351" s="24" t="n">
        <v>71</v>
      </c>
      <c r="VD351" s="27" t="n">
        <v>92</v>
      </c>
      <c r="VE351" s="27" t="n">
        <v>166.8</v>
      </c>
      <c r="VF351" s="27" t="n">
        <v>65</v>
      </c>
      <c r="VG351" s="24" t="n">
        <v>28.78</v>
      </c>
      <c r="VH351" s="24" t="n">
        <v>0</v>
      </c>
      <c r="VI351" s="24" t="n">
        <v>0</v>
      </c>
      <c r="VJ351" s="24" t="n">
        <v>0</v>
      </c>
      <c r="VK351" s="24" t="n">
        <v>2.5</v>
      </c>
      <c r="VL351" s="24" t="n">
        <v>0</v>
      </c>
      <c r="VM351" s="24" t="n">
        <v>8.54</v>
      </c>
      <c r="VN351" s="24" t="n">
        <v>0</v>
      </c>
      <c r="VO351" s="24" t="n">
        <v>0</v>
      </c>
      <c r="VP351" s="24" t="n">
        <v>2.76</v>
      </c>
      <c r="VQ351" s="24" t="n">
        <v>0</v>
      </c>
      <c r="VR351" s="24" t="n">
        <v>9.52</v>
      </c>
      <c r="VS351" s="24" t="n">
        <v>36.91</v>
      </c>
      <c r="VT351" s="24" t="n">
        <v>26.15</v>
      </c>
      <c r="VU351" s="24" t="n">
        <v>1.97</v>
      </c>
      <c r="VV351" s="24" t="n">
        <v>60.18</v>
      </c>
      <c r="VW351" s="24" t="n">
        <v>0</v>
      </c>
      <c r="VX351" s="24" t="n">
        <v>0</v>
      </c>
      <c r="WK351" s="24" t="n">
        <v>0.1</v>
      </c>
      <c r="WL351" s="24" t="n">
        <v>0</v>
      </c>
      <c r="WW351" s="28"/>
      <c r="XO351" s="24" t="n">
        <v>1</v>
      </c>
      <c r="XP351" s="24" t="n">
        <v>50</v>
      </c>
      <c r="XQ351" s="24" t="n">
        <v>4</v>
      </c>
      <c r="XR351" s="24" t="n">
        <f aca="false">0.37*4</f>
        <v>1.48</v>
      </c>
      <c r="XS351" s="24" t="n">
        <v>3</v>
      </c>
      <c r="XT351" s="24" t="n">
        <v>40</v>
      </c>
      <c r="XU351" s="24" t="n">
        <v>6</v>
      </c>
      <c r="XV351" s="24" t="n">
        <v>2.2</v>
      </c>
      <c r="XW351" s="24" t="n">
        <v>3</v>
      </c>
      <c r="XX351" s="24" t="n">
        <v>50</v>
      </c>
      <c r="XY351" s="24" t="n">
        <v>1</v>
      </c>
      <c r="XZ351" s="24" t="n">
        <v>0.06</v>
      </c>
      <c r="YA351" s="24" t="n">
        <v>1</v>
      </c>
      <c r="YB351" s="24" t="n">
        <v>60</v>
      </c>
      <c r="YC351" s="24" t="n">
        <v>3</v>
      </c>
      <c r="YD351" s="24" t="n">
        <v>0.19</v>
      </c>
      <c r="YE351" s="24" t="n">
        <v>4</v>
      </c>
      <c r="YZ351" s="27" t="n">
        <v>1.11</v>
      </c>
      <c r="ZA351" s="27" t="n">
        <v>1</v>
      </c>
      <c r="ZB351" s="27" t="n">
        <v>1</v>
      </c>
      <c r="ZC351" s="27"/>
      <c r="ZD351" s="27" t="n">
        <f aca="false">0.51*2+0.09+0.15*2+1.65+0.18+0.72</f>
        <v>3.96</v>
      </c>
      <c r="ZE351" s="27"/>
      <c r="ZF351" s="27"/>
      <c r="ZG351" s="27"/>
      <c r="ZH351" s="27"/>
      <c r="ZI351" s="27"/>
      <c r="ZJ351" s="27"/>
      <c r="ZK351" s="27" t="n">
        <v>1.95</v>
      </c>
      <c r="ZL351" s="27" t="n">
        <v>1.96</v>
      </c>
      <c r="ZM351" s="27"/>
      <c r="ZN351" s="27"/>
      <c r="ZO351" s="27" t="n">
        <v>2.88</v>
      </c>
      <c r="ZP351" s="27" t="n">
        <v>0</v>
      </c>
      <c r="ZQ351" s="27" t="n">
        <v>0</v>
      </c>
      <c r="ZR351" s="24" t="n">
        <v>2</v>
      </c>
      <c r="ZS351" s="24" t="s">
        <v>783</v>
      </c>
      <c r="ZT351" s="24" t="n">
        <v>35</v>
      </c>
      <c r="ZU351" s="27" t="n">
        <v>89.3</v>
      </c>
      <c r="ZV351" s="27" t="n">
        <v>83.4</v>
      </c>
      <c r="ZW351" s="27" t="n">
        <v>12.6</v>
      </c>
      <c r="ZX351" s="24" t="n">
        <v>87.93</v>
      </c>
      <c r="ZY351" s="24" t="n">
        <v>0</v>
      </c>
      <c r="ZZ351" s="24" t="n">
        <v>0</v>
      </c>
      <c r="AAA351" s="24" t="n">
        <v>1.49</v>
      </c>
      <c r="AAB351" s="24" t="n">
        <v>10.58</v>
      </c>
      <c r="AAC351" s="24" t="n">
        <v>0</v>
      </c>
      <c r="AAD351" s="24" t="n">
        <v>0</v>
      </c>
      <c r="AAE351" s="24" t="n">
        <v>0</v>
      </c>
      <c r="AAF351" s="24" t="n">
        <v>0</v>
      </c>
      <c r="AAG351" s="24" t="n">
        <v>0</v>
      </c>
      <c r="AAH351" s="24" t="n">
        <v>0</v>
      </c>
      <c r="AAI351" s="24" t="n">
        <v>0.17</v>
      </c>
      <c r="AAJ351" s="24" t="n">
        <v>38.78</v>
      </c>
      <c r="AAK351" s="24" t="n">
        <v>29.47</v>
      </c>
      <c r="AAL351" s="24" t="n">
        <v>0</v>
      </c>
      <c r="AAM351" s="24" t="n">
        <v>0</v>
      </c>
      <c r="AAN351" s="24" t="n">
        <v>4</v>
      </c>
      <c r="AAO351" s="24" t="n">
        <v>1</v>
      </c>
      <c r="AAP351" s="24" t="n">
        <v>3</v>
      </c>
      <c r="AAR351" s="24" t="n">
        <v>4</v>
      </c>
      <c r="ABB351" s="24" t="n">
        <v>9.7</v>
      </c>
      <c r="ABC351" s="24" t="n">
        <v>1</v>
      </c>
      <c r="ABD351" s="24" t="n">
        <v>68</v>
      </c>
      <c r="ABE351" s="24" t="n">
        <v>1</v>
      </c>
      <c r="ABF351" s="24" t="n">
        <v>0.02</v>
      </c>
      <c r="ABG351" s="24" t="n">
        <v>1</v>
      </c>
      <c r="ABH351" s="24" t="n">
        <v>35</v>
      </c>
      <c r="ABI351" s="24" t="n">
        <v>10</v>
      </c>
      <c r="ABJ351" s="24" t="n">
        <f aca="false">0.22*2+0.43*2+0.65+0.04+0.02+0.08</f>
        <v>2.09</v>
      </c>
      <c r="ABK351" s="24" t="n">
        <v>3</v>
      </c>
      <c r="ABN351" s="28"/>
      <c r="ACF351" s="24" t="n">
        <v>1</v>
      </c>
      <c r="ACG351" s="24" t="n">
        <v>50</v>
      </c>
      <c r="ACH351" s="24" t="n">
        <f aca="false">4*3+3*4</f>
        <v>24</v>
      </c>
      <c r="ACI351" s="24" t="n">
        <f aca="false">0.07+0.25+0.11+0.65+1.3+15</f>
        <v>17.38</v>
      </c>
      <c r="ACJ351" s="24" t="n">
        <v>1</v>
      </c>
      <c r="ACK351" s="24" t="n">
        <v>40</v>
      </c>
      <c r="ACL351" s="24" t="n">
        <v>18</v>
      </c>
      <c r="ACM351" s="24" t="n">
        <f aca="false">0.87+0.17+0.08+0.34+1.73+0.43+0.87+0.07</f>
        <v>4.56</v>
      </c>
      <c r="ACN351" s="24" t="n">
        <v>1</v>
      </c>
      <c r="ACO351" s="24" t="n">
        <v>40</v>
      </c>
      <c r="ACP351" s="24" t="n">
        <v>2</v>
      </c>
      <c r="ACQ351" s="24" t="n">
        <v>0.12</v>
      </c>
      <c r="ACR351" s="24" t="n">
        <v>5</v>
      </c>
      <c r="ACS351" s="24" t="n">
        <v>50</v>
      </c>
      <c r="ACT351" s="24" t="n">
        <v>1</v>
      </c>
      <c r="ACU351" s="24" t="n">
        <v>0.22</v>
      </c>
      <c r="ACV351" s="24" t="n">
        <v>6</v>
      </c>
      <c r="ACW351" s="24" t="n">
        <v>40</v>
      </c>
      <c r="ACX351" s="24" t="n">
        <v>3</v>
      </c>
      <c r="ACY351" s="24" t="n">
        <v>0.16</v>
      </c>
      <c r="ACZ351" s="24" t="n">
        <v>6</v>
      </c>
      <c r="ADQ351" s="27" t="n">
        <v>0.68</v>
      </c>
      <c r="ADR351" s="27" t="n">
        <v>1</v>
      </c>
      <c r="ADS351" s="27" t="n">
        <v>1</v>
      </c>
      <c r="ADT351" s="27"/>
      <c r="ADU351" s="27" t="n">
        <f aca="false">0.34+0.91+1.8+0.08+0.3</f>
        <v>3.43</v>
      </c>
      <c r="ADV351" s="27"/>
      <c r="ADW351" s="27"/>
      <c r="ADX351" s="27"/>
      <c r="ADY351" s="27"/>
      <c r="ADZ351" s="27"/>
      <c r="AEA351" s="27"/>
      <c r="AEB351" s="27" t="n">
        <v>7.83</v>
      </c>
      <c r="AEC351" s="27" t="n">
        <v>8.68</v>
      </c>
      <c r="AED351" s="27"/>
      <c r="AEE351" s="27"/>
      <c r="AEF351" s="27" t="n">
        <v>0</v>
      </c>
      <c r="AEG351" s="27" t="n">
        <v>0</v>
      </c>
      <c r="AEH351" s="27" t="n">
        <v>0</v>
      </c>
      <c r="AEI351" s="24" t="n">
        <v>0</v>
      </c>
      <c r="AEJ351" s="24" t="s">
        <v>784</v>
      </c>
      <c r="AEK351" s="24" t="n">
        <v>38</v>
      </c>
      <c r="AEL351" s="27" t="n">
        <v>92.6</v>
      </c>
      <c r="AEM351" s="27" t="n">
        <v>83.4</v>
      </c>
      <c r="AEN351" s="27" t="n">
        <v>16.5</v>
      </c>
      <c r="AEO351" s="24" t="n">
        <v>77.87</v>
      </c>
      <c r="AEP351" s="24" t="n">
        <v>0</v>
      </c>
      <c r="AEQ351" s="24" t="n">
        <v>0</v>
      </c>
      <c r="AER351" s="24" t="n">
        <v>0</v>
      </c>
      <c r="AES351" s="24" t="n">
        <v>21.87</v>
      </c>
      <c r="AET351" s="24" t="n">
        <v>0</v>
      </c>
      <c r="AEU351" s="24" t="n">
        <v>0</v>
      </c>
      <c r="AEV351" s="24" t="n">
        <v>0</v>
      </c>
      <c r="AEW351" s="24" t="n">
        <v>0</v>
      </c>
      <c r="AEX351" s="24" t="n">
        <v>0</v>
      </c>
      <c r="AEY351" s="24" t="n">
        <v>0</v>
      </c>
      <c r="AEZ351" s="24" t="n">
        <v>0.29</v>
      </c>
      <c r="AFA351" s="24" t="n">
        <v>38.85</v>
      </c>
      <c r="AFB351" s="24" t="n">
        <v>37.36</v>
      </c>
      <c r="AFC351" s="24" t="n">
        <v>5.57</v>
      </c>
      <c r="AFD351" s="24" t="n">
        <v>0</v>
      </c>
      <c r="AFE351" s="24" t="n">
        <v>0</v>
      </c>
      <c r="AFF351" s="24" t="n">
        <v>0</v>
      </c>
      <c r="AFS351" s="24" t="n">
        <v>17.5</v>
      </c>
      <c r="AFT351" s="24" t="n">
        <v>0</v>
      </c>
      <c r="AGE351" s="28"/>
      <c r="AGW351" s="24" t="n">
        <v>1</v>
      </c>
      <c r="AGX351" s="24" t="n">
        <v>70</v>
      </c>
      <c r="AGY351" s="24" t="n">
        <f aca="false">8*3+3</f>
        <v>27</v>
      </c>
      <c r="AGZ351" s="24" t="n">
        <f aca="false">5.87*3+0.58</f>
        <v>18.19</v>
      </c>
      <c r="AHA351" s="24" t="n">
        <v>1</v>
      </c>
      <c r="AIH351" s="27" t="n">
        <v>3.74</v>
      </c>
      <c r="AII351" s="27" t="n">
        <v>1</v>
      </c>
      <c r="AIJ351" s="27" t="n">
        <v>1</v>
      </c>
      <c r="AIK351" s="27"/>
      <c r="AIL351" s="27" t="n">
        <f aca="false">1.65+2.04*2+0.36*2+0.54</f>
        <v>6.99</v>
      </c>
      <c r="AIM351" s="27" t="n">
        <v>2</v>
      </c>
      <c r="AIN351" s="27"/>
      <c r="AIO351" s="27" t="n">
        <v>0.91</v>
      </c>
      <c r="AIP351" s="27"/>
      <c r="AIQ351" s="27"/>
      <c r="AIR351" s="27"/>
      <c r="AIS351" s="27" t="n">
        <v>0.19</v>
      </c>
      <c r="AIT351" s="27" t="n">
        <v>0.19</v>
      </c>
      <c r="AIU351" s="27"/>
      <c r="AIV351" s="27"/>
      <c r="AIW351" s="27" t="n">
        <v>0</v>
      </c>
      <c r="AIX351" s="27" t="n">
        <v>0</v>
      </c>
      <c r="AIY351" s="27" t="n">
        <v>0</v>
      </c>
      <c r="AIZ351" s="24" t="n">
        <v>0</v>
      </c>
      <c r="AJA351" s="24" t="s">
        <v>785</v>
      </c>
      <c r="AJB351" s="24" t="n">
        <v>37.5</v>
      </c>
      <c r="AJC351" s="27" t="n">
        <v>94.9</v>
      </c>
      <c r="AJD351" s="27" t="n">
        <v>83.4</v>
      </c>
      <c r="AJE351" s="27" t="n">
        <v>16</v>
      </c>
      <c r="AJF351" s="24" t="n">
        <v>79.43</v>
      </c>
      <c r="AJG351" s="24" t="n">
        <v>0</v>
      </c>
      <c r="AJH351" s="24" t="n">
        <v>0</v>
      </c>
      <c r="AJI351" s="24" t="n">
        <v>0</v>
      </c>
      <c r="AJJ351" s="24" t="n">
        <v>20.31</v>
      </c>
      <c r="AJK351" s="24" t="n">
        <v>0</v>
      </c>
      <c r="AJL351" s="24" t="n">
        <v>0</v>
      </c>
      <c r="AJM351" s="24" t="n">
        <v>0</v>
      </c>
      <c r="AJN351" s="24" t="n">
        <v>0</v>
      </c>
      <c r="AJO351" s="24" t="n">
        <v>0</v>
      </c>
      <c r="AJP351" s="24" t="n">
        <v>0</v>
      </c>
      <c r="AJQ351" s="24" t="n">
        <v>0.29</v>
      </c>
      <c r="AJR351" s="24" t="n">
        <v>37.58</v>
      </c>
      <c r="AJS351" s="24" t="n">
        <v>37.76</v>
      </c>
      <c r="AJT351" s="24" t="n">
        <v>5.57</v>
      </c>
      <c r="AJU351" s="24" t="n">
        <v>0</v>
      </c>
      <c r="AJV351" s="24" t="n">
        <v>0</v>
      </c>
      <c r="AJW351" s="24" t="n">
        <v>0</v>
      </c>
      <c r="AKJ351" s="24" t="n">
        <v>17.5</v>
      </c>
      <c r="AKK351" s="24" t="n">
        <v>0</v>
      </c>
      <c r="AKV351" s="28"/>
      <c r="ALN351" s="24" t="n">
        <v>1</v>
      </c>
      <c r="ALO351" s="24" t="n">
        <v>71</v>
      </c>
      <c r="ALP351" s="24" t="n">
        <f aca="false">8*3+3</f>
        <v>27</v>
      </c>
      <c r="ALQ351" s="24" t="n">
        <f aca="false">5.87*3+0.58</f>
        <v>18.19</v>
      </c>
      <c r="ALR351" s="24" t="n">
        <v>2</v>
      </c>
    </row>
    <row r="352" customFormat="false" ht="13.8" hidden="false" customHeight="false" outlineLevel="0" collapsed="false">
      <c r="A352" s="1" t="s">
        <v>942</v>
      </c>
      <c r="B352" s="12" t="n">
        <v>42926</v>
      </c>
      <c r="C352" s="0" t="n">
        <v>2</v>
      </c>
      <c r="D352" s="13" t="n">
        <v>42797</v>
      </c>
      <c r="E352" s="12" t="n">
        <v>34511</v>
      </c>
      <c r="F352" s="14" t="n">
        <f aca="false">(B352-E352)/365.25</f>
        <v>23.0390143737166</v>
      </c>
      <c r="G352" s="14" t="n">
        <f aca="false">(B352-D352)/365.25</f>
        <v>0.353182751540041</v>
      </c>
      <c r="H352" s="19" t="s">
        <v>306</v>
      </c>
      <c r="I352" s="15" t="s">
        <v>777</v>
      </c>
      <c r="J352" s="21" t="s">
        <v>181</v>
      </c>
      <c r="K352" s="21" t="s">
        <v>913</v>
      </c>
      <c r="L352" s="19" t="n">
        <v>78</v>
      </c>
      <c r="M352" s="0" t="n">
        <v>1.79</v>
      </c>
      <c r="N352" s="16" t="n">
        <f aca="false">L352/(M352*M352)</f>
        <v>24.3438094940857</v>
      </c>
      <c r="O352" s="19" t="n">
        <v>0</v>
      </c>
      <c r="P352" s="19" t="n">
        <v>0</v>
      </c>
      <c r="Q352" s="19" t="n">
        <v>0</v>
      </c>
      <c r="R352" s="26" t="n">
        <v>0</v>
      </c>
      <c r="S352" s="26" t="n">
        <v>0</v>
      </c>
      <c r="T352" s="26" t="n">
        <v>0</v>
      </c>
      <c r="U352" s="19" t="n">
        <v>0</v>
      </c>
      <c r="V352" s="19" t="n">
        <v>0</v>
      </c>
      <c r="W352" s="19" t="n">
        <v>0</v>
      </c>
      <c r="X352" s="19" t="n">
        <v>0</v>
      </c>
      <c r="Y352" s="19"/>
      <c r="Z352" s="19"/>
      <c r="AA352" s="19"/>
      <c r="AB352" s="19"/>
      <c r="AC352" s="19" t="n">
        <v>1</v>
      </c>
      <c r="AD352" s="19" t="n">
        <v>5</v>
      </c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 t="n">
        <v>1</v>
      </c>
      <c r="BS352" s="19" t="n">
        <v>2</v>
      </c>
      <c r="BT352" s="19" t="n">
        <v>3</v>
      </c>
      <c r="BU352" s="19" t="n">
        <v>5</v>
      </c>
      <c r="BV352" s="19" t="n">
        <v>3</v>
      </c>
      <c r="BW352" s="19" t="n">
        <v>3</v>
      </c>
      <c r="BX352" s="19" t="n">
        <v>3</v>
      </c>
      <c r="BY352" s="19" t="n">
        <v>3</v>
      </c>
      <c r="BZ352" s="19" t="n">
        <v>5</v>
      </c>
      <c r="CA352" s="19" t="n">
        <v>3</v>
      </c>
      <c r="CB352" s="19" t="n">
        <v>5</v>
      </c>
      <c r="CC352" s="19" t="n">
        <v>3</v>
      </c>
      <c r="CD352" s="19" t="n">
        <v>3</v>
      </c>
      <c r="CE352" s="19" t="n">
        <v>3</v>
      </c>
      <c r="CF352" s="19" t="n">
        <v>3</v>
      </c>
      <c r="CG352" s="19" t="n">
        <v>3</v>
      </c>
      <c r="CH352" s="19" t="n">
        <v>3</v>
      </c>
      <c r="CI352" s="19" t="n">
        <v>3</v>
      </c>
      <c r="CJ352" s="19" t="n">
        <v>3</v>
      </c>
      <c r="CK352" s="19" t="n">
        <v>8</v>
      </c>
      <c r="CL352" s="24" t="s">
        <v>779</v>
      </c>
      <c r="CM352" s="24" t="n">
        <v>43</v>
      </c>
      <c r="CN352" s="27" t="n">
        <v>91.8</v>
      </c>
      <c r="CO352" s="27" t="n">
        <v>83.4</v>
      </c>
      <c r="CP352" s="27" t="n">
        <v>25.8</v>
      </c>
      <c r="CQ352" s="24" t="n">
        <v>68.3</v>
      </c>
      <c r="CR352" s="24" t="n">
        <v>0</v>
      </c>
      <c r="CS352" s="24" t="n">
        <v>0</v>
      </c>
      <c r="CT352" s="24" t="n">
        <v>0</v>
      </c>
      <c r="CU352" s="24" t="n">
        <v>31.54</v>
      </c>
      <c r="CV352" s="24" t="n">
        <v>0</v>
      </c>
      <c r="CW352" s="24" t="n">
        <v>0</v>
      </c>
      <c r="CX352" s="24" t="n">
        <v>0</v>
      </c>
      <c r="CY352" s="24" t="n">
        <v>0</v>
      </c>
      <c r="CZ352" s="24" t="n">
        <v>0</v>
      </c>
      <c r="DA352" s="24" t="n">
        <v>0</v>
      </c>
      <c r="DB352" s="24" t="n">
        <v>48.27</v>
      </c>
      <c r="DC352" s="24" t="n">
        <v>58.3</v>
      </c>
      <c r="DD352" s="24" t="n">
        <v>1.34</v>
      </c>
      <c r="DE352" s="24" t="n">
        <v>0</v>
      </c>
      <c r="DF352" s="24" t="n">
        <v>0.16</v>
      </c>
      <c r="DG352" s="24" t="n">
        <v>0</v>
      </c>
      <c r="DH352" s="24" t="n">
        <v>0</v>
      </c>
      <c r="DU352" s="24" t="n">
        <v>11</v>
      </c>
      <c r="DV352" s="24" t="n">
        <v>1</v>
      </c>
      <c r="DW352" s="24" t="n">
        <v>30</v>
      </c>
      <c r="DX352" s="24" t="n">
        <v>1</v>
      </c>
      <c r="DY352" s="24" t="n">
        <v>0.73</v>
      </c>
      <c r="DZ352" s="24" t="n">
        <v>1</v>
      </c>
      <c r="EG352" s="28"/>
      <c r="EY352" s="24" t="n">
        <v>1</v>
      </c>
      <c r="EZ352" s="24" t="n">
        <v>60</v>
      </c>
      <c r="FA352" s="24" t="n">
        <v>14</v>
      </c>
      <c r="FB352" s="24" t="n">
        <f aca="false">1.25+0.05+0.21+0.21+0.31+0.08</f>
        <v>2.11</v>
      </c>
      <c r="FC352" s="24" t="n">
        <v>6</v>
      </c>
      <c r="FD352" s="24" t="n">
        <v>50</v>
      </c>
      <c r="FE352" s="24" t="n">
        <v>8</v>
      </c>
      <c r="FF352" s="24" t="n">
        <f aca="false">2.94*2</f>
        <v>5.88</v>
      </c>
      <c r="FG352" s="24" t="n">
        <v>4</v>
      </c>
      <c r="GJ352" s="27" t="n">
        <v>2.45</v>
      </c>
      <c r="GK352" s="27" t="n">
        <v>1</v>
      </c>
      <c r="GL352" s="27" t="n">
        <v>1</v>
      </c>
      <c r="GM352" s="27"/>
      <c r="GN352" s="27" t="n">
        <f aca="false">0.03*2+0.16+0.46</f>
        <v>0.68</v>
      </c>
      <c r="GO352" s="27" t="n">
        <v>2</v>
      </c>
      <c r="GP352" s="27"/>
      <c r="GQ352" s="27" t="n">
        <f aca="false">6.12+0.54</f>
        <v>6.66</v>
      </c>
      <c r="GR352" s="27"/>
      <c r="GS352" s="27"/>
      <c r="GT352" s="27"/>
      <c r="GU352" s="27" t="n">
        <v>3.68</v>
      </c>
      <c r="GV352" s="27" t="n">
        <v>1.63</v>
      </c>
      <c r="GW352" s="27"/>
      <c r="GX352" s="27"/>
      <c r="GY352" s="27" t="n">
        <v>0</v>
      </c>
      <c r="GZ352" s="27" t="n">
        <v>0</v>
      </c>
      <c r="HA352" s="27" t="n">
        <v>0</v>
      </c>
      <c r="HB352" s="24" t="n">
        <v>0</v>
      </c>
      <c r="HC352" s="24" t="s">
        <v>780</v>
      </c>
      <c r="HD352" s="24" t="n">
        <v>46</v>
      </c>
      <c r="HE352" s="27" t="n">
        <v>101.6</v>
      </c>
      <c r="HF352" s="27" t="n">
        <v>83.4</v>
      </c>
      <c r="HG352" s="27" t="n">
        <v>27.8</v>
      </c>
      <c r="HH352" s="24" t="n">
        <v>66.04</v>
      </c>
      <c r="HI352" s="24" t="n">
        <v>0</v>
      </c>
      <c r="HJ352" s="24" t="n">
        <v>0</v>
      </c>
      <c r="HK352" s="24" t="n">
        <v>0</v>
      </c>
      <c r="HL352" s="24" t="n">
        <v>35.15</v>
      </c>
      <c r="HM352" s="24" t="n">
        <v>0</v>
      </c>
      <c r="HN352" s="24" t="n">
        <v>0</v>
      </c>
      <c r="HO352" s="24" t="n">
        <v>0</v>
      </c>
      <c r="HP352" s="24" t="n">
        <v>0</v>
      </c>
      <c r="HQ352" s="24" t="n">
        <v>0</v>
      </c>
      <c r="HR352" s="24" t="n">
        <v>0</v>
      </c>
      <c r="HS352" s="24" t="n">
        <v>43.27</v>
      </c>
      <c r="HT352" s="24" t="n">
        <v>65.02</v>
      </c>
      <c r="HU352" s="24" t="n">
        <v>6.59</v>
      </c>
      <c r="HV352" s="24" t="n">
        <v>0.88</v>
      </c>
      <c r="HW352" s="24" t="n">
        <v>0.16</v>
      </c>
      <c r="HX352" s="24" t="n">
        <v>0</v>
      </c>
      <c r="HY352" s="24" t="n">
        <v>0</v>
      </c>
      <c r="IL352" s="24" t="n">
        <v>14.9</v>
      </c>
      <c r="IM352" s="24" t="n">
        <v>1</v>
      </c>
      <c r="IN352" s="24" t="n">
        <v>30</v>
      </c>
      <c r="IO352" s="24" t="n">
        <v>1</v>
      </c>
      <c r="IP352" s="24" t="n">
        <v>0.73</v>
      </c>
      <c r="IQ352" s="24" t="n">
        <v>1</v>
      </c>
      <c r="IR352" s="24" t="n">
        <v>47</v>
      </c>
      <c r="IS352" s="24" t="n">
        <v>1</v>
      </c>
      <c r="IT352" s="24" t="n">
        <v>0.11</v>
      </c>
      <c r="IU352" s="24" t="n">
        <v>3</v>
      </c>
      <c r="IX352" s="28"/>
      <c r="JP352" s="24" t="n">
        <v>1</v>
      </c>
      <c r="JQ352" s="24" t="n">
        <v>60</v>
      </c>
      <c r="JR352" s="24" t="n">
        <v>4</v>
      </c>
      <c r="JS352" s="24" t="n">
        <v>1.68</v>
      </c>
      <c r="JT352" s="24" t="n">
        <v>6</v>
      </c>
      <c r="JU352" s="24" t="n">
        <v>50</v>
      </c>
      <c r="JV352" s="24" t="n">
        <v>8</v>
      </c>
      <c r="JW352" s="24" t="n">
        <f aca="false">2.94*2</f>
        <v>5.88</v>
      </c>
      <c r="JX352" s="24" t="n">
        <v>4</v>
      </c>
      <c r="JY352" s="24" t="n">
        <v>50</v>
      </c>
      <c r="JZ352" s="24" t="n">
        <v>4</v>
      </c>
      <c r="KA352" s="24" t="n">
        <v>0.76</v>
      </c>
      <c r="KB352" s="24" t="n">
        <v>6</v>
      </c>
      <c r="KC352" s="24" t="n">
        <v>80</v>
      </c>
      <c r="KD352" s="24" t="n">
        <v>8</v>
      </c>
      <c r="KE352" s="24" t="n">
        <f aca="false">0.31+0.21</f>
        <v>0.52</v>
      </c>
      <c r="KF352" s="24" t="n">
        <v>6</v>
      </c>
      <c r="LA352" s="27" t="n">
        <v>2.05</v>
      </c>
      <c r="LB352" s="27" t="n">
        <v>1</v>
      </c>
      <c r="LC352" s="27" t="n">
        <v>1</v>
      </c>
      <c r="LD352" s="27"/>
      <c r="LE352" s="27" t="n">
        <f aca="false">6.12+0.54+0.36</f>
        <v>7.02</v>
      </c>
      <c r="LF352" s="27" t="n">
        <v>2</v>
      </c>
      <c r="LG352" s="27"/>
      <c r="LH352" s="27" t="n">
        <v>6.01</v>
      </c>
      <c r="LI352" s="27"/>
      <c r="LJ352" s="27"/>
      <c r="LK352" s="27"/>
      <c r="LL352" s="27" t="n">
        <v>0.86</v>
      </c>
      <c r="LM352" s="27" t="n">
        <v>0.85</v>
      </c>
      <c r="LN352" s="27"/>
      <c r="LO352" s="27"/>
      <c r="LP352" s="27" t="n">
        <v>0</v>
      </c>
      <c r="LQ352" s="27" t="n">
        <v>0</v>
      </c>
      <c r="LR352" s="27" t="n">
        <v>0</v>
      </c>
      <c r="LS352" s="24" t="n">
        <v>0</v>
      </c>
      <c r="LT352" s="24" t="n">
        <v>100</v>
      </c>
      <c r="LU352" s="24" t="n">
        <v>29.5</v>
      </c>
      <c r="LV352" s="27" t="n">
        <v>94.9</v>
      </c>
      <c r="LW352" s="27" t="n">
        <v>83.4</v>
      </c>
      <c r="LX352" s="27" t="n">
        <v>17.6</v>
      </c>
      <c r="LY352" s="24" t="n">
        <v>85.6</v>
      </c>
      <c r="LZ352" s="24" t="n">
        <v>0</v>
      </c>
      <c r="MA352" s="24" t="n">
        <v>0</v>
      </c>
      <c r="MB352" s="24" t="n">
        <v>0</v>
      </c>
      <c r="MC352" s="24" t="n">
        <v>14.4</v>
      </c>
      <c r="MD352" s="24" t="n">
        <v>0</v>
      </c>
      <c r="ME352" s="24" t="n">
        <v>0</v>
      </c>
      <c r="MF352" s="24" t="n">
        <v>0</v>
      </c>
      <c r="MG352" s="24" t="n">
        <v>0</v>
      </c>
      <c r="MH352" s="24" t="n">
        <v>0</v>
      </c>
      <c r="MI352" s="24" t="n">
        <v>0</v>
      </c>
      <c r="MJ352" s="24" t="n">
        <v>1.95</v>
      </c>
      <c r="MK352" s="24" t="n">
        <v>9.45</v>
      </c>
      <c r="ML352" s="24" t="n">
        <v>11.24</v>
      </c>
      <c r="MM352" s="24" t="n">
        <v>36.94</v>
      </c>
      <c r="MN352" s="24" t="n">
        <v>0</v>
      </c>
      <c r="MO352" s="24" t="n">
        <v>11.5</v>
      </c>
      <c r="MP352" s="24" t="n">
        <v>1</v>
      </c>
      <c r="MQ352" s="24" t="n">
        <v>5</v>
      </c>
      <c r="MS352" s="24" t="n">
        <v>4</v>
      </c>
      <c r="NC352" s="24" t="n">
        <v>0</v>
      </c>
      <c r="ND352" s="24" t="n">
        <v>0</v>
      </c>
      <c r="NO352" s="28"/>
      <c r="OG352" s="24" t="n">
        <v>0</v>
      </c>
      <c r="PR352" s="27" t="n">
        <v>0.2</v>
      </c>
      <c r="PS352" s="27" t="n">
        <v>1</v>
      </c>
      <c r="PT352" s="27" t="n">
        <v>1</v>
      </c>
      <c r="PU352" s="27"/>
      <c r="PV352" s="27" t="n">
        <f aca="false">0.14+0.23+0.07+0.21</f>
        <v>0.65</v>
      </c>
      <c r="PW352" s="27"/>
      <c r="PX352" s="27"/>
      <c r="PY352" s="27"/>
      <c r="PZ352" s="27"/>
      <c r="QA352" s="27"/>
      <c r="QB352" s="27"/>
      <c r="QC352" s="27" t="n">
        <v>0.23</v>
      </c>
      <c r="QD352" s="27" t="n">
        <v>0.23</v>
      </c>
      <c r="QE352" s="27"/>
      <c r="QF352" s="27"/>
      <c r="QG352" s="27" t="n">
        <v>0</v>
      </c>
      <c r="QH352" s="27" t="n">
        <v>0</v>
      </c>
      <c r="QI352" s="27" t="n">
        <v>0</v>
      </c>
      <c r="QJ352" s="24" t="n">
        <v>0</v>
      </c>
      <c r="QK352" s="24" t="s">
        <v>781</v>
      </c>
      <c r="QL352" s="24" t="n">
        <v>47.5</v>
      </c>
      <c r="QM352" s="27" t="n">
        <v>49.3</v>
      </c>
      <c r="QN352" s="27" t="n">
        <v>83.4</v>
      </c>
      <c r="QO352" s="27" t="n">
        <v>35.7</v>
      </c>
      <c r="QP352" s="24" t="n">
        <v>66.48</v>
      </c>
      <c r="QQ352" s="24" t="n">
        <v>0</v>
      </c>
      <c r="QR352" s="24" t="n">
        <v>6.11</v>
      </c>
      <c r="QS352" s="24" t="n">
        <v>0</v>
      </c>
      <c r="QT352" s="24" t="n">
        <v>9.56</v>
      </c>
      <c r="QU352" s="24" t="n">
        <v>0</v>
      </c>
      <c r="QV352" s="24" t="n">
        <v>6.1</v>
      </c>
      <c r="QW352" s="24" t="n">
        <v>3.05</v>
      </c>
      <c r="QX352" s="24" t="n">
        <v>0</v>
      </c>
      <c r="QY352" s="24" t="n">
        <v>0</v>
      </c>
      <c r="QZ352" s="24" t="n">
        <v>0</v>
      </c>
      <c r="RA352" s="24" t="n">
        <v>0</v>
      </c>
      <c r="RB352" s="24" t="n">
        <v>17.78</v>
      </c>
      <c r="RC352" s="24" t="n">
        <v>9.13</v>
      </c>
      <c r="RD352" s="24" t="n">
        <v>2.7</v>
      </c>
      <c r="RE352" s="24" t="n">
        <v>11.73</v>
      </c>
      <c r="RF352" s="24" t="n">
        <v>0</v>
      </c>
      <c r="RG352" s="24" t="n">
        <v>0</v>
      </c>
      <c r="RT352" s="24" t="n">
        <v>5.7</v>
      </c>
      <c r="RU352" s="24" t="n">
        <v>1</v>
      </c>
      <c r="RV352" s="24" t="n">
        <v>30</v>
      </c>
      <c r="RW352" s="24" t="n">
        <v>10</v>
      </c>
      <c r="RX352" s="24" t="n">
        <f aca="false">0.15*2+0.16*8</f>
        <v>1.58</v>
      </c>
      <c r="RY352" s="24" t="n">
        <v>3</v>
      </c>
      <c r="SF352" s="28"/>
      <c r="SX352" s="24" t="n">
        <v>1</v>
      </c>
      <c r="SY352" s="24" t="n">
        <v>40</v>
      </c>
      <c r="SZ352" s="24" t="n">
        <v>4</v>
      </c>
      <c r="TA352" s="24" t="n">
        <v>0.6</v>
      </c>
      <c r="TB352" s="24" t="n">
        <v>2</v>
      </c>
      <c r="UI352" s="27" t="n">
        <v>0.53</v>
      </c>
      <c r="UJ352" s="27" t="n">
        <v>1</v>
      </c>
      <c r="UK352" s="27" t="n">
        <v>1</v>
      </c>
      <c r="UL352" s="27"/>
      <c r="UM352" s="27" t="n">
        <f aca="false">0.64*4+0.08</f>
        <v>2.64</v>
      </c>
      <c r="UN352" s="27"/>
      <c r="UO352" s="27"/>
      <c r="UP352" s="27"/>
      <c r="UQ352" s="27"/>
      <c r="UR352" s="27"/>
      <c r="US352" s="27"/>
      <c r="UT352" s="27" t="n">
        <v>5.06</v>
      </c>
      <c r="UU352" s="27" t="n">
        <v>1.58</v>
      </c>
      <c r="UV352" s="27"/>
      <c r="UW352" s="27"/>
      <c r="UX352" s="27" t="n">
        <v>0</v>
      </c>
      <c r="UY352" s="27" t="n">
        <v>0</v>
      </c>
      <c r="UZ352" s="27" t="n">
        <v>0</v>
      </c>
      <c r="VA352" s="24" t="n">
        <v>0</v>
      </c>
      <c r="VB352" s="24" t="s">
        <v>782</v>
      </c>
      <c r="VC352" s="24" t="n">
        <v>71</v>
      </c>
      <c r="VD352" s="27" t="n">
        <v>92</v>
      </c>
      <c r="VE352" s="27" t="n">
        <v>166.8</v>
      </c>
      <c r="VF352" s="27" t="n">
        <v>65</v>
      </c>
      <c r="VG352" s="24" t="n">
        <v>28.78</v>
      </c>
      <c r="VH352" s="24" t="n">
        <v>0</v>
      </c>
      <c r="VI352" s="24" t="n">
        <v>0</v>
      </c>
      <c r="VJ352" s="24" t="n">
        <v>0</v>
      </c>
      <c r="VK352" s="24" t="n">
        <v>2.5</v>
      </c>
      <c r="VL352" s="24" t="n">
        <v>0</v>
      </c>
      <c r="VM352" s="24" t="n">
        <v>8.54</v>
      </c>
      <c r="VN352" s="24" t="n">
        <v>0</v>
      </c>
      <c r="VO352" s="24" t="n">
        <v>0</v>
      </c>
      <c r="VP352" s="24" t="n">
        <v>2.76</v>
      </c>
      <c r="VQ352" s="24" t="n">
        <v>0</v>
      </c>
      <c r="VR352" s="24" t="n">
        <v>9.52</v>
      </c>
      <c r="VS352" s="24" t="n">
        <v>36.91</v>
      </c>
      <c r="VT352" s="24" t="n">
        <v>26.15</v>
      </c>
      <c r="VU352" s="24" t="n">
        <v>1.97</v>
      </c>
      <c r="VV352" s="24" t="n">
        <v>60.18</v>
      </c>
      <c r="VW352" s="24" t="n">
        <v>0</v>
      </c>
      <c r="VX352" s="24" t="n">
        <v>0</v>
      </c>
      <c r="WK352" s="24" t="n">
        <v>0.1</v>
      </c>
      <c r="WL352" s="24" t="n">
        <v>0</v>
      </c>
      <c r="WW352" s="28"/>
      <c r="XO352" s="24" t="n">
        <v>1</v>
      </c>
      <c r="XP352" s="24" t="n">
        <v>50</v>
      </c>
      <c r="XQ352" s="24" t="n">
        <v>4</v>
      </c>
      <c r="XR352" s="24" t="n">
        <f aca="false">0.37*4</f>
        <v>1.48</v>
      </c>
      <c r="XS352" s="24" t="n">
        <v>3</v>
      </c>
      <c r="XT352" s="24" t="n">
        <v>40</v>
      </c>
      <c r="XU352" s="24" t="n">
        <v>6</v>
      </c>
      <c r="XV352" s="24" t="n">
        <v>2.2</v>
      </c>
      <c r="XW352" s="24" t="n">
        <v>3</v>
      </c>
      <c r="XX352" s="24" t="n">
        <v>50</v>
      </c>
      <c r="XY352" s="24" t="n">
        <v>1</v>
      </c>
      <c r="XZ352" s="24" t="n">
        <v>0.06</v>
      </c>
      <c r="YA352" s="24" t="n">
        <v>1</v>
      </c>
      <c r="YB352" s="24" t="n">
        <v>60</v>
      </c>
      <c r="YC352" s="24" t="n">
        <v>3</v>
      </c>
      <c r="YD352" s="24" t="n">
        <v>0.19</v>
      </c>
      <c r="YE352" s="24" t="n">
        <v>4</v>
      </c>
      <c r="YZ352" s="27" t="n">
        <v>1.11</v>
      </c>
      <c r="ZA352" s="27" t="n">
        <v>1</v>
      </c>
      <c r="ZB352" s="27" t="n">
        <v>1</v>
      </c>
      <c r="ZC352" s="27"/>
      <c r="ZD352" s="27" t="n">
        <f aca="false">0.51*2+0.09+0.15*2+1.65+0.18+0.72</f>
        <v>3.96</v>
      </c>
      <c r="ZE352" s="27"/>
      <c r="ZF352" s="27"/>
      <c r="ZG352" s="27"/>
      <c r="ZH352" s="27"/>
      <c r="ZI352" s="27"/>
      <c r="ZJ352" s="27"/>
      <c r="ZK352" s="27" t="n">
        <v>1.95</v>
      </c>
      <c r="ZL352" s="27" t="n">
        <v>1.96</v>
      </c>
      <c r="ZM352" s="27"/>
      <c r="ZN352" s="27"/>
      <c r="ZO352" s="27" t="n">
        <v>2.88</v>
      </c>
      <c r="ZP352" s="27" t="n">
        <v>0</v>
      </c>
      <c r="ZQ352" s="27" t="n">
        <v>0</v>
      </c>
      <c r="ZR352" s="24" t="n">
        <v>2</v>
      </c>
      <c r="ZS352" s="24" t="s">
        <v>783</v>
      </c>
      <c r="ZT352" s="24" t="n">
        <v>35</v>
      </c>
      <c r="ZU352" s="27" t="n">
        <v>89.3</v>
      </c>
      <c r="ZV352" s="27" t="n">
        <v>83.4</v>
      </c>
      <c r="ZW352" s="27" t="n">
        <v>12.6</v>
      </c>
      <c r="ZX352" s="24" t="n">
        <v>87.93</v>
      </c>
      <c r="ZY352" s="24" t="n">
        <v>0</v>
      </c>
      <c r="ZZ352" s="24" t="n">
        <v>0</v>
      </c>
      <c r="AAA352" s="24" t="n">
        <v>1.49</v>
      </c>
      <c r="AAB352" s="24" t="n">
        <v>10.58</v>
      </c>
      <c r="AAC352" s="24" t="n">
        <v>0</v>
      </c>
      <c r="AAD352" s="24" t="n">
        <v>0</v>
      </c>
      <c r="AAE352" s="24" t="n">
        <v>0</v>
      </c>
      <c r="AAF352" s="24" t="n">
        <v>0</v>
      </c>
      <c r="AAG352" s="24" t="n">
        <v>0</v>
      </c>
      <c r="AAH352" s="24" t="n">
        <v>0</v>
      </c>
      <c r="AAI352" s="24" t="n">
        <v>0.17</v>
      </c>
      <c r="AAJ352" s="24" t="n">
        <v>38.78</v>
      </c>
      <c r="AAK352" s="24" t="n">
        <v>29.47</v>
      </c>
      <c r="AAL352" s="24" t="n">
        <v>0</v>
      </c>
      <c r="AAM352" s="24" t="n">
        <v>0</v>
      </c>
      <c r="AAN352" s="24" t="n">
        <v>4</v>
      </c>
      <c r="AAO352" s="24" t="n">
        <v>1</v>
      </c>
      <c r="AAP352" s="24" t="n">
        <v>3</v>
      </c>
      <c r="AAR352" s="24" t="n">
        <v>4</v>
      </c>
      <c r="ABB352" s="24" t="n">
        <v>9.7</v>
      </c>
      <c r="ABC352" s="24" t="n">
        <v>1</v>
      </c>
      <c r="ABD352" s="24" t="n">
        <v>68</v>
      </c>
      <c r="ABE352" s="24" t="n">
        <v>1</v>
      </c>
      <c r="ABF352" s="24" t="n">
        <v>0.02</v>
      </c>
      <c r="ABG352" s="24" t="n">
        <v>1</v>
      </c>
      <c r="ABH352" s="24" t="n">
        <v>35</v>
      </c>
      <c r="ABI352" s="24" t="n">
        <v>10</v>
      </c>
      <c r="ABJ352" s="24" t="n">
        <f aca="false">0.22*2+0.43*2+0.65+0.04+0.02+0.08</f>
        <v>2.09</v>
      </c>
      <c r="ABK352" s="24" t="n">
        <v>3</v>
      </c>
      <c r="ABN352" s="28"/>
      <c r="ACF352" s="24" t="n">
        <v>1</v>
      </c>
      <c r="ACG352" s="24" t="n">
        <v>50</v>
      </c>
      <c r="ACH352" s="24" t="n">
        <f aca="false">4*3+3*4</f>
        <v>24</v>
      </c>
      <c r="ACI352" s="24" t="n">
        <f aca="false">0.07+0.25+0.11+0.65+1.3+15</f>
        <v>17.38</v>
      </c>
      <c r="ACJ352" s="24" t="n">
        <v>1</v>
      </c>
      <c r="ACK352" s="24" t="n">
        <v>40</v>
      </c>
      <c r="ACL352" s="24" t="n">
        <v>18</v>
      </c>
      <c r="ACM352" s="24" t="n">
        <f aca="false">0.87+0.17+0.08+0.34+1.73+0.43+0.87+0.07</f>
        <v>4.56</v>
      </c>
      <c r="ACN352" s="24" t="n">
        <v>1</v>
      </c>
      <c r="ACO352" s="24" t="n">
        <v>40</v>
      </c>
      <c r="ACP352" s="24" t="n">
        <v>2</v>
      </c>
      <c r="ACQ352" s="24" t="n">
        <v>0.12</v>
      </c>
      <c r="ACR352" s="24" t="n">
        <v>5</v>
      </c>
      <c r="ACS352" s="24" t="n">
        <v>50</v>
      </c>
      <c r="ACT352" s="24" t="n">
        <v>1</v>
      </c>
      <c r="ACU352" s="24" t="n">
        <v>0.22</v>
      </c>
      <c r="ACV352" s="24" t="n">
        <v>6</v>
      </c>
      <c r="ACW352" s="24" t="n">
        <v>40</v>
      </c>
      <c r="ACX352" s="24" t="n">
        <v>3</v>
      </c>
      <c r="ACY352" s="24" t="n">
        <v>0.16</v>
      </c>
      <c r="ACZ352" s="24" t="n">
        <v>6</v>
      </c>
      <c r="ADQ352" s="27" t="n">
        <v>0.68</v>
      </c>
      <c r="ADR352" s="27" t="n">
        <v>1</v>
      </c>
      <c r="ADS352" s="27" t="n">
        <v>1</v>
      </c>
      <c r="ADT352" s="27"/>
      <c r="ADU352" s="27" t="n">
        <f aca="false">0.34+0.91+1.8+0.08+0.3</f>
        <v>3.43</v>
      </c>
      <c r="ADV352" s="27"/>
      <c r="ADW352" s="27"/>
      <c r="ADX352" s="27"/>
      <c r="ADY352" s="27"/>
      <c r="ADZ352" s="27"/>
      <c r="AEA352" s="27"/>
      <c r="AEB352" s="27" t="n">
        <v>7.83</v>
      </c>
      <c r="AEC352" s="27" t="n">
        <v>8.68</v>
      </c>
      <c r="AED352" s="27"/>
      <c r="AEE352" s="27"/>
      <c r="AEF352" s="27" t="n">
        <v>0</v>
      </c>
      <c r="AEG352" s="27" t="n">
        <v>0</v>
      </c>
      <c r="AEH352" s="27" t="n">
        <v>0</v>
      </c>
      <c r="AEI352" s="24" t="n">
        <v>0</v>
      </c>
      <c r="AEJ352" s="24" t="s">
        <v>784</v>
      </c>
      <c r="AEK352" s="24" t="n">
        <v>38</v>
      </c>
      <c r="AEL352" s="27" t="n">
        <v>92.6</v>
      </c>
      <c r="AEM352" s="27" t="n">
        <v>83.4</v>
      </c>
      <c r="AEN352" s="27" t="n">
        <v>16.5</v>
      </c>
      <c r="AEO352" s="24" t="n">
        <v>77.87</v>
      </c>
      <c r="AEP352" s="24" t="n">
        <v>0</v>
      </c>
      <c r="AEQ352" s="24" t="n">
        <v>0</v>
      </c>
      <c r="AER352" s="24" t="n">
        <v>0</v>
      </c>
      <c r="AES352" s="24" t="n">
        <v>21.87</v>
      </c>
      <c r="AET352" s="24" t="n">
        <v>0</v>
      </c>
      <c r="AEU352" s="24" t="n">
        <v>0</v>
      </c>
      <c r="AEV352" s="24" t="n">
        <v>0</v>
      </c>
      <c r="AEW352" s="24" t="n">
        <v>0</v>
      </c>
      <c r="AEX352" s="24" t="n">
        <v>0</v>
      </c>
      <c r="AEY352" s="24" t="n">
        <v>0</v>
      </c>
      <c r="AEZ352" s="24" t="n">
        <v>0.29</v>
      </c>
      <c r="AFA352" s="24" t="n">
        <v>38.85</v>
      </c>
      <c r="AFB352" s="24" t="n">
        <v>37.36</v>
      </c>
      <c r="AFC352" s="24" t="n">
        <v>5.57</v>
      </c>
      <c r="AFD352" s="24" t="n">
        <v>0</v>
      </c>
      <c r="AFE352" s="24" t="n">
        <v>0</v>
      </c>
      <c r="AFF352" s="24" t="n">
        <v>0</v>
      </c>
      <c r="AFS352" s="24" t="n">
        <v>17.5</v>
      </c>
      <c r="AFT352" s="24" t="n">
        <v>0</v>
      </c>
      <c r="AGE352" s="28"/>
      <c r="AGW352" s="24" t="n">
        <v>1</v>
      </c>
      <c r="AGX352" s="24" t="n">
        <v>70</v>
      </c>
      <c r="AGY352" s="24" t="n">
        <f aca="false">8*3+3</f>
        <v>27</v>
      </c>
      <c r="AGZ352" s="24" t="n">
        <f aca="false">5.87*3+0.58</f>
        <v>18.19</v>
      </c>
      <c r="AHA352" s="24" t="n">
        <v>1</v>
      </c>
      <c r="AIH352" s="27" t="n">
        <v>3.74</v>
      </c>
      <c r="AII352" s="27" t="n">
        <v>1</v>
      </c>
      <c r="AIJ352" s="27" t="n">
        <v>1</v>
      </c>
      <c r="AIK352" s="27"/>
      <c r="AIL352" s="27" t="n">
        <f aca="false">1.65+2.04*2+0.36*2+0.54</f>
        <v>6.99</v>
      </c>
      <c r="AIM352" s="27" t="n">
        <v>2</v>
      </c>
      <c r="AIN352" s="27"/>
      <c r="AIO352" s="27" t="n">
        <v>0.91</v>
      </c>
      <c r="AIP352" s="27"/>
      <c r="AIQ352" s="27"/>
      <c r="AIR352" s="27"/>
      <c r="AIS352" s="27" t="n">
        <v>0.19</v>
      </c>
      <c r="AIT352" s="27" t="n">
        <v>0.19</v>
      </c>
      <c r="AIU352" s="27"/>
      <c r="AIV352" s="27"/>
      <c r="AIW352" s="27" t="n">
        <v>0</v>
      </c>
      <c r="AIX352" s="27" t="n">
        <v>0</v>
      </c>
      <c r="AIY352" s="27" t="n">
        <v>0</v>
      </c>
      <c r="AIZ352" s="24" t="n">
        <v>0</v>
      </c>
      <c r="AJA352" s="24" t="s">
        <v>785</v>
      </c>
      <c r="AJB352" s="24" t="n">
        <v>37.5</v>
      </c>
      <c r="AJC352" s="27" t="n">
        <v>94.9</v>
      </c>
      <c r="AJD352" s="27" t="n">
        <v>83.4</v>
      </c>
      <c r="AJE352" s="27" t="n">
        <v>16</v>
      </c>
      <c r="AJF352" s="24" t="n">
        <v>79.43</v>
      </c>
      <c r="AJG352" s="24" t="n">
        <v>0</v>
      </c>
      <c r="AJH352" s="24" t="n">
        <v>0</v>
      </c>
      <c r="AJI352" s="24" t="n">
        <v>0</v>
      </c>
      <c r="AJJ352" s="24" t="n">
        <v>20.31</v>
      </c>
      <c r="AJK352" s="24" t="n">
        <v>0</v>
      </c>
      <c r="AJL352" s="24" t="n">
        <v>0</v>
      </c>
      <c r="AJM352" s="24" t="n">
        <v>0</v>
      </c>
      <c r="AJN352" s="24" t="n">
        <v>0</v>
      </c>
      <c r="AJO352" s="24" t="n">
        <v>0</v>
      </c>
      <c r="AJP352" s="24" t="n">
        <v>0</v>
      </c>
      <c r="AJQ352" s="24" t="n">
        <v>0.29</v>
      </c>
      <c r="AJR352" s="24" t="n">
        <v>37.58</v>
      </c>
      <c r="AJS352" s="24" t="n">
        <v>37.76</v>
      </c>
      <c r="AJT352" s="24" t="n">
        <v>5.57</v>
      </c>
      <c r="AJU352" s="24" t="n">
        <v>0</v>
      </c>
      <c r="AJV352" s="24" t="n">
        <v>0</v>
      </c>
      <c r="AJW352" s="24" t="n">
        <v>0</v>
      </c>
      <c r="AKJ352" s="24" t="n">
        <v>17.5</v>
      </c>
      <c r="AKK352" s="24" t="n">
        <v>0</v>
      </c>
      <c r="AKV352" s="28"/>
      <c r="ALN352" s="24" t="n">
        <v>1</v>
      </c>
      <c r="ALO352" s="24" t="n">
        <v>71</v>
      </c>
      <c r="ALP352" s="24" t="n">
        <f aca="false">8*3+3</f>
        <v>27</v>
      </c>
      <c r="ALQ352" s="24" t="n">
        <f aca="false">5.87*3+0.58</f>
        <v>18.19</v>
      </c>
      <c r="ALR352" s="24" t="n">
        <v>2</v>
      </c>
    </row>
    <row r="353" customFormat="false" ht="13.8" hidden="false" customHeight="false" outlineLevel="0" collapsed="false">
      <c r="A353" s="1" t="s">
        <v>943</v>
      </c>
      <c r="B353" s="12" t="n">
        <v>42926</v>
      </c>
      <c r="C353" s="0" t="n">
        <v>2</v>
      </c>
      <c r="D353" s="13" t="n">
        <v>34785</v>
      </c>
      <c r="E353" s="12" t="n">
        <v>26489</v>
      </c>
      <c r="F353" s="14" t="n">
        <f aca="false">(B353-E353)/365.25</f>
        <v>45.0020533880903</v>
      </c>
      <c r="G353" s="14" t="n">
        <f aca="false">(B353-D353)/365.25</f>
        <v>22.2888432580424</v>
      </c>
      <c r="H353" s="19" t="s">
        <v>306</v>
      </c>
      <c r="I353" s="15" t="s">
        <v>777</v>
      </c>
      <c r="J353" s="21" t="s">
        <v>181</v>
      </c>
      <c r="K353" s="21" t="s">
        <v>913</v>
      </c>
      <c r="L353" s="19" t="n">
        <v>69</v>
      </c>
      <c r="M353" s="0" t="n">
        <v>1.79</v>
      </c>
      <c r="N353" s="16" t="n">
        <f aca="false">L353/(M353*M353)</f>
        <v>21.5349083986143</v>
      </c>
      <c r="O353" s="19" t="n">
        <v>0</v>
      </c>
      <c r="P353" s="19" t="n">
        <v>0</v>
      </c>
      <c r="Q353" s="19" t="n">
        <v>0</v>
      </c>
      <c r="R353" s="26" t="n">
        <v>0</v>
      </c>
      <c r="S353" s="26" t="n">
        <v>0</v>
      </c>
      <c r="T353" s="26" t="n">
        <v>0</v>
      </c>
      <c r="U353" s="19" t="n">
        <v>0</v>
      </c>
      <c r="V353" s="19" t="n">
        <v>0</v>
      </c>
      <c r="W353" s="19" t="n">
        <v>0</v>
      </c>
      <c r="X353" s="19" t="n">
        <v>0</v>
      </c>
      <c r="Y353" s="19" t="n">
        <v>0</v>
      </c>
      <c r="Z353" s="19" t="n">
        <v>0</v>
      </c>
      <c r="AA353" s="19" t="n">
        <v>0</v>
      </c>
      <c r="AB353" s="19" t="n">
        <v>0</v>
      </c>
      <c r="AC353" s="19" t="n">
        <v>1</v>
      </c>
      <c r="AD353" s="19" t="n">
        <v>20</v>
      </c>
      <c r="AE353" s="19" t="n">
        <v>1</v>
      </c>
      <c r="AF353" s="19" t="n">
        <v>0</v>
      </c>
      <c r="AG353" s="19" t="n">
        <v>1</v>
      </c>
      <c r="AH353" s="19" t="n">
        <v>6</v>
      </c>
      <c r="AI353" s="19" t="n">
        <v>3</v>
      </c>
      <c r="AJ353" s="19" t="n">
        <v>0</v>
      </c>
      <c r="AK353" s="19" t="n">
        <v>0</v>
      </c>
      <c r="AL353" s="19" t="n">
        <v>0</v>
      </c>
      <c r="AM353" s="19" t="n">
        <v>0</v>
      </c>
      <c r="AN353" s="19" t="n">
        <v>3</v>
      </c>
      <c r="AO353" s="19" t="n">
        <v>0</v>
      </c>
      <c r="AP353" s="19" t="n">
        <v>0</v>
      </c>
      <c r="AQ353" s="19" t="n">
        <v>0</v>
      </c>
      <c r="AR353" s="19" t="n">
        <v>0</v>
      </c>
      <c r="AS353" s="19" t="n">
        <v>3</v>
      </c>
      <c r="AT353" s="19" t="n">
        <v>0</v>
      </c>
      <c r="AU353" s="19" t="n">
        <v>3</v>
      </c>
      <c r="AV353" s="19" t="n">
        <v>7</v>
      </c>
      <c r="AW353" s="19" t="n">
        <v>7</v>
      </c>
      <c r="AX353" s="19" t="n">
        <v>0</v>
      </c>
      <c r="AY353" s="19" t="n">
        <v>0</v>
      </c>
      <c r="AZ353" s="19" t="n">
        <v>0</v>
      </c>
      <c r="BA353" s="19" t="n">
        <v>0</v>
      </c>
      <c r="BB353" s="19" t="n">
        <v>1</v>
      </c>
      <c r="BC353" s="19" t="n">
        <v>0</v>
      </c>
      <c r="BD353" s="19" t="n">
        <v>1</v>
      </c>
      <c r="BE353" s="19" t="n">
        <v>8</v>
      </c>
      <c r="BF353" s="19" t="n">
        <v>0</v>
      </c>
      <c r="BG353" s="19" t="n">
        <v>0</v>
      </c>
      <c r="BH353" s="19" t="n">
        <v>0</v>
      </c>
      <c r="BI353" s="19" t="n">
        <v>0</v>
      </c>
      <c r="BJ353" s="19" t="n">
        <v>0</v>
      </c>
      <c r="BK353" s="19" t="n">
        <v>0</v>
      </c>
      <c r="BL353" s="19" t="n">
        <v>0</v>
      </c>
      <c r="BM353" s="19" t="n">
        <v>0</v>
      </c>
      <c r="BN353" s="19" t="n">
        <v>0</v>
      </c>
      <c r="BO353" s="19" t="n">
        <v>0</v>
      </c>
      <c r="BP353" s="19" t="n">
        <v>0</v>
      </c>
      <c r="BQ353" s="19" t="n">
        <v>0</v>
      </c>
      <c r="BR353" s="19" t="n">
        <v>4</v>
      </c>
      <c r="BS353" s="19" t="n">
        <v>5</v>
      </c>
      <c r="BT353" s="19" t="n">
        <v>4</v>
      </c>
      <c r="BU353" s="19" t="n">
        <v>5</v>
      </c>
      <c r="BV353" s="19" t="n">
        <v>4</v>
      </c>
      <c r="BW353" s="19" t="n">
        <v>4</v>
      </c>
      <c r="BX353" s="19" t="n">
        <v>5</v>
      </c>
      <c r="BY353" s="19" t="n">
        <v>4</v>
      </c>
      <c r="BZ353" s="19" t="n">
        <v>2</v>
      </c>
      <c r="CA353" s="19" t="n">
        <v>1</v>
      </c>
      <c r="CB353" s="19" t="n">
        <v>1</v>
      </c>
      <c r="CC353" s="19" t="n">
        <v>5</v>
      </c>
      <c r="CD353" s="19" t="n">
        <v>1</v>
      </c>
      <c r="CE353" s="19" t="n">
        <v>1</v>
      </c>
      <c r="CF353" s="19" t="n">
        <v>4</v>
      </c>
      <c r="CG353" s="19" t="n">
        <v>4</v>
      </c>
      <c r="CH353" s="19" t="n">
        <v>3</v>
      </c>
      <c r="CI353" s="19" t="n">
        <v>3</v>
      </c>
      <c r="CJ353" s="19" t="n">
        <v>3</v>
      </c>
      <c r="CK353" s="19" t="n">
        <v>8</v>
      </c>
      <c r="CL353" s="24" t="s">
        <v>779</v>
      </c>
      <c r="CM353" s="24" t="n">
        <v>43</v>
      </c>
      <c r="CN353" s="27" t="n">
        <v>91.8</v>
      </c>
      <c r="CO353" s="27" t="n">
        <v>83.4</v>
      </c>
      <c r="CP353" s="27" t="n">
        <v>25.8</v>
      </c>
      <c r="CQ353" s="24" t="n">
        <v>68.3</v>
      </c>
      <c r="CR353" s="24" t="n">
        <v>0</v>
      </c>
      <c r="CS353" s="24" t="n">
        <v>0</v>
      </c>
      <c r="CT353" s="24" t="n">
        <v>0</v>
      </c>
      <c r="CU353" s="24" t="n">
        <v>31.54</v>
      </c>
      <c r="CV353" s="24" t="n">
        <v>0</v>
      </c>
      <c r="CW353" s="24" t="n">
        <v>0</v>
      </c>
      <c r="CX353" s="24" t="n">
        <v>0</v>
      </c>
      <c r="CY353" s="24" t="n">
        <v>0</v>
      </c>
      <c r="CZ353" s="24" t="n">
        <v>0</v>
      </c>
      <c r="DA353" s="24" t="n">
        <v>0</v>
      </c>
      <c r="DB353" s="24" t="n">
        <v>48.27</v>
      </c>
      <c r="DC353" s="24" t="n">
        <v>58.3</v>
      </c>
      <c r="DD353" s="24" t="n">
        <v>1.34</v>
      </c>
      <c r="DE353" s="24" t="n">
        <v>0</v>
      </c>
      <c r="DF353" s="24" t="n">
        <v>0.16</v>
      </c>
      <c r="DG353" s="24" t="n">
        <v>0</v>
      </c>
      <c r="DH353" s="24" t="n">
        <v>0</v>
      </c>
      <c r="DU353" s="24" t="n">
        <v>11</v>
      </c>
      <c r="DV353" s="24" t="n">
        <v>1</v>
      </c>
      <c r="DW353" s="24" t="n">
        <v>30</v>
      </c>
      <c r="DX353" s="24" t="n">
        <v>1</v>
      </c>
      <c r="DY353" s="24" t="n">
        <v>0.73</v>
      </c>
      <c r="DZ353" s="24" t="n">
        <v>1</v>
      </c>
      <c r="EG353" s="28"/>
      <c r="EY353" s="24" t="n">
        <v>1</v>
      </c>
      <c r="EZ353" s="24" t="n">
        <v>60</v>
      </c>
      <c r="FA353" s="24" t="n">
        <v>14</v>
      </c>
      <c r="FB353" s="24" t="n">
        <f aca="false">1.25+0.05+0.21+0.21+0.31+0.08</f>
        <v>2.11</v>
      </c>
      <c r="FC353" s="24" t="n">
        <v>6</v>
      </c>
      <c r="FD353" s="24" t="n">
        <v>50</v>
      </c>
      <c r="FE353" s="24" t="n">
        <v>8</v>
      </c>
      <c r="FF353" s="24" t="n">
        <f aca="false">2.94*2</f>
        <v>5.88</v>
      </c>
      <c r="FG353" s="24" t="n">
        <v>4</v>
      </c>
      <c r="GJ353" s="27" t="n">
        <v>2.45</v>
      </c>
      <c r="GK353" s="27" t="n">
        <v>1</v>
      </c>
      <c r="GL353" s="27" t="n">
        <v>1</v>
      </c>
      <c r="GM353" s="27"/>
      <c r="GN353" s="27" t="n">
        <f aca="false">0.03*2+0.16+0.46</f>
        <v>0.68</v>
      </c>
      <c r="GO353" s="27" t="n">
        <v>2</v>
      </c>
      <c r="GP353" s="27"/>
      <c r="GQ353" s="27" t="n">
        <f aca="false">6.12+0.54</f>
        <v>6.66</v>
      </c>
      <c r="GR353" s="27"/>
      <c r="GS353" s="27"/>
      <c r="GT353" s="27"/>
      <c r="GU353" s="27" t="n">
        <v>3.68</v>
      </c>
      <c r="GV353" s="27" t="n">
        <v>1.63</v>
      </c>
      <c r="GW353" s="27"/>
      <c r="GX353" s="27"/>
      <c r="GY353" s="27" t="n">
        <v>0</v>
      </c>
      <c r="GZ353" s="27" t="n">
        <v>0</v>
      </c>
      <c r="HA353" s="27" t="n">
        <v>0</v>
      </c>
      <c r="HB353" s="24" t="n">
        <v>0</v>
      </c>
      <c r="HC353" s="24" t="s">
        <v>780</v>
      </c>
      <c r="HD353" s="24" t="n">
        <v>46</v>
      </c>
      <c r="HE353" s="27" t="n">
        <v>101.6</v>
      </c>
      <c r="HF353" s="27" t="n">
        <v>83.4</v>
      </c>
      <c r="HG353" s="27" t="n">
        <v>27.8</v>
      </c>
      <c r="HH353" s="24" t="n">
        <v>66.04</v>
      </c>
      <c r="HI353" s="24" t="n">
        <v>0</v>
      </c>
      <c r="HJ353" s="24" t="n">
        <v>0</v>
      </c>
      <c r="HK353" s="24" t="n">
        <v>0</v>
      </c>
      <c r="HL353" s="24" t="n">
        <v>35.15</v>
      </c>
      <c r="HM353" s="24" t="n">
        <v>0</v>
      </c>
      <c r="HN353" s="24" t="n">
        <v>0</v>
      </c>
      <c r="HO353" s="24" t="n">
        <v>0</v>
      </c>
      <c r="HP353" s="24" t="n">
        <v>0</v>
      </c>
      <c r="HQ353" s="24" t="n">
        <v>0</v>
      </c>
      <c r="HR353" s="24" t="n">
        <v>0</v>
      </c>
      <c r="HS353" s="24" t="n">
        <v>43.27</v>
      </c>
      <c r="HT353" s="24" t="n">
        <v>65.02</v>
      </c>
      <c r="HU353" s="24" t="n">
        <v>6.59</v>
      </c>
      <c r="HV353" s="24" t="n">
        <v>0.88</v>
      </c>
      <c r="HW353" s="24" t="n">
        <v>0.16</v>
      </c>
      <c r="HX353" s="24" t="n">
        <v>0</v>
      </c>
      <c r="HY353" s="24" t="n">
        <v>0</v>
      </c>
      <c r="IL353" s="24" t="n">
        <v>14.9</v>
      </c>
      <c r="IM353" s="24" t="n">
        <v>1</v>
      </c>
      <c r="IN353" s="24" t="n">
        <v>30</v>
      </c>
      <c r="IO353" s="24" t="n">
        <v>1</v>
      </c>
      <c r="IP353" s="24" t="n">
        <v>0.73</v>
      </c>
      <c r="IQ353" s="24" t="n">
        <v>1</v>
      </c>
      <c r="IR353" s="24" t="n">
        <v>47</v>
      </c>
      <c r="IS353" s="24" t="n">
        <v>1</v>
      </c>
      <c r="IT353" s="24" t="n">
        <v>0.11</v>
      </c>
      <c r="IU353" s="24" t="n">
        <v>3</v>
      </c>
      <c r="IX353" s="28"/>
      <c r="JP353" s="24" t="n">
        <v>1</v>
      </c>
      <c r="JQ353" s="24" t="n">
        <v>60</v>
      </c>
      <c r="JR353" s="24" t="n">
        <v>4</v>
      </c>
      <c r="JS353" s="24" t="n">
        <v>1.68</v>
      </c>
      <c r="JT353" s="24" t="n">
        <v>6</v>
      </c>
      <c r="JU353" s="24" t="n">
        <v>50</v>
      </c>
      <c r="JV353" s="24" t="n">
        <v>8</v>
      </c>
      <c r="JW353" s="24" t="n">
        <f aca="false">2.94*2</f>
        <v>5.88</v>
      </c>
      <c r="JX353" s="24" t="n">
        <v>4</v>
      </c>
      <c r="JY353" s="24" t="n">
        <v>50</v>
      </c>
      <c r="JZ353" s="24" t="n">
        <v>4</v>
      </c>
      <c r="KA353" s="24" t="n">
        <v>0.76</v>
      </c>
      <c r="KB353" s="24" t="n">
        <v>6</v>
      </c>
      <c r="KC353" s="24" t="n">
        <v>80</v>
      </c>
      <c r="KD353" s="24" t="n">
        <v>8</v>
      </c>
      <c r="KE353" s="24" t="n">
        <f aca="false">0.31+0.21</f>
        <v>0.52</v>
      </c>
      <c r="KF353" s="24" t="n">
        <v>6</v>
      </c>
      <c r="LA353" s="27" t="n">
        <v>2.05</v>
      </c>
      <c r="LB353" s="27" t="n">
        <v>1</v>
      </c>
      <c r="LC353" s="27" t="n">
        <v>1</v>
      </c>
      <c r="LD353" s="27"/>
      <c r="LE353" s="27" t="n">
        <f aca="false">6.12+0.54+0.36</f>
        <v>7.02</v>
      </c>
      <c r="LF353" s="27" t="n">
        <v>2</v>
      </c>
      <c r="LG353" s="27"/>
      <c r="LH353" s="27" t="n">
        <v>6.01</v>
      </c>
      <c r="LI353" s="27"/>
      <c r="LJ353" s="27"/>
      <c r="LK353" s="27"/>
      <c r="LL353" s="27" t="n">
        <v>0.86</v>
      </c>
      <c r="LM353" s="27" t="n">
        <v>0.85</v>
      </c>
      <c r="LN353" s="27"/>
      <c r="LO353" s="27"/>
      <c r="LP353" s="27" t="n">
        <v>0</v>
      </c>
      <c r="LQ353" s="27" t="n">
        <v>0</v>
      </c>
      <c r="LR353" s="27" t="n">
        <v>0</v>
      </c>
      <c r="LS353" s="24" t="n">
        <v>0</v>
      </c>
      <c r="LT353" s="24" t="n">
        <v>100</v>
      </c>
      <c r="LU353" s="24" t="n">
        <v>29.5</v>
      </c>
      <c r="LV353" s="27" t="n">
        <v>94.9</v>
      </c>
      <c r="LW353" s="27" t="n">
        <v>83.4</v>
      </c>
      <c r="LX353" s="27" t="n">
        <v>17.6</v>
      </c>
      <c r="LY353" s="24" t="n">
        <v>85.6</v>
      </c>
      <c r="LZ353" s="24" t="n">
        <v>0</v>
      </c>
      <c r="MA353" s="24" t="n">
        <v>0</v>
      </c>
      <c r="MB353" s="24" t="n">
        <v>0</v>
      </c>
      <c r="MC353" s="24" t="n">
        <v>14.4</v>
      </c>
      <c r="MD353" s="24" t="n">
        <v>0</v>
      </c>
      <c r="ME353" s="24" t="n">
        <v>0</v>
      </c>
      <c r="MF353" s="24" t="n">
        <v>0</v>
      </c>
      <c r="MG353" s="24" t="n">
        <v>0</v>
      </c>
      <c r="MH353" s="24" t="n">
        <v>0</v>
      </c>
      <c r="MI353" s="24" t="n">
        <v>0</v>
      </c>
      <c r="MJ353" s="24" t="n">
        <v>1.95</v>
      </c>
      <c r="MK353" s="24" t="n">
        <v>9.45</v>
      </c>
      <c r="ML353" s="24" t="n">
        <v>11.24</v>
      </c>
      <c r="MM353" s="24" t="n">
        <v>36.94</v>
      </c>
      <c r="MN353" s="24" t="n">
        <v>0</v>
      </c>
      <c r="MO353" s="24" t="n">
        <v>11.5</v>
      </c>
      <c r="MP353" s="24" t="n">
        <v>1</v>
      </c>
      <c r="MQ353" s="24" t="n">
        <v>5</v>
      </c>
      <c r="MS353" s="24" t="n">
        <v>4</v>
      </c>
      <c r="NC353" s="24" t="n">
        <v>0</v>
      </c>
      <c r="ND353" s="24" t="n">
        <v>0</v>
      </c>
      <c r="NO353" s="28"/>
      <c r="OG353" s="24" t="n">
        <v>0</v>
      </c>
      <c r="PR353" s="27" t="n">
        <v>0.2</v>
      </c>
      <c r="PS353" s="27" t="n">
        <v>1</v>
      </c>
      <c r="PT353" s="27" t="n">
        <v>1</v>
      </c>
      <c r="PU353" s="27"/>
      <c r="PV353" s="27" t="n">
        <f aca="false">0.14+0.23+0.07+0.21</f>
        <v>0.65</v>
      </c>
      <c r="PW353" s="27"/>
      <c r="PX353" s="27"/>
      <c r="PY353" s="27"/>
      <c r="PZ353" s="27"/>
      <c r="QA353" s="27"/>
      <c r="QB353" s="27"/>
      <c r="QC353" s="27" t="n">
        <v>0.23</v>
      </c>
      <c r="QD353" s="27" t="n">
        <v>0.23</v>
      </c>
      <c r="QE353" s="27"/>
      <c r="QF353" s="27"/>
      <c r="QG353" s="27" t="n">
        <v>0</v>
      </c>
      <c r="QH353" s="27" t="n">
        <v>0</v>
      </c>
      <c r="QI353" s="27" t="n">
        <v>0</v>
      </c>
      <c r="QJ353" s="24" t="n">
        <v>0</v>
      </c>
      <c r="QK353" s="24" t="s">
        <v>781</v>
      </c>
      <c r="QL353" s="24" t="n">
        <v>47.5</v>
      </c>
      <c r="QM353" s="27" t="n">
        <v>49.3</v>
      </c>
      <c r="QN353" s="27" t="n">
        <v>83.4</v>
      </c>
      <c r="QO353" s="27" t="n">
        <v>35.7</v>
      </c>
      <c r="QP353" s="24" t="n">
        <v>66.48</v>
      </c>
      <c r="QQ353" s="24" t="n">
        <v>0</v>
      </c>
      <c r="QR353" s="24" t="n">
        <v>6.11</v>
      </c>
      <c r="QS353" s="24" t="n">
        <v>0</v>
      </c>
      <c r="QT353" s="24" t="n">
        <v>9.56</v>
      </c>
      <c r="QU353" s="24" t="n">
        <v>0</v>
      </c>
      <c r="QV353" s="24" t="n">
        <v>6.1</v>
      </c>
      <c r="QW353" s="24" t="n">
        <v>3.05</v>
      </c>
      <c r="QX353" s="24" t="n">
        <v>0</v>
      </c>
      <c r="QY353" s="24" t="n">
        <v>0</v>
      </c>
      <c r="QZ353" s="24" t="n">
        <v>0</v>
      </c>
      <c r="RA353" s="24" t="n">
        <v>0</v>
      </c>
      <c r="RB353" s="24" t="n">
        <v>17.78</v>
      </c>
      <c r="RC353" s="24" t="n">
        <v>9.13</v>
      </c>
      <c r="RD353" s="24" t="n">
        <v>2.7</v>
      </c>
      <c r="RE353" s="24" t="n">
        <v>11.73</v>
      </c>
      <c r="RF353" s="24" t="n">
        <v>0</v>
      </c>
      <c r="RG353" s="24" t="n">
        <v>0</v>
      </c>
      <c r="RT353" s="24" t="n">
        <v>5.7</v>
      </c>
      <c r="RU353" s="24" t="n">
        <v>1</v>
      </c>
      <c r="RV353" s="24" t="n">
        <v>30</v>
      </c>
      <c r="RW353" s="24" t="n">
        <v>10</v>
      </c>
      <c r="RX353" s="24" t="n">
        <f aca="false">0.15*2+0.16*8</f>
        <v>1.58</v>
      </c>
      <c r="RY353" s="24" t="n">
        <v>3</v>
      </c>
      <c r="SF353" s="28"/>
      <c r="SX353" s="24" t="n">
        <v>1</v>
      </c>
      <c r="SY353" s="24" t="n">
        <v>40</v>
      </c>
      <c r="SZ353" s="24" t="n">
        <v>4</v>
      </c>
      <c r="TA353" s="24" t="n">
        <v>0.6</v>
      </c>
      <c r="TB353" s="24" t="n">
        <v>2</v>
      </c>
      <c r="UI353" s="27" t="n">
        <v>0.53</v>
      </c>
      <c r="UJ353" s="27" t="n">
        <v>1</v>
      </c>
      <c r="UK353" s="27" t="n">
        <v>1</v>
      </c>
      <c r="UL353" s="27"/>
      <c r="UM353" s="27" t="n">
        <f aca="false">0.64*4+0.08</f>
        <v>2.64</v>
      </c>
      <c r="UN353" s="27"/>
      <c r="UO353" s="27"/>
      <c r="UP353" s="27"/>
      <c r="UQ353" s="27"/>
      <c r="UR353" s="27"/>
      <c r="US353" s="27"/>
      <c r="UT353" s="27" t="n">
        <v>5.06</v>
      </c>
      <c r="UU353" s="27" t="n">
        <v>1.58</v>
      </c>
      <c r="UV353" s="27"/>
      <c r="UW353" s="27"/>
      <c r="UX353" s="27" t="n">
        <v>0</v>
      </c>
      <c r="UY353" s="27" t="n">
        <v>0</v>
      </c>
      <c r="UZ353" s="27" t="n">
        <v>0</v>
      </c>
      <c r="VA353" s="24" t="n">
        <v>0</v>
      </c>
      <c r="VB353" s="24" t="s">
        <v>782</v>
      </c>
      <c r="VC353" s="24" t="n">
        <v>71</v>
      </c>
      <c r="VD353" s="27" t="n">
        <v>92</v>
      </c>
      <c r="VE353" s="27" t="n">
        <v>166.8</v>
      </c>
      <c r="VF353" s="27" t="n">
        <v>65</v>
      </c>
      <c r="VG353" s="24" t="n">
        <v>28.78</v>
      </c>
      <c r="VH353" s="24" t="n">
        <v>0</v>
      </c>
      <c r="VI353" s="24" t="n">
        <v>0</v>
      </c>
      <c r="VJ353" s="24" t="n">
        <v>0</v>
      </c>
      <c r="VK353" s="24" t="n">
        <v>2.5</v>
      </c>
      <c r="VL353" s="24" t="n">
        <v>0</v>
      </c>
      <c r="VM353" s="24" t="n">
        <v>8.54</v>
      </c>
      <c r="VN353" s="24" t="n">
        <v>0</v>
      </c>
      <c r="VO353" s="24" t="n">
        <v>0</v>
      </c>
      <c r="VP353" s="24" t="n">
        <v>2.76</v>
      </c>
      <c r="VQ353" s="24" t="n">
        <v>0</v>
      </c>
      <c r="VR353" s="24" t="n">
        <v>9.52</v>
      </c>
      <c r="VS353" s="24" t="n">
        <v>36.91</v>
      </c>
      <c r="VT353" s="24" t="n">
        <v>26.15</v>
      </c>
      <c r="VU353" s="24" t="n">
        <v>1.97</v>
      </c>
      <c r="VV353" s="24" t="n">
        <v>60.18</v>
      </c>
      <c r="VW353" s="24" t="n">
        <v>0</v>
      </c>
      <c r="VX353" s="24" t="n">
        <v>0</v>
      </c>
      <c r="WK353" s="24" t="n">
        <v>0.1</v>
      </c>
      <c r="WL353" s="24" t="n">
        <v>0</v>
      </c>
      <c r="WW353" s="28"/>
      <c r="XO353" s="24" t="n">
        <v>1</v>
      </c>
      <c r="XP353" s="24" t="n">
        <v>50</v>
      </c>
      <c r="XQ353" s="24" t="n">
        <v>4</v>
      </c>
      <c r="XR353" s="24" t="n">
        <f aca="false">0.37*4</f>
        <v>1.48</v>
      </c>
      <c r="XS353" s="24" t="n">
        <v>3</v>
      </c>
      <c r="XT353" s="24" t="n">
        <v>40</v>
      </c>
      <c r="XU353" s="24" t="n">
        <v>6</v>
      </c>
      <c r="XV353" s="24" t="n">
        <v>2.2</v>
      </c>
      <c r="XW353" s="24" t="n">
        <v>3</v>
      </c>
      <c r="XX353" s="24" t="n">
        <v>50</v>
      </c>
      <c r="XY353" s="24" t="n">
        <v>1</v>
      </c>
      <c r="XZ353" s="24" t="n">
        <v>0.06</v>
      </c>
      <c r="YA353" s="24" t="n">
        <v>1</v>
      </c>
      <c r="YB353" s="24" t="n">
        <v>60</v>
      </c>
      <c r="YC353" s="24" t="n">
        <v>3</v>
      </c>
      <c r="YD353" s="24" t="n">
        <v>0.19</v>
      </c>
      <c r="YE353" s="24" t="n">
        <v>4</v>
      </c>
      <c r="YZ353" s="27" t="n">
        <v>1.11</v>
      </c>
      <c r="ZA353" s="27" t="n">
        <v>1</v>
      </c>
      <c r="ZB353" s="27" t="n">
        <v>1</v>
      </c>
      <c r="ZC353" s="27"/>
      <c r="ZD353" s="27" t="n">
        <f aca="false">0.51*2+0.09+0.15*2+1.65+0.18+0.72</f>
        <v>3.96</v>
      </c>
      <c r="ZE353" s="27"/>
      <c r="ZF353" s="27"/>
      <c r="ZG353" s="27"/>
      <c r="ZH353" s="27"/>
      <c r="ZI353" s="27"/>
      <c r="ZJ353" s="27"/>
      <c r="ZK353" s="27" t="n">
        <v>1.95</v>
      </c>
      <c r="ZL353" s="27" t="n">
        <v>1.96</v>
      </c>
      <c r="ZM353" s="27"/>
      <c r="ZN353" s="27"/>
      <c r="ZO353" s="27" t="n">
        <v>2.88</v>
      </c>
      <c r="ZP353" s="27" t="n">
        <v>0</v>
      </c>
      <c r="ZQ353" s="27" t="n">
        <v>0</v>
      </c>
      <c r="ZR353" s="24" t="n">
        <v>2</v>
      </c>
      <c r="ZS353" s="24" t="s">
        <v>783</v>
      </c>
      <c r="ZT353" s="24" t="n">
        <v>35</v>
      </c>
      <c r="ZU353" s="27" t="n">
        <v>89.3</v>
      </c>
      <c r="ZV353" s="27" t="n">
        <v>83.4</v>
      </c>
      <c r="ZW353" s="27" t="n">
        <v>12.6</v>
      </c>
      <c r="ZX353" s="24" t="n">
        <v>87.93</v>
      </c>
      <c r="ZY353" s="24" t="n">
        <v>0</v>
      </c>
      <c r="ZZ353" s="24" t="n">
        <v>0</v>
      </c>
      <c r="AAA353" s="24" t="n">
        <v>1.49</v>
      </c>
      <c r="AAB353" s="24" t="n">
        <v>10.58</v>
      </c>
      <c r="AAC353" s="24" t="n">
        <v>0</v>
      </c>
      <c r="AAD353" s="24" t="n">
        <v>0</v>
      </c>
      <c r="AAE353" s="24" t="n">
        <v>0</v>
      </c>
      <c r="AAF353" s="24" t="n">
        <v>0</v>
      </c>
      <c r="AAG353" s="24" t="n">
        <v>0</v>
      </c>
      <c r="AAH353" s="24" t="n">
        <v>0</v>
      </c>
      <c r="AAI353" s="24" t="n">
        <v>0.17</v>
      </c>
      <c r="AAJ353" s="24" t="n">
        <v>38.78</v>
      </c>
      <c r="AAK353" s="24" t="n">
        <v>29.47</v>
      </c>
      <c r="AAL353" s="24" t="n">
        <v>0</v>
      </c>
      <c r="AAM353" s="24" t="n">
        <v>0</v>
      </c>
      <c r="AAN353" s="24" t="n">
        <v>4</v>
      </c>
      <c r="AAO353" s="24" t="n">
        <v>1</v>
      </c>
      <c r="AAP353" s="24" t="n">
        <v>3</v>
      </c>
      <c r="AAR353" s="24" t="n">
        <v>4</v>
      </c>
      <c r="ABB353" s="24" t="n">
        <v>9.7</v>
      </c>
      <c r="ABC353" s="24" t="n">
        <v>1</v>
      </c>
      <c r="ABD353" s="24" t="n">
        <v>68</v>
      </c>
      <c r="ABE353" s="24" t="n">
        <v>1</v>
      </c>
      <c r="ABF353" s="24" t="n">
        <v>0.02</v>
      </c>
      <c r="ABG353" s="24" t="n">
        <v>1</v>
      </c>
      <c r="ABH353" s="24" t="n">
        <v>35</v>
      </c>
      <c r="ABI353" s="24" t="n">
        <v>10</v>
      </c>
      <c r="ABJ353" s="24" t="n">
        <f aca="false">0.22*2+0.43*2+0.65+0.04+0.02+0.08</f>
        <v>2.09</v>
      </c>
      <c r="ABK353" s="24" t="n">
        <v>3</v>
      </c>
      <c r="ABN353" s="28"/>
      <c r="ACF353" s="24" t="n">
        <v>1</v>
      </c>
      <c r="ACG353" s="24" t="n">
        <v>50</v>
      </c>
      <c r="ACH353" s="24" t="n">
        <f aca="false">4*3+3*4</f>
        <v>24</v>
      </c>
      <c r="ACI353" s="24" t="n">
        <f aca="false">0.07+0.25+0.11+0.65+1.3+15</f>
        <v>17.38</v>
      </c>
      <c r="ACJ353" s="24" t="n">
        <v>1</v>
      </c>
      <c r="ACK353" s="24" t="n">
        <v>40</v>
      </c>
      <c r="ACL353" s="24" t="n">
        <v>18</v>
      </c>
      <c r="ACM353" s="24" t="n">
        <f aca="false">0.87+0.17+0.08+0.34+1.73+0.43+0.87+0.07</f>
        <v>4.56</v>
      </c>
      <c r="ACN353" s="24" t="n">
        <v>1</v>
      </c>
      <c r="ACO353" s="24" t="n">
        <v>40</v>
      </c>
      <c r="ACP353" s="24" t="n">
        <v>2</v>
      </c>
      <c r="ACQ353" s="24" t="n">
        <v>0.12</v>
      </c>
      <c r="ACR353" s="24" t="n">
        <v>5</v>
      </c>
      <c r="ACS353" s="24" t="n">
        <v>50</v>
      </c>
      <c r="ACT353" s="24" t="n">
        <v>1</v>
      </c>
      <c r="ACU353" s="24" t="n">
        <v>0.22</v>
      </c>
      <c r="ACV353" s="24" t="n">
        <v>6</v>
      </c>
      <c r="ACW353" s="24" t="n">
        <v>40</v>
      </c>
      <c r="ACX353" s="24" t="n">
        <v>3</v>
      </c>
      <c r="ACY353" s="24" t="n">
        <v>0.16</v>
      </c>
      <c r="ACZ353" s="24" t="n">
        <v>6</v>
      </c>
      <c r="ADQ353" s="27" t="n">
        <v>0.68</v>
      </c>
      <c r="ADR353" s="27" t="n">
        <v>1</v>
      </c>
      <c r="ADS353" s="27" t="n">
        <v>1</v>
      </c>
      <c r="ADT353" s="27"/>
      <c r="ADU353" s="27" t="n">
        <f aca="false">0.34+0.91+1.8+0.08+0.3</f>
        <v>3.43</v>
      </c>
      <c r="ADV353" s="27"/>
      <c r="ADW353" s="27"/>
      <c r="ADX353" s="27"/>
      <c r="ADY353" s="27"/>
      <c r="ADZ353" s="27"/>
      <c r="AEA353" s="27"/>
      <c r="AEB353" s="27" t="n">
        <v>7.83</v>
      </c>
      <c r="AEC353" s="27" t="n">
        <v>8.68</v>
      </c>
      <c r="AED353" s="27"/>
      <c r="AEE353" s="27"/>
      <c r="AEF353" s="27" t="n">
        <v>0</v>
      </c>
      <c r="AEG353" s="27" t="n">
        <v>0</v>
      </c>
      <c r="AEH353" s="27" t="n">
        <v>0</v>
      </c>
      <c r="AEI353" s="24" t="n">
        <v>0</v>
      </c>
      <c r="AEJ353" s="24" t="s">
        <v>784</v>
      </c>
      <c r="AEK353" s="24" t="n">
        <v>38</v>
      </c>
      <c r="AEL353" s="27" t="n">
        <v>92.6</v>
      </c>
      <c r="AEM353" s="27" t="n">
        <v>83.4</v>
      </c>
      <c r="AEN353" s="27" t="n">
        <v>16.5</v>
      </c>
      <c r="AEO353" s="24" t="n">
        <v>77.87</v>
      </c>
      <c r="AEP353" s="24" t="n">
        <v>0</v>
      </c>
      <c r="AEQ353" s="24" t="n">
        <v>0</v>
      </c>
      <c r="AER353" s="24" t="n">
        <v>0</v>
      </c>
      <c r="AES353" s="24" t="n">
        <v>21.87</v>
      </c>
      <c r="AET353" s="24" t="n">
        <v>0</v>
      </c>
      <c r="AEU353" s="24" t="n">
        <v>0</v>
      </c>
      <c r="AEV353" s="24" t="n">
        <v>0</v>
      </c>
      <c r="AEW353" s="24" t="n">
        <v>0</v>
      </c>
      <c r="AEX353" s="24" t="n">
        <v>0</v>
      </c>
      <c r="AEY353" s="24" t="n">
        <v>0</v>
      </c>
      <c r="AEZ353" s="24" t="n">
        <v>0.29</v>
      </c>
      <c r="AFA353" s="24" t="n">
        <v>38.85</v>
      </c>
      <c r="AFB353" s="24" t="n">
        <v>37.36</v>
      </c>
      <c r="AFC353" s="24" t="n">
        <v>5.57</v>
      </c>
      <c r="AFD353" s="24" t="n">
        <v>0</v>
      </c>
      <c r="AFE353" s="24" t="n">
        <v>0</v>
      </c>
      <c r="AFF353" s="24" t="n">
        <v>0</v>
      </c>
      <c r="AFS353" s="24" t="n">
        <v>17.5</v>
      </c>
      <c r="AFT353" s="24" t="n">
        <v>0</v>
      </c>
      <c r="AGE353" s="28"/>
      <c r="AGW353" s="24" t="n">
        <v>1</v>
      </c>
      <c r="AGX353" s="24" t="n">
        <v>70</v>
      </c>
      <c r="AGY353" s="24" t="n">
        <f aca="false">8*3+3</f>
        <v>27</v>
      </c>
      <c r="AGZ353" s="24" t="n">
        <f aca="false">5.87*3+0.58</f>
        <v>18.19</v>
      </c>
      <c r="AHA353" s="24" t="n">
        <v>1</v>
      </c>
      <c r="AIH353" s="27" t="n">
        <v>3.74</v>
      </c>
      <c r="AII353" s="27" t="n">
        <v>1</v>
      </c>
      <c r="AIJ353" s="27" t="n">
        <v>1</v>
      </c>
      <c r="AIK353" s="27"/>
      <c r="AIL353" s="27" t="n">
        <f aca="false">1.65+2.04*2+0.36*2+0.54</f>
        <v>6.99</v>
      </c>
      <c r="AIM353" s="27" t="n">
        <v>2</v>
      </c>
      <c r="AIN353" s="27"/>
      <c r="AIO353" s="27" t="n">
        <v>0.91</v>
      </c>
      <c r="AIP353" s="27"/>
      <c r="AIQ353" s="27"/>
      <c r="AIR353" s="27"/>
      <c r="AIS353" s="27" t="n">
        <v>0.19</v>
      </c>
      <c r="AIT353" s="27" t="n">
        <v>0.19</v>
      </c>
      <c r="AIU353" s="27"/>
      <c r="AIV353" s="27"/>
      <c r="AIW353" s="27" t="n">
        <v>0</v>
      </c>
      <c r="AIX353" s="27" t="n">
        <v>0</v>
      </c>
      <c r="AIY353" s="27" t="n">
        <v>0</v>
      </c>
      <c r="AIZ353" s="24" t="n">
        <v>0</v>
      </c>
      <c r="AJA353" s="24" t="s">
        <v>785</v>
      </c>
      <c r="AJB353" s="24" t="n">
        <v>37.5</v>
      </c>
      <c r="AJC353" s="27" t="n">
        <v>94.9</v>
      </c>
      <c r="AJD353" s="27" t="n">
        <v>83.4</v>
      </c>
      <c r="AJE353" s="27" t="n">
        <v>16</v>
      </c>
      <c r="AJF353" s="24" t="n">
        <v>79.43</v>
      </c>
      <c r="AJG353" s="24" t="n">
        <v>0</v>
      </c>
      <c r="AJH353" s="24" t="n">
        <v>0</v>
      </c>
      <c r="AJI353" s="24" t="n">
        <v>0</v>
      </c>
      <c r="AJJ353" s="24" t="n">
        <v>20.31</v>
      </c>
      <c r="AJK353" s="24" t="n">
        <v>0</v>
      </c>
      <c r="AJL353" s="24" t="n">
        <v>0</v>
      </c>
      <c r="AJM353" s="24" t="n">
        <v>0</v>
      </c>
      <c r="AJN353" s="24" t="n">
        <v>0</v>
      </c>
      <c r="AJO353" s="24" t="n">
        <v>0</v>
      </c>
      <c r="AJP353" s="24" t="n">
        <v>0</v>
      </c>
      <c r="AJQ353" s="24" t="n">
        <v>0.29</v>
      </c>
      <c r="AJR353" s="24" t="n">
        <v>37.58</v>
      </c>
      <c r="AJS353" s="24" t="n">
        <v>37.76</v>
      </c>
      <c r="AJT353" s="24" t="n">
        <v>5.57</v>
      </c>
      <c r="AJU353" s="24" t="n">
        <v>0</v>
      </c>
      <c r="AJV353" s="24" t="n">
        <v>0</v>
      </c>
      <c r="AJW353" s="24" t="n">
        <v>0</v>
      </c>
      <c r="AKJ353" s="24" t="n">
        <v>17.5</v>
      </c>
      <c r="AKK353" s="24" t="n">
        <v>0</v>
      </c>
      <c r="AKV353" s="28"/>
      <c r="ALN353" s="24" t="n">
        <v>1</v>
      </c>
      <c r="ALO353" s="24" t="n">
        <v>71</v>
      </c>
      <c r="ALP353" s="24" t="n">
        <f aca="false">8*3+3</f>
        <v>27</v>
      </c>
      <c r="ALQ353" s="24" t="n">
        <f aca="false">5.87*3+0.58</f>
        <v>18.19</v>
      </c>
      <c r="ALR353" s="24" t="n">
        <v>2</v>
      </c>
    </row>
    <row r="354" customFormat="false" ht="13.8" hidden="false" customHeight="false" outlineLevel="0" collapsed="false">
      <c r="A354" s="22" t="s">
        <v>944</v>
      </c>
      <c r="B354" s="23" t="n">
        <v>42926</v>
      </c>
      <c r="C354" s="24" t="n">
        <v>2</v>
      </c>
      <c r="D354" s="25" t="n">
        <v>42786</v>
      </c>
      <c r="E354" s="23" t="n">
        <v>35065</v>
      </c>
      <c r="F354" s="14" t="n">
        <f aca="false">(B354-E354)/365.25</f>
        <v>21.5222450376454</v>
      </c>
      <c r="G354" s="14" t="n">
        <f aca="false">(B354-D354)/365.25</f>
        <v>0.383299110198494</v>
      </c>
      <c r="H354" s="26" t="s">
        <v>306</v>
      </c>
      <c r="I354" s="21" t="s">
        <v>777</v>
      </c>
      <c r="J354" s="21" t="s">
        <v>181</v>
      </c>
      <c r="K354" s="21" t="s">
        <v>913</v>
      </c>
      <c r="L354" s="26" t="n">
        <v>90</v>
      </c>
      <c r="M354" s="24" t="n">
        <v>1.9</v>
      </c>
      <c r="N354" s="27" t="n">
        <f aca="false">L354/(M354*M354)</f>
        <v>24.9307479224377</v>
      </c>
      <c r="O354" s="26" t="n">
        <v>0</v>
      </c>
      <c r="P354" s="26" t="n">
        <v>0</v>
      </c>
      <c r="Q354" s="26" t="n">
        <v>0</v>
      </c>
      <c r="R354" s="26" t="n">
        <v>0</v>
      </c>
      <c r="S354" s="26" t="n">
        <v>0</v>
      </c>
      <c r="T354" s="26" t="n">
        <v>0</v>
      </c>
      <c r="U354" s="26" t="n">
        <v>0</v>
      </c>
      <c r="V354" s="26" t="n">
        <v>0</v>
      </c>
      <c r="W354" s="26" t="n">
        <v>0</v>
      </c>
      <c r="X354" s="26" t="n">
        <v>0</v>
      </c>
      <c r="Y354" s="26" t="n">
        <v>0</v>
      </c>
      <c r="Z354" s="26" t="n">
        <v>0</v>
      </c>
      <c r="AA354" s="26" t="n">
        <v>0</v>
      </c>
      <c r="AB354" s="26" t="n">
        <v>0</v>
      </c>
      <c r="AC354" s="26" t="n">
        <v>1</v>
      </c>
      <c r="AD354" s="26" t="n">
        <v>5</v>
      </c>
      <c r="AE354" s="26" t="n">
        <v>0</v>
      </c>
      <c r="AF354" s="26" t="n">
        <v>0</v>
      </c>
      <c r="AG354" s="26" t="n">
        <v>0</v>
      </c>
      <c r="AH354" s="26" t="n">
        <v>0</v>
      </c>
      <c r="AI354" s="26" t="n">
        <v>0</v>
      </c>
      <c r="AJ354" s="26" t="n">
        <v>0</v>
      </c>
      <c r="AK354" s="26" t="n">
        <v>0</v>
      </c>
      <c r="AL354" s="26" t="n">
        <v>0</v>
      </c>
      <c r="AM354" s="26" t="n">
        <v>0</v>
      </c>
      <c r="AN354" s="26" t="n">
        <v>0</v>
      </c>
      <c r="AO354" s="26" t="n">
        <v>0</v>
      </c>
      <c r="AP354" s="26" t="n">
        <v>0</v>
      </c>
      <c r="AQ354" s="26" t="n">
        <v>0</v>
      </c>
      <c r="AR354" s="26" t="n">
        <v>0</v>
      </c>
      <c r="AS354" s="26" t="n">
        <v>0</v>
      </c>
      <c r="AT354" s="26" t="n">
        <v>0</v>
      </c>
      <c r="AU354" s="26" t="n">
        <v>0</v>
      </c>
      <c r="AV354" s="26" t="n">
        <v>0</v>
      </c>
      <c r="AW354" s="26" t="n">
        <v>0</v>
      </c>
      <c r="AX354" s="26" t="n">
        <v>0</v>
      </c>
      <c r="AY354" s="26" t="n">
        <v>0</v>
      </c>
      <c r="AZ354" s="26" t="n">
        <v>0</v>
      </c>
      <c r="BA354" s="26" t="n">
        <v>0</v>
      </c>
      <c r="BB354" s="26" t="n">
        <v>0</v>
      </c>
      <c r="BC354" s="26" t="n">
        <v>0</v>
      </c>
      <c r="BD354" s="26" t="n">
        <v>0</v>
      </c>
      <c r="BE354" s="26" t="n">
        <v>0</v>
      </c>
      <c r="BF354" s="26" t="n">
        <v>0</v>
      </c>
      <c r="BG354" s="26" t="n">
        <v>0</v>
      </c>
      <c r="BH354" s="26" t="n">
        <v>0</v>
      </c>
      <c r="BI354" s="26" t="n">
        <v>0</v>
      </c>
      <c r="BJ354" s="26" t="n">
        <v>0</v>
      </c>
      <c r="BK354" s="26" t="n">
        <v>0</v>
      </c>
      <c r="BL354" s="26" t="n">
        <v>0</v>
      </c>
      <c r="BM354" s="26" t="n">
        <v>0</v>
      </c>
      <c r="BN354" s="26" t="n">
        <v>0</v>
      </c>
      <c r="BO354" s="26" t="n">
        <v>0</v>
      </c>
      <c r="BP354" s="26" t="n">
        <v>0</v>
      </c>
      <c r="BQ354" s="26" t="n">
        <v>0</v>
      </c>
      <c r="BR354" s="26" t="n">
        <v>2</v>
      </c>
      <c r="BS354" s="26" t="n">
        <v>2</v>
      </c>
      <c r="BT354" s="26" t="n">
        <v>4</v>
      </c>
      <c r="BU354" s="26" t="n">
        <v>2</v>
      </c>
      <c r="BV354" s="26" t="n">
        <v>2</v>
      </c>
      <c r="BW354" s="26" t="n">
        <v>1</v>
      </c>
      <c r="BX354" s="26" t="n">
        <v>3</v>
      </c>
      <c r="BY354" s="26" t="n">
        <v>3</v>
      </c>
      <c r="BZ354" s="26" t="n">
        <v>2</v>
      </c>
      <c r="CA354" s="26" t="n">
        <v>5</v>
      </c>
      <c r="CB354" s="26" t="n">
        <v>4</v>
      </c>
      <c r="CC354" s="26" t="n">
        <v>5</v>
      </c>
      <c r="CD354" s="26" t="n">
        <v>4</v>
      </c>
      <c r="CE354" s="26" t="n">
        <v>5</v>
      </c>
      <c r="CF354" s="26" t="n">
        <v>4</v>
      </c>
      <c r="CG354" s="26" t="n">
        <v>5</v>
      </c>
      <c r="CH354" s="26" t="n">
        <v>5</v>
      </c>
      <c r="CI354" s="26" t="n">
        <v>5</v>
      </c>
      <c r="CJ354" s="26" t="n">
        <v>5</v>
      </c>
      <c r="CK354" s="26" t="n">
        <v>9</v>
      </c>
      <c r="CL354" s="24" t="s">
        <v>779</v>
      </c>
      <c r="CM354" s="24" t="n">
        <v>43</v>
      </c>
      <c r="CN354" s="27" t="n">
        <v>91.8</v>
      </c>
      <c r="CO354" s="27" t="n">
        <v>83.4</v>
      </c>
      <c r="CP354" s="27" t="n">
        <v>25.8</v>
      </c>
      <c r="CQ354" s="24" t="n">
        <v>68.3</v>
      </c>
      <c r="CR354" s="24" t="n">
        <v>0</v>
      </c>
      <c r="CS354" s="24" t="n">
        <v>0</v>
      </c>
      <c r="CT354" s="24" t="n">
        <v>0</v>
      </c>
      <c r="CU354" s="24" t="n">
        <v>31.54</v>
      </c>
      <c r="CV354" s="24" t="n">
        <v>0</v>
      </c>
      <c r="CW354" s="24" t="n">
        <v>0</v>
      </c>
      <c r="CX354" s="24" t="n">
        <v>0</v>
      </c>
      <c r="CY354" s="24" t="n">
        <v>0</v>
      </c>
      <c r="CZ354" s="24" t="n">
        <v>0</v>
      </c>
      <c r="DA354" s="24" t="n">
        <v>0</v>
      </c>
      <c r="DB354" s="24" t="n">
        <v>48.27</v>
      </c>
      <c r="DC354" s="24" t="n">
        <v>58.3</v>
      </c>
      <c r="DD354" s="24" t="n">
        <v>1.34</v>
      </c>
      <c r="DE354" s="24" t="n">
        <v>0</v>
      </c>
      <c r="DF354" s="24" t="n">
        <v>0.16</v>
      </c>
      <c r="DG354" s="24" t="n">
        <v>0</v>
      </c>
      <c r="DH354" s="24" t="n">
        <v>0</v>
      </c>
      <c r="DU354" s="24" t="n">
        <v>11</v>
      </c>
      <c r="DV354" s="24" t="n">
        <v>1</v>
      </c>
      <c r="DW354" s="24" t="n">
        <v>30</v>
      </c>
      <c r="DX354" s="24" t="n">
        <v>1</v>
      </c>
      <c r="DY354" s="24" t="n">
        <v>0.73</v>
      </c>
      <c r="DZ354" s="24" t="n">
        <v>1</v>
      </c>
      <c r="EG354" s="28"/>
      <c r="EY354" s="24" t="n">
        <v>1</v>
      </c>
      <c r="EZ354" s="24" t="n">
        <v>60</v>
      </c>
      <c r="FA354" s="24" t="n">
        <v>14</v>
      </c>
      <c r="FB354" s="24" t="n">
        <f aca="false">1.25+0.05+0.21+0.21+0.31+0.08</f>
        <v>2.11</v>
      </c>
      <c r="FC354" s="24" t="n">
        <v>6</v>
      </c>
      <c r="FD354" s="24" t="n">
        <v>50</v>
      </c>
      <c r="FE354" s="24" t="n">
        <v>8</v>
      </c>
      <c r="FF354" s="24" t="n">
        <f aca="false">2.94*2</f>
        <v>5.88</v>
      </c>
      <c r="FG354" s="24" t="n">
        <v>4</v>
      </c>
      <c r="GJ354" s="27" t="n">
        <v>2.45</v>
      </c>
      <c r="GK354" s="27" t="n">
        <v>1</v>
      </c>
      <c r="GL354" s="27" t="n">
        <v>1</v>
      </c>
      <c r="GM354" s="27"/>
      <c r="GN354" s="27" t="n">
        <f aca="false">0.03*2+0.16+0.46</f>
        <v>0.68</v>
      </c>
      <c r="GO354" s="27" t="n">
        <v>2</v>
      </c>
      <c r="GP354" s="27"/>
      <c r="GQ354" s="27" t="n">
        <f aca="false">6.12+0.54</f>
        <v>6.66</v>
      </c>
      <c r="GR354" s="27"/>
      <c r="GS354" s="27"/>
      <c r="GT354" s="27"/>
      <c r="GU354" s="27" t="n">
        <v>3.68</v>
      </c>
      <c r="GV354" s="27" t="n">
        <v>1.63</v>
      </c>
      <c r="GW354" s="27"/>
      <c r="GX354" s="27"/>
      <c r="GY354" s="27" t="n">
        <v>0</v>
      </c>
      <c r="GZ354" s="27" t="n">
        <v>0</v>
      </c>
      <c r="HA354" s="27" t="n">
        <v>0</v>
      </c>
      <c r="HB354" s="24" t="n">
        <v>0</v>
      </c>
      <c r="HC354" s="24" t="n">
        <v>100</v>
      </c>
      <c r="HD354" s="24" t="n">
        <v>29.5</v>
      </c>
      <c r="HE354" s="27" t="n">
        <v>94.9</v>
      </c>
      <c r="HF354" s="27" t="n">
        <v>83.4</v>
      </c>
      <c r="HG354" s="27" t="n">
        <v>17.6</v>
      </c>
      <c r="HH354" s="24" t="n">
        <v>85.6</v>
      </c>
      <c r="HI354" s="24" t="n">
        <v>0</v>
      </c>
      <c r="HJ354" s="24" t="n">
        <v>0</v>
      </c>
      <c r="HK354" s="24" t="n">
        <v>0</v>
      </c>
      <c r="HL354" s="24" t="n">
        <v>14.4</v>
      </c>
      <c r="HM354" s="24" t="n">
        <v>0</v>
      </c>
      <c r="HN354" s="24" t="n">
        <v>0</v>
      </c>
      <c r="HO354" s="24" t="n">
        <v>0</v>
      </c>
      <c r="HP354" s="24" t="n">
        <v>0</v>
      </c>
      <c r="HQ354" s="24" t="n">
        <v>0</v>
      </c>
      <c r="HR354" s="24" t="n">
        <v>0</v>
      </c>
      <c r="HS354" s="24" t="n">
        <v>1.95</v>
      </c>
      <c r="HT354" s="24" t="n">
        <v>9.45</v>
      </c>
      <c r="HU354" s="24" t="n">
        <v>11.24</v>
      </c>
      <c r="HV354" s="24" t="n">
        <v>36.94</v>
      </c>
      <c r="HW354" s="24" t="n">
        <v>0</v>
      </c>
      <c r="HX354" s="24" t="n">
        <v>11.5</v>
      </c>
      <c r="HY354" s="24" t="n">
        <v>1</v>
      </c>
      <c r="HZ354" s="24" t="n">
        <v>5</v>
      </c>
      <c r="IB354" s="24" t="n">
        <v>4</v>
      </c>
      <c r="IL354" s="24" t="n">
        <v>0</v>
      </c>
      <c r="IM354" s="24" t="n">
        <v>0</v>
      </c>
      <c r="IX354" s="28"/>
      <c r="JP354" s="24" t="n">
        <v>0</v>
      </c>
      <c r="LA354" s="27" t="n">
        <v>0.2</v>
      </c>
      <c r="LB354" s="27" t="n">
        <v>1</v>
      </c>
      <c r="LC354" s="27" t="n">
        <v>1</v>
      </c>
      <c r="LD354" s="27"/>
      <c r="LE354" s="27" t="n">
        <f aca="false">0.14+0.23+0.07+0.21</f>
        <v>0.65</v>
      </c>
      <c r="LF354" s="27"/>
      <c r="LG354" s="27"/>
      <c r="LH354" s="27"/>
      <c r="LI354" s="27"/>
      <c r="LJ354" s="27"/>
      <c r="LK354" s="27"/>
      <c r="LL354" s="27" t="n">
        <v>0.23</v>
      </c>
      <c r="LM354" s="27" t="n">
        <v>0.23</v>
      </c>
      <c r="LN354" s="27"/>
      <c r="LO354" s="27"/>
      <c r="LP354" s="27" t="n">
        <v>0</v>
      </c>
      <c r="LQ354" s="27" t="n">
        <v>0</v>
      </c>
      <c r="LR354" s="27" t="n">
        <v>0</v>
      </c>
      <c r="LS354" s="24" t="n">
        <v>0</v>
      </c>
      <c r="LT354" s="24" t="s">
        <v>782</v>
      </c>
      <c r="LU354" s="24" t="n">
        <v>71</v>
      </c>
      <c r="LV354" s="27" t="n">
        <v>92</v>
      </c>
      <c r="LW354" s="27" t="n">
        <v>166.8</v>
      </c>
      <c r="LX354" s="27" t="n">
        <v>65</v>
      </c>
      <c r="LY354" s="24" t="n">
        <v>28.78</v>
      </c>
      <c r="LZ354" s="24" t="n">
        <v>0</v>
      </c>
      <c r="MA354" s="24" t="n">
        <v>0</v>
      </c>
      <c r="MB354" s="24" t="n">
        <v>0</v>
      </c>
      <c r="MC354" s="24" t="n">
        <v>2.5</v>
      </c>
      <c r="MD354" s="24" t="n">
        <v>0</v>
      </c>
      <c r="ME354" s="24" t="n">
        <v>8.54</v>
      </c>
      <c r="MF354" s="24" t="n">
        <v>0</v>
      </c>
      <c r="MG354" s="24" t="n">
        <v>0</v>
      </c>
      <c r="MH354" s="24" t="n">
        <v>2.76</v>
      </c>
      <c r="MI354" s="24" t="n">
        <v>0</v>
      </c>
      <c r="MJ354" s="24" t="n">
        <v>9.52</v>
      </c>
      <c r="MK354" s="24" t="n">
        <v>36.91</v>
      </c>
      <c r="ML354" s="24" t="n">
        <v>26.15</v>
      </c>
      <c r="MM354" s="24" t="n">
        <v>1.97</v>
      </c>
      <c r="MN354" s="24" t="n">
        <v>60.18</v>
      </c>
      <c r="MO354" s="24" t="n">
        <v>0</v>
      </c>
      <c r="MP354" s="24" t="n">
        <v>0</v>
      </c>
      <c r="NC354" s="24" t="n">
        <v>0.1</v>
      </c>
      <c r="ND354" s="24" t="n">
        <v>0</v>
      </c>
      <c r="NO354" s="28"/>
      <c r="OG354" s="24" t="n">
        <v>1</v>
      </c>
      <c r="OH354" s="24" t="n">
        <v>50</v>
      </c>
      <c r="OI354" s="24" t="n">
        <v>4</v>
      </c>
      <c r="OJ354" s="24" t="n">
        <f aca="false">0.37*4</f>
        <v>1.48</v>
      </c>
      <c r="OK354" s="24" t="n">
        <v>3</v>
      </c>
      <c r="OL354" s="24" t="n">
        <v>40</v>
      </c>
      <c r="OM354" s="24" t="n">
        <v>6</v>
      </c>
      <c r="ON354" s="24" t="n">
        <v>2.2</v>
      </c>
      <c r="OO354" s="24" t="n">
        <v>3</v>
      </c>
      <c r="OP354" s="24" t="n">
        <v>50</v>
      </c>
      <c r="OQ354" s="24" t="n">
        <v>1</v>
      </c>
      <c r="OR354" s="24" t="n">
        <v>0.06</v>
      </c>
      <c r="OS354" s="24" t="n">
        <v>1</v>
      </c>
      <c r="OT354" s="24" t="n">
        <v>60</v>
      </c>
      <c r="OU354" s="24" t="n">
        <v>3</v>
      </c>
      <c r="OV354" s="24" t="n">
        <v>0.19</v>
      </c>
      <c r="OW354" s="24" t="n">
        <v>4</v>
      </c>
      <c r="PR354" s="27" t="n">
        <v>1.11</v>
      </c>
      <c r="PS354" s="27" t="n">
        <v>1</v>
      </c>
      <c r="PT354" s="27" t="n">
        <v>1</v>
      </c>
      <c r="PU354" s="27"/>
      <c r="PV354" s="27" t="n">
        <f aca="false">0.51*2+0.09+0.15*2+1.65+0.18+0.72</f>
        <v>3.96</v>
      </c>
      <c r="PW354" s="27"/>
      <c r="PX354" s="27"/>
      <c r="PY354" s="27"/>
      <c r="PZ354" s="27"/>
      <c r="QA354" s="27"/>
      <c r="QB354" s="27"/>
      <c r="QC354" s="27" t="n">
        <v>1.95</v>
      </c>
      <c r="QD354" s="27" t="n">
        <v>1.96</v>
      </c>
      <c r="QE354" s="27"/>
      <c r="QF354" s="27"/>
      <c r="QG354" s="27" t="n">
        <v>2.88</v>
      </c>
      <c r="QH354" s="27" t="n">
        <v>0</v>
      </c>
      <c r="QI354" s="27" t="n">
        <v>0</v>
      </c>
      <c r="QJ354" s="24" t="n">
        <v>2</v>
      </c>
      <c r="QK354" s="24" t="s">
        <v>783</v>
      </c>
      <c r="QL354" s="24" t="n">
        <v>35</v>
      </c>
      <c r="QM354" s="27" t="n">
        <v>89.3</v>
      </c>
      <c r="QN354" s="27" t="n">
        <v>83.4</v>
      </c>
      <c r="QO354" s="27" t="n">
        <v>12.6</v>
      </c>
      <c r="QP354" s="24" t="n">
        <v>87.93</v>
      </c>
      <c r="QQ354" s="24" t="n">
        <v>0</v>
      </c>
      <c r="QR354" s="24" t="n">
        <v>0</v>
      </c>
      <c r="QS354" s="24" t="n">
        <v>1.49</v>
      </c>
      <c r="QT354" s="24" t="n">
        <v>10.58</v>
      </c>
      <c r="QU354" s="24" t="n">
        <v>0</v>
      </c>
      <c r="QV354" s="24" t="n">
        <v>0</v>
      </c>
      <c r="QW354" s="24" t="n">
        <v>0</v>
      </c>
      <c r="QX354" s="24" t="n">
        <v>0</v>
      </c>
      <c r="QY354" s="24" t="n">
        <v>0</v>
      </c>
      <c r="QZ354" s="24" t="n">
        <v>0</v>
      </c>
      <c r="RA354" s="24" t="n">
        <v>0.17</v>
      </c>
      <c r="RB354" s="24" t="n">
        <v>38.78</v>
      </c>
      <c r="RC354" s="24" t="n">
        <v>29.47</v>
      </c>
      <c r="RD354" s="24" t="n">
        <v>0</v>
      </c>
      <c r="RE354" s="24" t="n">
        <v>0</v>
      </c>
      <c r="RF354" s="24" t="n">
        <v>4</v>
      </c>
      <c r="RG354" s="24" t="n">
        <v>1</v>
      </c>
      <c r="RH354" s="24" t="n">
        <v>3</v>
      </c>
      <c r="RJ354" s="24" t="n">
        <v>4</v>
      </c>
      <c r="RT354" s="24" t="n">
        <v>9.7</v>
      </c>
      <c r="RU354" s="24" t="n">
        <v>1</v>
      </c>
      <c r="RV354" s="24" t="n">
        <v>68</v>
      </c>
      <c r="RW354" s="24" t="n">
        <v>1</v>
      </c>
      <c r="RX354" s="24" t="n">
        <v>0.02</v>
      </c>
      <c r="RY354" s="24" t="n">
        <v>1</v>
      </c>
      <c r="RZ354" s="24" t="n">
        <v>35</v>
      </c>
      <c r="SA354" s="24" t="n">
        <v>10</v>
      </c>
      <c r="SB354" s="24" t="n">
        <f aca="false">0.22*2+0.43*2+0.65+0.04+0.02+0.08</f>
        <v>2.09</v>
      </c>
      <c r="SC354" s="24" t="n">
        <v>3</v>
      </c>
      <c r="SF354" s="28"/>
      <c r="SX354" s="24" t="n">
        <v>1</v>
      </c>
      <c r="SY354" s="24" t="n">
        <v>50</v>
      </c>
      <c r="SZ354" s="24" t="n">
        <f aca="false">4*3+3*4</f>
        <v>24</v>
      </c>
      <c r="TA354" s="24" t="n">
        <f aca="false">0.07+0.25+0.11+0.65+1.3+15</f>
        <v>17.38</v>
      </c>
      <c r="TB354" s="24" t="n">
        <v>1</v>
      </c>
      <c r="TC354" s="24" t="n">
        <v>40</v>
      </c>
      <c r="TD354" s="24" t="n">
        <v>18</v>
      </c>
      <c r="TE354" s="24" t="n">
        <f aca="false">0.87+0.17+0.08+0.34+1.73+0.43+0.87+0.07</f>
        <v>4.56</v>
      </c>
      <c r="TF354" s="24" t="n">
        <v>1</v>
      </c>
      <c r="TG354" s="24" t="n">
        <v>40</v>
      </c>
      <c r="TH354" s="24" t="n">
        <v>2</v>
      </c>
      <c r="TI354" s="24" t="n">
        <v>0.12</v>
      </c>
      <c r="TJ354" s="24" t="n">
        <v>5</v>
      </c>
      <c r="TK354" s="24" t="n">
        <v>50</v>
      </c>
      <c r="TL354" s="24" t="n">
        <v>1</v>
      </c>
      <c r="TM354" s="24" t="n">
        <v>0.22</v>
      </c>
      <c r="TN354" s="24" t="n">
        <v>6</v>
      </c>
      <c r="TO354" s="24" t="n">
        <v>40</v>
      </c>
      <c r="TP354" s="24" t="n">
        <v>3</v>
      </c>
      <c r="TQ354" s="24" t="n">
        <v>0.16</v>
      </c>
      <c r="TR354" s="24" t="n">
        <v>6</v>
      </c>
      <c r="UI354" s="27" t="n">
        <v>0.68</v>
      </c>
      <c r="UJ354" s="27" t="n">
        <v>1</v>
      </c>
      <c r="UK354" s="27" t="n">
        <v>1</v>
      </c>
      <c r="UL354" s="27"/>
      <c r="UM354" s="27" t="n">
        <f aca="false">0.34+0.91+1.8+0.08+0.3</f>
        <v>3.43</v>
      </c>
      <c r="UN354" s="27"/>
      <c r="UO354" s="27"/>
      <c r="UP354" s="27"/>
      <c r="UQ354" s="27"/>
      <c r="UR354" s="27"/>
      <c r="US354" s="27"/>
      <c r="UT354" s="27" t="n">
        <v>7.83</v>
      </c>
      <c r="UU354" s="27" t="n">
        <v>8.68</v>
      </c>
      <c r="UV354" s="27"/>
      <c r="UW354" s="27"/>
      <c r="UX354" s="27" t="n">
        <v>0</v>
      </c>
      <c r="UY354" s="27" t="n">
        <v>0</v>
      </c>
      <c r="UZ354" s="27" t="n">
        <v>0</v>
      </c>
      <c r="VA354" s="24" t="n">
        <v>0</v>
      </c>
      <c r="VB354" s="24" t="s">
        <v>784</v>
      </c>
      <c r="VC354" s="24" t="n">
        <v>38</v>
      </c>
      <c r="VD354" s="27" t="n">
        <v>92.6</v>
      </c>
      <c r="VE354" s="27" t="n">
        <v>83.4</v>
      </c>
      <c r="VF354" s="27" t="n">
        <v>16.5</v>
      </c>
      <c r="VG354" s="24" t="n">
        <v>77.87</v>
      </c>
      <c r="VH354" s="24" t="n">
        <v>0</v>
      </c>
      <c r="VI354" s="24" t="n">
        <v>0</v>
      </c>
      <c r="VJ354" s="24" t="n">
        <v>0</v>
      </c>
      <c r="VK354" s="24" t="n">
        <v>21.87</v>
      </c>
      <c r="VL354" s="24" t="n">
        <v>0</v>
      </c>
      <c r="VM354" s="24" t="n">
        <v>0</v>
      </c>
      <c r="VN354" s="24" t="n">
        <v>0</v>
      </c>
      <c r="VO354" s="24" t="n">
        <v>0</v>
      </c>
      <c r="VP354" s="24" t="n">
        <v>0</v>
      </c>
      <c r="VQ354" s="24" t="n">
        <v>0</v>
      </c>
      <c r="VR354" s="24" t="n">
        <v>0.29</v>
      </c>
      <c r="VS354" s="24" t="n">
        <v>38.85</v>
      </c>
      <c r="VT354" s="24" t="n">
        <v>37.36</v>
      </c>
      <c r="VU354" s="24" t="n">
        <v>5.57</v>
      </c>
      <c r="VV354" s="24" t="n">
        <v>0</v>
      </c>
      <c r="VW354" s="24" t="n">
        <v>0</v>
      </c>
      <c r="VX354" s="24" t="n">
        <v>0</v>
      </c>
      <c r="WK354" s="24" t="n">
        <v>17.5</v>
      </c>
      <c r="WL354" s="24" t="n">
        <v>0</v>
      </c>
      <c r="WW354" s="28"/>
      <c r="XO354" s="24" t="n">
        <v>1</v>
      </c>
      <c r="XP354" s="24" t="n">
        <v>70</v>
      </c>
      <c r="XQ354" s="24" t="n">
        <f aca="false">8*3+3</f>
        <v>27</v>
      </c>
      <c r="XR354" s="24" t="n">
        <f aca="false">5.87*3+0.58</f>
        <v>18.19</v>
      </c>
      <c r="XS354" s="24" t="n">
        <v>1</v>
      </c>
      <c r="YZ354" s="27" t="n">
        <v>3.74</v>
      </c>
      <c r="ZA354" s="27" t="n">
        <v>1</v>
      </c>
      <c r="ZB354" s="27" t="n">
        <v>1</v>
      </c>
      <c r="ZC354" s="27"/>
      <c r="ZD354" s="27" t="n">
        <f aca="false">1.65+2.04*2+0.36*2+0.54</f>
        <v>6.99</v>
      </c>
      <c r="ZE354" s="27" t="n">
        <v>2</v>
      </c>
      <c r="ZF354" s="27"/>
      <c r="ZG354" s="27" t="n">
        <v>0.91</v>
      </c>
      <c r="ZH354" s="27"/>
      <c r="ZI354" s="27"/>
      <c r="ZJ354" s="27"/>
      <c r="ZK354" s="27" t="n">
        <v>0.19</v>
      </c>
      <c r="ZL354" s="27" t="n">
        <v>0.19</v>
      </c>
      <c r="ZM354" s="27"/>
      <c r="ZN354" s="27"/>
      <c r="ZO354" s="27" t="n">
        <v>0</v>
      </c>
      <c r="ZP354" s="27" t="n">
        <v>0</v>
      </c>
      <c r="ZQ354" s="27" t="n">
        <v>0</v>
      </c>
      <c r="ZR354" s="24" t="n">
        <v>0</v>
      </c>
      <c r="ZT354" s="33"/>
      <c r="ZU354" s="21"/>
      <c r="ZV354" s="21"/>
      <c r="ZX354" s="33"/>
      <c r="ZY354" s="33"/>
      <c r="AAB354" s="33"/>
      <c r="AAC354" s="21"/>
      <c r="AAD354" s="21"/>
      <c r="AAF354" s="33"/>
      <c r="AAG354" s="33"/>
      <c r="AAJ354" s="33"/>
      <c r="AAK354" s="21"/>
      <c r="AAL354" s="21"/>
      <c r="AAN354" s="33"/>
      <c r="AAO354" s="33"/>
      <c r="AAR354" s="33"/>
      <c r="AAS354" s="21"/>
      <c r="AAT354" s="21"/>
      <c r="AAV354" s="33"/>
      <c r="AAW354" s="33"/>
      <c r="AAZ354" s="33"/>
      <c r="ABA354" s="21"/>
      <c r="ABB354" s="21"/>
      <c r="ABD354" s="33"/>
      <c r="ABE354" s="33"/>
      <c r="ABH354" s="33"/>
      <c r="ABI354" s="21"/>
      <c r="ABJ354" s="21"/>
      <c r="ABL354" s="33"/>
      <c r="ABM354" s="33"/>
      <c r="ABP354" s="33"/>
      <c r="ABQ354" s="21"/>
      <c r="ABR354" s="21"/>
      <c r="ABT354" s="33"/>
      <c r="ABU354" s="33"/>
      <c r="ABX354" s="33"/>
      <c r="ABY354" s="21"/>
      <c r="ABZ354" s="21"/>
      <c r="ACB354" s="33"/>
      <c r="ACC354" s="33"/>
      <c r="ACF354" s="33"/>
      <c r="ACG354" s="21"/>
      <c r="ACH354" s="21"/>
      <c r="ACJ354" s="33"/>
      <c r="ACK354" s="33"/>
      <c r="ACN354" s="33"/>
      <c r="ACO354" s="21"/>
      <c r="ACP354" s="21"/>
      <c r="ACR354" s="33"/>
      <c r="ACS354" s="33"/>
      <c r="ACV354" s="33"/>
      <c r="ACW354" s="21"/>
      <c r="ACX354" s="21"/>
      <c r="ACZ354" s="33"/>
      <c r="ADA354" s="33"/>
      <c r="ADD354" s="33"/>
      <c r="ADE354" s="21"/>
      <c r="ADF354" s="21"/>
      <c r="ADH354" s="33"/>
      <c r="ADI354" s="33"/>
      <c r="ADL354" s="33"/>
      <c r="ADM354" s="21"/>
      <c r="ADN354" s="21"/>
      <c r="ADP354" s="33"/>
      <c r="ADQ354" s="33"/>
      <c r="ADT354" s="33"/>
      <c r="ADU354" s="21"/>
      <c r="ADV354" s="21"/>
      <c r="ADX354" s="33"/>
      <c r="ADY354" s="33"/>
      <c r="AEB354" s="33"/>
      <c r="AEC354" s="21"/>
      <c r="AED354" s="21"/>
      <c r="AEF354" s="33"/>
      <c r="AEG354" s="33"/>
      <c r="AEJ354" s="33"/>
      <c r="AEK354" s="21"/>
      <c r="AEL354" s="21"/>
      <c r="AEN354" s="33"/>
      <c r="AEO354" s="33"/>
      <c r="AER354" s="33"/>
      <c r="AES354" s="21"/>
      <c r="AET354" s="21"/>
      <c r="AEV354" s="33"/>
      <c r="AEW354" s="33"/>
      <c r="AEZ354" s="33"/>
      <c r="AFA354" s="21"/>
      <c r="AFB354" s="21"/>
      <c r="AFD354" s="33"/>
      <c r="AFE354" s="33"/>
      <c r="AFH354" s="33"/>
      <c r="AFI354" s="21"/>
      <c r="AFJ354" s="21"/>
      <c r="AFL354" s="33"/>
      <c r="AFM354" s="33"/>
      <c r="AFP354" s="33"/>
      <c r="AFQ354" s="21"/>
      <c r="AFR354" s="21"/>
      <c r="AFT354" s="33"/>
      <c r="AFU354" s="33"/>
      <c r="AFX354" s="33"/>
      <c r="AFY354" s="21"/>
      <c r="AFZ354" s="21"/>
      <c r="AGB354" s="33"/>
      <c r="AGC354" s="33"/>
      <c r="AGF354" s="33"/>
      <c r="AGG354" s="21"/>
      <c r="AGH354" s="21"/>
      <c r="AGJ354" s="33"/>
      <c r="AGK354" s="33"/>
      <c r="AGN354" s="33"/>
      <c r="AGO354" s="21"/>
      <c r="AGP354" s="21"/>
      <c r="AGR354" s="33"/>
      <c r="AGS354" s="33"/>
      <c r="AGV354" s="33"/>
      <c r="AGW354" s="21"/>
      <c r="AGX354" s="21"/>
      <c r="AGZ354" s="33"/>
      <c r="AHA354" s="33"/>
      <c r="AHD354" s="33"/>
      <c r="AHE354" s="21"/>
      <c r="AHF354" s="21"/>
      <c r="AHH354" s="33"/>
      <c r="AHI354" s="33"/>
      <c r="AHL354" s="33"/>
      <c r="AHM354" s="21"/>
      <c r="AHN354" s="21"/>
      <c r="AHP354" s="33"/>
      <c r="AHQ354" s="33"/>
      <c r="AHT354" s="33"/>
      <c r="AHU354" s="21"/>
      <c r="AHV354" s="21"/>
      <c r="AHX354" s="33"/>
      <c r="AHY354" s="33"/>
      <c r="AIB354" s="33"/>
      <c r="AIC354" s="21"/>
      <c r="AID354" s="21"/>
      <c r="AIF354" s="33"/>
      <c r="AIG354" s="33"/>
      <c r="AIJ354" s="33"/>
      <c r="AIK354" s="21"/>
      <c r="AIL354" s="21"/>
      <c r="AIN354" s="33"/>
      <c r="AIO354" s="33"/>
      <c r="AIR354" s="33"/>
      <c r="AIS354" s="21"/>
      <c r="AIT354" s="21"/>
      <c r="AIV354" s="33"/>
      <c r="AIW354" s="33"/>
      <c r="AIZ354" s="33"/>
      <c r="AJA354" s="21"/>
      <c r="AJB354" s="21"/>
      <c r="AJD354" s="33"/>
      <c r="AJE354" s="33"/>
      <c r="AJH354" s="33"/>
      <c r="AJI354" s="21"/>
      <c r="AJJ354" s="21"/>
      <c r="AJL354" s="33"/>
      <c r="AJM354" s="33"/>
      <c r="AJP354" s="33"/>
      <c r="AJQ354" s="21"/>
      <c r="AJR354" s="21"/>
      <c r="AJT354" s="33"/>
      <c r="AJU354" s="33"/>
      <c r="AJX354" s="33"/>
      <c r="AJY354" s="21"/>
      <c r="AJZ354" s="21"/>
      <c r="AKB354" s="33"/>
      <c r="AKC354" s="33"/>
      <c r="AKF354" s="33"/>
      <c r="AKG354" s="21"/>
      <c r="AKH354" s="21"/>
      <c r="AKJ354" s="33"/>
      <c r="AKK354" s="33"/>
      <c r="AKN354" s="33"/>
      <c r="AKO354" s="21"/>
      <c r="AKP354" s="21"/>
      <c r="AKR354" s="33"/>
      <c r="AKS354" s="33"/>
      <c r="AKV354" s="33"/>
      <c r="AKW354" s="21"/>
      <c r="AKX354" s="21"/>
      <c r="AKZ354" s="33"/>
      <c r="ALA354" s="33"/>
      <c r="ALD354" s="33"/>
      <c r="ALE354" s="21"/>
      <c r="ALF354" s="21"/>
      <c r="ALH354" s="33"/>
      <c r="ALI354" s="33"/>
      <c r="ALL354" s="33"/>
      <c r="ALM354" s="21"/>
      <c r="ALN354" s="21"/>
      <c r="ALP354" s="33"/>
      <c r="ALQ354" s="33"/>
      <c r="ALT354" s="33"/>
      <c r="ALU354" s="21"/>
      <c r="ALV354" s="21"/>
      <c r="ALX354" s="33"/>
      <c r="ALY354" s="33"/>
      <c r="AMB354" s="33"/>
      <c r="AMC354" s="21"/>
      <c r="AMD354" s="21"/>
      <c r="AMF354" s="33"/>
      <c r="AMG354" s="33"/>
      <c r="AMJ354" s="33"/>
    </row>
    <row r="355" customFormat="false" ht="13.8" hidden="false" customHeight="false" outlineLevel="0" collapsed="false">
      <c r="A355" s="1" t="s">
        <v>945</v>
      </c>
      <c r="B355" s="12" t="n">
        <v>42926</v>
      </c>
      <c r="C355" s="0" t="n">
        <v>2</v>
      </c>
      <c r="D355" s="13" t="n">
        <v>42801</v>
      </c>
      <c r="E355" s="12" t="n">
        <v>34170</v>
      </c>
      <c r="F355" s="14" t="n">
        <f aca="false">(B355-E355)/365.25</f>
        <v>23.9726214921287</v>
      </c>
      <c r="G355" s="14" t="n">
        <f aca="false">(B355-D355)/365.25</f>
        <v>0.342231348391513</v>
      </c>
      <c r="H355" s="19" t="s">
        <v>306</v>
      </c>
      <c r="I355" s="15" t="s">
        <v>777</v>
      </c>
      <c r="J355" s="21" t="s">
        <v>181</v>
      </c>
      <c r="K355" s="21" t="s">
        <v>913</v>
      </c>
      <c r="L355" s="19" t="n">
        <v>77</v>
      </c>
      <c r="M355" s="0" t="n">
        <v>1.78</v>
      </c>
      <c r="N355" s="16" t="n">
        <f aca="false">L355/(M355*M355)</f>
        <v>24.3024870597147</v>
      </c>
      <c r="O355" s="19" t="n">
        <v>0</v>
      </c>
      <c r="P355" s="19" t="n">
        <v>0</v>
      </c>
      <c r="Q355" s="19" t="n">
        <v>0</v>
      </c>
      <c r="R355" s="26" t="n">
        <v>0</v>
      </c>
      <c r="S355" s="26" t="n">
        <v>0</v>
      </c>
      <c r="T355" s="26" t="n">
        <v>0</v>
      </c>
      <c r="U355" s="19" t="n">
        <v>0</v>
      </c>
      <c r="V355" s="19" t="n">
        <v>0</v>
      </c>
      <c r="W355" s="19" t="n">
        <v>0</v>
      </c>
      <c r="X355" s="19" t="n">
        <v>0</v>
      </c>
      <c r="Y355" s="19" t="n">
        <v>0</v>
      </c>
      <c r="Z355" s="19" t="n">
        <v>0</v>
      </c>
      <c r="AA355" s="19" t="n">
        <v>0</v>
      </c>
      <c r="AB355" s="19" t="n">
        <v>0</v>
      </c>
      <c r="AC355" s="19" t="n">
        <v>0</v>
      </c>
      <c r="AD355" s="19" t="n">
        <v>0</v>
      </c>
      <c r="AE355" s="19" t="n">
        <v>0</v>
      </c>
      <c r="AF355" s="19" t="n">
        <v>0</v>
      </c>
      <c r="AG355" s="19" t="n">
        <v>0</v>
      </c>
      <c r="AH355" s="19" t="n">
        <v>0</v>
      </c>
      <c r="AI355" s="19" t="n">
        <v>0</v>
      </c>
      <c r="AJ355" s="19" t="n">
        <v>0</v>
      </c>
      <c r="AK355" s="19" t="n">
        <v>0</v>
      </c>
      <c r="AL355" s="19" t="n">
        <v>0</v>
      </c>
      <c r="AM355" s="19" t="n">
        <v>0</v>
      </c>
      <c r="AN355" s="19" t="n">
        <v>0</v>
      </c>
      <c r="AO355" s="19" t="n">
        <v>0</v>
      </c>
      <c r="AP355" s="19" t="n">
        <v>0</v>
      </c>
      <c r="AQ355" s="19" t="n">
        <v>0</v>
      </c>
      <c r="AR355" s="19" t="n">
        <v>0</v>
      </c>
      <c r="AS355" s="19" t="n">
        <v>0</v>
      </c>
      <c r="AT355" s="19" t="n">
        <v>0</v>
      </c>
      <c r="AU355" s="19" t="n">
        <v>0</v>
      </c>
      <c r="AV355" s="19" t="n">
        <v>0</v>
      </c>
      <c r="AW355" s="19" t="n">
        <v>0</v>
      </c>
      <c r="AX355" s="19" t="n">
        <v>0</v>
      </c>
      <c r="AY355" s="19" t="n">
        <v>0</v>
      </c>
      <c r="AZ355" s="19" t="n">
        <v>0</v>
      </c>
      <c r="BA355" s="19" t="n">
        <v>0</v>
      </c>
      <c r="BB355" s="19" t="n">
        <v>0</v>
      </c>
      <c r="BC355" s="19" t="n">
        <v>0</v>
      </c>
      <c r="BD355" s="19" t="n">
        <v>0</v>
      </c>
      <c r="BE355" s="19" t="n">
        <v>0</v>
      </c>
      <c r="BF355" s="19" t="n">
        <v>0</v>
      </c>
      <c r="BG355" s="19" t="n">
        <v>0</v>
      </c>
      <c r="BH355" s="19" t="n">
        <v>0</v>
      </c>
      <c r="BI355" s="19" t="n">
        <v>0</v>
      </c>
      <c r="BJ355" s="19" t="n">
        <v>0</v>
      </c>
      <c r="BK355" s="19" t="n">
        <v>0</v>
      </c>
      <c r="BL355" s="19" t="n">
        <v>0</v>
      </c>
      <c r="BM355" s="19" t="n">
        <v>0</v>
      </c>
      <c r="BN355" s="19" t="n">
        <v>0</v>
      </c>
      <c r="BO355" s="19" t="n">
        <v>0</v>
      </c>
      <c r="BP355" s="19" t="n">
        <v>0</v>
      </c>
      <c r="BQ355" s="19" t="n">
        <v>0</v>
      </c>
      <c r="BR355" s="19" t="n">
        <v>1</v>
      </c>
      <c r="BS355" s="19" t="n">
        <v>2</v>
      </c>
      <c r="BT355" s="19" t="n">
        <v>3</v>
      </c>
      <c r="BU355" s="19" t="n">
        <v>5</v>
      </c>
      <c r="BV355" s="19" t="n">
        <v>3</v>
      </c>
      <c r="BW355" s="19" t="n">
        <v>3</v>
      </c>
      <c r="BX355" s="19" t="n">
        <v>3</v>
      </c>
      <c r="BY355" s="19" t="n">
        <v>5</v>
      </c>
      <c r="BZ355" s="19" t="n">
        <v>3</v>
      </c>
      <c r="CA355" s="19" t="n">
        <v>3</v>
      </c>
      <c r="CB355" s="19" t="n">
        <v>5</v>
      </c>
      <c r="CC355" s="19" t="n">
        <v>5</v>
      </c>
      <c r="CD355" s="19" t="n">
        <v>5</v>
      </c>
      <c r="CE355" s="19" t="n">
        <v>5</v>
      </c>
      <c r="CF355" s="19" t="n">
        <v>5</v>
      </c>
      <c r="CG355" s="19" t="n">
        <v>5</v>
      </c>
      <c r="CH355" s="19" t="n">
        <v>5</v>
      </c>
      <c r="CI355" s="19" t="n">
        <v>5</v>
      </c>
      <c r="CJ355" s="19" t="n">
        <v>5</v>
      </c>
      <c r="CK355" s="19"/>
      <c r="CL355" s="24" t="s">
        <v>779</v>
      </c>
      <c r="CM355" s="24" t="n">
        <v>43</v>
      </c>
      <c r="CN355" s="27" t="n">
        <v>91.8</v>
      </c>
      <c r="CO355" s="27" t="n">
        <v>83.4</v>
      </c>
      <c r="CP355" s="27" t="n">
        <v>25.8</v>
      </c>
      <c r="CQ355" s="24" t="n">
        <v>68.3</v>
      </c>
      <c r="CR355" s="24" t="n">
        <v>0</v>
      </c>
      <c r="CS355" s="24" t="n">
        <v>0</v>
      </c>
      <c r="CT355" s="24" t="n">
        <v>0</v>
      </c>
      <c r="CU355" s="24" t="n">
        <v>31.54</v>
      </c>
      <c r="CV355" s="24" t="n">
        <v>0</v>
      </c>
      <c r="CW355" s="24" t="n">
        <v>0</v>
      </c>
      <c r="CX355" s="24" t="n">
        <v>0</v>
      </c>
      <c r="CY355" s="24" t="n">
        <v>0</v>
      </c>
      <c r="CZ355" s="24" t="n">
        <v>0</v>
      </c>
      <c r="DA355" s="24" t="n">
        <v>0</v>
      </c>
      <c r="DB355" s="24" t="n">
        <v>48.27</v>
      </c>
      <c r="DC355" s="24" t="n">
        <v>58.3</v>
      </c>
      <c r="DD355" s="24" t="n">
        <v>1.34</v>
      </c>
      <c r="DE355" s="24" t="n">
        <v>0</v>
      </c>
      <c r="DF355" s="24" t="n">
        <v>0.16</v>
      </c>
      <c r="DG355" s="24" t="n">
        <v>0</v>
      </c>
      <c r="DH355" s="24" t="n">
        <v>0</v>
      </c>
      <c r="DU355" s="24" t="n">
        <v>11</v>
      </c>
      <c r="DV355" s="24" t="n">
        <v>1</v>
      </c>
      <c r="DW355" s="24" t="n">
        <v>30</v>
      </c>
      <c r="DX355" s="24" t="n">
        <v>1</v>
      </c>
      <c r="DY355" s="24" t="n">
        <v>0.73</v>
      </c>
      <c r="DZ355" s="24" t="n">
        <v>1</v>
      </c>
      <c r="EG355" s="28"/>
      <c r="EY355" s="24" t="n">
        <v>1</v>
      </c>
      <c r="EZ355" s="24" t="n">
        <v>60</v>
      </c>
      <c r="FA355" s="24" t="n">
        <v>14</v>
      </c>
      <c r="FB355" s="24" t="n">
        <f aca="false">1.25+0.05+0.21+0.21+0.31+0.08</f>
        <v>2.11</v>
      </c>
      <c r="FC355" s="24" t="n">
        <v>6</v>
      </c>
      <c r="FD355" s="24" t="n">
        <v>50</v>
      </c>
      <c r="FE355" s="24" t="n">
        <v>8</v>
      </c>
      <c r="FF355" s="24" t="n">
        <f aca="false">2.94*2</f>
        <v>5.88</v>
      </c>
      <c r="FG355" s="24" t="n">
        <v>4</v>
      </c>
      <c r="GJ355" s="27" t="n">
        <v>2.45</v>
      </c>
      <c r="GK355" s="27" t="n">
        <v>1</v>
      </c>
      <c r="GL355" s="27" t="n">
        <v>1</v>
      </c>
      <c r="GM355" s="27"/>
      <c r="GN355" s="27" t="n">
        <f aca="false">0.03*2+0.16+0.46</f>
        <v>0.68</v>
      </c>
      <c r="GO355" s="27" t="n">
        <v>2</v>
      </c>
      <c r="GP355" s="27"/>
      <c r="GQ355" s="27" t="n">
        <f aca="false">6.12+0.54</f>
        <v>6.66</v>
      </c>
      <c r="GR355" s="27"/>
      <c r="GS355" s="27"/>
      <c r="GT355" s="27"/>
      <c r="GU355" s="27" t="n">
        <v>3.68</v>
      </c>
      <c r="GV355" s="27" t="n">
        <v>1.63</v>
      </c>
      <c r="GW355" s="27"/>
      <c r="GX355" s="27"/>
      <c r="GY355" s="27" t="n">
        <v>0</v>
      </c>
      <c r="GZ355" s="27" t="n">
        <v>0</v>
      </c>
      <c r="HA355" s="27" t="n">
        <v>0</v>
      </c>
      <c r="HB355" s="24" t="n">
        <v>0</v>
      </c>
      <c r="HC355" s="24" t="n">
        <v>100</v>
      </c>
      <c r="HD355" s="24" t="n">
        <v>29.5</v>
      </c>
      <c r="HE355" s="27" t="n">
        <v>94.9</v>
      </c>
      <c r="HF355" s="27" t="n">
        <v>83.4</v>
      </c>
      <c r="HG355" s="27" t="n">
        <v>17.6</v>
      </c>
      <c r="HH355" s="24" t="n">
        <v>85.6</v>
      </c>
      <c r="HI355" s="24" t="n">
        <v>0</v>
      </c>
      <c r="HJ355" s="24" t="n">
        <v>0</v>
      </c>
      <c r="HK355" s="24" t="n">
        <v>0</v>
      </c>
      <c r="HL355" s="24" t="n">
        <v>14.4</v>
      </c>
      <c r="HM355" s="24" t="n">
        <v>0</v>
      </c>
      <c r="HN355" s="24" t="n">
        <v>0</v>
      </c>
      <c r="HO355" s="24" t="n">
        <v>0</v>
      </c>
      <c r="HP355" s="24" t="n">
        <v>0</v>
      </c>
      <c r="HQ355" s="24" t="n">
        <v>0</v>
      </c>
      <c r="HR355" s="24" t="n">
        <v>0</v>
      </c>
      <c r="HS355" s="24" t="n">
        <v>1.95</v>
      </c>
      <c r="HT355" s="24" t="n">
        <v>9.45</v>
      </c>
      <c r="HU355" s="24" t="n">
        <v>11.24</v>
      </c>
      <c r="HV355" s="24" t="n">
        <v>36.94</v>
      </c>
      <c r="HW355" s="24" t="n">
        <v>0</v>
      </c>
      <c r="HX355" s="24" t="n">
        <v>11.5</v>
      </c>
      <c r="HY355" s="24" t="n">
        <v>1</v>
      </c>
      <c r="HZ355" s="24" t="n">
        <v>5</v>
      </c>
      <c r="IB355" s="24" t="n">
        <v>4</v>
      </c>
      <c r="IL355" s="24" t="n">
        <v>0</v>
      </c>
      <c r="IM355" s="24" t="n">
        <v>0</v>
      </c>
      <c r="IX355" s="28"/>
      <c r="JP355" s="24" t="n">
        <v>0</v>
      </c>
      <c r="LA355" s="27" t="n">
        <v>0.2</v>
      </c>
      <c r="LB355" s="27" t="n">
        <v>1</v>
      </c>
      <c r="LC355" s="27" t="n">
        <v>1</v>
      </c>
      <c r="LD355" s="27"/>
      <c r="LE355" s="27" t="n">
        <f aca="false">0.14+0.23+0.07+0.21</f>
        <v>0.65</v>
      </c>
      <c r="LF355" s="27"/>
      <c r="LG355" s="27"/>
      <c r="LH355" s="27"/>
      <c r="LI355" s="27"/>
      <c r="LJ355" s="27"/>
      <c r="LK355" s="27"/>
      <c r="LL355" s="27" t="n">
        <v>0.23</v>
      </c>
      <c r="LM355" s="27" t="n">
        <v>0.23</v>
      </c>
      <c r="LN355" s="27"/>
      <c r="LO355" s="27"/>
      <c r="LP355" s="27" t="n">
        <v>0</v>
      </c>
      <c r="LQ355" s="27" t="n">
        <v>0</v>
      </c>
      <c r="LR355" s="27" t="n">
        <v>0</v>
      </c>
      <c r="LS355" s="24" t="n">
        <v>0</v>
      </c>
      <c r="LT355" s="24" t="s">
        <v>781</v>
      </c>
      <c r="LU355" s="24" t="n">
        <v>47.5</v>
      </c>
      <c r="LV355" s="27" t="n">
        <v>49.3</v>
      </c>
      <c r="LW355" s="27" t="n">
        <v>83.4</v>
      </c>
      <c r="LX355" s="27" t="n">
        <v>35.7</v>
      </c>
      <c r="LY355" s="24" t="n">
        <v>66.48</v>
      </c>
      <c r="LZ355" s="24" t="n">
        <v>0</v>
      </c>
      <c r="MA355" s="24" t="n">
        <v>6.11</v>
      </c>
      <c r="MB355" s="24" t="n">
        <v>0</v>
      </c>
      <c r="MC355" s="24" t="n">
        <v>9.56</v>
      </c>
      <c r="MD355" s="24" t="n">
        <v>0</v>
      </c>
      <c r="ME355" s="24" t="n">
        <v>6.1</v>
      </c>
      <c r="MF355" s="24" t="n">
        <v>3.05</v>
      </c>
      <c r="MG355" s="24" t="n">
        <v>0</v>
      </c>
      <c r="MH355" s="24" t="n">
        <v>0</v>
      </c>
      <c r="MI355" s="24" t="n">
        <v>0</v>
      </c>
      <c r="MJ355" s="24" t="n">
        <v>0</v>
      </c>
      <c r="MK355" s="24" t="n">
        <v>17.78</v>
      </c>
      <c r="ML355" s="24" t="n">
        <v>9.13</v>
      </c>
      <c r="MM355" s="24" t="n">
        <v>2.7</v>
      </c>
      <c r="MN355" s="24" t="n">
        <v>11.73</v>
      </c>
      <c r="MO355" s="24" t="n">
        <v>0</v>
      </c>
      <c r="MP355" s="24" t="n">
        <v>0</v>
      </c>
      <c r="NC355" s="24" t="n">
        <v>5.7</v>
      </c>
      <c r="ND355" s="24" t="n">
        <v>1</v>
      </c>
      <c r="NE355" s="24" t="n">
        <v>30</v>
      </c>
      <c r="NF355" s="24" t="n">
        <v>10</v>
      </c>
      <c r="NG355" s="24" t="n">
        <f aca="false">0.15*2+0.16*8</f>
        <v>1.58</v>
      </c>
      <c r="NH355" s="24" t="n">
        <v>3</v>
      </c>
      <c r="NO355" s="28"/>
      <c r="OG355" s="24" t="n">
        <v>1</v>
      </c>
      <c r="OH355" s="24" t="n">
        <v>40</v>
      </c>
      <c r="OI355" s="24" t="n">
        <v>4</v>
      </c>
      <c r="OJ355" s="24" t="n">
        <v>0.6</v>
      </c>
      <c r="OK355" s="24" t="n">
        <v>2</v>
      </c>
      <c r="PR355" s="27" t="n">
        <v>0.53</v>
      </c>
      <c r="PS355" s="27" t="n">
        <v>1</v>
      </c>
      <c r="PT355" s="27" t="n">
        <v>1</v>
      </c>
      <c r="PU355" s="27"/>
      <c r="PV355" s="27" t="n">
        <f aca="false">0.64*4+0.08</f>
        <v>2.64</v>
      </c>
      <c r="PW355" s="27"/>
      <c r="PX355" s="27"/>
      <c r="PY355" s="27"/>
      <c r="PZ355" s="27"/>
      <c r="QA355" s="27"/>
      <c r="QB355" s="27"/>
      <c r="QC355" s="27" t="n">
        <v>5.06</v>
      </c>
      <c r="QD355" s="27" t="n">
        <v>1.58</v>
      </c>
      <c r="QE355" s="27"/>
      <c r="QF355" s="27"/>
      <c r="QG355" s="27" t="n">
        <v>0</v>
      </c>
      <c r="QH355" s="27" t="n">
        <v>0</v>
      </c>
      <c r="QI355" s="27" t="n">
        <v>0</v>
      </c>
      <c r="QJ355" s="24" t="n">
        <v>0</v>
      </c>
      <c r="QK355" s="24" t="s">
        <v>782</v>
      </c>
      <c r="QL355" s="24" t="n">
        <v>71</v>
      </c>
      <c r="QM355" s="27" t="n">
        <v>92</v>
      </c>
      <c r="QN355" s="27" t="n">
        <v>166.8</v>
      </c>
      <c r="QO355" s="27" t="n">
        <v>65</v>
      </c>
      <c r="QP355" s="24" t="n">
        <v>28.78</v>
      </c>
      <c r="QQ355" s="24" t="n">
        <v>0</v>
      </c>
      <c r="QR355" s="24" t="n">
        <v>0</v>
      </c>
      <c r="QS355" s="24" t="n">
        <v>0</v>
      </c>
      <c r="QT355" s="24" t="n">
        <v>2.5</v>
      </c>
      <c r="QU355" s="24" t="n">
        <v>0</v>
      </c>
      <c r="QV355" s="24" t="n">
        <v>8.54</v>
      </c>
      <c r="QW355" s="24" t="n">
        <v>0</v>
      </c>
      <c r="QX355" s="24" t="n">
        <v>0</v>
      </c>
      <c r="QY355" s="24" t="n">
        <v>2.76</v>
      </c>
      <c r="QZ355" s="24" t="n">
        <v>0</v>
      </c>
      <c r="RA355" s="24" t="n">
        <v>9.52</v>
      </c>
      <c r="RB355" s="24" t="n">
        <v>36.91</v>
      </c>
      <c r="RC355" s="24" t="n">
        <v>26.15</v>
      </c>
      <c r="RD355" s="24" t="n">
        <v>1.97</v>
      </c>
      <c r="RE355" s="24" t="n">
        <v>60.18</v>
      </c>
      <c r="RF355" s="24" t="n">
        <v>0</v>
      </c>
      <c r="RG355" s="24" t="n">
        <v>0</v>
      </c>
      <c r="RT355" s="24" t="n">
        <v>0.1</v>
      </c>
      <c r="RU355" s="24" t="n">
        <v>0</v>
      </c>
      <c r="SF355" s="28"/>
      <c r="SX355" s="24" t="n">
        <v>1</v>
      </c>
      <c r="SY355" s="24" t="n">
        <v>50</v>
      </c>
      <c r="SZ355" s="24" t="n">
        <v>4</v>
      </c>
      <c r="TA355" s="24" t="n">
        <f aca="false">0.37*4</f>
        <v>1.48</v>
      </c>
      <c r="TB355" s="24" t="n">
        <v>3</v>
      </c>
      <c r="TC355" s="24" t="n">
        <v>40</v>
      </c>
      <c r="TD355" s="24" t="n">
        <v>6</v>
      </c>
      <c r="TE355" s="24" t="n">
        <v>2.2</v>
      </c>
      <c r="TF355" s="24" t="n">
        <v>3</v>
      </c>
      <c r="TG355" s="24" t="n">
        <v>50</v>
      </c>
      <c r="TH355" s="24" t="n">
        <v>1</v>
      </c>
      <c r="TI355" s="24" t="n">
        <v>0.06</v>
      </c>
      <c r="TJ355" s="24" t="n">
        <v>1</v>
      </c>
      <c r="TK355" s="24" t="n">
        <v>60</v>
      </c>
      <c r="TL355" s="24" t="n">
        <v>3</v>
      </c>
      <c r="TM355" s="24" t="n">
        <v>0.19</v>
      </c>
      <c r="TN355" s="24" t="n">
        <v>4</v>
      </c>
      <c r="UI355" s="27" t="n">
        <v>1.11</v>
      </c>
      <c r="UJ355" s="27" t="n">
        <v>1</v>
      </c>
      <c r="UK355" s="27" t="n">
        <v>1</v>
      </c>
      <c r="UL355" s="27"/>
      <c r="UM355" s="27" t="n">
        <f aca="false">0.51*2+0.09+0.15*2+1.65+0.18+0.72</f>
        <v>3.96</v>
      </c>
      <c r="UN355" s="27"/>
      <c r="UO355" s="27"/>
      <c r="UP355" s="27"/>
      <c r="UQ355" s="27"/>
      <c r="UR355" s="27"/>
      <c r="US355" s="27"/>
      <c r="UT355" s="27" t="n">
        <v>1.95</v>
      </c>
      <c r="UU355" s="27" t="n">
        <v>1.96</v>
      </c>
      <c r="UV355" s="27"/>
      <c r="UW355" s="27"/>
      <c r="UX355" s="27" t="n">
        <v>2.88</v>
      </c>
      <c r="UY355" s="27" t="n">
        <v>0</v>
      </c>
      <c r="UZ355" s="27" t="n">
        <v>0</v>
      </c>
      <c r="VA355" s="24" t="n">
        <v>2</v>
      </c>
      <c r="VB355" s="24" t="s">
        <v>783</v>
      </c>
      <c r="VC355" s="24" t="n">
        <v>35</v>
      </c>
      <c r="VD355" s="27" t="n">
        <v>89.3</v>
      </c>
      <c r="VE355" s="27" t="n">
        <v>83.4</v>
      </c>
      <c r="VF355" s="27" t="n">
        <v>12.6</v>
      </c>
      <c r="VG355" s="24" t="n">
        <v>87.93</v>
      </c>
      <c r="VH355" s="24" t="n">
        <v>0</v>
      </c>
      <c r="VI355" s="24" t="n">
        <v>0</v>
      </c>
      <c r="VJ355" s="24" t="n">
        <v>1.49</v>
      </c>
      <c r="VK355" s="24" t="n">
        <v>10.58</v>
      </c>
      <c r="VL355" s="24" t="n">
        <v>0</v>
      </c>
      <c r="VM355" s="24" t="n">
        <v>0</v>
      </c>
      <c r="VN355" s="24" t="n">
        <v>0</v>
      </c>
      <c r="VO355" s="24" t="n">
        <v>0</v>
      </c>
      <c r="VP355" s="24" t="n">
        <v>0</v>
      </c>
      <c r="VQ355" s="24" t="n">
        <v>0</v>
      </c>
      <c r="VR355" s="24" t="n">
        <v>0.17</v>
      </c>
      <c r="VS355" s="24" t="n">
        <v>38.78</v>
      </c>
      <c r="VT355" s="24" t="n">
        <v>29.47</v>
      </c>
      <c r="VU355" s="24" t="n">
        <v>0</v>
      </c>
      <c r="VV355" s="24" t="n">
        <v>0</v>
      </c>
      <c r="VW355" s="24" t="n">
        <v>4</v>
      </c>
      <c r="VX355" s="24" t="n">
        <v>1</v>
      </c>
      <c r="VY355" s="24" t="n">
        <v>3</v>
      </c>
      <c r="WA355" s="24" t="n">
        <v>4</v>
      </c>
      <c r="WK355" s="24" t="n">
        <v>9.7</v>
      </c>
      <c r="WL355" s="24" t="n">
        <v>1</v>
      </c>
      <c r="WM355" s="24" t="n">
        <v>68</v>
      </c>
      <c r="WN355" s="24" t="n">
        <v>1</v>
      </c>
      <c r="WO355" s="24" t="n">
        <v>0.02</v>
      </c>
      <c r="WP355" s="24" t="n">
        <v>1</v>
      </c>
      <c r="WQ355" s="24" t="n">
        <v>35</v>
      </c>
      <c r="WR355" s="24" t="n">
        <v>10</v>
      </c>
      <c r="WS355" s="24" t="n">
        <f aca="false">0.22*2+0.43*2+0.65+0.04+0.02+0.08</f>
        <v>2.09</v>
      </c>
      <c r="WT355" s="24" t="n">
        <v>3</v>
      </c>
      <c r="WW355" s="28"/>
      <c r="XO355" s="24" t="n">
        <v>1</v>
      </c>
      <c r="XP355" s="24" t="n">
        <v>50</v>
      </c>
      <c r="XQ355" s="24" t="n">
        <f aca="false">4*3+3*4</f>
        <v>24</v>
      </c>
      <c r="XR355" s="24" t="n">
        <f aca="false">0.07+0.25+0.11+0.65+1.3+15</f>
        <v>17.38</v>
      </c>
      <c r="XS355" s="24" t="n">
        <v>1</v>
      </c>
      <c r="XT355" s="24" t="n">
        <v>40</v>
      </c>
      <c r="XU355" s="24" t="n">
        <v>18</v>
      </c>
      <c r="XV355" s="24" t="n">
        <f aca="false">0.87+0.17+0.08+0.34+1.73+0.43+0.87+0.07</f>
        <v>4.56</v>
      </c>
      <c r="XW355" s="24" t="n">
        <v>1</v>
      </c>
      <c r="XX355" s="24" t="n">
        <v>40</v>
      </c>
      <c r="XY355" s="24" t="n">
        <v>2</v>
      </c>
      <c r="XZ355" s="24" t="n">
        <v>0.12</v>
      </c>
      <c r="YA355" s="24" t="n">
        <v>5</v>
      </c>
      <c r="YB355" s="24" t="n">
        <v>50</v>
      </c>
      <c r="YC355" s="24" t="n">
        <v>1</v>
      </c>
      <c r="YD355" s="24" t="n">
        <v>0.22</v>
      </c>
      <c r="YE355" s="24" t="n">
        <v>6</v>
      </c>
      <c r="YF355" s="24" t="n">
        <v>40</v>
      </c>
      <c r="YG355" s="24" t="n">
        <v>3</v>
      </c>
      <c r="YH355" s="24" t="n">
        <v>0.16</v>
      </c>
      <c r="YI355" s="24" t="n">
        <v>6</v>
      </c>
      <c r="YZ355" s="27" t="n">
        <v>0.68</v>
      </c>
      <c r="ZA355" s="27" t="n">
        <v>1</v>
      </c>
      <c r="ZB355" s="27" t="n">
        <v>1</v>
      </c>
      <c r="ZC355" s="27"/>
      <c r="ZD355" s="27" t="n">
        <f aca="false">0.34+0.91+1.8+0.08+0.3</f>
        <v>3.43</v>
      </c>
      <c r="ZE355" s="27"/>
      <c r="ZF355" s="27"/>
      <c r="ZG355" s="27"/>
      <c r="ZH355" s="27"/>
      <c r="ZI355" s="27"/>
      <c r="ZJ355" s="27"/>
      <c r="ZK355" s="27" t="n">
        <v>7.83</v>
      </c>
      <c r="ZL355" s="27" t="n">
        <v>8.68</v>
      </c>
      <c r="ZM355" s="27"/>
      <c r="ZN355" s="27"/>
      <c r="ZO355" s="27" t="n">
        <v>0</v>
      </c>
      <c r="ZP355" s="27" t="n">
        <v>0</v>
      </c>
      <c r="ZQ355" s="27" t="n">
        <v>0</v>
      </c>
      <c r="ZR355" s="24" t="n">
        <v>0</v>
      </c>
      <c r="ZS355" s="24" t="s">
        <v>784</v>
      </c>
      <c r="ZT355" s="24" t="n">
        <v>38</v>
      </c>
      <c r="ZU355" s="27" t="n">
        <v>92.6</v>
      </c>
      <c r="ZV355" s="27" t="n">
        <v>83.4</v>
      </c>
      <c r="ZW355" s="27" t="n">
        <v>16.5</v>
      </c>
      <c r="ZX355" s="24" t="n">
        <v>77.87</v>
      </c>
      <c r="ZY355" s="24" t="n">
        <v>0</v>
      </c>
      <c r="ZZ355" s="24" t="n">
        <v>0</v>
      </c>
      <c r="AAA355" s="24" t="n">
        <v>0</v>
      </c>
      <c r="AAB355" s="24" t="n">
        <v>21.87</v>
      </c>
      <c r="AAC355" s="24" t="n">
        <v>0</v>
      </c>
      <c r="AAD355" s="24" t="n">
        <v>0</v>
      </c>
      <c r="AAE355" s="24" t="n">
        <v>0</v>
      </c>
      <c r="AAF355" s="24" t="n">
        <v>0</v>
      </c>
      <c r="AAG355" s="24" t="n">
        <v>0</v>
      </c>
      <c r="AAH355" s="24" t="n">
        <v>0</v>
      </c>
      <c r="AAI355" s="24" t="n">
        <v>0.29</v>
      </c>
      <c r="AAJ355" s="24" t="n">
        <v>38.85</v>
      </c>
      <c r="AAK355" s="24" t="n">
        <v>37.36</v>
      </c>
      <c r="AAL355" s="24" t="n">
        <v>5.57</v>
      </c>
      <c r="AAM355" s="24" t="n">
        <v>0</v>
      </c>
      <c r="AAN355" s="24" t="n">
        <v>0</v>
      </c>
      <c r="AAO355" s="24" t="n">
        <v>0</v>
      </c>
      <c r="ABB355" s="24" t="n">
        <v>17.5</v>
      </c>
      <c r="ABC355" s="24" t="n">
        <v>0</v>
      </c>
      <c r="ABN355" s="28"/>
      <c r="ACF355" s="24" t="n">
        <v>1</v>
      </c>
      <c r="ACG355" s="24" t="n">
        <v>70</v>
      </c>
      <c r="ACH355" s="24" t="n">
        <f aca="false">8*3+3</f>
        <v>27</v>
      </c>
      <c r="ACI355" s="24" t="n">
        <f aca="false">5.87*3+0.58</f>
        <v>18.19</v>
      </c>
      <c r="ACJ355" s="24" t="n">
        <v>1</v>
      </c>
      <c r="ADQ355" s="27" t="n">
        <v>3.74</v>
      </c>
      <c r="ADR355" s="27" t="n">
        <v>1</v>
      </c>
      <c r="ADS355" s="27" t="n">
        <v>1</v>
      </c>
      <c r="ADT355" s="27"/>
      <c r="ADU355" s="27" t="n">
        <f aca="false">1.65+2.04*2+0.36*2+0.54</f>
        <v>6.99</v>
      </c>
      <c r="ADV355" s="27" t="n">
        <v>2</v>
      </c>
      <c r="ADW355" s="27"/>
      <c r="ADX355" s="27" t="n">
        <v>0.91</v>
      </c>
      <c r="ADY355" s="27"/>
      <c r="ADZ355" s="27"/>
      <c r="AEA355" s="27"/>
      <c r="AEB355" s="27" t="n">
        <v>0.19</v>
      </c>
      <c r="AEC355" s="27" t="n">
        <v>0.19</v>
      </c>
      <c r="AED355" s="27"/>
      <c r="AEE355" s="27"/>
      <c r="AEF355" s="27" t="n">
        <v>0</v>
      </c>
      <c r="AEG355" s="27" t="n">
        <v>0</v>
      </c>
      <c r="AEH355" s="27" t="n">
        <v>0</v>
      </c>
      <c r="AEI355" s="24" t="n">
        <v>0</v>
      </c>
      <c r="AEJ355" s="34"/>
      <c r="AEK355" s="15"/>
      <c r="AEL355" s="15"/>
      <c r="AEN355" s="34"/>
      <c r="AEO355" s="34"/>
      <c r="AER355" s="34"/>
      <c r="AES355" s="15"/>
      <c r="AET355" s="15"/>
      <c r="AEV355" s="34"/>
      <c r="AEW355" s="34"/>
      <c r="AEZ355" s="34"/>
      <c r="AFA355" s="15"/>
      <c r="AFB355" s="15"/>
      <c r="AFD355" s="34"/>
      <c r="AFE355" s="34"/>
      <c r="AFH355" s="34"/>
      <c r="AFI355" s="15"/>
      <c r="AFJ355" s="15"/>
      <c r="AFL355" s="34"/>
      <c r="AFM355" s="34"/>
      <c r="AFP355" s="34"/>
      <c r="AFQ355" s="15"/>
      <c r="AFR355" s="15"/>
      <c r="AFT355" s="34"/>
      <c r="AFU355" s="34"/>
      <c r="AFX355" s="34"/>
      <c r="AFY355" s="15"/>
      <c r="AFZ355" s="15"/>
      <c r="AGB355" s="34"/>
      <c r="AGC355" s="34"/>
      <c r="AGF355" s="34"/>
      <c r="AGG355" s="15"/>
      <c r="AGH355" s="15"/>
      <c r="AGJ355" s="34"/>
      <c r="AGK355" s="34"/>
      <c r="AGN355" s="34"/>
      <c r="AGO355" s="15"/>
      <c r="AGP355" s="15"/>
      <c r="AGR355" s="34"/>
      <c r="AGS355" s="34"/>
      <c r="AGV355" s="34"/>
      <c r="AGW355" s="15"/>
      <c r="AGX355" s="15"/>
      <c r="AGZ355" s="34"/>
      <c r="AHA355" s="34"/>
      <c r="AHD355" s="34"/>
      <c r="AHE355" s="15"/>
      <c r="AHF355" s="15"/>
      <c r="AHH355" s="34"/>
      <c r="AHI355" s="34"/>
      <c r="AHL355" s="34"/>
      <c r="AHM355" s="15"/>
      <c r="AHN355" s="15"/>
      <c r="AHP355" s="34"/>
      <c r="AHQ355" s="34"/>
      <c r="AHT355" s="34"/>
      <c r="AHU355" s="15"/>
      <c r="AHV355" s="15"/>
      <c r="AHX355" s="34"/>
      <c r="AHY355" s="34"/>
      <c r="AIB355" s="34"/>
      <c r="AIC355" s="15"/>
      <c r="AID355" s="15"/>
      <c r="AIF355" s="34"/>
      <c r="AIG355" s="34"/>
      <c r="AIJ355" s="34"/>
      <c r="AIK355" s="15"/>
      <c r="AIL355" s="15"/>
      <c r="AIN355" s="34"/>
      <c r="AIO355" s="34"/>
      <c r="AIR355" s="34"/>
      <c r="AIS355" s="15"/>
      <c r="AIT355" s="15"/>
      <c r="AIV355" s="34"/>
      <c r="AIW355" s="34"/>
      <c r="AIZ355" s="34"/>
      <c r="AJA355" s="15"/>
      <c r="AJB355" s="15"/>
      <c r="AJD355" s="34"/>
      <c r="AJE355" s="34"/>
      <c r="AJH355" s="34"/>
      <c r="AJI355" s="15"/>
      <c r="AJJ355" s="15"/>
      <c r="AJL355" s="34"/>
      <c r="AJM355" s="34"/>
      <c r="AJP355" s="34"/>
      <c r="AJQ355" s="15"/>
      <c r="AJR355" s="15"/>
      <c r="AJT355" s="34"/>
      <c r="AJU355" s="34"/>
      <c r="AJX355" s="34"/>
      <c r="AJY355" s="15"/>
      <c r="AJZ355" s="15"/>
      <c r="AKB355" s="34"/>
      <c r="AKC355" s="34"/>
      <c r="AKF355" s="34"/>
      <c r="AKG355" s="15"/>
      <c r="AKH355" s="15"/>
      <c r="AKJ355" s="34"/>
      <c r="AKK355" s="34"/>
      <c r="AKN355" s="34"/>
      <c r="AKO355" s="15"/>
      <c r="AKP355" s="15"/>
      <c r="AKR355" s="34"/>
      <c r="AKS355" s="34"/>
      <c r="AKV355" s="34"/>
      <c r="AKW355" s="15"/>
      <c r="AKX355" s="15"/>
      <c r="AKZ355" s="34"/>
      <c r="ALA355" s="34"/>
      <c r="ALD355" s="34"/>
      <c r="ALE355" s="15"/>
      <c r="ALF355" s="15"/>
      <c r="ALH355" s="34"/>
      <c r="ALI355" s="34"/>
      <c r="ALL355" s="34"/>
      <c r="ALM355" s="15"/>
      <c r="ALN355" s="15"/>
      <c r="ALP355" s="34"/>
      <c r="ALQ355" s="34"/>
      <c r="ALT355" s="34"/>
      <c r="ALU355" s="15"/>
      <c r="ALV355" s="15"/>
      <c r="ALX355" s="34"/>
      <c r="ALY355" s="34"/>
      <c r="AMB355" s="34"/>
      <c r="AMC355" s="15"/>
      <c r="AMD355" s="15"/>
      <c r="AMF355" s="34"/>
      <c r="AMG355" s="34"/>
      <c r="AMJ355" s="34"/>
    </row>
  </sheetData>
  <hyperlinks>
    <hyperlink ref="Q179" r:id="rId2" display="Lisinopril-ratiopharm 5m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3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C27" activeCellId="0" sqref="BC27"/>
    </sheetView>
  </sheetViews>
  <sheetFormatPr defaultRowHeight="13.8"/>
  <cols>
    <col collapsed="false" hidden="false" max="8" min="1" style="0" width="10.5023255813953"/>
    <col collapsed="false" hidden="false" max="9" min="9" style="0" width="12.6"/>
    <col collapsed="false" hidden="false" max="12" min="10" style="0" width="10.5023255813953"/>
    <col collapsed="false" hidden="false" max="13" min="13" style="0" width="19.6976744186047"/>
    <col collapsed="false" hidden="false" max="14" min="14" style="0" width="25.2697674418605"/>
    <col collapsed="false" hidden="false" max="15" min="15" style="0" width="22.093023255814"/>
    <col collapsed="false" hidden="false" max="16" min="16" style="0" width="26.1720930232558"/>
    <col collapsed="false" hidden="false" max="18" min="17" style="0" width="22.093023255814"/>
    <col collapsed="false" hidden="false" max="19" min="19" style="0" width="20.1023255813953"/>
    <col collapsed="false" hidden="false" max="20" min="20" style="0" width="19.0976744186047"/>
    <col collapsed="false" hidden="false" max="22" min="21" style="0" width="20.6976744186047"/>
    <col collapsed="false" hidden="false" max="23" min="23" style="0" width="16.0976744186047"/>
    <col collapsed="false" hidden="false" max="24" min="24" style="0" width="16.4976744186046"/>
    <col collapsed="false" hidden="false" max="25" min="25" style="0" width="18"/>
    <col collapsed="false" hidden="false" max="26" min="26" style="0" width="16.5953488372093"/>
    <col collapsed="false" hidden="false" max="27" min="27" style="0" width="19.6976744186047"/>
    <col collapsed="false" hidden="false" max="28" min="28" style="0" width="18"/>
    <col collapsed="false" hidden="false" max="29" min="29" style="0" width="8.1953488372093"/>
    <col collapsed="false" hidden="false" max="30" min="30" style="0" width="13.5023255813954"/>
    <col collapsed="false" hidden="false" max="31" min="31" style="0" width="23.5953488372093"/>
    <col collapsed="false" hidden="false" max="32" min="32" style="0" width="9.89302325581395"/>
    <col collapsed="false" hidden="false" max="33" min="33" style="0" width="17.4"/>
    <col collapsed="false" hidden="false" max="34" min="34" style="0" width="18.6976744186047"/>
    <col collapsed="false" hidden="false" max="35" min="35" style="0" width="16.4976744186046"/>
    <col collapsed="false" hidden="false" max="36" min="36" style="0" width="14.506976744186"/>
    <col collapsed="false" hidden="false" max="37" min="37" style="0" width="17.6"/>
    <col collapsed="false" hidden="false" max="38" min="38" style="0" width="30.6976744186047"/>
    <col collapsed="false" hidden="false" max="39" min="39" style="0" width="20.8976744186047"/>
    <col collapsed="false" hidden="false" max="40" min="40" style="0" width="9.69767441860465"/>
    <col collapsed="false" hidden="false" max="41" min="41" style="0" width="8.69767441860465"/>
    <col collapsed="false" hidden="false" max="42" min="42" style="0" width="6.09767441860465"/>
    <col collapsed="false" hidden="false" max="43" min="43" style="34" width="14.506976744186"/>
    <col collapsed="false" hidden="false" max="44" min="44" style="34" width="12.1023255813953"/>
    <col collapsed="false" hidden="false" max="45" min="45" style="0" width="14.2"/>
    <col collapsed="false" hidden="false" max="46" min="46" style="0" width="11.8976744186047"/>
    <col collapsed="false" hidden="false" max="47" min="47" style="34" width="20.5023255813953"/>
    <col collapsed="false" hidden="false" max="48" min="48" style="0" width="23.093023255814"/>
    <col collapsed="false" hidden="false" max="49" min="49" style="0" width="19.4046511627907"/>
    <col collapsed="false" hidden="false" max="50" min="50" style="0" width="13.3953488372093"/>
    <col collapsed="false" hidden="false" max="51" min="51" style="34" width="22.0046511627907"/>
    <col collapsed="false" hidden="false" max="52" min="52" style="34" width="5.2"/>
    <col collapsed="false" hidden="false" max="53" min="53" style="0" width="20.2"/>
    <col collapsed="false" hidden="false" max="54" min="54" style="0" width="16.2046511627907"/>
    <col collapsed="false" hidden="false" max="55" min="55" style="34" width="10.5023255813953"/>
    <col collapsed="false" hidden="false" max="56" min="56" style="0" width="19.0976744186047"/>
    <col collapsed="false" hidden="false" max="57" min="57" style="0" width="14.5953488372093"/>
    <col collapsed="false" hidden="false" max="58" min="58" style="0" width="11.2"/>
    <col collapsed="false" hidden="false" max="59" min="59" style="34" width="11.2"/>
    <col collapsed="false" hidden="false" max="60" min="60" style="34" width="12.2"/>
    <col collapsed="false" hidden="false" max="61" min="61" style="0" width="22.093023255814"/>
    <col collapsed="false" hidden="false" max="62" min="62" style="0" width="11.6976744186047"/>
    <col collapsed="false" hidden="false" max="63" min="63" style="34" width="10.2"/>
    <col collapsed="false" hidden="false" max="64" min="64" style="34" width="12.2"/>
    <col collapsed="false" hidden="false" max="65" min="65" style="0" width="11.5906976744186"/>
    <col collapsed="false" hidden="false" max="66" min="66" style="0" width="13.9953488372093"/>
    <col collapsed="false" hidden="false" max="67" min="67" style="34" width="16.9023255813954"/>
    <col collapsed="false" hidden="false" max="68" min="68" style="0" width="10.5023255813953"/>
    <col collapsed="false" hidden="false" max="69" min="69" style="0" width="18.4"/>
    <col collapsed="false" hidden="false" max="70" min="70" style="34" width="14.9953488372093"/>
    <col collapsed="false" hidden="false" max="71" min="71" style="0" width="25.0976744186047"/>
    <col collapsed="false" hidden="false" max="72" min="72" style="34" width="20.2"/>
    <col collapsed="false" hidden="false" max="73" min="73" style="0" width="21.2"/>
    <col collapsed="false" hidden="false" max="74" min="74" style="0" width="12.5023255813953"/>
    <col collapsed="false" hidden="false" max="1025" min="75" style="0" width="10.5023255813953"/>
  </cols>
  <sheetData>
    <row r="1" customFormat="false" ht="13.8" hidden="false" customHeight="false" outlineLevel="0" collapsed="false">
      <c r="A1" s="4" t="s">
        <v>2</v>
      </c>
      <c r="B1" s="15" t="s">
        <v>5</v>
      </c>
      <c r="C1" s="0" t="s">
        <v>6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4" t="s">
        <v>22</v>
      </c>
      <c r="K1" s="5" t="s">
        <v>25</v>
      </c>
      <c r="L1" s="4" t="s">
        <v>28</v>
      </c>
      <c r="M1" s="4" t="s">
        <v>33</v>
      </c>
      <c r="N1" s="4" t="s">
        <v>37</v>
      </c>
      <c r="O1" s="4" t="s">
        <v>42</v>
      </c>
      <c r="P1" s="4" t="s">
        <v>43</v>
      </c>
      <c r="Q1" s="4" t="s">
        <v>47</v>
      </c>
      <c r="R1" s="4" t="s">
        <v>48</v>
      </c>
      <c r="S1" s="4" t="s">
        <v>52</v>
      </c>
      <c r="T1" s="4" t="s">
        <v>56</v>
      </c>
      <c r="U1" s="4" t="s">
        <v>946</v>
      </c>
      <c r="V1" s="4" t="s">
        <v>69</v>
      </c>
      <c r="W1" s="4" t="s">
        <v>70</v>
      </c>
      <c r="X1" s="4" t="s">
        <v>71</v>
      </c>
      <c r="Y1" s="4" t="s">
        <v>72</v>
      </c>
      <c r="Z1" s="4" t="s">
        <v>73</v>
      </c>
      <c r="AA1" s="4" t="s">
        <v>74</v>
      </c>
      <c r="AB1" s="4" t="s">
        <v>75</v>
      </c>
      <c r="AC1" s="4" t="s">
        <v>76</v>
      </c>
      <c r="AD1" s="4" t="s">
        <v>77</v>
      </c>
      <c r="AE1" s="4" t="s">
        <v>78</v>
      </c>
      <c r="AF1" s="4" t="s">
        <v>79</v>
      </c>
      <c r="AG1" s="4" t="s">
        <v>80</v>
      </c>
      <c r="AH1" s="4" t="s">
        <v>81</v>
      </c>
      <c r="AI1" s="4" t="s">
        <v>82</v>
      </c>
      <c r="AJ1" s="4" t="s">
        <v>83</v>
      </c>
      <c r="AK1" s="4" t="s">
        <v>84</v>
      </c>
      <c r="AL1" s="4" t="s">
        <v>85</v>
      </c>
      <c r="AM1" s="4" t="s">
        <v>86</v>
      </c>
      <c r="AN1" s="4" t="s">
        <v>87</v>
      </c>
      <c r="AO1" s="4" t="s">
        <v>88</v>
      </c>
      <c r="AP1" s="6" t="s">
        <v>90</v>
      </c>
      <c r="AQ1" s="7" t="s">
        <v>91</v>
      </c>
      <c r="AR1" s="7" t="s">
        <v>92</v>
      </c>
      <c r="AS1" s="7" t="s">
        <v>93</v>
      </c>
      <c r="AT1" s="6" t="s">
        <v>94</v>
      </c>
      <c r="AU1" s="6" t="s">
        <v>95</v>
      </c>
      <c r="AV1" s="6" t="s">
        <v>96</v>
      </c>
      <c r="AW1" s="6" t="s">
        <v>97</v>
      </c>
      <c r="AX1" s="6" t="s">
        <v>98</v>
      </c>
      <c r="AY1" s="6" t="s">
        <v>99</v>
      </c>
      <c r="AZ1" s="6" t="s">
        <v>100</v>
      </c>
      <c r="BA1" s="6" t="s">
        <v>101</v>
      </c>
      <c r="BB1" s="6" t="s">
        <v>102</v>
      </c>
      <c r="BC1" s="6" t="s">
        <v>103</v>
      </c>
      <c r="BD1" s="6" t="s">
        <v>104</v>
      </c>
      <c r="BE1" s="6" t="s">
        <v>105</v>
      </c>
      <c r="BF1" s="6" t="s">
        <v>106</v>
      </c>
      <c r="BG1" s="6" t="s">
        <v>107</v>
      </c>
      <c r="BH1" s="6" t="s">
        <v>108</v>
      </c>
      <c r="BI1" s="6" t="s">
        <v>109</v>
      </c>
      <c r="BJ1" s="6" t="s">
        <v>110</v>
      </c>
      <c r="BK1" s="6" t="s">
        <v>111</v>
      </c>
      <c r="BL1" s="6" t="s">
        <v>124</v>
      </c>
      <c r="BM1" s="6" t="s">
        <v>125</v>
      </c>
      <c r="BN1" s="6" t="s">
        <v>130</v>
      </c>
      <c r="BO1" s="6" t="s">
        <v>167</v>
      </c>
      <c r="BP1" s="6" t="s">
        <v>168</v>
      </c>
      <c r="BQ1" s="6" t="s">
        <v>172</v>
      </c>
      <c r="BR1" s="6" t="s">
        <v>173</v>
      </c>
      <c r="BS1" s="6" t="s">
        <v>176</v>
      </c>
      <c r="BT1" s="6" t="s">
        <v>177</v>
      </c>
      <c r="BU1" s="6" t="s">
        <v>178</v>
      </c>
      <c r="BV1" s="6" t="s">
        <v>179</v>
      </c>
    </row>
    <row r="2" customFormat="false" ht="13.8" hidden="false" customHeight="false" outlineLevel="0" collapsed="false">
      <c r="A2" s="0" t="n">
        <v>2</v>
      </c>
      <c r="B2" s="0" t="n">
        <v>50.6365503080082</v>
      </c>
      <c r="C2" s="0" t="n">
        <v>21.6016427104723</v>
      </c>
      <c r="D2" s="0" t="n">
        <v>8</v>
      </c>
      <c r="E2" s="0" t="n">
        <v>95</v>
      </c>
      <c r="F2" s="0" t="n">
        <v>1.78</v>
      </c>
      <c r="G2" s="0" t="n">
        <v>29.9835879308168</v>
      </c>
      <c r="H2" s="0" t="n">
        <v>1</v>
      </c>
      <c r="I2" s="0" t="n">
        <v>0</v>
      </c>
      <c r="J2" s="15" t="n">
        <v>0</v>
      </c>
      <c r="K2" s="15" t="n">
        <v>2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f aca="false">AVERAGE(M2:T2)</f>
        <v>0</v>
      </c>
      <c r="V2" s="15" t="n">
        <v>1</v>
      </c>
      <c r="W2" s="15" t="n">
        <v>3</v>
      </c>
      <c r="X2" s="15" t="n">
        <v>3</v>
      </c>
      <c r="Y2" s="15" t="n">
        <v>4</v>
      </c>
      <c r="Z2" s="15" t="n">
        <v>3</v>
      </c>
      <c r="AA2" s="15" t="n">
        <v>3</v>
      </c>
      <c r="AB2" s="15" t="n">
        <v>4</v>
      </c>
      <c r="AC2" s="15" t="n">
        <v>4</v>
      </c>
      <c r="AD2" s="15" t="n">
        <v>3</v>
      </c>
      <c r="AE2" s="15" t="n">
        <v>3</v>
      </c>
      <c r="AF2" s="15" t="n">
        <v>3</v>
      </c>
      <c r="AG2" s="15" t="n">
        <v>5</v>
      </c>
      <c r="AH2" s="15" t="n">
        <v>2</v>
      </c>
      <c r="AI2" s="15" t="n">
        <v>3</v>
      </c>
      <c r="AJ2" s="15" t="n">
        <v>3</v>
      </c>
      <c r="AK2" s="15" t="n">
        <v>3</v>
      </c>
      <c r="AL2" s="15" t="n">
        <v>3</v>
      </c>
      <c r="AM2" s="15" t="n">
        <v>3</v>
      </c>
      <c r="AN2" s="15" t="n">
        <v>3</v>
      </c>
      <c r="AO2" s="15" t="n">
        <v>10</v>
      </c>
      <c r="AP2" s="0" t="n">
        <v>21.5</v>
      </c>
      <c r="AQ2" s="16" t="n">
        <v>54.9</v>
      </c>
      <c r="AR2" s="16" t="n">
        <v>80.4</v>
      </c>
      <c r="AS2" s="16" t="n">
        <v>17.9</v>
      </c>
      <c r="AT2" s="0" t="n">
        <v>90.61</v>
      </c>
      <c r="AU2" s="17" t="n">
        <v>0</v>
      </c>
      <c r="AV2" s="0" t="n">
        <v>0</v>
      </c>
      <c r="AW2" s="0" t="n">
        <v>2.45</v>
      </c>
      <c r="AX2" s="0" t="n">
        <v>6.94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12.16</v>
      </c>
      <c r="BF2" s="0" t="n">
        <v>24.45</v>
      </c>
      <c r="BG2" s="0" t="n">
        <v>4.8</v>
      </c>
      <c r="BH2" s="0" t="n">
        <v>5.11</v>
      </c>
      <c r="BI2" s="0" t="n">
        <v>0</v>
      </c>
      <c r="BJ2" s="0" t="n">
        <v>0</v>
      </c>
      <c r="BK2" s="0" t="n">
        <v>0</v>
      </c>
      <c r="BL2" s="0" t="n">
        <v>2.9</v>
      </c>
      <c r="BM2" s="0" t="n">
        <v>1</v>
      </c>
      <c r="BN2" s="0" t="n">
        <v>1</v>
      </c>
      <c r="BO2" s="16" t="n">
        <v>0</v>
      </c>
      <c r="BP2" s="16" t="n">
        <v>0</v>
      </c>
      <c r="BQ2" s="16" t="n">
        <v>0.67</v>
      </c>
      <c r="BR2" s="16" t="n">
        <v>0.65</v>
      </c>
      <c r="BS2" s="16" t="n">
        <v>0</v>
      </c>
      <c r="BT2" s="16" t="n">
        <v>0</v>
      </c>
      <c r="BU2" s="16" t="n">
        <v>0</v>
      </c>
      <c r="BV2" s="0" t="n">
        <v>0</v>
      </c>
    </row>
    <row r="3" customFormat="false" ht="13.8" hidden="false" customHeight="false" outlineLevel="0" collapsed="false">
      <c r="A3" s="0" t="n">
        <v>2</v>
      </c>
      <c r="B3" s="0" t="n">
        <v>39.9479808350445</v>
      </c>
      <c r="C3" s="0" t="n">
        <v>18.1601642710472</v>
      </c>
      <c r="D3" s="0" t="n">
        <v>8</v>
      </c>
      <c r="E3" s="0" t="n">
        <v>80</v>
      </c>
      <c r="F3" s="0" t="n">
        <v>1.8</v>
      </c>
      <c r="G3" s="0" t="n">
        <v>24.6913580246914</v>
      </c>
      <c r="H3" s="0" t="n">
        <v>0</v>
      </c>
      <c r="I3" s="0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5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5" t="n">
        <f aca="false">AVERAGE(M3:T3)</f>
        <v>0</v>
      </c>
      <c r="V3" s="19" t="n">
        <v>1</v>
      </c>
      <c r="W3" s="19" t="n">
        <v>1</v>
      </c>
      <c r="X3" s="19" t="n">
        <v>3</v>
      </c>
      <c r="Y3" s="19" t="n">
        <v>4</v>
      </c>
      <c r="Z3" s="19" t="n">
        <v>3</v>
      </c>
      <c r="AA3" s="19" t="n">
        <v>2</v>
      </c>
      <c r="AB3" s="19" t="n">
        <v>4</v>
      </c>
      <c r="AC3" s="19" t="n">
        <v>3</v>
      </c>
      <c r="AD3" s="19" t="n">
        <v>2</v>
      </c>
      <c r="AE3" s="19" t="n">
        <v>2</v>
      </c>
      <c r="AF3" s="19" t="n">
        <v>2</v>
      </c>
      <c r="AG3" s="19" t="n">
        <v>4</v>
      </c>
      <c r="AH3" s="19" t="n">
        <v>3</v>
      </c>
      <c r="AI3" s="19" t="n">
        <v>3</v>
      </c>
      <c r="AJ3" s="19" t="n">
        <v>2</v>
      </c>
      <c r="AK3" s="19" t="n">
        <v>4</v>
      </c>
      <c r="AL3" s="19" t="n">
        <v>3</v>
      </c>
      <c r="AM3" s="19" t="n">
        <v>3</v>
      </c>
      <c r="AN3" s="19" t="n">
        <v>3</v>
      </c>
      <c r="AO3" s="19" t="n">
        <v>10</v>
      </c>
      <c r="AP3" s="0" t="n">
        <v>37.5</v>
      </c>
      <c r="AQ3" s="16" t="n">
        <v>87.4</v>
      </c>
      <c r="AR3" s="16" t="n">
        <v>80.4</v>
      </c>
      <c r="AS3" s="16" t="n">
        <v>18.5</v>
      </c>
      <c r="AT3" s="0" t="n">
        <v>84.21</v>
      </c>
      <c r="AU3" s="17" t="n">
        <v>0</v>
      </c>
      <c r="AV3" s="0" t="n">
        <v>0</v>
      </c>
      <c r="AW3" s="0" t="n">
        <v>0</v>
      </c>
      <c r="AX3" s="0" t="n">
        <v>15.79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26.71</v>
      </c>
      <c r="BF3" s="0" t="n">
        <v>13.13</v>
      </c>
      <c r="BG3" s="0" t="n">
        <v>49.12</v>
      </c>
      <c r="BH3" s="0" t="n">
        <v>14.67</v>
      </c>
      <c r="BI3" s="0" t="n">
        <v>0</v>
      </c>
      <c r="BJ3" s="0" t="n">
        <v>0</v>
      </c>
      <c r="BK3" s="0" t="n">
        <v>0</v>
      </c>
      <c r="BL3" s="0" t="n">
        <v>1.1</v>
      </c>
      <c r="BM3" s="0" t="n">
        <v>1</v>
      </c>
      <c r="BN3" s="0" t="n">
        <v>0</v>
      </c>
      <c r="BO3" s="16" t="n">
        <v>4.3</v>
      </c>
      <c r="BP3" s="16" t="n">
        <v>1</v>
      </c>
      <c r="BQ3" s="16" t="n">
        <v>10.31</v>
      </c>
      <c r="BR3" s="16" t="n">
        <v>34.85</v>
      </c>
      <c r="BS3" s="16" t="n">
        <v>0</v>
      </c>
      <c r="BT3" s="16" t="n">
        <v>0</v>
      </c>
      <c r="BU3" s="16" t="n">
        <v>0</v>
      </c>
      <c r="BV3" s="0" t="n">
        <v>0</v>
      </c>
    </row>
    <row r="4" customFormat="false" ht="13.8" hidden="false" customHeight="false" outlineLevel="0" collapsed="false">
      <c r="A4" s="0" t="n">
        <v>2</v>
      </c>
      <c r="B4" s="0" t="n">
        <v>34.3545516769336</v>
      </c>
      <c r="C4" s="0" t="n">
        <v>10.0068446269678</v>
      </c>
      <c r="D4" s="0" t="n">
        <v>8</v>
      </c>
      <c r="E4" s="0" t="n">
        <v>77</v>
      </c>
      <c r="F4" s="0" t="n">
        <v>1.73</v>
      </c>
      <c r="G4" s="0" t="n">
        <v>25.7275552140065</v>
      </c>
      <c r="H4" s="0" t="n">
        <v>0</v>
      </c>
      <c r="I4" s="0" t="n">
        <v>0</v>
      </c>
      <c r="J4" s="19" t="n">
        <v>0</v>
      </c>
      <c r="K4" s="19" t="n">
        <v>3</v>
      </c>
      <c r="L4" s="19" t="n">
        <v>0</v>
      </c>
      <c r="M4" s="19"/>
      <c r="N4" s="15" t="n">
        <v>0</v>
      </c>
      <c r="O4" s="19"/>
      <c r="P4" s="19"/>
      <c r="Q4" s="19" t="n">
        <v>0</v>
      </c>
      <c r="R4" s="19" t="n">
        <v>0</v>
      </c>
      <c r="S4" s="19" t="n">
        <v>0</v>
      </c>
      <c r="T4" s="19" t="n">
        <v>5</v>
      </c>
      <c r="U4" s="15" t="n">
        <f aca="false">AVERAGE(M4:T4)</f>
        <v>1</v>
      </c>
      <c r="V4" s="19" t="n">
        <v>1</v>
      </c>
      <c r="W4" s="19" t="n">
        <v>1</v>
      </c>
      <c r="X4" s="19" t="n">
        <v>3</v>
      </c>
      <c r="Y4" s="19" t="n">
        <v>4</v>
      </c>
      <c r="Z4" s="19" t="n">
        <v>2</v>
      </c>
      <c r="AA4" s="19" t="n">
        <v>3</v>
      </c>
      <c r="AB4" s="19" t="n">
        <v>3</v>
      </c>
      <c r="AC4" s="19" t="n">
        <v>3</v>
      </c>
      <c r="AD4" s="19" t="n">
        <v>3</v>
      </c>
      <c r="AE4" s="19" t="n">
        <v>3</v>
      </c>
      <c r="AF4" s="19" t="n">
        <v>4</v>
      </c>
      <c r="AG4" s="19" t="n">
        <v>5</v>
      </c>
      <c r="AH4" s="19" t="n">
        <v>3</v>
      </c>
      <c r="AI4" s="19" t="n">
        <v>4</v>
      </c>
      <c r="AJ4" s="19" t="n">
        <v>4</v>
      </c>
      <c r="AK4" s="19" t="n">
        <v>4</v>
      </c>
      <c r="AL4" s="19" t="n">
        <v>3</v>
      </c>
      <c r="AM4" s="19" t="n">
        <v>4</v>
      </c>
      <c r="AN4" s="19" t="n">
        <v>4</v>
      </c>
      <c r="AO4" s="19" t="n">
        <v>10</v>
      </c>
      <c r="AP4" s="0" t="n">
        <v>21.5</v>
      </c>
      <c r="AQ4" s="16" t="n">
        <v>54.9</v>
      </c>
      <c r="AR4" s="16" t="n">
        <v>80.4</v>
      </c>
      <c r="AS4" s="16" t="n">
        <v>17.9</v>
      </c>
      <c r="AT4" s="0" t="n">
        <v>90.61</v>
      </c>
      <c r="AU4" s="17" t="n">
        <v>0</v>
      </c>
      <c r="AV4" s="0" t="n">
        <v>0</v>
      </c>
      <c r="AW4" s="0" t="n">
        <v>2.45</v>
      </c>
      <c r="AX4" s="0" t="n">
        <v>6.94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12.16</v>
      </c>
      <c r="BF4" s="0" t="n">
        <v>24.45</v>
      </c>
      <c r="BG4" s="0" t="n">
        <v>4.8</v>
      </c>
      <c r="BH4" s="0" t="n">
        <v>5.11</v>
      </c>
      <c r="BI4" s="0" t="n">
        <v>0</v>
      </c>
      <c r="BJ4" s="0" t="n">
        <v>0</v>
      </c>
      <c r="BK4" s="0" t="n">
        <v>0</v>
      </c>
      <c r="BL4" s="0" t="n">
        <v>2.9</v>
      </c>
      <c r="BM4" s="0" t="n">
        <v>1</v>
      </c>
      <c r="BN4" s="0" t="n">
        <v>1</v>
      </c>
      <c r="BO4" s="16" t="n">
        <v>0</v>
      </c>
      <c r="BP4" s="16" t="n">
        <v>0</v>
      </c>
      <c r="BQ4" s="16" t="n">
        <v>0.67</v>
      </c>
      <c r="BR4" s="16" t="n">
        <v>0.65</v>
      </c>
      <c r="BS4" s="16" t="n">
        <v>0</v>
      </c>
      <c r="BT4" s="16" t="n">
        <v>0</v>
      </c>
      <c r="BU4" s="16" t="n">
        <v>0</v>
      </c>
      <c r="BV4" s="0" t="n">
        <v>0</v>
      </c>
    </row>
    <row r="5" customFormat="false" ht="13.8" hidden="false" customHeight="false" outlineLevel="0" collapsed="false">
      <c r="A5" s="0" t="n">
        <v>2</v>
      </c>
      <c r="B5" s="0" t="n">
        <v>39.5208761122519</v>
      </c>
      <c r="C5" s="0" t="n">
        <v>18.9952087611225</v>
      </c>
      <c r="D5" s="0" t="n">
        <v>8</v>
      </c>
      <c r="E5" s="0" t="n">
        <v>86</v>
      </c>
      <c r="F5" s="0" t="n">
        <v>1.83</v>
      </c>
      <c r="G5" s="0" t="n">
        <v>25.680074054167</v>
      </c>
      <c r="H5" s="0" t="n">
        <v>0</v>
      </c>
      <c r="I5" s="0" t="n">
        <v>0</v>
      </c>
      <c r="J5" s="19" t="n">
        <v>1</v>
      </c>
      <c r="K5" s="19" t="n">
        <v>0</v>
      </c>
      <c r="L5" s="19" t="n">
        <v>1</v>
      </c>
      <c r="M5" s="19" t="n">
        <v>0</v>
      </c>
      <c r="N5" s="19" t="n">
        <v>0</v>
      </c>
      <c r="O5" s="19"/>
      <c r="P5" s="19"/>
      <c r="Q5" s="19" t="n">
        <v>9</v>
      </c>
      <c r="R5" s="19" t="n">
        <v>10</v>
      </c>
      <c r="S5" s="19" t="n">
        <v>0</v>
      </c>
      <c r="T5" s="19" t="n">
        <v>7</v>
      </c>
      <c r="U5" s="15" t="n">
        <f aca="false">AVERAGE(M5:T5)</f>
        <v>4.33333333333333</v>
      </c>
      <c r="V5" s="19" t="n">
        <v>4</v>
      </c>
      <c r="W5" s="19" t="n">
        <v>4</v>
      </c>
      <c r="X5" s="19" t="n">
        <v>5</v>
      </c>
      <c r="Y5" s="19" t="n">
        <v>5</v>
      </c>
      <c r="Z5" s="19" t="n">
        <v>5</v>
      </c>
      <c r="AA5" s="19" t="n">
        <v>5</v>
      </c>
      <c r="AB5" s="19" t="n">
        <v>4</v>
      </c>
      <c r="AC5" s="19" t="n">
        <v>5</v>
      </c>
      <c r="AD5" s="19" t="n">
        <v>5</v>
      </c>
      <c r="AE5" s="19" t="n">
        <v>3</v>
      </c>
      <c r="AF5" s="19" t="n">
        <v>4</v>
      </c>
      <c r="AG5" s="19" t="n">
        <v>5</v>
      </c>
      <c r="AH5" s="19" t="n">
        <v>5</v>
      </c>
      <c r="AI5" s="19" t="n">
        <v>5</v>
      </c>
      <c r="AJ5" s="19" t="n">
        <v>5</v>
      </c>
      <c r="AK5" s="19" t="n">
        <v>5</v>
      </c>
      <c r="AL5" s="19" t="n">
        <v>5</v>
      </c>
      <c r="AM5" s="19" t="n">
        <v>5</v>
      </c>
      <c r="AN5" s="19" t="n">
        <v>4</v>
      </c>
      <c r="AO5" s="19"/>
      <c r="AP5" s="0" t="n">
        <v>14.5</v>
      </c>
      <c r="AQ5" s="16" t="n">
        <v>26.1</v>
      </c>
      <c r="AR5" s="16" t="n">
        <v>571.19</v>
      </c>
      <c r="AS5" s="16" t="n">
        <v>12.4</v>
      </c>
      <c r="AT5" s="0" t="n">
        <v>89.38</v>
      </c>
      <c r="AU5" s="0" t="n">
        <v>0.44</v>
      </c>
      <c r="AV5" s="0" t="n">
        <v>0</v>
      </c>
      <c r="AW5" s="0" t="n">
        <v>0</v>
      </c>
      <c r="AX5" s="0" t="n">
        <v>10.15</v>
      </c>
      <c r="AY5" s="0" t="n">
        <v>0</v>
      </c>
      <c r="AZ5" s="0" t="n">
        <v>0.03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6.18</v>
      </c>
      <c r="BG5" s="0" t="n">
        <v>2.69</v>
      </c>
      <c r="BH5" s="0" t="n">
        <v>7.79</v>
      </c>
      <c r="BI5" s="0" t="n">
        <v>0</v>
      </c>
      <c r="BJ5" s="0" t="n">
        <v>0</v>
      </c>
      <c r="BK5" s="0" t="n">
        <v>0</v>
      </c>
      <c r="BL5" s="0" t="n">
        <v>0.4</v>
      </c>
      <c r="BM5" s="0" t="n">
        <v>1</v>
      </c>
      <c r="BN5" s="0" t="n">
        <v>1</v>
      </c>
      <c r="BO5" s="16" t="n">
        <v>0.08</v>
      </c>
      <c r="BP5" s="16" t="n">
        <v>1</v>
      </c>
      <c r="BQ5" s="16" t="n">
        <v>1.23</v>
      </c>
      <c r="BR5" s="16" t="n">
        <v>0.95</v>
      </c>
      <c r="BS5" s="16" t="n">
        <v>0</v>
      </c>
      <c r="BT5" s="16" t="n">
        <v>0</v>
      </c>
      <c r="BU5" s="16" t="n">
        <v>0</v>
      </c>
      <c r="BV5" s="0" t="n">
        <v>0</v>
      </c>
    </row>
    <row r="6" customFormat="false" ht="13.8" hidden="false" customHeight="false" outlineLevel="0" collapsed="false">
      <c r="A6" s="0" t="n">
        <v>2</v>
      </c>
      <c r="B6" s="0" t="n">
        <v>40.807665982204</v>
      </c>
      <c r="C6" s="0" t="n">
        <v>20.3340177960301</v>
      </c>
      <c r="D6" s="0" t="n">
        <v>8</v>
      </c>
      <c r="E6" s="0" t="n">
        <v>83</v>
      </c>
      <c r="F6" s="0" t="n">
        <v>1.67</v>
      </c>
      <c r="G6" s="0" t="n">
        <v>29.7608376062247</v>
      </c>
      <c r="H6" s="0" t="n">
        <v>0</v>
      </c>
      <c r="I6" s="0" t="n">
        <v>0</v>
      </c>
      <c r="J6" s="19" t="n">
        <v>0</v>
      </c>
      <c r="K6" s="19" t="n">
        <v>0</v>
      </c>
      <c r="L6" s="19" t="n">
        <v>1</v>
      </c>
      <c r="M6" s="19" t="n">
        <v>0</v>
      </c>
      <c r="N6" s="19" t="n">
        <v>0</v>
      </c>
      <c r="O6" s="19" t="n">
        <v>0</v>
      </c>
      <c r="P6" s="19" t="n">
        <v>0</v>
      </c>
      <c r="Q6" s="19" t="n">
        <v>0</v>
      </c>
      <c r="R6" s="19" t="n">
        <v>0</v>
      </c>
      <c r="S6" s="19" t="n">
        <v>0</v>
      </c>
      <c r="T6" s="19"/>
      <c r="U6" s="15" t="n">
        <f aca="false">AVERAGE(M6:T6)</f>
        <v>0</v>
      </c>
      <c r="V6" s="19" t="n">
        <v>3</v>
      </c>
      <c r="W6" s="19" t="n">
        <v>2</v>
      </c>
      <c r="X6" s="19" t="n">
        <v>5</v>
      </c>
      <c r="Y6" s="19" t="n">
        <v>5</v>
      </c>
      <c r="Z6" s="19" t="n">
        <v>5</v>
      </c>
      <c r="AA6" s="19" t="n">
        <v>5</v>
      </c>
      <c r="AB6" s="19" t="n">
        <v>4</v>
      </c>
      <c r="AC6" s="19" t="n">
        <v>5</v>
      </c>
      <c r="AD6" s="19" t="n">
        <v>5</v>
      </c>
      <c r="AE6" s="19" t="n">
        <v>4</v>
      </c>
      <c r="AF6" s="19" t="n">
        <v>4</v>
      </c>
      <c r="AG6" s="19" t="n">
        <v>5</v>
      </c>
      <c r="AH6" s="19" t="n">
        <v>4</v>
      </c>
      <c r="AI6" s="19" t="n">
        <v>3</v>
      </c>
      <c r="AJ6" s="19" t="n">
        <v>4</v>
      </c>
      <c r="AK6" s="19" t="n">
        <v>5</v>
      </c>
      <c r="AL6" s="19" t="n">
        <v>3</v>
      </c>
      <c r="AM6" s="19" t="n">
        <v>4</v>
      </c>
      <c r="AN6" s="19" t="n">
        <v>3</v>
      </c>
      <c r="AO6" s="19" t="n">
        <v>10</v>
      </c>
      <c r="AP6" s="0" t="n">
        <v>39.5</v>
      </c>
      <c r="AQ6" s="16" t="n">
        <v>89.8</v>
      </c>
      <c r="AR6" s="16" t="n">
        <v>80.4</v>
      </c>
      <c r="AS6" s="16" t="n">
        <v>5.1</v>
      </c>
      <c r="AT6" s="0" t="n">
        <v>100</v>
      </c>
      <c r="AU6" s="17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50.37</v>
      </c>
      <c r="BG6" s="0" t="n">
        <v>16.55</v>
      </c>
      <c r="BH6" s="0" t="n">
        <v>0.4</v>
      </c>
      <c r="BI6" s="0" t="n">
        <v>0</v>
      </c>
      <c r="BJ6" s="0" t="n">
        <v>27.4</v>
      </c>
      <c r="BK6" s="0" t="n">
        <v>1</v>
      </c>
      <c r="BL6" s="0" t="n">
        <v>0.1</v>
      </c>
      <c r="BM6" s="0" t="n">
        <v>1</v>
      </c>
      <c r="BN6" s="0" t="n">
        <v>0</v>
      </c>
      <c r="BO6" s="16" t="n">
        <v>1.49</v>
      </c>
      <c r="BP6" s="16" t="n">
        <v>1</v>
      </c>
      <c r="BQ6" s="16" t="n">
        <v>5.01</v>
      </c>
      <c r="BR6" s="16" t="n">
        <v>5.13</v>
      </c>
      <c r="BS6" s="16" t="n">
        <v>0</v>
      </c>
      <c r="BT6" s="16" t="n">
        <v>0</v>
      </c>
      <c r="BU6" s="16" t="n">
        <v>0</v>
      </c>
      <c r="BV6" s="0" t="n">
        <v>0</v>
      </c>
    </row>
    <row r="7" customFormat="false" ht="13.8" hidden="false" customHeight="false" outlineLevel="0" collapsed="false">
      <c r="A7" s="0" t="n">
        <v>2</v>
      </c>
      <c r="B7" s="0" t="n">
        <v>51.0499657768652</v>
      </c>
      <c r="C7" s="0" t="n">
        <v>22.5106091718001</v>
      </c>
      <c r="D7" s="0" t="n">
        <v>8</v>
      </c>
      <c r="E7" s="0" t="n">
        <v>89</v>
      </c>
      <c r="F7" s="0" t="n">
        <v>1.75</v>
      </c>
      <c r="G7" s="0" t="n">
        <v>29.0612244897959</v>
      </c>
      <c r="H7" s="0" t="n">
        <v>0</v>
      </c>
      <c r="I7" s="0" t="n">
        <v>0</v>
      </c>
      <c r="J7" s="19" t="n">
        <v>0</v>
      </c>
      <c r="K7" s="19" t="n">
        <v>2</v>
      </c>
      <c r="L7" s="19" t="n">
        <v>0</v>
      </c>
      <c r="M7" s="19"/>
      <c r="N7" s="19"/>
      <c r="O7" s="19"/>
      <c r="P7" s="19"/>
      <c r="Q7" s="19"/>
      <c r="R7" s="19"/>
      <c r="S7" s="19"/>
      <c r="T7" s="19"/>
      <c r="U7" s="15"/>
      <c r="V7" s="19" t="n">
        <v>5</v>
      </c>
      <c r="W7" s="19" t="n">
        <v>3</v>
      </c>
      <c r="X7" s="19" t="n">
        <v>5</v>
      </c>
      <c r="Y7" s="19" t="n">
        <v>5</v>
      </c>
      <c r="Z7" s="19" t="n">
        <v>3</v>
      </c>
      <c r="AA7" s="19" t="n">
        <v>3</v>
      </c>
      <c r="AB7" s="19" t="n">
        <v>3</v>
      </c>
      <c r="AC7" s="19" t="n">
        <v>5</v>
      </c>
      <c r="AD7" s="19" t="n">
        <v>3</v>
      </c>
      <c r="AE7" s="19" t="n">
        <v>2</v>
      </c>
      <c r="AF7" s="19" t="n">
        <v>2</v>
      </c>
      <c r="AG7" s="19" t="n">
        <v>3</v>
      </c>
      <c r="AH7" s="19" t="n">
        <v>1</v>
      </c>
      <c r="AI7" s="19" t="n">
        <v>1</v>
      </c>
      <c r="AJ7" s="19" t="n">
        <v>2</v>
      </c>
      <c r="AK7" s="19" t="n">
        <v>5</v>
      </c>
      <c r="AL7" s="19" t="n">
        <v>3</v>
      </c>
      <c r="AM7" s="19" t="n">
        <v>3</v>
      </c>
      <c r="AN7" s="19" t="n">
        <v>3</v>
      </c>
      <c r="AO7" s="19" t="n">
        <v>8</v>
      </c>
      <c r="AP7" s="0" t="n">
        <v>21.5</v>
      </c>
      <c r="AQ7" s="16" t="n">
        <v>54.9</v>
      </c>
      <c r="AR7" s="16" t="n">
        <v>80.4</v>
      </c>
      <c r="AS7" s="16" t="n">
        <v>17.9</v>
      </c>
      <c r="AT7" s="0" t="n">
        <v>90.61</v>
      </c>
      <c r="AU7" s="17" t="n">
        <v>0</v>
      </c>
      <c r="AV7" s="0" t="n">
        <v>0</v>
      </c>
      <c r="AW7" s="0" t="n">
        <v>2.45</v>
      </c>
      <c r="AX7" s="0" t="n">
        <v>6.94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12.16</v>
      </c>
      <c r="BF7" s="0" t="n">
        <v>24.45</v>
      </c>
      <c r="BG7" s="0" t="n">
        <v>4.8</v>
      </c>
      <c r="BH7" s="0" t="n">
        <v>5.11</v>
      </c>
      <c r="BI7" s="0" t="n">
        <v>0</v>
      </c>
      <c r="BJ7" s="0" t="n">
        <v>0</v>
      </c>
      <c r="BK7" s="0" t="n">
        <v>0</v>
      </c>
      <c r="BL7" s="0" t="n">
        <v>2.9</v>
      </c>
      <c r="BM7" s="0" t="n">
        <v>1</v>
      </c>
      <c r="BN7" s="0" t="n">
        <v>1</v>
      </c>
      <c r="BO7" s="16" t="n">
        <v>0</v>
      </c>
      <c r="BP7" s="16" t="n">
        <v>0</v>
      </c>
      <c r="BQ7" s="16" t="n">
        <v>0.67</v>
      </c>
      <c r="BR7" s="16" t="n">
        <v>0.65</v>
      </c>
      <c r="BS7" s="16" t="n">
        <v>0</v>
      </c>
      <c r="BT7" s="16" t="n">
        <v>0</v>
      </c>
      <c r="BU7" s="16" t="n">
        <v>0</v>
      </c>
      <c r="BV7" s="0" t="n">
        <v>0</v>
      </c>
    </row>
    <row r="8" customFormat="false" ht="13.8" hidden="false" customHeight="false" outlineLevel="0" collapsed="false">
      <c r="A8" s="0" t="n">
        <v>2</v>
      </c>
      <c r="B8" s="0" t="n">
        <v>43.4360027378508</v>
      </c>
      <c r="C8" s="0" t="n">
        <v>21.968514715948</v>
      </c>
      <c r="D8" s="0" t="n">
        <v>8</v>
      </c>
      <c r="E8" s="0" t="n">
        <v>80</v>
      </c>
      <c r="F8" s="0" t="n">
        <v>1.73</v>
      </c>
      <c r="G8" s="0" t="n">
        <v>26.7299274950717</v>
      </c>
      <c r="H8" s="0" t="n">
        <v>0</v>
      </c>
      <c r="I8" s="0" t="n">
        <v>0</v>
      </c>
      <c r="J8" s="19" t="n">
        <v>0</v>
      </c>
      <c r="K8" s="19" t="n">
        <v>0</v>
      </c>
      <c r="L8" s="19" t="n">
        <v>0</v>
      </c>
      <c r="M8" s="19" t="n">
        <v>0</v>
      </c>
      <c r="N8" s="19" t="n">
        <v>0</v>
      </c>
      <c r="O8" s="19" t="n">
        <v>0</v>
      </c>
      <c r="P8" s="19" t="n">
        <v>0</v>
      </c>
      <c r="Q8" s="19" t="n">
        <v>0</v>
      </c>
      <c r="R8" s="19" t="n">
        <v>0</v>
      </c>
      <c r="S8" s="19" t="n">
        <v>0</v>
      </c>
      <c r="T8" s="19" t="n">
        <v>4</v>
      </c>
      <c r="U8" s="15" t="n">
        <f aca="false">AVERAGE(M8:T8)</f>
        <v>0.5</v>
      </c>
      <c r="V8" s="19" t="n">
        <v>3</v>
      </c>
      <c r="W8" s="19" t="n">
        <v>2</v>
      </c>
      <c r="X8" s="19" t="n">
        <v>5</v>
      </c>
      <c r="Y8" s="19" t="n">
        <v>5</v>
      </c>
      <c r="Z8" s="19" t="n">
        <v>3</v>
      </c>
      <c r="AA8" s="19" t="n">
        <v>4</v>
      </c>
      <c r="AB8" s="19" t="n">
        <v>5</v>
      </c>
      <c r="AC8" s="19" t="n">
        <v>5</v>
      </c>
      <c r="AD8" s="19" t="n">
        <v>3</v>
      </c>
      <c r="AE8" s="19" t="n">
        <v>3</v>
      </c>
      <c r="AF8" s="19" t="n">
        <v>4</v>
      </c>
      <c r="AG8" s="19" t="n">
        <v>5</v>
      </c>
      <c r="AH8" s="19" t="n">
        <v>5</v>
      </c>
      <c r="AI8" s="19" t="n">
        <v>3</v>
      </c>
      <c r="AJ8" s="19" t="n">
        <v>3</v>
      </c>
      <c r="AK8" s="19" t="n">
        <v>4</v>
      </c>
      <c r="AL8" s="19" t="n">
        <v>3</v>
      </c>
      <c r="AM8" s="19" t="n">
        <v>4</v>
      </c>
      <c r="AN8" s="19" t="n">
        <v>4</v>
      </c>
      <c r="AO8" s="19" t="n">
        <v>10</v>
      </c>
      <c r="AP8" s="0" t="n">
        <v>33.5</v>
      </c>
      <c r="AQ8" s="16" t="n">
        <v>91.5</v>
      </c>
      <c r="AR8" s="16" t="n">
        <v>80.4</v>
      </c>
      <c r="AS8" s="16" t="n">
        <v>20</v>
      </c>
      <c r="AT8" s="0" t="n">
        <v>84.58</v>
      </c>
      <c r="AU8" s="17" t="n">
        <v>0</v>
      </c>
      <c r="AV8" s="0" t="n">
        <v>15.42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13.79</v>
      </c>
      <c r="BG8" s="0" t="n">
        <v>2.67</v>
      </c>
      <c r="BH8" s="0" t="n">
        <v>11.54</v>
      </c>
      <c r="BI8" s="0" t="n">
        <v>0</v>
      </c>
      <c r="BJ8" s="0" t="n">
        <v>12.3</v>
      </c>
      <c r="BK8" s="0" t="n">
        <v>2</v>
      </c>
      <c r="BL8" s="0" t="n">
        <v>0</v>
      </c>
      <c r="BM8" s="0" t="n">
        <v>1</v>
      </c>
      <c r="BN8" s="0" t="n">
        <v>0</v>
      </c>
      <c r="BO8" s="16" t="n">
        <v>0.25</v>
      </c>
      <c r="BP8" s="16" t="n">
        <v>1</v>
      </c>
      <c r="BQ8" s="16" t="n">
        <v>0.55</v>
      </c>
      <c r="BR8" s="16" t="n">
        <v>0.55</v>
      </c>
      <c r="BS8" s="16" t="n">
        <v>0</v>
      </c>
      <c r="BT8" s="16" t="n">
        <v>0</v>
      </c>
      <c r="BU8" s="16" t="n">
        <v>0</v>
      </c>
      <c r="BV8" s="0" t="n">
        <v>0</v>
      </c>
    </row>
    <row r="9" customFormat="false" ht="13.8" hidden="false" customHeight="false" outlineLevel="0" collapsed="false">
      <c r="A9" s="24" t="n">
        <v>2</v>
      </c>
      <c r="B9" s="0" t="n">
        <v>30.8336755646817</v>
      </c>
      <c r="C9" s="0" t="n">
        <v>6.49691991786448</v>
      </c>
      <c r="D9" s="0" t="n">
        <v>8</v>
      </c>
      <c r="E9" s="0" t="n">
        <v>65</v>
      </c>
      <c r="F9" s="0" t="n">
        <v>1.71</v>
      </c>
      <c r="G9" s="0" t="n">
        <v>22.2290619335864</v>
      </c>
      <c r="H9" s="0" t="n">
        <v>0</v>
      </c>
      <c r="I9" s="0" t="n">
        <v>0</v>
      </c>
      <c r="J9" s="26" t="n">
        <v>0</v>
      </c>
      <c r="K9" s="26" t="n">
        <v>0</v>
      </c>
      <c r="L9" s="26" t="n">
        <v>0</v>
      </c>
      <c r="M9" s="26" t="n">
        <v>0</v>
      </c>
      <c r="N9" s="26" t="n">
        <v>0</v>
      </c>
      <c r="O9" s="26" t="n">
        <v>0</v>
      </c>
      <c r="P9" s="26" t="n">
        <v>0</v>
      </c>
      <c r="Q9" s="26" t="n">
        <v>0</v>
      </c>
      <c r="R9" s="26" t="n">
        <v>0</v>
      </c>
      <c r="S9" s="26" t="n">
        <v>0</v>
      </c>
      <c r="T9" s="26" t="n">
        <v>0</v>
      </c>
      <c r="U9" s="15" t="n">
        <f aca="false">AVERAGE(M9:T9)</f>
        <v>0</v>
      </c>
      <c r="V9" s="26" t="n">
        <v>4</v>
      </c>
      <c r="W9" s="26" t="n">
        <v>3</v>
      </c>
      <c r="X9" s="26" t="n">
        <v>3</v>
      </c>
      <c r="Y9" s="26" t="n">
        <v>5</v>
      </c>
      <c r="Z9" s="26" t="n">
        <v>4</v>
      </c>
      <c r="AA9" s="26" t="n">
        <v>3</v>
      </c>
      <c r="AB9" s="26" t="n">
        <v>3</v>
      </c>
      <c r="AC9" s="26" t="n">
        <v>5</v>
      </c>
      <c r="AD9" s="26" t="n">
        <v>5</v>
      </c>
      <c r="AE9" s="26" t="n">
        <v>5</v>
      </c>
      <c r="AF9" s="26" t="n">
        <v>4</v>
      </c>
      <c r="AG9" s="26" t="n">
        <v>5</v>
      </c>
      <c r="AH9" s="26" t="n">
        <v>4</v>
      </c>
      <c r="AI9" s="26" t="n">
        <v>4</v>
      </c>
      <c r="AJ9" s="26" t="n">
        <v>4</v>
      </c>
      <c r="AK9" s="26" t="n">
        <v>5</v>
      </c>
      <c r="AL9" s="26" t="n">
        <v>4</v>
      </c>
      <c r="AM9" s="26" t="n">
        <v>4</v>
      </c>
      <c r="AN9" s="26" t="n">
        <v>4</v>
      </c>
      <c r="AO9" s="26" t="n">
        <v>9</v>
      </c>
      <c r="AP9" s="0" t="n">
        <v>64</v>
      </c>
      <c r="AQ9" s="16" t="n">
        <v>74.3</v>
      </c>
      <c r="AR9" s="16" t="n">
        <v>81</v>
      </c>
      <c r="AS9" s="16" t="n">
        <v>58.5</v>
      </c>
      <c r="AT9" s="0" t="n">
        <v>49.17</v>
      </c>
      <c r="AU9" s="0" t="n">
        <v>0</v>
      </c>
      <c r="AV9" s="0" t="n">
        <v>34.45</v>
      </c>
      <c r="AW9" s="0" t="n">
        <v>16.22</v>
      </c>
      <c r="AX9" s="0" t="n">
        <v>0.16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2.52</v>
      </c>
      <c r="BH9" s="0" t="n">
        <v>9.18</v>
      </c>
      <c r="BI9" s="0" t="n">
        <v>0</v>
      </c>
      <c r="BJ9" s="0" t="n">
        <v>0</v>
      </c>
      <c r="BK9" s="0" t="n">
        <v>0</v>
      </c>
      <c r="BL9" s="0" t="n">
        <v>0.3</v>
      </c>
      <c r="BM9" s="0" t="n">
        <v>1</v>
      </c>
      <c r="BN9" s="0" t="n">
        <v>0</v>
      </c>
      <c r="BO9" s="16" t="n">
        <v>2.89</v>
      </c>
      <c r="BP9" s="16" t="n">
        <v>1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0" t="n">
        <v>0</v>
      </c>
    </row>
    <row r="10" customFormat="false" ht="13.8" hidden="false" customHeight="false" outlineLevel="0" collapsed="false">
      <c r="A10" s="0" t="n">
        <v>2</v>
      </c>
      <c r="B10" s="0" t="n">
        <v>35.2991101984942</v>
      </c>
      <c r="C10" s="0" t="n">
        <v>9.94934976043806</v>
      </c>
      <c r="D10" s="0" t="n">
        <v>8</v>
      </c>
      <c r="E10" s="0" t="n">
        <v>92</v>
      </c>
      <c r="F10" s="0" t="n">
        <v>1.78</v>
      </c>
      <c r="G10" s="0" t="n">
        <v>29.0367377856331</v>
      </c>
      <c r="H10" s="0" t="n">
        <v>0</v>
      </c>
      <c r="I10" s="0" t="n">
        <v>0</v>
      </c>
      <c r="J10" s="19" t="n">
        <v>0</v>
      </c>
      <c r="K10" s="19" t="n">
        <v>0</v>
      </c>
      <c r="L10" s="19" t="n">
        <v>1</v>
      </c>
      <c r="M10" s="19" t="n">
        <v>0</v>
      </c>
      <c r="N10" s="19" t="n">
        <v>0</v>
      </c>
      <c r="O10" s="19" t="n">
        <v>0</v>
      </c>
      <c r="P10" s="19" t="n">
        <v>0</v>
      </c>
      <c r="Q10" s="19" t="n">
        <v>0</v>
      </c>
      <c r="R10" s="19" t="n">
        <v>0</v>
      </c>
      <c r="S10" s="19" t="n">
        <v>0</v>
      </c>
      <c r="T10" s="19" t="n">
        <v>0</v>
      </c>
      <c r="U10" s="15" t="n">
        <f aca="false">AVERAGE(M10:T10)</f>
        <v>0</v>
      </c>
      <c r="V10" s="19" t="n">
        <v>3</v>
      </c>
      <c r="W10" s="19" t="n">
        <v>3</v>
      </c>
      <c r="X10" s="19" t="n">
        <v>3</v>
      </c>
      <c r="Y10" s="19" t="n">
        <v>5</v>
      </c>
      <c r="Z10" s="19" t="n">
        <v>3</v>
      </c>
      <c r="AA10" s="19" t="n">
        <v>4</v>
      </c>
      <c r="AB10" s="19" t="n">
        <v>2</v>
      </c>
      <c r="AC10" s="19" t="n">
        <v>3</v>
      </c>
      <c r="AD10" s="19" t="n">
        <v>4</v>
      </c>
      <c r="AE10" s="19" t="n">
        <v>1</v>
      </c>
      <c r="AF10" s="19" t="n">
        <v>4</v>
      </c>
      <c r="AG10" s="19" t="n">
        <v>5</v>
      </c>
      <c r="AH10" s="19" t="n">
        <v>3</v>
      </c>
      <c r="AI10" s="19" t="n">
        <v>4</v>
      </c>
      <c r="AJ10" s="19" t="n">
        <v>4</v>
      </c>
      <c r="AK10" s="19" t="n">
        <v>4</v>
      </c>
      <c r="AL10" s="19" t="n">
        <v>4</v>
      </c>
      <c r="AM10" s="19" t="n">
        <v>3</v>
      </c>
      <c r="AN10" s="19" t="n">
        <v>3</v>
      </c>
      <c r="AO10" s="19" t="n">
        <v>9</v>
      </c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0"/>
      <c r="BO10" s="0"/>
      <c r="BP10" s="15"/>
      <c r="BR10" s="0"/>
      <c r="BT10" s="0"/>
      <c r="BU10" s="15"/>
      <c r="BV10" s="15"/>
    </row>
    <row r="11" customFormat="false" ht="13.8" hidden="false" customHeight="false" outlineLevel="0" collapsed="false">
      <c r="A11" s="0" t="n">
        <v>2</v>
      </c>
      <c r="B11" s="0" t="n">
        <v>30.7323750855578</v>
      </c>
      <c r="C11" s="0" t="n">
        <v>10.5270362765229</v>
      </c>
      <c r="D11" s="0" t="n">
        <v>8</v>
      </c>
      <c r="E11" s="0" t="n">
        <v>75</v>
      </c>
      <c r="F11" s="0" t="n">
        <v>1.75</v>
      </c>
      <c r="G11" s="0" t="n">
        <v>24.4897959183673</v>
      </c>
      <c r="H11" s="0" t="n">
        <v>1</v>
      </c>
      <c r="I11" s="0" t="n">
        <v>1</v>
      </c>
      <c r="J11" s="19" t="n">
        <v>0</v>
      </c>
      <c r="K11" s="19" t="n">
        <v>0</v>
      </c>
      <c r="L11" s="19" t="n">
        <v>0</v>
      </c>
      <c r="M11" s="19"/>
      <c r="N11" s="19"/>
      <c r="O11" s="19" t="n">
        <v>0</v>
      </c>
      <c r="P11" s="19" t="n">
        <v>0</v>
      </c>
      <c r="Q11" s="19" t="n">
        <v>0</v>
      </c>
      <c r="R11" s="19" t="n">
        <v>0</v>
      </c>
      <c r="S11" s="19" t="n">
        <v>0</v>
      </c>
      <c r="T11" s="19" t="n">
        <v>0</v>
      </c>
      <c r="U11" s="15" t="n">
        <f aca="false">AVERAGE(M11:T11)</f>
        <v>0</v>
      </c>
      <c r="V11" s="19" t="n">
        <v>2</v>
      </c>
      <c r="W11" s="19" t="n">
        <v>2</v>
      </c>
      <c r="X11" s="19" t="n">
        <v>4</v>
      </c>
      <c r="Y11" s="19" t="n">
        <v>5</v>
      </c>
      <c r="Z11" s="19" t="n">
        <v>2</v>
      </c>
      <c r="AA11" s="19" t="n">
        <v>2</v>
      </c>
      <c r="AB11" s="19" t="n">
        <v>4</v>
      </c>
      <c r="AC11" s="19" t="n">
        <v>3</v>
      </c>
      <c r="AD11" s="19" t="n">
        <v>3</v>
      </c>
      <c r="AE11" s="19" t="n">
        <v>4</v>
      </c>
      <c r="AF11" s="19" t="n">
        <v>4</v>
      </c>
      <c r="AG11" s="19" t="n">
        <v>5</v>
      </c>
      <c r="AH11" s="19" t="n">
        <v>3</v>
      </c>
      <c r="AI11" s="19" t="n">
        <v>3</v>
      </c>
      <c r="AJ11" s="19" t="n">
        <v>3</v>
      </c>
      <c r="AK11" s="19" t="n">
        <v>4</v>
      </c>
      <c r="AL11" s="19" t="n">
        <v>4</v>
      </c>
      <c r="AM11" s="19" t="n">
        <v>4</v>
      </c>
      <c r="AN11" s="19" t="n">
        <v>4</v>
      </c>
      <c r="AO11" s="19" t="n">
        <v>10</v>
      </c>
      <c r="AP11" s="24" t="n">
        <v>36.5</v>
      </c>
      <c r="AQ11" s="27" t="n">
        <v>88.3</v>
      </c>
      <c r="AR11" s="27" t="n">
        <v>80.4</v>
      </c>
      <c r="AS11" s="27" t="n">
        <v>28.2</v>
      </c>
      <c r="AT11" s="24" t="n">
        <v>73.82</v>
      </c>
      <c r="AU11" s="24" t="n">
        <v>0</v>
      </c>
      <c r="AV11" s="24" t="n">
        <v>25.61</v>
      </c>
      <c r="AW11" s="24" t="n">
        <v>0</v>
      </c>
      <c r="AX11" s="24" t="n">
        <v>0.57</v>
      </c>
      <c r="AY11" s="24" t="n">
        <v>0</v>
      </c>
      <c r="AZ11" s="24" t="n">
        <v>0</v>
      </c>
      <c r="BA11" s="24" t="n">
        <v>0</v>
      </c>
      <c r="BB11" s="24" t="n">
        <v>0</v>
      </c>
      <c r="BC11" s="24" t="n">
        <v>0</v>
      </c>
      <c r="BD11" s="24" t="n">
        <v>0</v>
      </c>
      <c r="BE11" s="24" t="n">
        <v>1.17</v>
      </c>
      <c r="BF11" s="24" t="n">
        <v>31.76</v>
      </c>
      <c r="BG11" s="24" t="n">
        <v>23.3</v>
      </c>
      <c r="BH11" s="24" t="n">
        <v>26.08</v>
      </c>
      <c r="BI11" s="24" t="n">
        <v>0</v>
      </c>
      <c r="BJ11" s="24" t="n">
        <v>0</v>
      </c>
      <c r="BK11" s="24" t="n">
        <v>0</v>
      </c>
      <c r="BL11" s="24" t="n">
        <v>2.1</v>
      </c>
      <c r="BM11" s="24" t="n">
        <v>1</v>
      </c>
      <c r="BN11" s="24" t="n">
        <v>0</v>
      </c>
      <c r="BO11" s="27" t="n">
        <v>1.9</v>
      </c>
      <c r="BP11" s="27" t="n">
        <v>1</v>
      </c>
      <c r="BQ11" s="27" t="n">
        <v>0.57</v>
      </c>
      <c r="BR11" s="27" t="n">
        <v>0.56</v>
      </c>
      <c r="BS11" s="27" t="n">
        <v>0</v>
      </c>
      <c r="BT11" s="27" t="n">
        <v>0</v>
      </c>
      <c r="BU11" s="27" t="n">
        <v>0</v>
      </c>
      <c r="BV11" s="24" t="n">
        <v>0</v>
      </c>
    </row>
    <row r="12" customFormat="false" ht="13.8" hidden="false" customHeight="false" outlineLevel="0" collapsed="false">
      <c r="A12" s="0" t="n">
        <v>2</v>
      </c>
      <c r="B12" s="0" t="n">
        <v>41.2566735112936</v>
      </c>
      <c r="C12" s="0" t="n">
        <v>20.0492813141684</v>
      </c>
      <c r="D12" s="0" t="n">
        <v>8</v>
      </c>
      <c r="E12" s="0" t="n">
        <v>81.2</v>
      </c>
      <c r="F12" s="0" t="n">
        <v>1.77</v>
      </c>
      <c r="G12" s="0" t="n">
        <v>25.9184780873951</v>
      </c>
      <c r="H12" s="0" t="n">
        <v>1</v>
      </c>
      <c r="I12" s="0" t="n">
        <v>1</v>
      </c>
      <c r="J12" s="19" t="n">
        <v>0</v>
      </c>
      <c r="K12" s="19" t="n">
        <v>0</v>
      </c>
      <c r="L12" s="19" t="n">
        <v>0</v>
      </c>
      <c r="M12" s="19" t="n">
        <v>0</v>
      </c>
      <c r="N12" s="19" t="n">
        <v>0</v>
      </c>
      <c r="O12" s="19" t="n">
        <v>0</v>
      </c>
      <c r="P12" s="19" t="n">
        <v>0</v>
      </c>
      <c r="Q12" s="19" t="n">
        <v>0</v>
      </c>
      <c r="R12" s="19" t="n">
        <v>0</v>
      </c>
      <c r="S12" s="19" t="n">
        <v>0</v>
      </c>
      <c r="T12" s="19" t="n">
        <v>0</v>
      </c>
      <c r="U12" s="15" t="n">
        <f aca="false">AVERAGE(M12:T12)</f>
        <v>0</v>
      </c>
      <c r="V12" s="19" t="n">
        <v>1</v>
      </c>
      <c r="W12" s="19" t="n">
        <v>2</v>
      </c>
      <c r="X12" s="19" t="n">
        <v>1</v>
      </c>
      <c r="Y12" s="19" t="n">
        <v>5</v>
      </c>
      <c r="Z12" s="19" t="n">
        <v>3</v>
      </c>
      <c r="AA12" s="19" t="n">
        <v>3</v>
      </c>
      <c r="AB12" s="19" t="n">
        <v>3</v>
      </c>
      <c r="AC12" s="19" t="n">
        <v>4</v>
      </c>
      <c r="AD12" s="19" t="n">
        <v>4</v>
      </c>
      <c r="AE12" s="19" t="n">
        <v>4</v>
      </c>
      <c r="AF12" s="19" t="n">
        <v>4</v>
      </c>
      <c r="AG12" s="19" t="n">
        <v>4</v>
      </c>
      <c r="AH12" s="19" t="n">
        <v>4</v>
      </c>
      <c r="AI12" s="19" t="n">
        <v>4</v>
      </c>
      <c r="AJ12" s="19" t="n">
        <v>4</v>
      </c>
      <c r="AK12" s="19" t="n">
        <v>5</v>
      </c>
      <c r="AL12" s="19" t="n">
        <v>5</v>
      </c>
      <c r="AM12" s="19" t="n">
        <v>5</v>
      </c>
      <c r="AN12" s="19" t="n">
        <v>5</v>
      </c>
      <c r="AO12" s="19" t="n">
        <v>10</v>
      </c>
      <c r="AP12" s="0" t="n">
        <v>30</v>
      </c>
      <c r="AQ12" s="16" t="n">
        <v>85.5</v>
      </c>
      <c r="AR12" s="16" t="n">
        <v>81</v>
      </c>
      <c r="AS12" s="16" t="n">
        <v>15.2</v>
      </c>
      <c r="AT12" s="0" t="n">
        <v>87.44</v>
      </c>
      <c r="AU12" s="0" t="n">
        <v>0</v>
      </c>
      <c r="AV12" s="0" t="n">
        <v>0.94</v>
      </c>
      <c r="AW12" s="0" t="n">
        <v>1.97</v>
      </c>
      <c r="AX12" s="0" t="n">
        <v>9.65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2.71</v>
      </c>
      <c r="BF12" s="0" t="n">
        <v>0.6</v>
      </c>
      <c r="BG12" s="0" t="n">
        <v>2.17</v>
      </c>
      <c r="BH12" s="0" t="n">
        <v>5.97</v>
      </c>
      <c r="BI12" s="0" t="n">
        <v>2.65</v>
      </c>
      <c r="BJ12" s="0" t="n">
        <v>0</v>
      </c>
      <c r="BK12" s="0" t="n">
        <v>0</v>
      </c>
      <c r="BL12" s="0" t="n">
        <v>10.6</v>
      </c>
      <c r="BM12" s="0" t="n">
        <v>1</v>
      </c>
      <c r="BN12" s="0" t="n">
        <v>0</v>
      </c>
      <c r="BO12" s="16" t="n">
        <v>0</v>
      </c>
      <c r="BP12" s="16" t="n">
        <v>0</v>
      </c>
      <c r="BQ12" s="16" t="n">
        <v>4.17</v>
      </c>
      <c r="BR12" s="16" t="n">
        <v>2.54</v>
      </c>
      <c r="BS12" s="16" t="n">
        <v>0</v>
      </c>
      <c r="BT12" s="16" t="n">
        <v>0</v>
      </c>
      <c r="BU12" s="16" t="n">
        <v>0</v>
      </c>
      <c r="BV12" s="0" t="n">
        <v>0</v>
      </c>
    </row>
    <row r="13" customFormat="false" ht="13.8" hidden="false" customHeight="false" outlineLevel="0" collapsed="false">
      <c r="A13" s="0" t="n">
        <v>2</v>
      </c>
      <c r="B13" s="0" t="n">
        <v>42.3518138261465</v>
      </c>
      <c r="C13" s="0" t="n">
        <v>21.4483230663929</v>
      </c>
      <c r="D13" s="0" t="n">
        <v>8</v>
      </c>
      <c r="E13" s="0" t="n">
        <v>71</v>
      </c>
      <c r="F13" s="0" t="n">
        <v>1.74</v>
      </c>
      <c r="G13" s="0" t="n">
        <v>23.4509182190514</v>
      </c>
      <c r="H13" s="0" t="n">
        <v>0</v>
      </c>
      <c r="I13" s="0" t="n">
        <v>0</v>
      </c>
      <c r="J13" s="19" t="n">
        <v>1</v>
      </c>
      <c r="K13" s="19" t="n">
        <v>0</v>
      </c>
      <c r="L13" s="19" t="n">
        <v>1</v>
      </c>
      <c r="M13" s="19" t="n">
        <v>0</v>
      </c>
      <c r="N13" s="19" t="n">
        <v>5</v>
      </c>
      <c r="O13" s="19" t="n">
        <v>5</v>
      </c>
      <c r="P13" s="19" t="n">
        <v>0</v>
      </c>
      <c r="Q13" s="19" t="n">
        <v>6</v>
      </c>
      <c r="R13" s="19" t="n">
        <v>6</v>
      </c>
      <c r="S13" s="19" t="n">
        <v>0</v>
      </c>
      <c r="T13" s="19" t="n">
        <v>5</v>
      </c>
      <c r="U13" s="15" t="n">
        <f aca="false">AVERAGE(M13:T13)</f>
        <v>3.375</v>
      </c>
      <c r="V13" s="19" t="n">
        <v>3</v>
      </c>
      <c r="W13" s="19" t="n">
        <v>2</v>
      </c>
      <c r="X13" s="19" t="n">
        <v>4</v>
      </c>
      <c r="Y13" s="19" t="n">
        <v>4</v>
      </c>
      <c r="Z13" s="19" t="n">
        <v>4</v>
      </c>
      <c r="AA13" s="19" t="n">
        <v>4</v>
      </c>
      <c r="AB13" s="19" t="n">
        <v>4</v>
      </c>
      <c r="AC13" s="19" t="n">
        <v>4</v>
      </c>
      <c r="AD13" s="19" t="n">
        <v>3</v>
      </c>
      <c r="AE13" s="19" t="n">
        <v>3</v>
      </c>
      <c r="AF13" s="19" t="n">
        <v>3</v>
      </c>
      <c r="AG13" s="19" t="n">
        <v>5</v>
      </c>
      <c r="AH13" s="19" t="n">
        <v>4</v>
      </c>
      <c r="AI13" s="19" t="n">
        <v>4</v>
      </c>
      <c r="AJ13" s="19" t="n">
        <v>5</v>
      </c>
      <c r="AK13" s="19" t="n">
        <v>5</v>
      </c>
      <c r="AL13" s="19" t="n">
        <v>5</v>
      </c>
      <c r="AM13" s="19" t="n">
        <v>5</v>
      </c>
      <c r="AN13" s="19" t="n">
        <v>5</v>
      </c>
      <c r="AO13" s="19" t="n">
        <v>9</v>
      </c>
      <c r="AP13" s="0" t="n">
        <v>55.5</v>
      </c>
      <c r="AQ13" s="16" t="n">
        <v>63.8</v>
      </c>
      <c r="AR13" s="16" t="n">
        <v>80.4</v>
      </c>
      <c r="AS13" s="16" t="n">
        <v>27.2</v>
      </c>
      <c r="AT13" s="0" t="n">
        <v>64.1</v>
      </c>
      <c r="AU13" s="17" t="n">
        <v>0</v>
      </c>
      <c r="AV13" s="0" t="n">
        <v>0</v>
      </c>
      <c r="AW13" s="0" t="n">
        <v>0</v>
      </c>
      <c r="AX13" s="0" t="n">
        <v>35.9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5.71</v>
      </c>
      <c r="BF13" s="0" t="n">
        <v>22.43</v>
      </c>
      <c r="BG13" s="0" t="n">
        <v>14.12</v>
      </c>
      <c r="BH13" s="0" t="n">
        <v>15.78</v>
      </c>
      <c r="BI13" s="0" t="n">
        <v>0</v>
      </c>
      <c r="BJ13" s="0" t="n">
        <v>0</v>
      </c>
      <c r="BK13" s="0" t="n">
        <v>0</v>
      </c>
      <c r="BL13" s="0" t="n">
        <v>26.2</v>
      </c>
      <c r="BM13" s="0" t="n">
        <v>1</v>
      </c>
      <c r="BN13" s="0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0" t="n">
        <v>0</v>
      </c>
    </row>
    <row r="14" customFormat="false" ht="13.8" hidden="false" customHeight="false" outlineLevel="0" collapsed="false">
      <c r="A14" s="0" t="n">
        <v>2</v>
      </c>
      <c r="B14" s="0" t="n">
        <v>38.1711156741958</v>
      </c>
      <c r="C14" s="0" t="n">
        <v>10.3162217659138</v>
      </c>
      <c r="D14" s="0" t="n">
        <v>8</v>
      </c>
      <c r="E14" s="0" t="n">
        <v>83</v>
      </c>
      <c r="F14" s="0" t="n">
        <v>1.77</v>
      </c>
      <c r="G14" s="0" t="n">
        <v>26.4930256312043</v>
      </c>
      <c r="H14" s="0" t="n">
        <v>0</v>
      </c>
      <c r="I14" s="0" t="n">
        <v>0</v>
      </c>
      <c r="J14" s="19" t="n">
        <v>0</v>
      </c>
      <c r="K14" s="19" t="n">
        <v>1</v>
      </c>
      <c r="L14" s="19" t="n">
        <v>0</v>
      </c>
      <c r="M14" s="19" t="n">
        <v>0</v>
      </c>
      <c r="N14" s="19" t="n">
        <v>0</v>
      </c>
      <c r="O14" s="19" t="n">
        <v>0</v>
      </c>
      <c r="P14" s="19" t="n">
        <v>0</v>
      </c>
      <c r="Q14" s="19" t="n">
        <v>0</v>
      </c>
      <c r="R14" s="19" t="n">
        <v>0</v>
      </c>
      <c r="S14" s="19" t="n">
        <v>0</v>
      </c>
      <c r="T14" s="19" t="n">
        <v>0</v>
      </c>
      <c r="U14" s="15" t="n">
        <f aca="false">AVERAGE(M14:T14)</f>
        <v>0</v>
      </c>
      <c r="V14" s="19" t="n">
        <v>3</v>
      </c>
      <c r="W14" s="19" t="n">
        <v>3</v>
      </c>
      <c r="X14" s="19" t="n">
        <v>3</v>
      </c>
      <c r="Y14" s="19" t="n">
        <v>5</v>
      </c>
      <c r="Z14" s="19" t="n">
        <v>3</v>
      </c>
      <c r="AA14" s="19" t="n">
        <v>2</v>
      </c>
      <c r="AB14" s="19" t="n">
        <v>5</v>
      </c>
      <c r="AC14" s="19" t="n">
        <v>5</v>
      </c>
      <c r="AD14" s="19" t="n">
        <v>5</v>
      </c>
      <c r="AE14" s="19" t="n">
        <v>4</v>
      </c>
      <c r="AF14" s="19" t="n">
        <v>4</v>
      </c>
      <c r="AG14" s="19" t="n">
        <v>5</v>
      </c>
      <c r="AH14" s="19" t="n">
        <v>3</v>
      </c>
      <c r="AI14" s="19" t="n">
        <v>4</v>
      </c>
      <c r="AJ14" s="19" t="n">
        <v>4</v>
      </c>
      <c r="AK14" s="19" t="n">
        <v>4</v>
      </c>
      <c r="AL14" s="19" t="n">
        <v>4</v>
      </c>
      <c r="AM14" s="19" t="n">
        <v>4</v>
      </c>
      <c r="AN14" s="19" t="n">
        <v>4</v>
      </c>
      <c r="AO14" s="19" t="n">
        <v>10</v>
      </c>
      <c r="AP14" s="0" t="n">
        <v>19.5</v>
      </c>
      <c r="AQ14" s="16" t="n">
        <v>74.3</v>
      </c>
      <c r="AR14" s="16" t="n">
        <v>80.4</v>
      </c>
      <c r="AS14" s="16" t="n">
        <v>7.8</v>
      </c>
      <c r="AT14" s="0" t="n">
        <v>89.52</v>
      </c>
      <c r="AU14" s="0" t="n">
        <v>8.69</v>
      </c>
      <c r="AV14" s="0" t="n">
        <v>1.79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18.73</v>
      </c>
      <c r="BG14" s="0" t="n">
        <v>9.35</v>
      </c>
      <c r="BH14" s="0" t="n">
        <v>0</v>
      </c>
      <c r="BI14" s="0" t="n">
        <v>0</v>
      </c>
      <c r="BJ14" s="0" t="n">
        <v>0</v>
      </c>
      <c r="BK14" s="0"/>
      <c r="BL14" s="0" t="n">
        <v>3.92</v>
      </c>
      <c r="BM14" s="0" t="n">
        <v>1</v>
      </c>
      <c r="BN14" s="0" t="n">
        <v>1</v>
      </c>
      <c r="BO14" s="16" t="n">
        <v>2.24</v>
      </c>
      <c r="BP14" s="16" t="n">
        <v>1</v>
      </c>
      <c r="BQ14" s="16" t="n">
        <v>5.49</v>
      </c>
      <c r="BR14" s="16" t="n">
        <v>7.22</v>
      </c>
      <c r="BS14" s="16" t="n">
        <v>0</v>
      </c>
      <c r="BT14" s="16" t="n">
        <v>0</v>
      </c>
      <c r="BU14" s="16" t="n">
        <v>0</v>
      </c>
      <c r="BV14" s="0" t="n">
        <v>0</v>
      </c>
    </row>
    <row r="15" customFormat="false" ht="13.8" hidden="false" customHeight="false" outlineLevel="0" collapsed="false">
      <c r="A15" s="24" t="n">
        <v>2</v>
      </c>
      <c r="B15" s="0" t="n">
        <v>51.1649555099247</v>
      </c>
      <c r="C15" s="0" t="n">
        <v>22.0369609856263</v>
      </c>
      <c r="D15" s="0" t="n">
        <v>8</v>
      </c>
      <c r="E15" s="0" t="n">
        <v>83</v>
      </c>
      <c r="F15" s="0" t="n">
        <v>1.88</v>
      </c>
      <c r="G15" s="0" t="n">
        <v>23.4834766862834</v>
      </c>
      <c r="H15" s="0" t="n">
        <v>0</v>
      </c>
      <c r="I15" s="0" t="n">
        <v>0</v>
      </c>
      <c r="J15" s="26" t="n">
        <v>1</v>
      </c>
      <c r="K15" s="26" t="n">
        <v>1</v>
      </c>
      <c r="L15" s="26" t="n">
        <v>0</v>
      </c>
      <c r="M15" s="26" t="n">
        <v>0</v>
      </c>
      <c r="N15" s="26" t="n">
        <v>0</v>
      </c>
      <c r="O15" s="26" t="n">
        <v>0</v>
      </c>
      <c r="P15" s="26" t="n">
        <v>0</v>
      </c>
      <c r="Q15" s="26" t="n">
        <v>4</v>
      </c>
      <c r="R15" s="26" t="n">
        <v>0</v>
      </c>
      <c r="S15" s="26" t="n">
        <v>0</v>
      </c>
      <c r="T15" s="26" t="n">
        <v>3</v>
      </c>
      <c r="U15" s="15" t="n">
        <f aca="false">AVERAGE(M15:T15)</f>
        <v>0.875</v>
      </c>
      <c r="V15" s="26" t="n">
        <v>2</v>
      </c>
      <c r="W15" s="26" t="n">
        <v>2</v>
      </c>
      <c r="X15" s="26" t="n">
        <v>3</v>
      </c>
      <c r="Y15" s="26" t="n">
        <v>5</v>
      </c>
      <c r="Z15" s="26" t="n">
        <v>4</v>
      </c>
      <c r="AA15" s="26" t="n">
        <v>4</v>
      </c>
      <c r="AB15" s="26" t="n">
        <v>4</v>
      </c>
      <c r="AC15" s="26" t="n">
        <v>4</v>
      </c>
      <c r="AD15" s="26" t="n">
        <v>4</v>
      </c>
      <c r="AE15" s="26" t="n">
        <v>4</v>
      </c>
      <c r="AF15" s="26" t="n">
        <v>4</v>
      </c>
      <c r="AG15" s="26" t="n">
        <v>4</v>
      </c>
      <c r="AH15" s="26" t="n">
        <v>3</v>
      </c>
      <c r="AI15" s="26" t="n">
        <v>4</v>
      </c>
      <c r="AJ15" s="26" t="n">
        <v>4</v>
      </c>
      <c r="AK15" s="26" t="n">
        <v>5</v>
      </c>
      <c r="AL15" s="26" t="n">
        <v>4</v>
      </c>
      <c r="AM15" s="26" t="n">
        <v>4</v>
      </c>
      <c r="AN15" s="26" t="n">
        <v>4</v>
      </c>
      <c r="AO15" s="26" t="n">
        <v>10</v>
      </c>
      <c r="AP15" s="24" t="n">
        <v>70</v>
      </c>
      <c r="AQ15" s="27" t="n">
        <v>79.8</v>
      </c>
      <c r="AR15" s="27" t="n">
        <v>80.4</v>
      </c>
      <c r="AS15" s="27" t="n">
        <v>62.1</v>
      </c>
      <c r="AT15" s="24" t="n">
        <v>39.51</v>
      </c>
      <c r="AU15" s="29" t="n">
        <v>0</v>
      </c>
      <c r="AV15" s="24" t="n">
        <v>47.45</v>
      </c>
      <c r="AW15" s="24" t="n">
        <v>13.05</v>
      </c>
      <c r="AX15" s="24" t="n">
        <v>0</v>
      </c>
      <c r="AY15" s="24" t="n">
        <v>0</v>
      </c>
      <c r="AZ15" s="24" t="n">
        <v>0</v>
      </c>
      <c r="BA15" s="24" t="n">
        <v>0</v>
      </c>
      <c r="BB15" s="24" t="n">
        <v>0</v>
      </c>
      <c r="BC15" s="24" t="n">
        <v>0</v>
      </c>
      <c r="BD15" s="24" t="n">
        <v>0</v>
      </c>
      <c r="BE15" s="24" t="n">
        <v>0</v>
      </c>
      <c r="BF15" s="24" t="n">
        <v>0</v>
      </c>
      <c r="BG15" s="24" t="n">
        <v>30.76</v>
      </c>
      <c r="BH15" s="24" t="n">
        <v>14.19</v>
      </c>
      <c r="BI15" s="24" t="n">
        <v>0</v>
      </c>
      <c r="BJ15" s="24" t="n">
        <v>0</v>
      </c>
      <c r="BK15" s="24" t="n">
        <v>0</v>
      </c>
      <c r="BL15" s="24" t="n">
        <v>0.3</v>
      </c>
      <c r="BM15" s="24" t="n">
        <v>1</v>
      </c>
      <c r="BN15" s="24" t="n">
        <v>0</v>
      </c>
      <c r="BO15" s="27" t="n">
        <v>0.63</v>
      </c>
      <c r="BP15" s="27" t="n">
        <v>1</v>
      </c>
      <c r="BQ15" s="27" t="n">
        <v>3.55</v>
      </c>
      <c r="BR15" s="27" t="n">
        <v>4.46</v>
      </c>
      <c r="BS15" s="27" t="n">
        <v>0</v>
      </c>
      <c r="BT15" s="27" t="n">
        <v>0</v>
      </c>
      <c r="BU15" s="27" t="n">
        <v>0</v>
      </c>
      <c r="BV15" s="24" t="n">
        <v>0</v>
      </c>
    </row>
    <row r="16" customFormat="false" ht="13.8" hidden="false" customHeight="false" outlineLevel="0" collapsed="false">
      <c r="A16" s="24" t="n">
        <v>2</v>
      </c>
      <c r="B16" s="0" t="n">
        <v>43.813826146475</v>
      </c>
      <c r="C16" s="0" t="n">
        <v>19.9096509240246</v>
      </c>
      <c r="D16" s="0" t="n">
        <v>8</v>
      </c>
      <c r="E16" s="0" t="n">
        <v>75</v>
      </c>
      <c r="F16" s="0" t="n">
        <v>1.73</v>
      </c>
      <c r="G16" s="0" t="n">
        <v>25.0593070266297</v>
      </c>
      <c r="H16" s="0" t="n">
        <v>0</v>
      </c>
      <c r="I16" s="0" t="n">
        <v>0</v>
      </c>
      <c r="J16" s="26" t="n">
        <v>0</v>
      </c>
      <c r="K16" s="26" t="n">
        <v>1</v>
      </c>
      <c r="L16" s="26" t="n">
        <v>1</v>
      </c>
      <c r="M16" s="26" t="n">
        <v>0</v>
      </c>
      <c r="N16" s="26" t="n">
        <v>0</v>
      </c>
      <c r="O16" s="26" t="n">
        <v>0</v>
      </c>
      <c r="P16" s="26" t="n">
        <v>0</v>
      </c>
      <c r="Q16" s="26"/>
      <c r="R16" s="26" t="n">
        <v>0</v>
      </c>
      <c r="S16" s="26" t="n">
        <v>0</v>
      </c>
      <c r="T16" s="26" t="n">
        <v>0</v>
      </c>
      <c r="U16" s="15" t="n">
        <f aca="false">AVERAGE(M16:T16)</f>
        <v>0</v>
      </c>
      <c r="V16" s="26" t="n">
        <v>3</v>
      </c>
      <c r="W16" s="26" t="n">
        <v>2</v>
      </c>
      <c r="X16" s="26" t="n">
        <v>3</v>
      </c>
      <c r="Y16" s="26" t="n">
        <v>5</v>
      </c>
      <c r="Z16" s="26" t="n">
        <v>2</v>
      </c>
      <c r="AA16" s="26" t="n">
        <v>4</v>
      </c>
      <c r="AB16" s="26" t="n">
        <v>2</v>
      </c>
      <c r="AC16" s="26" t="n">
        <v>2</v>
      </c>
      <c r="AD16" s="26" t="n">
        <v>2</v>
      </c>
      <c r="AE16" s="26" t="n">
        <v>3</v>
      </c>
      <c r="AF16" s="26" t="n">
        <v>4</v>
      </c>
      <c r="AG16" s="26" t="n">
        <v>5</v>
      </c>
      <c r="AH16" s="26" t="n">
        <v>4</v>
      </c>
      <c r="AI16" s="26" t="n">
        <v>3</v>
      </c>
      <c r="AJ16" s="26" t="n">
        <v>3</v>
      </c>
      <c r="AK16" s="26" t="n">
        <v>4</v>
      </c>
      <c r="AL16" s="26" t="n">
        <v>2</v>
      </c>
      <c r="AM16" s="26" t="n">
        <v>4</v>
      </c>
      <c r="AN16" s="26" t="n">
        <v>3</v>
      </c>
      <c r="AO16" s="26" t="n">
        <v>8</v>
      </c>
      <c r="AP16" s="24" t="n">
        <v>36.5</v>
      </c>
      <c r="AQ16" s="27" t="n">
        <v>88.3</v>
      </c>
      <c r="AR16" s="27" t="n">
        <v>80.4</v>
      </c>
      <c r="AS16" s="27" t="n">
        <v>28.2</v>
      </c>
      <c r="AT16" s="24" t="n">
        <v>73.82</v>
      </c>
      <c r="AU16" s="24" t="n">
        <v>0</v>
      </c>
      <c r="AV16" s="24" t="n">
        <v>25.61</v>
      </c>
      <c r="AW16" s="24" t="n">
        <v>0</v>
      </c>
      <c r="AX16" s="24" t="n">
        <v>0.57</v>
      </c>
      <c r="AY16" s="24" t="n">
        <v>0</v>
      </c>
      <c r="AZ16" s="24" t="n">
        <v>0</v>
      </c>
      <c r="BA16" s="24" t="n">
        <v>0</v>
      </c>
      <c r="BB16" s="24" t="n">
        <v>0</v>
      </c>
      <c r="BC16" s="24" t="n">
        <v>0</v>
      </c>
      <c r="BD16" s="24" t="n">
        <v>0</v>
      </c>
      <c r="BE16" s="24" t="n">
        <v>1.17</v>
      </c>
      <c r="BF16" s="24" t="n">
        <v>31.76</v>
      </c>
      <c r="BG16" s="24" t="n">
        <v>23.3</v>
      </c>
      <c r="BH16" s="24" t="n">
        <v>26.08</v>
      </c>
      <c r="BI16" s="24" t="n">
        <v>0</v>
      </c>
      <c r="BJ16" s="24" t="n">
        <v>0</v>
      </c>
      <c r="BK16" s="24" t="n">
        <v>0</v>
      </c>
      <c r="BL16" s="24" t="n">
        <v>2.1</v>
      </c>
      <c r="BM16" s="24" t="n">
        <v>1</v>
      </c>
      <c r="BN16" s="24" t="n">
        <v>0</v>
      </c>
      <c r="BO16" s="27" t="n">
        <v>1.9</v>
      </c>
      <c r="BP16" s="27" t="n">
        <v>1</v>
      </c>
      <c r="BQ16" s="27" t="n">
        <v>0.57</v>
      </c>
      <c r="BR16" s="27" t="n">
        <v>0.56</v>
      </c>
      <c r="BS16" s="27" t="n">
        <v>0</v>
      </c>
      <c r="BT16" s="27" t="n">
        <v>0</v>
      </c>
      <c r="BU16" s="27" t="n">
        <v>0</v>
      </c>
      <c r="BV16" s="24" t="n">
        <v>0</v>
      </c>
    </row>
    <row r="17" customFormat="false" ht="13.8" hidden="false" customHeight="false" outlineLevel="0" collapsed="false">
      <c r="A17" s="0" t="n">
        <v>2</v>
      </c>
      <c r="B17" s="0" t="n">
        <v>41.1745379876797</v>
      </c>
      <c r="C17" s="0" t="n">
        <v>18.7077344284737</v>
      </c>
      <c r="D17" s="0" t="n">
        <v>8</v>
      </c>
      <c r="E17" s="0" t="n">
        <v>81</v>
      </c>
      <c r="F17" s="0" t="n">
        <v>1.73</v>
      </c>
      <c r="G17" s="0" t="n">
        <v>27.0640515887601</v>
      </c>
      <c r="H17" s="0" t="n">
        <v>1</v>
      </c>
      <c r="I17" s="0" t="n">
        <v>1</v>
      </c>
      <c r="J17" s="19" t="n">
        <v>0</v>
      </c>
      <c r="K17" s="19" t="n">
        <v>2</v>
      </c>
      <c r="L17" s="19" t="n">
        <v>0</v>
      </c>
      <c r="M17" s="19" t="n">
        <v>0</v>
      </c>
      <c r="N17" s="19" t="n">
        <v>0</v>
      </c>
      <c r="O17" s="19" t="n">
        <v>0</v>
      </c>
      <c r="P17" s="19" t="n">
        <v>0</v>
      </c>
      <c r="Q17" s="19" t="n">
        <v>0</v>
      </c>
      <c r="R17" s="19" t="n">
        <v>0</v>
      </c>
      <c r="S17" s="19" t="n">
        <v>0</v>
      </c>
      <c r="T17" s="19" t="n">
        <v>0</v>
      </c>
      <c r="U17" s="15" t="n">
        <f aca="false">AVERAGE(M17:T17)</f>
        <v>0</v>
      </c>
      <c r="V17" s="19" t="n">
        <v>3</v>
      </c>
      <c r="W17" s="19" t="n">
        <v>2</v>
      </c>
      <c r="X17" s="19" t="n">
        <v>3</v>
      </c>
      <c r="Y17" s="19" t="n">
        <v>4</v>
      </c>
      <c r="Z17" s="19" t="n">
        <v>3</v>
      </c>
      <c r="AA17" s="19" t="n">
        <v>2</v>
      </c>
      <c r="AB17" s="19" t="n">
        <v>3</v>
      </c>
      <c r="AC17" s="19" t="n">
        <v>4</v>
      </c>
      <c r="AD17" s="19" t="n">
        <v>3</v>
      </c>
      <c r="AE17" s="19" t="n">
        <v>4</v>
      </c>
      <c r="AF17" s="19" t="n">
        <v>4</v>
      </c>
      <c r="AG17" s="19" t="n">
        <v>4</v>
      </c>
      <c r="AH17" s="19" t="n">
        <v>3</v>
      </c>
      <c r="AI17" s="19" t="n">
        <v>3</v>
      </c>
      <c r="AJ17" s="19" t="n">
        <v>3</v>
      </c>
      <c r="AK17" s="19" t="n">
        <v>4</v>
      </c>
      <c r="AL17" s="19" t="n">
        <v>3</v>
      </c>
      <c r="AM17" s="19" t="n">
        <v>3</v>
      </c>
      <c r="AN17" s="19" t="n">
        <v>3</v>
      </c>
      <c r="AO17" s="19" t="n">
        <v>5</v>
      </c>
      <c r="AP17" s="0" t="n">
        <v>19.5</v>
      </c>
      <c r="AQ17" s="16" t="n">
        <v>74.3</v>
      </c>
      <c r="AR17" s="16" t="n">
        <v>80.4</v>
      </c>
      <c r="AS17" s="16" t="n">
        <v>7.8</v>
      </c>
      <c r="AT17" s="0" t="n">
        <v>89.52</v>
      </c>
      <c r="AU17" s="0" t="n">
        <v>8.69</v>
      </c>
      <c r="AV17" s="0" t="n">
        <v>1.79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18.73</v>
      </c>
      <c r="BG17" s="0" t="n">
        <v>9.35</v>
      </c>
      <c r="BH17" s="0" t="n">
        <v>0</v>
      </c>
      <c r="BI17" s="0" t="n">
        <v>0</v>
      </c>
      <c r="BJ17" s="0" t="n">
        <v>0</v>
      </c>
      <c r="BK17" s="0"/>
      <c r="BL17" s="0" t="n">
        <v>3.92</v>
      </c>
      <c r="BM17" s="0" t="n">
        <v>1</v>
      </c>
      <c r="BN17" s="0" t="n">
        <v>1</v>
      </c>
      <c r="BO17" s="16" t="n">
        <v>2.24</v>
      </c>
      <c r="BP17" s="16" t="n">
        <v>1</v>
      </c>
      <c r="BQ17" s="16" t="n">
        <v>5.49</v>
      </c>
      <c r="BR17" s="16" t="n">
        <v>7.22</v>
      </c>
      <c r="BS17" s="16" t="n">
        <v>0</v>
      </c>
      <c r="BT17" s="16" t="n">
        <v>0</v>
      </c>
      <c r="BU17" s="16" t="n">
        <v>0</v>
      </c>
      <c r="BV17" s="0" t="n">
        <v>0</v>
      </c>
    </row>
    <row r="18" customFormat="false" ht="13.8" hidden="false" customHeight="false" outlineLevel="0" collapsed="false">
      <c r="A18" s="0" t="n">
        <v>2</v>
      </c>
      <c r="B18" s="0" t="n">
        <v>46.9130732375086</v>
      </c>
      <c r="C18" s="0" t="n">
        <v>19.9123887748118</v>
      </c>
      <c r="D18" s="0" t="n">
        <v>8</v>
      </c>
      <c r="E18" s="0" t="n">
        <v>88</v>
      </c>
      <c r="F18" s="0" t="n">
        <v>1.75</v>
      </c>
      <c r="G18" s="0" t="n">
        <v>28.734693877551</v>
      </c>
      <c r="H18" s="0" t="n">
        <v>0</v>
      </c>
      <c r="I18" s="0" t="n">
        <v>0</v>
      </c>
      <c r="J18" s="19" t="n">
        <v>0</v>
      </c>
      <c r="K18" s="19" t="n">
        <v>0</v>
      </c>
      <c r="L18" s="19" t="n">
        <v>0</v>
      </c>
      <c r="M18" s="19" t="n">
        <v>0</v>
      </c>
      <c r="N18" s="19" t="n">
        <v>0</v>
      </c>
      <c r="O18" s="19" t="n">
        <v>0</v>
      </c>
      <c r="P18" s="19" t="n">
        <v>0</v>
      </c>
      <c r="Q18" s="19" t="n">
        <v>0</v>
      </c>
      <c r="R18" s="19" t="n">
        <v>0</v>
      </c>
      <c r="S18" s="19" t="n">
        <v>0</v>
      </c>
      <c r="T18" s="19" t="n">
        <v>0</v>
      </c>
      <c r="U18" s="15" t="n">
        <f aca="false">AVERAGE(M18:T18)</f>
        <v>0</v>
      </c>
      <c r="V18" s="19" t="n">
        <v>2</v>
      </c>
      <c r="W18" s="19" t="n">
        <v>2</v>
      </c>
      <c r="X18" s="19" t="n">
        <v>4</v>
      </c>
      <c r="Y18" s="19" t="n">
        <v>4</v>
      </c>
      <c r="Z18" s="19" t="n">
        <v>4</v>
      </c>
      <c r="AA18" s="19" t="n">
        <v>4</v>
      </c>
      <c r="AB18" s="19" t="n">
        <v>4</v>
      </c>
      <c r="AC18" s="19" t="n">
        <v>4</v>
      </c>
      <c r="AD18" s="19" t="n">
        <v>4</v>
      </c>
      <c r="AE18" s="19" t="n">
        <v>3</v>
      </c>
      <c r="AF18" s="19" t="n">
        <v>3</v>
      </c>
      <c r="AG18" s="19" t="n">
        <v>5</v>
      </c>
      <c r="AH18" s="19" t="n">
        <v>3</v>
      </c>
      <c r="AI18" s="19" t="n">
        <v>4</v>
      </c>
      <c r="AJ18" s="19" t="n">
        <v>4</v>
      </c>
      <c r="AK18" s="19" t="n">
        <v>4</v>
      </c>
      <c r="AL18" s="19" t="n">
        <v>3</v>
      </c>
      <c r="AM18" s="19" t="n">
        <v>3</v>
      </c>
      <c r="AN18" s="19" t="n">
        <v>4</v>
      </c>
      <c r="AO18" s="19" t="n">
        <v>10</v>
      </c>
      <c r="AP18" s="0" t="n">
        <v>17.5</v>
      </c>
      <c r="AQ18" s="16" t="n">
        <v>81.9</v>
      </c>
      <c r="AR18" s="16" t="n">
        <v>80.4</v>
      </c>
      <c r="AS18" s="16" t="n">
        <v>12.5</v>
      </c>
      <c r="AT18" s="0" t="n">
        <v>85.79</v>
      </c>
      <c r="AU18" s="17" t="n">
        <v>0</v>
      </c>
      <c r="AV18" s="0" t="n">
        <v>10.02</v>
      </c>
      <c r="AW18" s="0" t="n">
        <v>0</v>
      </c>
      <c r="AX18" s="0" t="n">
        <v>0</v>
      </c>
      <c r="AY18" s="0" t="n">
        <v>0</v>
      </c>
      <c r="AZ18" s="0" t="n">
        <v>4.19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53.51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16" t="n">
        <v>3.38</v>
      </c>
      <c r="BP18" s="16" t="n">
        <v>1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0" t="n">
        <v>0</v>
      </c>
    </row>
    <row r="19" customFormat="false" ht="13.8" hidden="false" customHeight="false" outlineLevel="0" collapsed="false">
      <c r="A19" s="0" t="n">
        <v>2</v>
      </c>
      <c r="B19" s="0" t="n">
        <v>28.7446954140999</v>
      </c>
      <c r="C19" s="0" t="n">
        <v>4.9637234770705</v>
      </c>
      <c r="D19" s="0" t="n">
        <v>8</v>
      </c>
      <c r="E19" s="0" t="n">
        <v>72</v>
      </c>
      <c r="F19" s="0" t="n">
        <v>1.71</v>
      </c>
      <c r="G19" s="0" t="n">
        <v>24.6229609110496</v>
      </c>
      <c r="H19" s="0" t="n">
        <v>0</v>
      </c>
      <c r="I19" s="0" t="n">
        <v>0</v>
      </c>
      <c r="J19" s="19" t="n">
        <v>0</v>
      </c>
      <c r="K19" s="19" t="n">
        <v>2</v>
      </c>
      <c r="L19" s="19" t="n">
        <v>0</v>
      </c>
      <c r="M19" s="19" t="n">
        <v>0</v>
      </c>
      <c r="N19" s="19" t="n">
        <v>0</v>
      </c>
      <c r="O19" s="19" t="n">
        <v>0</v>
      </c>
      <c r="P19" s="19" t="n">
        <v>0</v>
      </c>
      <c r="Q19" s="19" t="n">
        <v>0</v>
      </c>
      <c r="R19" s="19" t="n">
        <v>0</v>
      </c>
      <c r="S19" s="19" t="n">
        <v>0</v>
      </c>
      <c r="T19" s="19" t="n">
        <v>0</v>
      </c>
      <c r="U19" s="15" t="n">
        <f aca="false">AVERAGE(M19:T19)</f>
        <v>0</v>
      </c>
      <c r="V19" s="19" t="n">
        <v>3</v>
      </c>
      <c r="W19" s="19" t="n">
        <v>4</v>
      </c>
      <c r="X19" s="19" t="n">
        <v>3</v>
      </c>
      <c r="Y19" s="19" t="n">
        <v>2</v>
      </c>
      <c r="Z19" s="19" t="n">
        <v>3</v>
      </c>
      <c r="AA19" s="19" t="n">
        <v>4</v>
      </c>
      <c r="AB19" s="19" t="n">
        <v>4</v>
      </c>
      <c r="AC19" s="19" t="n">
        <v>3</v>
      </c>
      <c r="AD19" s="19" t="n">
        <v>4</v>
      </c>
      <c r="AE19" s="19" t="n">
        <v>2</v>
      </c>
      <c r="AF19" s="19" t="n">
        <v>3</v>
      </c>
      <c r="AG19" s="19" t="n">
        <v>5</v>
      </c>
      <c r="AH19" s="19" t="n">
        <v>3</v>
      </c>
      <c r="AI19" s="19" t="n">
        <v>3</v>
      </c>
      <c r="AJ19" s="19" t="n">
        <v>3</v>
      </c>
      <c r="AK19" s="19" t="n">
        <v>4</v>
      </c>
      <c r="AL19" s="19" t="n">
        <v>4</v>
      </c>
      <c r="AM19" s="19" t="n">
        <v>3</v>
      </c>
      <c r="AN19" s="19" t="n">
        <v>4</v>
      </c>
      <c r="AO19" s="19" t="n">
        <v>10</v>
      </c>
      <c r="AP19" s="24" t="n">
        <v>31</v>
      </c>
      <c r="AQ19" s="27" t="n">
        <v>39.2</v>
      </c>
      <c r="AR19" s="27" t="n">
        <v>83.4</v>
      </c>
      <c r="AS19" s="27" t="n">
        <v>17.2</v>
      </c>
      <c r="AT19" s="24" t="n">
        <v>85.69</v>
      </c>
      <c r="AU19" s="24" t="n">
        <v>0</v>
      </c>
      <c r="AV19" s="24" t="n">
        <v>0.39</v>
      </c>
      <c r="AW19" s="24" t="n">
        <v>0</v>
      </c>
      <c r="AX19" s="24" t="n">
        <v>13.37</v>
      </c>
      <c r="AY19" s="24" t="n">
        <v>0</v>
      </c>
      <c r="AZ19" s="24" t="n">
        <v>0</v>
      </c>
      <c r="BA19" s="24" t="n">
        <v>0</v>
      </c>
      <c r="BB19" s="24" t="n">
        <v>0</v>
      </c>
      <c r="BC19" s="24" t="n">
        <v>0</v>
      </c>
      <c r="BD19" s="24" t="n">
        <v>0</v>
      </c>
      <c r="BE19" s="24" t="n">
        <v>12.36</v>
      </c>
      <c r="BF19" s="24" t="n">
        <v>18.21</v>
      </c>
      <c r="BG19" s="24" t="n">
        <v>12.25</v>
      </c>
      <c r="BH19" s="24" t="n">
        <v>3.27</v>
      </c>
      <c r="BI19" s="24" t="n">
        <v>5.02</v>
      </c>
      <c r="BJ19" s="24" t="n">
        <v>4.8</v>
      </c>
      <c r="BK19" s="24" t="n">
        <v>1</v>
      </c>
      <c r="BL19" s="24" t="n">
        <v>2.4</v>
      </c>
      <c r="BM19" s="24" t="n">
        <v>1</v>
      </c>
      <c r="BN19" s="24" t="n">
        <v>1</v>
      </c>
      <c r="BO19" s="27" t="n">
        <v>0.43</v>
      </c>
      <c r="BP19" s="27" t="n">
        <v>1</v>
      </c>
      <c r="BQ19" s="27" t="n">
        <v>1.74</v>
      </c>
      <c r="BR19" s="27" t="n">
        <v>1.32</v>
      </c>
      <c r="BS19" s="27" t="n">
        <v>4.32</v>
      </c>
      <c r="BT19" s="27" t="n">
        <v>1.2</v>
      </c>
      <c r="BU19" s="27" t="n">
        <v>0.11</v>
      </c>
      <c r="BV19" s="24" t="n">
        <v>2</v>
      </c>
    </row>
    <row r="20" customFormat="false" ht="13.8" hidden="false" customHeight="false" outlineLevel="0" collapsed="false">
      <c r="A20" s="0" t="n">
        <v>2</v>
      </c>
      <c r="B20" s="0" t="n">
        <v>42.2231348391513</v>
      </c>
      <c r="C20" s="0" t="n">
        <v>20.3367556468172</v>
      </c>
      <c r="D20" s="0" t="n">
        <v>8</v>
      </c>
      <c r="E20" s="0" t="n">
        <v>95</v>
      </c>
      <c r="F20" s="0" t="n">
        <v>1.77</v>
      </c>
      <c r="G20" s="0" t="n">
        <v>30.3233425899326</v>
      </c>
      <c r="H20" s="0" t="n">
        <v>1</v>
      </c>
      <c r="I20" s="0" t="n">
        <v>1</v>
      </c>
      <c r="J20" s="19" t="n">
        <v>0</v>
      </c>
      <c r="K20" s="19" t="n">
        <v>1</v>
      </c>
      <c r="L20" s="19" t="n">
        <v>0</v>
      </c>
      <c r="M20" s="19" t="n">
        <v>0</v>
      </c>
      <c r="N20" s="19" t="n">
        <v>0</v>
      </c>
      <c r="O20" s="19" t="n">
        <v>0</v>
      </c>
      <c r="P20" s="19" t="n">
        <v>0</v>
      </c>
      <c r="Q20" s="19" t="n">
        <v>0</v>
      </c>
      <c r="R20" s="19" t="n">
        <v>0</v>
      </c>
      <c r="S20" s="19" t="n">
        <v>0</v>
      </c>
      <c r="T20" s="19" t="n">
        <v>0</v>
      </c>
      <c r="U20" s="15" t="n">
        <f aca="false">AVERAGE(M20:T20)</f>
        <v>0</v>
      </c>
      <c r="V20" s="19" t="n">
        <v>3</v>
      </c>
      <c r="W20" s="19" t="n">
        <v>3</v>
      </c>
      <c r="X20" s="19" t="n">
        <v>4</v>
      </c>
      <c r="Y20" s="19" t="n">
        <v>5</v>
      </c>
      <c r="Z20" s="19" t="n">
        <v>3</v>
      </c>
      <c r="AA20" s="19" t="n">
        <v>3</v>
      </c>
      <c r="AB20" s="19" t="n">
        <v>5</v>
      </c>
      <c r="AC20" s="19" t="n">
        <v>3</v>
      </c>
      <c r="AD20" s="19" t="n">
        <v>3</v>
      </c>
      <c r="AE20" s="19" t="n">
        <v>2</v>
      </c>
      <c r="AF20" s="19" t="n">
        <v>3</v>
      </c>
      <c r="AG20" s="19" t="n">
        <v>4</v>
      </c>
      <c r="AH20" s="19" t="n">
        <v>3</v>
      </c>
      <c r="AI20" s="19" t="n">
        <v>3</v>
      </c>
      <c r="AJ20" s="19" t="n">
        <v>2</v>
      </c>
      <c r="AK20" s="19" t="n">
        <v>4</v>
      </c>
      <c r="AL20" s="19" t="n">
        <v>3</v>
      </c>
      <c r="AM20" s="19" t="n">
        <v>3</v>
      </c>
      <c r="AN20" s="19" t="n">
        <v>3</v>
      </c>
      <c r="AO20" s="19" t="n">
        <v>7</v>
      </c>
      <c r="AP20" s="0" t="n">
        <v>33.5</v>
      </c>
      <c r="AQ20" s="16" t="n">
        <v>91.5</v>
      </c>
      <c r="AR20" s="16" t="n">
        <v>80.4</v>
      </c>
      <c r="AS20" s="16" t="n">
        <v>20</v>
      </c>
      <c r="AT20" s="0" t="n">
        <v>84.58</v>
      </c>
      <c r="AU20" s="17" t="n">
        <v>0</v>
      </c>
      <c r="AV20" s="0" t="n">
        <v>15.42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13.79</v>
      </c>
      <c r="BG20" s="0" t="n">
        <v>2.67</v>
      </c>
      <c r="BH20" s="0" t="n">
        <v>11.54</v>
      </c>
      <c r="BI20" s="0" t="n">
        <v>0</v>
      </c>
      <c r="BJ20" s="0" t="n">
        <v>12.3</v>
      </c>
      <c r="BK20" s="0" t="n">
        <v>2</v>
      </c>
      <c r="BL20" s="0" t="n">
        <v>0</v>
      </c>
      <c r="BM20" s="0" t="n">
        <v>1</v>
      </c>
      <c r="BN20" s="0" t="n">
        <v>0</v>
      </c>
      <c r="BO20" s="16" t="n">
        <v>0.25</v>
      </c>
      <c r="BP20" s="16" t="n">
        <v>1</v>
      </c>
      <c r="BQ20" s="16" t="n">
        <v>0.55</v>
      </c>
      <c r="BR20" s="16" t="n">
        <v>0.55</v>
      </c>
      <c r="BS20" s="16" t="n">
        <v>0</v>
      </c>
      <c r="BT20" s="16" t="n">
        <v>0</v>
      </c>
      <c r="BU20" s="16" t="n">
        <v>0</v>
      </c>
      <c r="BV20" s="0" t="n">
        <v>0</v>
      </c>
    </row>
    <row r="21" customFormat="false" ht="13.8" hidden="false" customHeight="false" outlineLevel="0" collapsed="false">
      <c r="A21" s="0" t="n">
        <v>2</v>
      </c>
      <c r="B21" s="0" t="n">
        <v>41.6974674880219</v>
      </c>
      <c r="C21" s="0" t="n">
        <v>21.1060917180014</v>
      </c>
      <c r="D21" s="0" t="n">
        <v>8</v>
      </c>
      <c r="E21" s="0" t="n">
        <v>75</v>
      </c>
      <c r="F21" s="0" t="n">
        <v>1.72</v>
      </c>
      <c r="G21" s="0" t="n">
        <v>25.3515413737155</v>
      </c>
      <c r="H21" s="0" t="n">
        <v>0</v>
      </c>
      <c r="I21" s="0" t="n">
        <v>0</v>
      </c>
      <c r="J21" s="19" t="n">
        <v>1</v>
      </c>
      <c r="K21" s="19" t="n">
        <v>0</v>
      </c>
      <c r="L21" s="19" t="n">
        <v>0</v>
      </c>
      <c r="M21" s="19" t="n">
        <v>4</v>
      </c>
      <c r="N21" s="19" t="n">
        <v>0</v>
      </c>
      <c r="O21" s="19" t="n">
        <v>0</v>
      </c>
      <c r="P21" s="19" t="n">
        <v>0</v>
      </c>
      <c r="Q21" s="19" t="n">
        <v>0</v>
      </c>
      <c r="R21" s="19" t="n">
        <v>0</v>
      </c>
      <c r="S21" s="19" t="n">
        <v>0</v>
      </c>
      <c r="T21" s="19" t="n">
        <v>0</v>
      </c>
      <c r="U21" s="15" t="n">
        <f aca="false">AVERAGE(M21:T21)</f>
        <v>0.5</v>
      </c>
      <c r="V21" s="19" t="n">
        <v>3</v>
      </c>
      <c r="W21" s="19" t="n">
        <v>3</v>
      </c>
      <c r="X21" s="19" t="n">
        <v>3</v>
      </c>
      <c r="Y21" s="19" t="n">
        <v>5</v>
      </c>
      <c r="Z21" s="19" t="n">
        <v>5</v>
      </c>
      <c r="AA21" s="19" t="n">
        <v>5</v>
      </c>
      <c r="AB21" s="19" t="n">
        <v>3</v>
      </c>
      <c r="AC21" s="19" t="n">
        <v>5</v>
      </c>
      <c r="AD21" s="19" t="n">
        <v>4</v>
      </c>
      <c r="AE21" s="19" t="n">
        <v>2</v>
      </c>
      <c r="AF21" s="19" t="n">
        <v>2</v>
      </c>
      <c r="AG21" s="19" t="n">
        <v>5</v>
      </c>
      <c r="AH21" s="19" t="n">
        <v>3</v>
      </c>
      <c r="AI21" s="19" t="n">
        <v>4</v>
      </c>
      <c r="AJ21" s="19" t="n">
        <v>5</v>
      </c>
      <c r="AK21" s="19" t="n">
        <v>4</v>
      </c>
      <c r="AL21" s="19" t="n">
        <v>4</v>
      </c>
      <c r="AM21" s="19" t="n">
        <v>4</v>
      </c>
      <c r="AN21" s="19" t="n">
        <v>4</v>
      </c>
      <c r="AO21" s="19" t="n">
        <v>8</v>
      </c>
      <c r="AP21" s="0" t="n">
        <v>22</v>
      </c>
      <c r="AQ21" s="16" t="n">
        <v>98.4</v>
      </c>
      <c r="AR21" s="16" t="n">
        <v>99.31</v>
      </c>
      <c r="AS21" s="16" t="n">
        <v>9.8</v>
      </c>
      <c r="AT21" s="0" t="n">
        <v>94.34</v>
      </c>
      <c r="AU21" s="0" t="n">
        <v>0</v>
      </c>
      <c r="AV21" s="0" t="n">
        <v>0</v>
      </c>
      <c r="AW21" s="0" t="n">
        <v>2.31</v>
      </c>
      <c r="AX21" s="0" t="n">
        <v>3.35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1.68</v>
      </c>
      <c r="BF21" s="0" t="n">
        <v>10.07</v>
      </c>
      <c r="BG21" s="0" t="n">
        <v>6.51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5.4</v>
      </c>
      <c r="BM21" s="0" t="n">
        <v>1</v>
      </c>
      <c r="BN21" s="0" t="n">
        <v>1</v>
      </c>
      <c r="BO21" s="16" t="n">
        <v>0.77</v>
      </c>
      <c r="BP21" s="16" t="n">
        <v>1</v>
      </c>
      <c r="BQ21" s="16" t="n">
        <v>5.78</v>
      </c>
      <c r="BR21" s="16" t="n">
        <v>2.26</v>
      </c>
      <c r="BS21" s="16" t="n">
        <v>0</v>
      </c>
      <c r="BT21" s="16" t="n">
        <v>0</v>
      </c>
      <c r="BU21" s="16" t="n">
        <v>0</v>
      </c>
      <c r="BV21" s="0" t="n">
        <v>0</v>
      </c>
    </row>
    <row r="22" customFormat="false" ht="13.8" hidden="false" customHeight="false" outlineLevel="0" collapsed="false">
      <c r="A22" s="0" t="n">
        <v>2</v>
      </c>
      <c r="B22" s="0" t="n">
        <v>47.4305270362765</v>
      </c>
      <c r="C22" s="0" t="n">
        <v>22.1984941820671</v>
      </c>
      <c r="D22" s="0" t="n">
        <v>8</v>
      </c>
      <c r="E22" s="0" t="n">
        <v>89</v>
      </c>
      <c r="F22" s="0" t="n">
        <v>1.7</v>
      </c>
      <c r="G22" s="0" t="n">
        <v>30.795847750865</v>
      </c>
      <c r="H22" s="0" t="n">
        <v>1</v>
      </c>
      <c r="I22" s="0" t="n">
        <v>1</v>
      </c>
      <c r="J22" s="19" t="n">
        <v>1</v>
      </c>
      <c r="K22" s="19" t="n">
        <v>1</v>
      </c>
      <c r="L22" s="19" t="n">
        <v>0</v>
      </c>
      <c r="M22" s="19" t="n">
        <v>0</v>
      </c>
      <c r="N22" s="19" t="n">
        <v>5</v>
      </c>
      <c r="O22" s="19" t="n">
        <v>9</v>
      </c>
      <c r="P22" s="19" t="n">
        <v>0</v>
      </c>
      <c r="Q22" s="19" t="n">
        <v>3</v>
      </c>
      <c r="R22" s="19" t="n">
        <v>3</v>
      </c>
      <c r="S22" s="19" t="n">
        <v>0</v>
      </c>
      <c r="T22" s="19" t="n">
        <v>0</v>
      </c>
      <c r="U22" s="15" t="n">
        <f aca="false">AVERAGE(M22:T22)</f>
        <v>2.5</v>
      </c>
      <c r="V22" s="19" t="n">
        <v>3</v>
      </c>
      <c r="W22" s="19" t="n">
        <v>2</v>
      </c>
      <c r="X22" s="19" t="n">
        <v>2</v>
      </c>
      <c r="Y22" s="19" t="n">
        <v>4</v>
      </c>
      <c r="Z22" s="19" t="n">
        <v>4</v>
      </c>
      <c r="AA22" s="19" t="n">
        <v>4</v>
      </c>
      <c r="AB22" s="19" t="n">
        <v>4</v>
      </c>
      <c r="AC22" s="19" t="n">
        <v>4</v>
      </c>
      <c r="AD22" s="19" t="n">
        <v>4</v>
      </c>
      <c r="AE22" s="19" t="n">
        <v>2</v>
      </c>
      <c r="AF22" s="19" t="n">
        <v>2</v>
      </c>
      <c r="AG22" s="19" t="n">
        <v>4</v>
      </c>
      <c r="AH22" s="19" t="n">
        <v>3</v>
      </c>
      <c r="AI22" s="19" t="n">
        <v>3</v>
      </c>
      <c r="AJ22" s="19" t="n">
        <v>3</v>
      </c>
      <c r="AK22" s="19" t="n">
        <v>3</v>
      </c>
      <c r="AL22" s="19" t="n">
        <v>3</v>
      </c>
      <c r="AM22" s="19" t="n">
        <v>3</v>
      </c>
      <c r="AN22" s="19" t="n">
        <v>3</v>
      </c>
      <c r="AO22" s="19" t="n">
        <v>9</v>
      </c>
      <c r="AP22" s="0" t="n">
        <v>41</v>
      </c>
      <c r="AQ22" s="16" t="n">
        <v>74.8</v>
      </c>
      <c r="AR22" s="16" t="n">
        <v>98.89</v>
      </c>
      <c r="AS22" s="16" t="n">
        <v>31.2</v>
      </c>
      <c r="AT22" s="0" t="n">
        <v>69.73</v>
      </c>
      <c r="AU22" s="0" t="n">
        <v>0</v>
      </c>
      <c r="AV22" s="0" t="n">
        <v>28.78</v>
      </c>
      <c r="AW22" s="0" t="n">
        <v>1.46</v>
      </c>
      <c r="AX22" s="0" t="n">
        <v>0</v>
      </c>
      <c r="AY22" s="0" t="n">
        <v>0</v>
      </c>
      <c r="AZ22" s="0" t="n">
        <v>0.03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0.03</v>
      </c>
      <c r="BF22" s="0" t="n">
        <v>20.42</v>
      </c>
      <c r="BG22" s="0" t="n">
        <v>29.68</v>
      </c>
      <c r="BH22" s="0" t="n">
        <v>0.17</v>
      </c>
      <c r="BI22" s="0" t="n">
        <v>0</v>
      </c>
      <c r="BJ22" s="0" t="n">
        <v>0</v>
      </c>
      <c r="BK22" s="0" t="n">
        <v>0</v>
      </c>
      <c r="BL22" s="0" t="n">
        <v>9.8</v>
      </c>
      <c r="BM22" s="0" t="n">
        <v>0</v>
      </c>
      <c r="BN22" s="0" t="n">
        <v>1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0" t="n">
        <v>0</v>
      </c>
    </row>
    <row r="23" customFormat="false" ht="13.8" hidden="false" customHeight="false" outlineLevel="0" collapsed="false">
      <c r="A23" s="0" t="n">
        <v>2</v>
      </c>
      <c r="B23" s="0" t="n">
        <v>29.990417522245</v>
      </c>
      <c r="C23" s="0" t="n">
        <v>0.290212183436003</v>
      </c>
      <c r="D23" s="0" t="n">
        <v>4</v>
      </c>
      <c r="E23" s="0" t="n">
        <v>90</v>
      </c>
      <c r="F23" s="0" t="n">
        <v>1.73</v>
      </c>
      <c r="G23" s="0" t="n">
        <v>30.0711684319556</v>
      </c>
      <c r="H23" s="0" t="n">
        <v>0</v>
      </c>
      <c r="I23" s="0" t="n">
        <v>0</v>
      </c>
      <c r="J23" s="19" t="n">
        <v>0</v>
      </c>
      <c r="K23" s="19" t="n">
        <v>0</v>
      </c>
      <c r="L23" s="19" t="n">
        <v>0</v>
      </c>
      <c r="M23" s="19" t="n">
        <v>0</v>
      </c>
      <c r="N23" s="19" t="n">
        <v>0</v>
      </c>
      <c r="O23" s="19" t="n">
        <v>0</v>
      </c>
      <c r="P23" s="19" t="n">
        <v>0</v>
      </c>
      <c r="Q23" s="19" t="n">
        <v>5</v>
      </c>
      <c r="R23" s="19" t="n">
        <v>5</v>
      </c>
      <c r="S23" s="19" t="n">
        <v>0</v>
      </c>
      <c r="T23" s="19" t="n">
        <v>0</v>
      </c>
      <c r="U23" s="15" t="n">
        <f aca="false">AVERAGE(M23:T23)</f>
        <v>1.25</v>
      </c>
      <c r="V23" s="19" t="n">
        <v>1</v>
      </c>
      <c r="W23" s="19" t="n">
        <v>2</v>
      </c>
      <c r="X23" s="19" t="n">
        <v>1</v>
      </c>
      <c r="Y23" s="19" t="n">
        <v>2</v>
      </c>
      <c r="Z23" s="19" t="n">
        <v>2</v>
      </c>
      <c r="AA23" s="19" t="n">
        <v>1</v>
      </c>
      <c r="AB23" s="19" t="n">
        <v>1</v>
      </c>
      <c r="AC23" s="19" t="n">
        <v>2</v>
      </c>
      <c r="AD23" s="19" t="n">
        <v>3</v>
      </c>
      <c r="AE23" s="19" t="n">
        <v>5</v>
      </c>
      <c r="AF23" s="19" t="n">
        <v>5</v>
      </c>
      <c r="AG23" s="19" t="n">
        <v>5</v>
      </c>
      <c r="AH23" s="19" t="n">
        <v>5</v>
      </c>
      <c r="AI23" s="19" t="n">
        <v>5</v>
      </c>
      <c r="AJ23" s="19" t="n">
        <v>2</v>
      </c>
      <c r="AK23" s="19" t="n">
        <v>4</v>
      </c>
      <c r="AL23" s="19" t="n">
        <v>2</v>
      </c>
      <c r="AM23" s="19" t="n">
        <v>5</v>
      </c>
      <c r="AN23" s="19" t="n">
        <v>4</v>
      </c>
      <c r="AO23" s="19" t="n">
        <v>10</v>
      </c>
      <c r="AP23" s="24" t="n">
        <v>31</v>
      </c>
      <c r="AQ23" s="27" t="n">
        <v>39.2</v>
      </c>
      <c r="AR23" s="27" t="n">
        <v>83.4</v>
      </c>
      <c r="AS23" s="27" t="n">
        <v>17.2</v>
      </c>
      <c r="AT23" s="24" t="n">
        <v>85.69</v>
      </c>
      <c r="AU23" s="24" t="n">
        <v>0</v>
      </c>
      <c r="AV23" s="24" t="n">
        <v>0.39</v>
      </c>
      <c r="AW23" s="24" t="n">
        <v>0</v>
      </c>
      <c r="AX23" s="24" t="n">
        <v>13.37</v>
      </c>
      <c r="AY23" s="24" t="n">
        <v>0</v>
      </c>
      <c r="AZ23" s="24" t="n">
        <v>0</v>
      </c>
      <c r="BA23" s="24" t="n">
        <v>0</v>
      </c>
      <c r="BB23" s="24" t="n">
        <v>0</v>
      </c>
      <c r="BC23" s="24" t="n">
        <v>0</v>
      </c>
      <c r="BD23" s="24" t="n">
        <v>0</v>
      </c>
      <c r="BE23" s="24" t="n">
        <v>12.36</v>
      </c>
      <c r="BF23" s="24" t="n">
        <v>18.21</v>
      </c>
      <c r="BG23" s="24" t="n">
        <v>12.25</v>
      </c>
      <c r="BH23" s="24" t="n">
        <v>3.27</v>
      </c>
      <c r="BI23" s="24" t="n">
        <v>5.02</v>
      </c>
      <c r="BJ23" s="24" t="n">
        <v>4.8</v>
      </c>
      <c r="BK23" s="24" t="n">
        <v>1</v>
      </c>
      <c r="BL23" s="24" t="n">
        <v>2.4</v>
      </c>
      <c r="BM23" s="24" t="n">
        <v>1</v>
      </c>
      <c r="BN23" s="24" t="n">
        <v>1</v>
      </c>
      <c r="BO23" s="27" t="n">
        <v>0.43</v>
      </c>
      <c r="BP23" s="27" t="n">
        <v>1</v>
      </c>
      <c r="BQ23" s="27" t="n">
        <v>1.74</v>
      </c>
      <c r="BR23" s="27" t="n">
        <v>1.32</v>
      </c>
      <c r="BS23" s="27" t="n">
        <v>4.32</v>
      </c>
      <c r="BT23" s="27" t="n">
        <v>1.2</v>
      </c>
      <c r="BU23" s="27" t="n">
        <v>0.11</v>
      </c>
      <c r="BV23" s="24" t="n">
        <v>2</v>
      </c>
    </row>
    <row r="24" customFormat="false" ht="13.8" hidden="false" customHeight="false" outlineLevel="0" collapsed="false">
      <c r="A24" s="24" t="n">
        <v>2</v>
      </c>
      <c r="B24" s="0" t="n">
        <v>33.1909650924025</v>
      </c>
      <c r="C24" s="0" t="n">
        <v>0.125941136208077</v>
      </c>
      <c r="D24" s="0" t="n">
        <v>4</v>
      </c>
      <c r="E24" s="0" t="n">
        <v>75</v>
      </c>
      <c r="F24" s="0" t="n">
        <v>1.75</v>
      </c>
      <c r="G24" s="0" t="n">
        <v>24.4897959183673</v>
      </c>
      <c r="H24" s="0" t="n">
        <v>0</v>
      </c>
      <c r="I24" s="0" t="n">
        <v>0</v>
      </c>
      <c r="J24" s="26" t="n">
        <v>1</v>
      </c>
      <c r="K24" s="26" t="n">
        <v>1</v>
      </c>
      <c r="L24" s="26" t="n">
        <v>0</v>
      </c>
      <c r="M24" s="26" t="n">
        <v>0</v>
      </c>
      <c r="N24" s="26" t="n">
        <v>0</v>
      </c>
      <c r="O24" s="26" t="n">
        <v>0</v>
      </c>
      <c r="P24" s="26" t="n">
        <v>0</v>
      </c>
      <c r="Q24" s="26" t="n">
        <v>0</v>
      </c>
      <c r="R24" s="26" t="n">
        <v>0</v>
      </c>
      <c r="S24" s="26" t="n">
        <v>0</v>
      </c>
      <c r="T24" s="26" t="n">
        <v>0</v>
      </c>
      <c r="U24" s="15" t="n">
        <f aca="false">AVERAGE(M24:T24)</f>
        <v>0</v>
      </c>
      <c r="V24" s="26" t="n">
        <v>2</v>
      </c>
      <c r="W24" s="26" t="n">
        <v>2</v>
      </c>
      <c r="X24" s="26" t="n">
        <v>3</v>
      </c>
      <c r="Y24" s="26"/>
      <c r="Z24" s="26" t="n">
        <v>3</v>
      </c>
      <c r="AA24" s="26" t="n">
        <v>3</v>
      </c>
      <c r="AB24" s="26" t="n">
        <v>3</v>
      </c>
      <c r="AC24" s="26" t="n">
        <v>4</v>
      </c>
      <c r="AD24" s="26" t="n">
        <v>4</v>
      </c>
      <c r="AE24" s="26" t="n">
        <v>5</v>
      </c>
      <c r="AF24" s="26" t="n">
        <v>5</v>
      </c>
      <c r="AG24" s="26" t="n">
        <v>5</v>
      </c>
      <c r="AH24" s="26" t="n">
        <v>4</v>
      </c>
      <c r="AI24" s="26" t="n">
        <v>5</v>
      </c>
      <c r="AJ24" s="26" t="n">
        <v>5</v>
      </c>
      <c r="AK24" s="26" t="n">
        <v>5</v>
      </c>
      <c r="AL24" s="26" t="n">
        <v>4</v>
      </c>
      <c r="AM24" s="26" t="n">
        <v>5</v>
      </c>
      <c r="AN24" s="26" t="n">
        <v>5</v>
      </c>
      <c r="AO24" s="26" t="n">
        <v>8</v>
      </c>
      <c r="AP24" s="24" t="n">
        <v>31</v>
      </c>
      <c r="AQ24" s="27" t="n">
        <v>39.2</v>
      </c>
      <c r="AR24" s="27" t="n">
        <v>83.4</v>
      </c>
      <c r="AS24" s="27" t="n">
        <v>17.2</v>
      </c>
      <c r="AT24" s="24" t="n">
        <v>85.69</v>
      </c>
      <c r="AU24" s="24" t="n">
        <v>0</v>
      </c>
      <c r="AV24" s="24" t="n">
        <v>0.39</v>
      </c>
      <c r="AW24" s="24" t="n">
        <v>0</v>
      </c>
      <c r="AX24" s="24" t="n">
        <v>13.37</v>
      </c>
      <c r="AY24" s="24" t="n">
        <v>0</v>
      </c>
      <c r="AZ24" s="24" t="n">
        <v>0</v>
      </c>
      <c r="BA24" s="24" t="n">
        <v>0</v>
      </c>
      <c r="BB24" s="24" t="n">
        <v>0</v>
      </c>
      <c r="BC24" s="24" t="n">
        <v>0</v>
      </c>
      <c r="BD24" s="24" t="n">
        <v>0</v>
      </c>
      <c r="BE24" s="24" t="n">
        <v>12.36</v>
      </c>
      <c r="BF24" s="24" t="n">
        <v>18.21</v>
      </c>
      <c r="BG24" s="24" t="n">
        <v>12.25</v>
      </c>
      <c r="BH24" s="24" t="n">
        <v>3.27</v>
      </c>
      <c r="BI24" s="24" t="n">
        <v>5.02</v>
      </c>
      <c r="BJ24" s="24" t="n">
        <v>4.8</v>
      </c>
      <c r="BK24" s="24" t="n">
        <v>1</v>
      </c>
      <c r="BL24" s="24" t="n">
        <v>2.4</v>
      </c>
      <c r="BM24" s="24" t="n">
        <v>1</v>
      </c>
      <c r="BN24" s="24" t="n">
        <v>1</v>
      </c>
      <c r="BO24" s="27" t="n">
        <v>0.43</v>
      </c>
      <c r="BP24" s="27" t="n">
        <v>1</v>
      </c>
      <c r="BQ24" s="27" t="n">
        <v>1.74</v>
      </c>
      <c r="BR24" s="27" t="n">
        <v>1.32</v>
      </c>
      <c r="BS24" s="27" t="n">
        <v>4.32</v>
      </c>
      <c r="BT24" s="27" t="n">
        <v>1.2</v>
      </c>
      <c r="BU24" s="27" t="n">
        <v>0.11</v>
      </c>
      <c r="BV24" s="24" t="n">
        <v>2</v>
      </c>
    </row>
    <row r="25" customFormat="false" ht="13.8" hidden="false" customHeight="false" outlineLevel="0" collapsed="false">
      <c r="A25" s="24" t="n">
        <v>2</v>
      </c>
      <c r="B25" s="0" t="n">
        <v>21.429158110883</v>
      </c>
      <c r="C25" s="0" t="n">
        <v>0.232717316906229</v>
      </c>
      <c r="D25" s="0" t="n">
        <v>4</v>
      </c>
      <c r="E25" s="0" t="n">
        <v>72</v>
      </c>
      <c r="F25" s="0" t="n">
        <v>1.78</v>
      </c>
      <c r="G25" s="0" t="n">
        <v>22.7244034844085</v>
      </c>
      <c r="H25" s="0" t="n">
        <v>0</v>
      </c>
      <c r="I25" s="0" t="n">
        <v>0</v>
      </c>
      <c r="J25" s="19" t="n">
        <v>1</v>
      </c>
      <c r="K25" s="19" t="n">
        <v>1</v>
      </c>
      <c r="L25" s="19" t="n">
        <v>1</v>
      </c>
      <c r="M25" s="19" t="n">
        <v>0</v>
      </c>
      <c r="N25" s="19" t="n">
        <v>0</v>
      </c>
      <c r="O25" s="19" t="n">
        <v>0</v>
      </c>
      <c r="P25" s="19" t="n">
        <v>0</v>
      </c>
      <c r="Q25" s="19" t="n">
        <v>3</v>
      </c>
      <c r="R25" s="19" t="n">
        <v>0</v>
      </c>
      <c r="S25" s="19" t="n">
        <v>0</v>
      </c>
      <c r="T25" s="19" t="n">
        <v>0</v>
      </c>
      <c r="U25" s="15" t="n">
        <f aca="false">AVERAGE(M25:T25)</f>
        <v>0.375</v>
      </c>
      <c r="V25" s="19" t="n">
        <v>1</v>
      </c>
      <c r="W25" s="19" t="n">
        <v>2</v>
      </c>
      <c r="X25" s="19" t="n">
        <v>3</v>
      </c>
      <c r="Y25" s="19" t="n">
        <v>5</v>
      </c>
      <c r="Z25" s="19" t="n">
        <v>3</v>
      </c>
      <c r="AA25" s="19" t="n">
        <v>3</v>
      </c>
      <c r="AB25" s="19" t="n">
        <v>3</v>
      </c>
      <c r="AC25" s="19" t="n">
        <v>4</v>
      </c>
      <c r="AD25" s="19" t="n">
        <v>3</v>
      </c>
      <c r="AE25" s="19" t="n">
        <v>5</v>
      </c>
      <c r="AF25" s="19" t="n">
        <v>5</v>
      </c>
      <c r="AG25" s="19" t="n">
        <v>5</v>
      </c>
      <c r="AH25" s="19" t="n">
        <v>3</v>
      </c>
      <c r="AI25" s="19" t="n">
        <v>5</v>
      </c>
      <c r="AJ25" s="19" t="n">
        <v>5</v>
      </c>
      <c r="AK25" s="19" t="n">
        <v>4</v>
      </c>
      <c r="AL25" s="19" t="n">
        <v>5</v>
      </c>
      <c r="AM25" s="19" t="n">
        <v>5</v>
      </c>
      <c r="AN25" s="19" t="n">
        <v>4</v>
      </c>
      <c r="AO25" s="19" t="n">
        <v>9</v>
      </c>
      <c r="AP25" s="24" t="n">
        <v>31</v>
      </c>
      <c r="AQ25" s="27" t="n">
        <v>39.2</v>
      </c>
      <c r="AR25" s="27" t="n">
        <v>83.4</v>
      </c>
      <c r="AS25" s="27" t="n">
        <v>17.2</v>
      </c>
      <c r="AT25" s="24" t="n">
        <v>85.69</v>
      </c>
      <c r="AU25" s="24" t="n">
        <v>0</v>
      </c>
      <c r="AV25" s="24" t="n">
        <v>0.39</v>
      </c>
      <c r="AW25" s="24" t="n">
        <v>0</v>
      </c>
      <c r="AX25" s="24" t="n">
        <v>13.37</v>
      </c>
      <c r="AY25" s="24" t="n">
        <v>0</v>
      </c>
      <c r="AZ25" s="24" t="n">
        <v>0</v>
      </c>
      <c r="BA25" s="24" t="n">
        <v>0</v>
      </c>
      <c r="BB25" s="24" t="n">
        <v>0</v>
      </c>
      <c r="BC25" s="24" t="n">
        <v>0</v>
      </c>
      <c r="BD25" s="24" t="n">
        <v>0</v>
      </c>
      <c r="BE25" s="24" t="n">
        <v>12.36</v>
      </c>
      <c r="BF25" s="24" t="n">
        <v>18.21</v>
      </c>
      <c r="BG25" s="24" t="n">
        <v>12.25</v>
      </c>
      <c r="BH25" s="24" t="n">
        <v>3.27</v>
      </c>
      <c r="BI25" s="24" t="n">
        <v>5.02</v>
      </c>
      <c r="BJ25" s="24" t="n">
        <v>4.8</v>
      </c>
      <c r="BK25" s="24" t="n">
        <v>1</v>
      </c>
      <c r="BL25" s="24" t="n">
        <v>2.4</v>
      </c>
      <c r="BM25" s="24" t="n">
        <v>1</v>
      </c>
      <c r="BN25" s="24" t="n">
        <v>1</v>
      </c>
      <c r="BO25" s="27" t="n">
        <v>0.43</v>
      </c>
      <c r="BP25" s="27" t="n">
        <v>1</v>
      </c>
      <c r="BQ25" s="27" t="n">
        <v>1.74</v>
      </c>
      <c r="BR25" s="27" t="n">
        <v>1.32</v>
      </c>
      <c r="BS25" s="27" t="n">
        <v>4.32</v>
      </c>
      <c r="BT25" s="27" t="n">
        <v>1.2</v>
      </c>
      <c r="BU25" s="27" t="n">
        <v>0.11</v>
      </c>
      <c r="BV25" s="24" t="n">
        <v>2</v>
      </c>
    </row>
    <row r="26" customFormat="false" ht="13.8" hidden="false" customHeight="false" outlineLevel="0" collapsed="false">
      <c r="A26" s="0" t="n">
        <v>2</v>
      </c>
      <c r="B26" s="0" t="n">
        <v>28.6735112936345</v>
      </c>
      <c r="C26" s="0" t="n">
        <v>0.213552361396304</v>
      </c>
      <c r="D26" s="0" t="n">
        <v>4</v>
      </c>
      <c r="E26" s="0" t="n">
        <v>68</v>
      </c>
      <c r="F26" s="0" t="n">
        <v>1.71</v>
      </c>
      <c r="G26" s="0" t="n">
        <v>23.2550186382135</v>
      </c>
      <c r="H26" s="0" t="n">
        <v>0</v>
      </c>
      <c r="I26" s="0" t="n">
        <v>0</v>
      </c>
      <c r="J26" s="19" t="n">
        <v>0</v>
      </c>
      <c r="K26" s="19" t="n">
        <v>1</v>
      </c>
      <c r="L26" s="19" t="n">
        <v>0</v>
      </c>
      <c r="M26" s="19" t="n">
        <v>0</v>
      </c>
      <c r="N26" s="19" t="n">
        <v>0</v>
      </c>
      <c r="O26" s="19" t="n">
        <v>0</v>
      </c>
      <c r="P26" s="19" t="n">
        <v>0</v>
      </c>
      <c r="Q26" s="19" t="n">
        <v>0</v>
      </c>
      <c r="R26" s="19" t="n">
        <v>0</v>
      </c>
      <c r="S26" s="19" t="n">
        <v>0</v>
      </c>
      <c r="T26" s="19" t="n">
        <v>0</v>
      </c>
      <c r="U26" s="15" t="n">
        <f aca="false">AVERAGE(M26:T26)</f>
        <v>0</v>
      </c>
      <c r="V26" s="19" t="n">
        <v>1</v>
      </c>
      <c r="W26" s="19" t="n">
        <v>2</v>
      </c>
      <c r="X26" s="19" t="n">
        <v>2</v>
      </c>
      <c r="Y26" s="19" t="n">
        <v>5</v>
      </c>
      <c r="Z26" s="19" t="n">
        <v>3</v>
      </c>
      <c r="AA26" s="19" t="n">
        <v>1</v>
      </c>
      <c r="AB26" s="19"/>
      <c r="AC26" s="19" t="n">
        <v>4</v>
      </c>
      <c r="AD26" s="19" t="n">
        <v>4</v>
      </c>
      <c r="AE26" s="19" t="n">
        <v>5</v>
      </c>
      <c r="AF26" s="19" t="n">
        <v>5</v>
      </c>
      <c r="AG26" s="19" t="n">
        <v>5</v>
      </c>
      <c r="AH26" s="19" t="n">
        <v>5</v>
      </c>
      <c r="AI26" s="19" t="n">
        <v>5</v>
      </c>
      <c r="AJ26" s="19" t="n">
        <v>5</v>
      </c>
      <c r="AK26" s="19" t="n">
        <v>5</v>
      </c>
      <c r="AL26" s="19" t="n">
        <v>5</v>
      </c>
      <c r="AM26" s="19" t="n">
        <v>5</v>
      </c>
      <c r="AN26" s="19" t="n">
        <v>5</v>
      </c>
      <c r="AO26" s="19" t="n">
        <v>10</v>
      </c>
      <c r="AP26" s="24" t="n">
        <v>31</v>
      </c>
      <c r="AQ26" s="27" t="n">
        <v>39.2</v>
      </c>
      <c r="AR26" s="27" t="n">
        <v>83.4</v>
      </c>
      <c r="AS26" s="27" t="n">
        <v>17.2</v>
      </c>
      <c r="AT26" s="24" t="n">
        <v>85.69</v>
      </c>
      <c r="AU26" s="24" t="n">
        <v>0</v>
      </c>
      <c r="AV26" s="24" t="n">
        <v>0.39</v>
      </c>
      <c r="AW26" s="24" t="n">
        <v>0</v>
      </c>
      <c r="AX26" s="24" t="n">
        <v>13.37</v>
      </c>
      <c r="AY26" s="24" t="n">
        <v>0</v>
      </c>
      <c r="AZ26" s="24" t="n">
        <v>0</v>
      </c>
      <c r="BA26" s="24" t="n">
        <v>0</v>
      </c>
      <c r="BB26" s="24" t="n">
        <v>0</v>
      </c>
      <c r="BC26" s="24" t="n">
        <v>0</v>
      </c>
      <c r="BD26" s="24" t="n">
        <v>0</v>
      </c>
      <c r="BE26" s="24" t="n">
        <v>12.36</v>
      </c>
      <c r="BF26" s="24" t="n">
        <v>18.21</v>
      </c>
      <c r="BG26" s="24" t="n">
        <v>12.25</v>
      </c>
      <c r="BH26" s="24" t="n">
        <v>3.27</v>
      </c>
      <c r="BI26" s="24" t="n">
        <v>5.02</v>
      </c>
      <c r="BJ26" s="24" t="n">
        <v>4.8</v>
      </c>
      <c r="BK26" s="24" t="n">
        <v>1</v>
      </c>
      <c r="BL26" s="24" t="n">
        <v>2.4</v>
      </c>
      <c r="BM26" s="24" t="n">
        <v>1</v>
      </c>
      <c r="BN26" s="24" t="n">
        <v>1</v>
      </c>
      <c r="BO26" s="27" t="n">
        <v>0.43</v>
      </c>
      <c r="BP26" s="27" t="n">
        <v>1</v>
      </c>
      <c r="BQ26" s="27" t="n">
        <v>1.74</v>
      </c>
      <c r="BR26" s="27" t="n">
        <v>1.32</v>
      </c>
      <c r="BS26" s="27" t="n">
        <v>4.32</v>
      </c>
      <c r="BT26" s="27" t="n">
        <v>1.2</v>
      </c>
      <c r="BU26" s="27" t="n">
        <v>0.11</v>
      </c>
      <c r="BV26" s="24" t="n">
        <v>2</v>
      </c>
    </row>
    <row r="27" customFormat="false" ht="13.8" hidden="false" customHeight="false" outlineLevel="0" collapsed="false">
      <c r="A27" s="0" t="n">
        <v>2</v>
      </c>
      <c r="B27" s="0" t="n">
        <v>26.2778918548939</v>
      </c>
      <c r="C27" s="0" t="n">
        <v>0.281998631074606</v>
      </c>
      <c r="D27" s="0" t="n">
        <v>4</v>
      </c>
      <c r="E27" s="0" t="n">
        <v>73</v>
      </c>
      <c r="F27" s="0" t="n">
        <v>1.76</v>
      </c>
      <c r="G27" s="0" t="n">
        <v>23.566632231405</v>
      </c>
      <c r="H27" s="0" t="n">
        <v>0</v>
      </c>
      <c r="I27" s="0" t="n">
        <v>0</v>
      </c>
      <c r="J27" s="19" t="n">
        <v>0</v>
      </c>
      <c r="K27" s="19" t="n">
        <v>3</v>
      </c>
      <c r="L27" s="19" t="n">
        <v>0</v>
      </c>
      <c r="M27" s="19" t="n">
        <v>0</v>
      </c>
      <c r="N27" s="19" t="n">
        <v>0</v>
      </c>
      <c r="O27" s="19" t="n">
        <v>0</v>
      </c>
      <c r="P27" s="19" t="n">
        <v>0</v>
      </c>
      <c r="Q27" s="19" t="n">
        <v>0</v>
      </c>
      <c r="R27" s="19" t="n">
        <v>0</v>
      </c>
      <c r="S27" s="19" t="n">
        <v>0</v>
      </c>
      <c r="T27" s="19"/>
      <c r="U27" s="15" t="n">
        <f aca="false">AVERAGE(M27:T27)</f>
        <v>0</v>
      </c>
      <c r="V27" s="19" t="n">
        <v>2</v>
      </c>
      <c r="W27" s="19" t="n">
        <v>3</v>
      </c>
      <c r="X27" s="19" t="n">
        <v>5</v>
      </c>
      <c r="Y27" s="19" t="n">
        <v>5</v>
      </c>
      <c r="Z27" s="19" t="n">
        <v>2</v>
      </c>
      <c r="AA27" s="19" t="n">
        <v>3</v>
      </c>
      <c r="AB27" s="19" t="n">
        <v>2</v>
      </c>
      <c r="AC27" s="19" t="n">
        <v>3</v>
      </c>
      <c r="AD27" s="19" t="n">
        <v>3</v>
      </c>
      <c r="AE27" s="19" t="n">
        <v>5</v>
      </c>
      <c r="AF27" s="19" t="n">
        <v>5</v>
      </c>
      <c r="AG27" s="19" t="n">
        <v>5</v>
      </c>
      <c r="AH27" s="19" t="n">
        <v>4</v>
      </c>
      <c r="AI27" s="19" t="n">
        <v>5</v>
      </c>
      <c r="AJ27" s="19" t="n">
        <v>5</v>
      </c>
      <c r="AK27" s="19" t="n">
        <v>5</v>
      </c>
      <c r="AL27" s="19" t="n">
        <v>5</v>
      </c>
      <c r="AM27" s="19" t="n">
        <v>5</v>
      </c>
      <c r="AN27" s="19" t="n">
        <v>5</v>
      </c>
      <c r="AO27" s="19" t="n">
        <v>10</v>
      </c>
      <c r="AP27" s="24" t="n">
        <v>31</v>
      </c>
      <c r="AQ27" s="27" t="n">
        <v>39.2</v>
      </c>
      <c r="AR27" s="27" t="n">
        <v>83.4</v>
      </c>
      <c r="AS27" s="27" t="n">
        <v>17.2</v>
      </c>
      <c r="AT27" s="24" t="n">
        <v>85.69</v>
      </c>
      <c r="AU27" s="24" t="n">
        <v>0</v>
      </c>
      <c r="AV27" s="24" t="n">
        <v>0.39</v>
      </c>
      <c r="AW27" s="24" t="n">
        <v>0</v>
      </c>
      <c r="AX27" s="24" t="n">
        <v>13.37</v>
      </c>
      <c r="AY27" s="24" t="n">
        <v>0</v>
      </c>
      <c r="AZ27" s="24" t="n">
        <v>0</v>
      </c>
      <c r="BA27" s="0" t="n">
        <v>0</v>
      </c>
      <c r="BB27" s="24" t="n">
        <v>0</v>
      </c>
      <c r="BC27" s="24" t="n">
        <v>0</v>
      </c>
      <c r="BD27" s="24" t="n">
        <v>0</v>
      </c>
      <c r="BE27" s="24" t="n">
        <v>12.36</v>
      </c>
      <c r="BF27" s="24" t="n">
        <v>18.21</v>
      </c>
      <c r="BG27" s="24" t="n">
        <v>12.25</v>
      </c>
      <c r="BH27" s="24" t="n">
        <v>3.27</v>
      </c>
      <c r="BI27" s="24" t="n">
        <v>5.02</v>
      </c>
      <c r="BJ27" s="24" t="n">
        <v>4.8</v>
      </c>
      <c r="BK27" s="24" t="n">
        <v>1</v>
      </c>
      <c r="BL27" s="24" t="n">
        <v>2.4</v>
      </c>
      <c r="BM27" s="24" t="n">
        <v>1</v>
      </c>
      <c r="BN27" s="24" t="n">
        <v>1</v>
      </c>
      <c r="BO27" s="27" t="n">
        <v>0.43</v>
      </c>
      <c r="BP27" s="27" t="n">
        <v>1</v>
      </c>
      <c r="BQ27" s="27" t="n">
        <v>1.74</v>
      </c>
      <c r="BR27" s="27" t="n">
        <v>1.32</v>
      </c>
      <c r="BS27" s="27" t="n">
        <v>4.32</v>
      </c>
      <c r="BT27" s="27" t="n">
        <v>1.2</v>
      </c>
      <c r="BU27" s="27" t="n">
        <v>0.11</v>
      </c>
      <c r="BV27" s="24" t="n">
        <v>2</v>
      </c>
    </row>
    <row r="28" customFormat="false" ht="13.8" hidden="false" customHeight="false" outlineLevel="0" collapsed="false">
      <c r="A28" s="0" t="n">
        <v>2</v>
      </c>
      <c r="B28" s="0" t="n">
        <v>37.3251197809719</v>
      </c>
      <c r="C28" s="0" t="n">
        <v>6.53524982888433</v>
      </c>
      <c r="D28" s="0" t="n">
        <v>4</v>
      </c>
      <c r="E28" s="0" t="n">
        <v>76</v>
      </c>
      <c r="F28" s="0" t="n">
        <v>1.82</v>
      </c>
      <c r="G28" s="0" t="n">
        <v>22.9440888781548</v>
      </c>
      <c r="H28" s="0" t="n">
        <v>0</v>
      </c>
      <c r="I28" s="0" t="n">
        <v>1</v>
      </c>
      <c r="J28" s="19" t="n">
        <v>1</v>
      </c>
      <c r="K28" s="19" t="n">
        <v>2</v>
      </c>
      <c r="L28" s="19" t="n">
        <v>0</v>
      </c>
      <c r="M28" s="19" t="n">
        <v>6</v>
      </c>
      <c r="N28" s="19" t="n">
        <v>0</v>
      </c>
      <c r="O28" s="19" t="n">
        <v>0</v>
      </c>
      <c r="P28" s="19" t="n">
        <v>3</v>
      </c>
      <c r="Q28" s="19" t="n">
        <v>4</v>
      </c>
      <c r="R28" s="19" t="n">
        <v>0</v>
      </c>
      <c r="S28" s="19" t="n">
        <v>0</v>
      </c>
      <c r="T28" s="19" t="n">
        <v>6</v>
      </c>
      <c r="U28" s="15" t="n">
        <f aca="false">AVERAGE(M28:T28)</f>
        <v>2.375</v>
      </c>
      <c r="V28" s="19" t="n">
        <v>5</v>
      </c>
      <c r="W28" s="19" t="n">
        <v>3</v>
      </c>
      <c r="X28" s="19" t="n">
        <v>5</v>
      </c>
      <c r="Y28" s="19" t="n">
        <v>5</v>
      </c>
      <c r="Z28" s="19" t="n">
        <v>4</v>
      </c>
      <c r="AA28" s="19" t="n">
        <v>3</v>
      </c>
      <c r="AB28" s="19" t="n">
        <v>5</v>
      </c>
      <c r="AC28" s="19" t="n">
        <v>5</v>
      </c>
      <c r="AD28" s="19" t="n">
        <v>4</v>
      </c>
      <c r="AE28" s="19" t="n">
        <v>5</v>
      </c>
      <c r="AF28" s="19" t="n">
        <v>5</v>
      </c>
      <c r="AG28" s="19" t="n">
        <v>5</v>
      </c>
      <c r="AH28" s="19" t="n">
        <v>2</v>
      </c>
      <c r="AI28" s="19" t="n">
        <v>4</v>
      </c>
      <c r="AJ28" s="19" t="n">
        <v>3</v>
      </c>
      <c r="AK28" s="19" t="n">
        <v>5</v>
      </c>
      <c r="AL28" s="19" t="n">
        <v>3</v>
      </c>
      <c r="AM28" s="19" t="n">
        <v>4</v>
      </c>
      <c r="AN28" s="19" t="n">
        <v>5</v>
      </c>
      <c r="AO28" s="19" t="n">
        <v>10</v>
      </c>
      <c r="AP28" s="24" t="n">
        <v>31</v>
      </c>
      <c r="AQ28" s="27" t="n">
        <v>39.2</v>
      </c>
      <c r="AR28" s="27" t="n">
        <v>83.4</v>
      </c>
      <c r="AS28" s="27" t="n">
        <v>17.2</v>
      </c>
      <c r="AT28" s="24" t="n">
        <v>85.69</v>
      </c>
      <c r="AU28" s="24" t="n">
        <v>0</v>
      </c>
      <c r="AV28" s="24" t="n">
        <v>0.39</v>
      </c>
      <c r="AW28" s="24" t="n">
        <v>0</v>
      </c>
      <c r="AX28" s="24" t="n">
        <v>13.37</v>
      </c>
      <c r="AY28" s="24" t="n">
        <v>0</v>
      </c>
      <c r="AZ28" s="24" t="n">
        <v>0</v>
      </c>
      <c r="BA28" s="0" t="n">
        <v>0</v>
      </c>
      <c r="BB28" s="24" t="n">
        <v>0</v>
      </c>
      <c r="BC28" s="24" t="n">
        <v>0</v>
      </c>
      <c r="BD28" s="24" t="n">
        <v>0</v>
      </c>
      <c r="BE28" s="24" t="n">
        <v>12.36</v>
      </c>
      <c r="BF28" s="24" t="n">
        <v>18.21</v>
      </c>
      <c r="BG28" s="24" t="n">
        <v>12.25</v>
      </c>
      <c r="BH28" s="24" t="n">
        <v>3.27</v>
      </c>
      <c r="BI28" s="24" t="n">
        <v>5.02</v>
      </c>
      <c r="BJ28" s="24" t="n">
        <v>4.8</v>
      </c>
      <c r="BK28" s="24" t="n">
        <v>1</v>
      </c>
      <c r="BL28" s="24" t="n">
        <v>2.4</v>
      </c>
      <c r="BM28" s="24" t="n">
        <v>1</v>
      </c>
      <c r="BN28" s="24" t="n">
        <v>1</v>
      </c>
      <c r="BO28" s="27" t="n">
        <v>0.43</v>
      </c>
      <c r="BP28" s="27" t="n">
        <v>1</v>
      </c>
      <c r="BQ28" s="27" t="n">
        <v>1.74</v>
      </c>
      <c r="BR28" s="27" t="n">
        <v>1.32</v>
      </c>
      <c r="BS28" s="27" t="n">
        <v>4.32</v>
      </c>
      <c r="BT28" s="27" t="n">
        <v>1.2</v>
      </c>
      <c r="BU28" s="27" t="n">
        <v>0.11</v>
      </c>
      <c r="BV28" s="24" t="n">
        <v>2</v>
      </c>
    </row>
    <row r="29" customFormat="false" ht="13.8" hidden="false" customHeight="false" outlineLevel="0" collapsed="false">
      <c r="A29" s="0" t="n">
        <v>2</v>
      </c>
      <c r="B29" s="0" t="n">
        <v>29.0294318959617</v>
      </c>
      <c r="C29" s="0" t="n">
        <v>0.279260780287474</v>
      </c>
      <c r="D29" s="0" t="n">
        <v>4</v>
      </c>
      <c r="E29" s="0" t="n">
        <v>103</v>
      </c>
      <c r="F29" s="0" t="n">
        <v>1.88</v>
      </c>
      <c r="G29" s="0" t="n">
        <v>29.1421457673155</v>
      </c>
      <c r="H29" s="0" t="n">
        <v>0</v>
      </c>
      <c r="I29" s="0" t="n">
        <v>0</v>
      </c>
      <c r="J29" s="19" t="n">
        <v>1</v>
      </c>
      <c r="K29" s="19" t="n">
        <v>1</v>
      </c>
      <c r="L29" s="19" t="n">
        <v>1</v>
      </c>
      <c r="M29" s="19" t="n">
        <v>0</v>
      </c>
      <c r="N29" s="19" t="n">
        <v>0</v>
      </c>
      <c r="O29" s="19" t="n">
        <v>0</v>
      </c>
      <c r="P29" s="19" t="n">
        <v>0</v>
      </c>
      <c r="Q29" s="19" t="n">
        <v>0</v>
      </c>
      <c r="R29" s="19" t="n">
        <v>0</v>
      </c>
      <c r="S29" s="19" t="n">
        <v>0</v>
      </c>
      <c r="T29" s="19"/>
      <c r="U29" s="15" t="n">
        <f aca="false">AVERAGE(M29:T29)</f>
        <v>0</v>
      </c>
      <c r="V29" s="19" t="n">
        <v>2</v>
      </c>
      <c r="W29" s="19" t="n">
        <v>3</v>
      </c>
      <c r="X29" s="19" t="n">
        <v>5</v>
      </c>
      <c r="Y29" s="19" t="n">
        <v>4</v>
      </c>
      <c r="Z29" s="19" t="n">
        <v>2</v>
      </c>
      <c r="AA29" s="19" t="n">
        <v>1</v>
      </c>
      <c r="AB29" s="19" t="n">
        <v>1</v>
      </c>
      <c r="AC29" s="19" t="n">
        <v>3</v>
      </c>
      <c r="AD29" s="19" t="n">
        <v>3</v>
      </c>
      <c r="AE29" s="19" t="n">
        <v>4</v>
      </c>
      <c r="AF29" s="19" t="n">
        <v>5</v>
      </c>
      <c r="AG29" s="19" t="n">
        <v>5</v>
      </c>
      <c r="AH29" s="19" t="n">
        <v>4</v>
      </c>
      <c r="AI29" s="19" t="n">
        <v>5</v>
      </c>
      <c r="AJ29" s="19" t="n">
        <v>2</v>
      </c>
      <c r="AK29" s="19" t="n">
        <v>5</v>
      </c>
      <c r="AL29" s="19" t="n">
        <v>4</v>
      </c>
      <c r="AM29" s="19" t="n">
        <v>4</v>
      </c>
      <c r="AN29" s="19" t="n">
        <v>5</v>
      </c>
      <c r="AO29" s="19" t="n">
        <v>8</v>
      </c>
      <c r="AP29" s="24" t="n">
        <v>31</v>
      </c>
      <c r="AQ29" s="27" t="n">
        <v>39.2</v>
      </c>
      <c r="AR29" s="27" t="n">
        <v>83.4</v>
      </c>
      <c r="AS29" s="27" t="n">
        <v>17.2</v>
      </c>
      <c r="AT29" s="24" t="n">
        <v>85.69</v>
      </c>
      <c r="AU29" s="24" t="n">
        <v>0</v>
      </c>
      <c r="AV29" s="24" t="n">
        <v>0.39</v>
      </c>
      <c r="AW29" s="24" t="n">
        <v>0</v>
      </c>
      <c r="AX29" s="24" t="n">
        <v>13.37</v>
      </c>
      <c r="AY29" s="24" t="n">
        <v>0</v>
      </c>
      <c r="AZ29" s="24" t="n">
        <v>0</v>
      </c>
      <c r="BA29" s="0" t="n">
        <v>0</v>
      </c>
      <c r="BB29" s="24" t="n">
        <v>0</v>
      </c>
      <c r="BC29" s="24" t="n">
        <v>0</v>
      </c>
      <c r="BD29" s="24" t="n">
        <v>0</v>
      </c>
      <c r="BE29" s="24" t="n">
        <v>12.36</v>
      </c>
      <c r="BF29" s="24" t="n">
        <v>18.21</v>
      </c>
      <c r="BG29" s="24" t="n">
        <v>12.25</v>
      </c>
      <c r="BH29" s="24" t="n">
        <v>3.27</v>
      </c>
      <c r="BI29" s="24" t="n">
        <v>5.02</v>
      </c>
      <c r="BJ29" s="24" t="n">
        <v>4.8</v>
      </c>
      <c r="BK29" s="24" t="n">
        <v>1</v>
      </c>
      <c r="BL29" s="24" t="n">
        <v>2.4</v>
      </c>
      <c r="BM29" s="24" t="n">
        <v>1</v>
      </c>
      <c r="BN29" s="24" t="n">
        <v>1</v>
      </c>
      <c r="BO29" s="27" t="n">
        <v>0.43</v>
      </c>
      <c r="BP29" s="27" t="n">
        <v>1</v>
      </c>
      <c r="BQ29" s="27" t="n">
        <v>1.74</v>
      </c>
      <c r="BR29" s="27" t="n">
        <v>1.32</v>
      </c>
      <c r="BS29" s="27" t="n">
        <v>4.32</v>
      </c>
      <c r="BT29" s="27" t="n">
        <v>1.2</v>
      </c>
      <c r="BU29" s="27" t="n">
        <v>0.11</v>
      </c>
      <c r="BV29" s="24" t="n">
        <v>2</v>
      </c>
    </row>
    <row r="30" customFormat="false" ht="13.8" hidden="false" customHeight="false" outlineLevel="0" collapsed="false">
      <c r="A30" s="0" t="n">
        <v>2</v>
      </c>
      <c r="B30" s="0" t="n">
        <v>25.1362080766598</v>
      </c>
      <c r="C30" s="0" t="n">
        <v>0.128678986995209</v>
      </c>
      <c r="D30" s="0" t="n">
        <v>4</v>
      </c>
      <c r="E30" s="0" t="n">
        <v>62</v>
      </c>
      <c r="F30" s="0" t="n">
        <v>1.62</v>
      </c>
      <c r="G30" s="0" t="n">
        <v>23.6244474927602</v>
      </c>
      <c r="H30" s="0" t="n">
        <v>0</v>
      </c>
      <c r="I30" s="0" t="n">
        <v>0</v>
      </c>
      <c r="J30" s="19" t="n">
        <v>0</v>
      </c>
      <c r="K30" s="19" t="n">
        <v>2</v>
      </c>
      <c r="L30" s="19" t="n">
        <v>1</v>
      </c>
      <c r="M30" s="19" t="n">
        <v>0</v>
      </c>
      <c r="N30" s="19" t="n">
        <v>0</v>
      </c>
      <c r="O30" s="19" t="n">
        <v>0</v>
      </c>
      <c r="P30" s="19" t="n">
        <v>0</v>
      </c>
      <c r="Q30" s="19" t="n">
        <v>0</v>
      </c>
      <c r="R30" s="19" t="n">
        <v>0</v>
      </c>
      <c r="S30" s="19"/>
      <c r="T30" s="19"/>
      <c r="U30" s="15" t="n">
        <f aca="false">AVERAGE(M30:T30)</f>
        <v>0</v>
      </c>
      <c r="V30" s="19" t="n">
        <v>1</v>
      </c>
      <c r="W30" s="19" t="n">
        <v>2</v>
      </c>
      <c r="X30" s="19" t="n">
        <v>5</v>
      </c>
      <c r="Y30" s="19" t="n">
        <v>5</v>
      </c>
      <c r="Z30" s="19" t="n">
        <v>4</v>
      </c>
      <c r="AA30" s="19" t="n">
        <v>4</v>
      </c>
      <c r="AB30" s="19" t="n">
        <v>4</v>
      </c>
      <c r="AC30" s="19" t="n">
        <v>5</v>
      </c>
      <c r="AD30" s="19" t="n">
        <v>5</v>
      </c>
      <c r="AE30" s="19" t="n">
        <v>4</v>
      </c>
      <c r="AF30" s="19" t="n">
        <v>5</v>
      </c>
      <c r="AG30" s="19" t="n">
        <v>5</v>
      </c>
      <c r="AH30" s="19" t="n">
        <v>5</v>
      </c>
      <c r="AI30" s="19" t="n">
        <v>5</v>
      </c>
      <c r="AJ30" s="19" t="n">
        <v>5</v>
      </c>
      <c r="AK30" s="19" t="n">
        <v>5</v>
      </c>
      <c r="AL30" s="19"/>
      <c r="AM30" s="19"/>
      <c r="AN30" s="19"/>
      <c r="AO30" s="19"/>
      <c r="AP30" s="0" t="n">
        <v>75</v>
      </c>
      <c r="AQ30" s="16" t="n">
        <v>87.9</v>
      </c>
      <c r="AR30" s="16" t="n">
        <v>80.4</v>
      </c>
      <c r="AS30" s="16" t="n">
        <v>45.2</v>
      </c>
      <c r="AT30" s="0" t="n">
        <v>50.83</v>
      </c>
      <c r="AU30" s="0" t="n">
        <v>0.05</v>
      </c>
      <c r="AV30" s="0" t="n">
        <v>46.44</v>
      </c>
      <c r="AW30" s="0" t="n">
        <v>2.67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25.21</v>
      </c>
      <c r="BG30" s="0" t="n">
        <v>43.57</v>
      </c>
      <c r="BH30" s="0" t="n">
        <v>6.27</v>
      </c>
      <c r="BI30" s="0" t="n">
        <v>0</v>
      </c>
      <c r="BJ30" s="0" t="n">
        <v>0</v>
      </c>
      <c r="BK30" s="0" t="n">
        <v>0</v>
      </c>
      <c r="BL30" s="0" t="n">
        <v>17.8</v>
      </c>
      <c r="BM30" s="0" t="n">
        <v>1</v>
      </c>
      <c r="BN30" s="0" t="n">
        <v>1</v>
      </c>
      <c r="BO30" s="16" t="n">
        <v>3.43</v>
      </c>
      <c r="BP30" s="16" t="n">
        <v>1</v>
      </c>
      <c r="BQ30" s="16" t="n">
        <v>6.39</v>
      </c>
      <c r="BR30" s="16" t="n">
        <v>3.31</v>
      </c>
      <c r="BS30" s="16" t="n">
        <v>0</v>
      </c>
      <c r="BT30" s="16" t="n">
        <v>0</v>
      </c>
      <c r="BU30" s="16" t="n">
        <v>0</v>
      </c>
      <c r="BV30" s="0" t="n">
        <v>0</v>
      </c>
    </row>
    <row r="31" customFormat="false" ht="13.8" hidden="false" customHeight="false" outlineLevel="0" collapsed="false">
      <c r="A31" s="0" t="n">
        <v>1</v>
      </c>
      <c r="B31" s="0" t="n">
        <v>21.637234770705</v>
      </c>
      <c r="C31" s="0" t="n">
        <v>0.292950034223135</v>
      </c>
      <c r="D31" s="0" t="n">
        <v>4</v>
      </c>
      <c r="E31" s="0" t="n">
        <v>58</v>
      </c>
      <c r="F31" s="0" t="n">
        <v>1.58</v>
      </c>
      <c r="G31" s="0" t="n">
        <v>23.2334561768947</v>
      </c>
      <c r="H31" s="0" t="n">
        <v>0</v>
      </c>
      <c r="I31" s="0" t="n">
        <v>0</v>
      </c>
      <c r="J31" s="19" t="n">
        <v>0</v>
      </c>
      <c r="K31" s="19" t="n">
        <v>2</v>
      </c>
      <c r="L31" s="19" t="n">
        <v>0</v>
      </c>
      <c r="M31" s="19" t="n">
        <v>0</v>
      </c>
      <c r="N31" s="19" t="n">
        <v>0</v>
      </c>
      <c r="O31" s="19" t="n">
        <v>0</v>
      </c>
      <c r="P31" s="19" t="n">
        <v>0</v>
      </c>
      <c r="Q31" s="19" t="n">
        <v>0</v>
      </c>
      <c r="R31" s="19" t="n">
        <v>0</v>
      </c>
      <c r="S31" s="19" t="n">
        <v>0</v>
      </c>
      <c r="T31" s="19" t="n">
        <v>0</v>
      </c>
      <c r="U31" s="15" t="n">
        <f aca="false">AVERAGE(M31:T31)</f>
        <v>0</v>
      </c>
      <c r="V31" s="19" t="n">
        <v>2</v>
      </c>
      <c r="W31" s="19" t="n">
        <v>1</v>
      </c>
      <c r="X31" s="19" t="n">
        <v>1</v>
      </c>
      <c r="Y31" s="19" t="n">
        <v>5</v>
      </c>
      <c r="Z31" s="19" t="n">
        <v>1</v>
      </c>
      <c r="AA31" s="19" t="n">
        <v>1</v>
      </c>
      <c r="AB31" s="19" t="n">
        <v>3</v>
      </c>
      <c r="AC31" s="19" t="n">
        <v>4</v>
      </c>
      <c r="AD31" s="19" t="n">
        <v>5</v>
      </c>
      <c r="AE31" s="19" t="n">
        <v>5</v>
      </c>
      <c r="AF31" s="19" t="n">
        <v>5</v>
      </c>
      <c r="AG31" s="19" t="n">
        <v>5</v>
      </c>
      <c r="AH31" s="19" t="n">
        <v>4</v>
      </c>
      <c r="AI31" s="19" t="n">
        <v>5</v>
      </c>
      <c r="AJ31" s="19" t="n">
        <v>5</v>
      </c>
      <c r="AK31" s="19" t="n">
        <v>5</v>
      </c>
      <c r="AL31" s="19" t="n">
        <v>5</v>
      </c>
      <c r="AM31" s="19" t="n">
        <v>5</v>
      </c>
      <c r="AN31" s="19" t="n">
        <v>5</v>
      </c>
      <c r="AO31" s="19" t="n">
        <v>10</v>
      </c>
      <c r="AP31" s="0" t="n">
        <v>37</v>
      </c>
      <c r="AQ31" s="16" t="n">
        <v>95.1</v>
      </c>
      <c r="AR31" s="16" t="n">
        <v>80.4</v>
      </c>
      <c r="AS31" s="16" t="n">
        <v>15.9</v>
      </c>
      <c r="AT31" s="0" t="n">
        <v>82.71</v>
      </c>
      <c r="AU31" s="0"/>
      <c r="AV31" s="0" t="n">
        <v>10.32</v>
      </c>
      <c r="AW31" s="0" t="n">
        <v>0.39</v>
      </c>
      <c r="AX31" s="0" t="n">
        <v>10.32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1.9</v>
      </c>
      <c r="BF31" s="0" t="n">
        <v>26.26</v>
      </c>
      <c r="BG31" s="0" t="n">
        <v>6.04</v>
      </c>
      <c r="BH31" s="0" t="n">
        <v>2.19</v>
      </c>
      <c r="BI31" s="0" t="n">
        <v>0</v>
      </c>
      <c r="BJ31" s="0" t="n">
        <v>0</v>
      </c>
      <c r="BK31" s="0" t="n">
        <v>0</v>
      </c>
      <c r="BL31" s="0" t="n">
        <v>14.7</v>
      </c>
      <c r="BM31" s="0" t="n">
        <v>1</v>
      </c>
      <c r="BN31" s="0" t="n">
        <v>1</v>
      </c>
      <c r="BO31" s="0" t="n">
        <v>0</v>
      </c>
      <c r="BP31" s="19" t="n">
        <v>0</v>
      </c>
      <c r="BQ31" s="16" t="n">
        <v>5.11</v>
      </c>
      <c r="BR31" s="0" t="n">
        <v>4.81</v>
      </c>
      <c r="BS31" s="0" t="n">
        <v>0</v>
      </c>
      <c r="BT31" s="0" t="n">
        <v>0</v>
      </c>
      <c r="BU31" s="0" t="n">
        <v>0</v>
      </c>
      <c r="BV31" s="0" t="n">
        <v>0</v>
      </c>
    </row>
    <row r="32" customFormat="false" ht="13.8" hidden="false" customHeight="false" outlineLevel="0" collapsed="false">
      <c r="A32" s="0" t="n">
        <v>2</v>
      </c>
      <c r="B32" s="0" t="n">
        <v>38.0752908966461</v>
      </c>
      <c r="C32" s="0" t="n">
        <v>0.197125256673511</v>
      </c>
      <c r="D32" s="0" t="n">
        <v>4</v>
      </c>
      <c r="E32" s="0" t="n">
        <v>66</v>
      </c>
      <c r="F32" s="0" t="n">
        <v>1.77</v>
      </c>
      <c r="G32" s="0" t="n">
        <v>21.0667432730058</v>
      </c>
      <c r="H32" s="0" t="n">
        <v>0</v>
      </c>
      <c r="I32" s="0" t="n">
        <v>0</v>
      </c>
      <c r="J32" s="19" t="n">
        <v>0</v>
      </c>
      <c r="K32" s="19" t="n">
        <v>3</v>
      </c>
      <c r="L32" s="19" t="n">
        <v>0</v>
      </c>
      <c r="M32" s="19" t="n">
        <v>0</v>
      </c>
      <c r="N32" s="19" t="n">
        <v>0</v>
      </c>
      <c r="O32" s="19" t="n">
        <v>0</v>
      </c>
      <c r="P32" s="19" t="n">
        <v>0</v>
      </c>
      <c r="Q32" s="19" t="n">
        <v>6</v>
      </c>
      <c r="R32" s="19" t="n">
        <v>0</v>
      </c>
      <c r="S32" s="19" t="n">
        <v>0</v>
      </c>
      <c r="T32" s="19" t="n">
        <v>0</v>
      </c>
      <c r="U32" s="15" t="n">
        <f aca="false">AVERAGE(M32:T32)</f>
        <v>0.75</v>
      </c>
      <c r="V32" s="19" t="n">
        <v>2</v>
      </c>
      <c r="W32" s="19" t="n">
        <v>3</v>
      </c>
      <c r="X32" s="19" t="n">
        <v>3</v>
      </c>
      <c r="Y32" s="19" t="n">
        <v>4</v>
      </c>
      <c r="Z32" s="19" t="n">
        <v>2</v>
      </c>
      <c r="AA32" s="19" t="n">
        <v>3</v>
      </c>
      <c r="AB32" s="19" t="n">
        <v>1</v>
      </c>
      <c r="AC32" s="19" t="n">
        <v>2</v>
      </c>
      <c r="AD32" s="19" t="n">
        <v>3</v>
      </c>
      <c r="AE32" s="19" t="n">
        <v>4</v>
      </c>
      <c r="AF32" s="19" t="n">
        <v>4</v>
      </c>
      <c r="AG32" s="19" t="n">
        <v>4</v>
      </c>
      <c r="AH32" s="19" t="n">
        <v>2</v>
      </c>
      <c r="AI32" s="19" t="n">
        <v>4</v>
      </c>
      <c r="AJ32" s="19" t="n">
        <v>5</v>
      </c>
      <c r="AK32" s="19" t="n">
        <v>4</v>
      </c>
      <c r="AL32" s="19" t="n">
        <v>4</v>
      </c>
      <c r="AM32" s="19" t="n">
        <v>4</v>
      </c>
      <c r="AN32" s="19" t="n">
        <v>2</v>
      </c>
      <c r="AO32" s="19" t="n">
        <v>7</v>
      </c>
      <c r="AP32" s="0" t="n">
        <v>74.5</v>
      </c>
      <c r="AQ32" s="16" t="n">
        <v>76.2</v>
      </c>
      <c r="AR32" s="16" t="n">
        <v>80.4</v>
      </c>
      <c r="AS32" s="16" t="n">
        <v>42.8</v>
      </c>
      <c r="AT32" s="0" t="n">
        <v>57.15</v>
      </c>
      <c r="AU32" s="0" t="n">
        <v>0.45</v>
      </c>
      <c r="AV32" s="0" t="n">
        <v>39.09</v>
      </c>
      <c r="AW32" s="0" t="n">
        <v>3.3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18.26</v>
      </c>
      <c r="BG32" s="0" t="n">
        <v>34.4</v>
      </c>
      <c r="BH32" s="0" t="n">
        <v>6.27</v>
      </c>
      <c r="BI32" s="0" t="n">
        <v>0</v>
      </c>
      <c r="BJ32" s="0" t="n">
        <v>0</v>
      </c>
      <c r="BK32" s="0" t="n">
        <v>0</v>
      </c>
      <c r="BL32" s="0" t="n">
        <v>18.2</v>
      </c>
      <c r="BM32" s="0" t="n">
        <v>1</v>
      </c>
      <c r="BN32" s="0" t="n">
        <v>1</v>
      </c>
      <c r="BO32" s="16" t="n">
        <v>7.59</v>
      </c>
      <c r="BP32" s="16" t="n">
        <v>1</v>
      </c>
      <c r="BQ32" s="16" t="n">
        <v>5.05</v>
      </c>
      <c r="BR32" s="16" t="n">
        <v>1.54</v>
      </c>
      <c r="BS32" s="16" t="n">
        <v>0</v>
      </c>
      <c r="BT32" s="16" t="n">
        <v>0</v>
      </c>
      <c r="BU32" s="16" t="n">
        <v>0</v>
      </c>
      <c r="BV32" s="0" t="n">
        <v>0</v>
      </c>
    </row>
    <row r="33" customFormat="false" ht="13.8" hidden="false" customHeight="false" outlineLevel="0" collapsed="false">
      <c r="A33" s="0" t="n">
        <v>2</v>
      </c>
      <c r="B33" s="0" t="n">
        <v>25.2347707049966</v>
      </c>
      <c r="C33" s="0" t="n">
        <v>0.251882272416153</v>
      </c>
      <c r="D33" s="0" t="n">
        <v>4</v>
      </c>
      <c r="E33" s="0" t="n">
        <v>77</v>
      </c>
      <c r="F33" s="0" t="n">
        <v>1.78</v>
      </c>
      <c r="G33" s="0" t="n">
        <v>24.3024870597147</v>
      </c>
      <c r="H33" s="0" t="n">
        <v>0</v>
      </c>
      <c r="I33" s="0" t="n">
        <v>0</v>
      </c>
      <c r="J33" s="19" t="n">
        <v>0</v>
      </c>
      <c r="K33" s="19" t="n">
        <v>3</v>
      </c>
      <c r="L33" s="19" t="n">
        <v>1</v>
      </c>
      <c r="M33" s="19" t="n">
        <v>0</v>
      </c>
      <c r="N33" s="19" t="n">
        <v>0</v>
      </c>
      <c r="O33" s="19" t="n">
        <v>4</v>
      </c>
      <c r="P33" s="19" t="n">
        <v>0</v>
      </c>
      <c r="Q33" s="19" t="n">
        <v>4</v>
      </c>
      <c r="R33" s="19" t="n">
        <v>0</v>
      </c>
      <c r="S33" s="19" t="n">
        <v>0</v>
      </c>
      <c r="T33" s="19" t="n">
        <v>0</v>
      </c>
      <c r="U33" s="15" t="n">
        <f aca="false">AVERAGE(M33:T33)</f>
        <v>1</v>
      </c>
      <c r="V33" s="19" t="n">
        <v>2</v>
      </c>
      <c r="W33" s="19" t="n">
        <v>1</v>
      </c>
      <c r="X33" s="19" t="n">
        <v>3</v>
      </c>
      <c r="Y33" s="19" t="n">
        <v>5</v>
      </c>
      <c r="Z33" s="19" t="n">
        <v>2</v>
      </c>
      <c r="AA33" s="19" t="n">
        <v>1</v>
      </c>
      <c r="AB33" s="19" t="n">
        <v>2</v>
      </c>
      <c r="AC33" s="19" t="n">
        <v>3</v>
      </c>
      <c r="AD33" s="19" t="n">
        <v>3</v>
      </c>
      <c r="AE33" s="19" t="n">
        <v>5</v>
      </c>
      <c r="AF33" s="19" t="n">
        <v>4</v>
      </c>
      <c r="AG33" s="19" t="n">
        <v>4</v>
      </c>
      <c r="AH33" s="19" t="n">
        <v>4</v>
      </c>
      <c r="AI33" s="19" t="n">
        <v>3</v>
      </c>
      <c r="AJ33" s="19" t="n">
        <v>4</v>
      </c>
      <c r="AK33" s="19" t="n">
        <v>4</v>
      </c>
      <c r="AL33" s="19" t="n">
        <v>4</v>
      </c>
      <c r="AM33" s="19" t="n">
        <v>4</v>
      </c>
      <c r="AN33" s="19" t="n">
        <v>4</v>
      </c>
      <c r="AO33" s="19" t="n">
        <v>9</v>
      </c>
      <c r="AP33" s="0" t="n">
        <v>37</v>
      </c>
      <c r="AQ33" s="16" t="n">
        <v>95.1</v>
      </c>
      <c r="AR33" s="16" t="n">
        <v>80.4</v>
      </c>
      <c r="AS33" s="16" t="n">
        <v>15.9</v>
      </c>
      <c r="AT33" s="0" t="n">
        <v>82.71</v>
      </c>
      <c r="AU33" s="17" t="n">
        <v>0</v>
      </c>
      <c r="AV33" s="0" t="n">
        <v>10.32</v>
      </c>
      <c r="AW33" s="0" t="n">
        <v>0.39</v>
      </c>
      <c r="AX33" s="0" t="n">
        <v>10.32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1.9</v>
      </c>
      <c r="BF33" s="0" t="n">
        <v>26.26</v>
      </c>
      <c r="BG33" s="0" t="n">
        <v>6.04</v>
      </c>
      <c r="BH33" s="0" t="n">
        <v>2.19</v>
      </c>
      <c r="BI33" s="0" t="n">
        <v>0</v>
      </c>
      <c r="BJ33" s="0" t="n">
        <v>0</v>
      </c>
      <c r="BK33" s="0" t="n">
        <v>0</v>
      </c>
      <c r="BL33" s="0" t="n">
        <v>14.7</v>
      </c>
      <c r="BM33" s="0" t="n">
        <v>1</v>
      </c>
      <c r="BN33" s="0" t="n">
        <v>1</v>
      </c>
      <c r="BO33" s="0" t="n">
        <v>0</v>
      </c>
      <c r="BP33" s="19" t="n">
        <v>0</v>
      </c>
      <c r="BQ33" s="16" t="n">
        <v>5.11</v>
      </c>
      <c r="BR33" s="0" t="n">
        <v>4.81</v>
      </c>
      <c r="BS33" s="0" t="n">
        <v>0</v>
      </c>
      <c r="BT33" s="0" t="n">
        <v>0</v>
      </c>
      <c r="BU33" s="0" t="n">
        <v>0</v>
      </c>
      <c r="BV33" s="0" t="n">
        <v>0</v>
      </c>
    </row>
    <row r="34" customFormat="false" ht="13.8" hidden="false" customHeight="false" outlineLevel="0" collapsed="false">
      <c r="A34" s="0" t="n">
        <v>2</v>
      </c>
      <c r="B34" s="0" t="n">
        <v>36.1806981519507</v>
      </c>
      <c r="C34" s="0" t="n">
        <v>0.262833675564682</v>
      </c>
      <c r="D34" s="0" t="n">
        <v>4</v>
      </c>
      <c r="E34" s="0" t="n">
        <v>62</v>
      </c>
      <c r="F34" s="0" t="n">
        <v>1.7</v>
      </c>
      <c r="G34" s="0" t="n">
        <v>21.4532871972318</v>
      </c>
      <c r="H34" s="0" t="n">
        <v>0</v>
      </c>
      <c r="I34" s="0" t="n">
        <v>0</v>
      </c>
      <c r="J34" s="19" t="n">
        <v>0</v>
      </c>
      <c r="K34" s="19" t="n">
        <v>1</v>
      </c>
      <c r="L34" s="19" t="n">
        <v>1</v>
      </c>
      <c r="M34" s="19" t="n">
        <v>0</v>
      </c>
      <c r="N34" s="19" t="n">
        <v>0</v>
      </c>
      <c r="O34" s="19" t="n">
        <v>0</v>
      </c>
      <c r="P34" s="19" t="n">
        <v>0</v>
      </c>
      <c r="Q34" s="19" t="n">
        <v>0</v>
      </c>
      <c r="R34" s="19" t="n">
        <v>0</v>
      </c>
      <c r="S34" s="19" t="n">
        <v>0</v>
      </c>
      <c r="T34" s="19" t="n">
        <v>0</v>
      </c>
      <c r="U34" s="15" t="n">
        <f aca="false">AVERAGE(M34:T34)</f>
        <v>0</v>
      </c>
      <c r="V34" s="19" t="n">
        <v>1</v>
      </c>
      <c r="W34" s="19" t="n">
        <v>2</v>
      </c>
      <c r="X34" s="19" t="n">
        <v>3</v>
      </c>
      <c r="Y34" s="19" t="n">
        <v>4</v>
      </c>
      <c r="Z34" s="19" t="n">
        <v>3</v>
      </c>
      <c r="AA34" s="19" t="n">
        <v>1</v>
      </c>
      <c r="AB34" s="19" t="n">
        <v>3</v>
      </c>
      <c r="AC34" s="19" t="n">
        <v>3</v>
      </c>
      <c r="AD34" s="19" t="n">
        <v>3</v>
      </c>
      <c r="AE34" s="19" t="n">
        <v>5</v>
      </c>
      <c r="AF34" s="19" t="n">
        <v>5</v>
      </c>
      <c r="AG34" s="19" t="n">
        <v>5</v>
      </c>
      <c r="AH34" s="19" t="n">
        <v>5</v>
      </c>
      <c r="AI34" s="19" t="n">
        <v>4</v>
      </c>
      <c r="AJ34" s="19" t="n">
        <v>5</v>
      </c>
      <c r="AK34" s="19" t="n">
        <v>4</v>
      </c>
      <c r="AL34" s="19" t="n">
        <v>5</v>
      </c>
      <c r="AM34" s="19" t="n">
        <v>5</v>
      </c>
      <c r="AN34" s="19" t="n">
        <v>5</v>
      </c>
      <c r="AO34" s="19" t="n">
        <v>8</v>
      </c>
      <c r="AP34" s="0" t="n">
        <v>75</v>
      </c>
      <c r="AQ34" s="16" t="n">
        <v>87.9</v>
      </c>
      <c r="AR34" s="16" t="n">
        <v>80.4</v>
      </c>
      <c r="AS34" s="16" t="n">
        <v>45.2</v>
      </c>
      <c r="AT34" s="0" t="n">
        <v>50.83</v>
      </c>
      <c r="AU34" s="0" t="n">
        <v>0.05</v>
      </c>
      <c r="AV34" s="0" t="n">
        <v>46.44</v>
      </c>
      <c r="AW34" s="0" t="n">
        <v>2.67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25.21</v>
      </c>
      <c r="BG34" s="0" t="n">
        <v>43.57</v>
      </c>
      <c r="BH34" s="0" t="n">
        <v>6.27</v>
      </c>
      <c r="BI34" s="0" t="n">
        <v>0</v>
      </c>
      <c r="BJ34" s="0" t="n">
        <v>0</v>
      </c>
      <c r="BK34" s="0" t="n">
        <v>0</v>
      </c>
      <c r="BL34" s="0" t="n">
        <v>17.8</v>
      </c>
      <c r="BM34" s="0" t="n">
        <v>1</v>
      </c>
      <c r="BN34" s="0" t="n">
        <v>1</v>
      </c>
      <c r="BO34" s="16" t="n">
        <v>3.43</v>
      </c>
      <c r="BP34" s="16" t="n">
        <v>1</v>
      </c>
      <c r="BQ34" s="16" t="n">
        <v>6.39</v>
      </c>
      <c r="BR34" s="16" t="n">
        <v>3.31</v>
      </c>
      <c r="BS34" s="16" t="n">
        <v>0</v>
      </c>
      <c r="BT34" s="16" t="n">
        <v>0</v>
      </c>
      <c r="BU34" s="16" t="n">
        <v>0</v>
      </c>
      <c r="BV34" s="0" t="n">
        <v>0</v>
      </c>
    </row>
    <row r="35" customFormat="false" ht="13.8" hidden="false" customHeight="false" outlineLevel="0" collapsed="false">
      <c r="A35" s="0" t="n">
        <v>2</v>
      </c>
      <c r="B35" s="0" t="n">
        <v>32.7939767282683</v>
      </c>
      <c r="C35" s="0" t="n">
        <v>6.53251197809719</v>
      </c>
      <c r="D35" s="0" t="n">
        <v>4</v>
      </c>
      <c r="E35" s="0" t="n">
        <v>60</v>
      </c>
      <c r="F35" s="0" t="n">
        <v>1.72</v>
      </c>
      <c r="G35" s="0" t="n">
        <v>20.2812330989724</v>
      </c>
      <c r="H35" s="0" t="n">
        <v>0</v>
      </c>
      <c r="I35" s="0" t="n">
        <v>0</v>
      </c>
      <c r="J35" s="19" t="n">
        <v>1</v>
      </c>
      <c r="K35" s="19" t="n">
        <v>1</v>
      </c>
      <c r="L35" s="19" t="n">
        <v>0</v>
      </c>
      <c r="M35" s="19"/>
      <c r="N35" s="19"/>
      <c r="O35" s="19"/>
      <c r="P35" s="19"/>
      <c r="Q35" s="19"/>
      <c r="R35" s="19"/>
      <c r="S35" s="19"/>
      <c r="T35" s="19"/>
      <c r="U35" s="15"/>
      <c r="V35" s="19" t="n">
        <v>3</v>
      </c>
      <c r="W35" s="19" t="n">
        <v>2</v>
      </c>
      <c r="X35" s="19" t="n">
        <v>5</v>
      </c>
      <c r="Y35" s="19" t="n">
        <v>4</v>
      </c>
      <c r="Z35" s="19" t="n">
        <v>1</v>
      </c>
      <c r="AA35" s="19" t="n">
        <v>1</v>
      </c>
      <c r="AB35" s="19" t="n">
        <v>3</v>
      </c>
      <c r="AC35" s="19" t="n">
        <v>3</v>
      </c>
      <c r="AD35" s="19" t="n">
        <v>3</v>
      </c>
      <c r="AE35" s="19" t="n">
        <v>3</v>
      </c>
      <c r="AF35" s="19" t="n">
        <v>4</v>
      </c>
      <c r="AG35" s="19" t="n">
        <v>4</v>
      </c>
      <c r="AH35" s="19" t="n">
        <v>3</v>
      </c>
      <c r="AI35" s="19" t="n">
        <v>2</v>
      </c>
      <c r="AJ35" s="19" t="n">
        <v>5</v>
      </c>
      <c r="AK35" s="19" t="n">
        <v>3</v>
      </c>
      <c r="AL35" s="19" t="n">
        <v>4</v>
      </c>
      <c r="AM35" s="19" t="n">
        <v>5</v>
      </c>
      <c r="AN35" s="19" t="n">
        <v>3</v>
      </c>
      <c r="AO35" s="19" t="n">
        <v>5</v>
      </c>
      <c r="AP35" s="0" t="n">
        <v>37</v>
      </c>
      <c r="AQ35" s="16" t="n">
        <v>95.1</v>
      </c>
      <c r="AR35" s="16" t="n">
        <v>80.4</v>
      </c>
      <c r="AS35" s="16" t="n">
        <v>15.9</v>
      </c>
      <c r="AT35" s="0" t="n">
        <v>82.71</v>
      </c>
      <c r="AU35" s="17" t="n">
        <v>0</v>
      </c>
      <c r="AV35" s="0" t="n">
        <v>10.32</v>
      </c>
      <c r="AW35" s="0" t="n">
        <v>0.39</v>
      </c>
      <c r="AX35" s="0" t="n">
        <v>10.32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1.9</v>
      </c>
      <c r="BF35" s="0" t="n">
        <v>26.26</v>
      </c>
      <c r="BG35" s="0" t="n">
        <v>6.04</v>
      </c>
      <c r="BH35" s="0" t="n">
        <v>2.19</v>
      </c>
      <c r="BI35" s="0" t="n">
        <v>0</v>
      </c>
      <c r="BJ35" s="0" t="n">
        <v>0</v>
      </c>
      <c r="BK35" s="0" t="n">
        <v>0</v>
      </c>
      <c r="BL35" s="0" t="n">
        <v>14.7</v>
      </c>
      <c r="BM35" s="0" t="n">
        <v>1</v>
      </c>
      <c r="BN35" s="0" t="n">
        <v>1</v>
      </c>
      <c r="BO35" s="0" t="n">
        <v>0</v>
      </c>
      <c r="BP35" s="19" t="n">
        <v>0</v>
      </c>
      <c r="BQ35" s="16" t="n">
        <v>5.11</v>
      </c>
      <c r="BR35" s="0" t="n">
        <v>4.81</v>
      </c>
      <c r="BS35" s="0" t="n">
        <v>0</v>
      </c>
      <c r="BT35" s="0" t="n">
        <v>0</v>
      </c>
      <c r="BU35" s="0" t="n">
        <v>0</v>
      </c>
      <c r="BV35" s="0" t="n">
        <v>0</v>
      </c>
    </row>
    <row r="36" customFormat="false" ht="13.8" hidden="false" customHeight="false" outlineLevel="0" collapsed="false">
      <c r="A36" s="0" t="n">
        <v>1</v>
      </c>
      <c r="B36" s="0" t="n">
        <v>36.2956878850103</v>
      </c>
      <c r="C36" s="0" t="n">
        <v>0.232717316906229</v>
      </c>
      <c r="D36" s="0" t="n">
        <v>4</v>
      </c>
      <c r="E36" s="0" t="n">
        <v>62</v>
      </c>
      <c r="F36" s="0" t="n">
        <v>1.57</v>
      </c>
      <c r="G36" s="0" t="n">
        <v>25.1531502292182</v>
      </c>
      <c r="H36" s="0" t="n">
        <v>0</v>
      </c>
      <c r="I36" s="0" t="n">
        <v>0</v>
      </c>
      <c r="J36" s="19" t="n">
        <v>0</v>
      </c>
      <c r="K36" s="19" t="n">
        <v>2</v>
      </c>
      <c r="L36" s="19" t="n">
        <v>0</v>
      </c>
      <c r="M36" s="19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19" t="n">
        <v>0</v>
      </c>
      <c r="U36" s="15" t="n">
        <f aca="false">AVERAGE(M36:T36)</f>
        <v>0</v>
      </c>
      <c r="V36" s="19" t="n">
        <v>2</v>
      </c>
      <c r="W36" s="19" t="n">
        <v>2</v>
      </c>
      <c r="X36" s="19" t="n">
        <v>3</v>
      </c>
      <c r="Y36" s="19" t="n">
        <v>5</v>
      </c>
      <c r="Z36" s="19" t="n">
        <v>3</v>
      </c>
      <c r="AA36" s="19" t="n">
        <v>1</v>
      </c>
      <c r="AB36" s="19" t="n">
        <v>1</v>
      </c>
      <c r="AC36" s="19" t="n">
        <v>3</v>
      </c>
      <c r="AD36" s="19" t="n">
        <v>4</v>
      </c>
      <c r="AE36" s="19" t="n">
        <v>5</v>
      </c>
      <c r="AF36" s="19" t="n">
        <v>5</v>
      </c>
      <c r="AG36" s="19" t="n">
        <v>5</v>
      </c>
      <c r="AH36" s="19" t="n">
        <v>5</v>
      </c>
      <c r="AI36" s="19" t="n">
        <v>5</v>
      </c>
      <c r="AJ36" s="19" t="n">
        <v>2</v>
      </c>
      <c r="AK36" s="19" t="n">
        <v>5</v>
      </c>
      <c r="AL36" s="19" t="n">
        <v>5</v>
      </c>
      <c r="AM36" s="19" t="n">
        <v>5</v>
      </c>
      <c r="AN36" s="19" t="n">
        <v>5</v>
      </c>
      <c r="AO36" s="19" t="n">
        <v>10</v>
      </c>
      <c r="AP36" s="0" t="n">
        <v>37</v>
      </c>
      <c r="AQ36" s="16" t="n">
        <v>95.1</v>
      </c>
      <c r="AR36" s="16" t="n">
        <v>80.4</v>
      </c>
      <c r="AS36" s="16" t="n">
        <v>15.9</v>
      </c>
      <c r="AT36" s="0" t="n">
        <v>82.71</v>
      </c>
      <c r="AU36" s="17" t="n">
        <v>0</v>
      </c>
      <c r="AV36" s="0" t="n">
        <v>10.32</v>
      </c>
      <c r="AW36" s="0" t="n">
        <v>0.39</v>
      </c>
      <c r="AX36" s="0" t="n">
        <v>10.32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1.9</v>
      </c>
      <c r="BF36" s="0" t="n">
        <v>26.26</v>
      </c>
      <c r="BG36" s="0" t="n">
        <v>6.04</v>
      </c>
      <c r="BH36" s="0" t="n">
        <v>2.19</v>
      </c>
      <c r="BI36" s="0" t="n">
        <v>0</v>
      </c>
      <c r="BJ36" s="0" t="n">
        <v>0</v>
      </c>
      <c r="BK36" s="0" t="n">
        <v>0</v>
      </c>
      <c r="BL36" s="0" t="n">
        <v>14.7</v>
      </c>
      <c r="BM36" s="0" t="n">
        <v>1</v>
      </c>
      <c r="BN36" s="0" t="n">
        <v>1</v>
      </c>
      <c r="BO36" s="0" t="n">
        <v>0</v>
      </c>
      <c r="BP36" s="19" t="n">
        <v>0</v>
      </c>
      <c r="BQ36" s="16" t="n">
        <v>5.11</v>
      </c>
      <c r="BR36" s="0" t="n">
        <v>4.81</v>
      </c>
      <c r="BS36" s="0" t="n">
        <v>0</v>
      </c>
      <c r="BT36" s="0" t="n">
        <v>0</v>
      </c>
      <c r="BU36" s="0" t="n">
        <v>0</v>
      </c>
      <c r="BV36" s="0" t="n">
        <v>0</v>
      </c>
    </row>
    <row r="37" customFormat="false" ht="13.8" hidden="false" customHeight="false" outlineLevel="0" collapsed="false">
      <c r="A37" s="0" t="n">
        <v>1</v>
      </c>
      <c r="B37" s="0" t="n">
        <v>30.1464750171116</v>
      </c>
      <c r="C37" s="0" t="n">
        <v>0.309377138945927</v>
      </c>
      <c r="D37" s="0" t="n">
        <v>4</v>
      </c>
      <c r="E37" s="0" t="n">
        <v>67</v>
      </c>
      <c r="F37" s="0" t="n">
        <v>1.73</v>
      </c>
      <c r="G37" s="0" t="n">
        <v>22.3863142771225</v>
      </c>
      <c r="H37" s="0" t="n">
        <v>0</v>
      </c>
      <c r="I37" s="0" t="n">
        <v>0</v>
      </c>
      <c r="J37" s="19" t="n">
        <v>1</v>
      </c>
      <c r="K37" s="19" t="n">
        <v>0</v>
      </c>
      <c r="L37" s="19" t="n">
        <v>0</v>
      </c>
      <c r="M37" s="19" t="n">
        <v>0</v>
      </c>
      <c r="N37" s="19" t="n">
        <v>0</v>
      </c>
      <c r="O37" s="19" t="n">
        <v>0</v>
      </c>
      <c r="P37" s="19" t="n">
        <v>0</v>
      </c>
      <c r="Q37" s="19" t="n">
        <v>0</v>
      </c>
      <c r="R37" s="19" t="n">
        <v>0</v>
      </c>
      <c r="S37" s="19" t="n">
        <v>0</v>
      </c>
      <c r="T37" s="19" t="n">
        <v>0</v>
      </c>
      <c r="U37" s="15" t="n">
        <f aca="false">AVERAGE(M37:T37)</f>
        <v>0</v>
      </c>
      <c r="V37" s="19" t="n">
        <v>1</v>
      </c>
      <c r="W37" s="19" t="n">
        <v>2</v>
      </c>
      <c r="X37" s="19" t="n">
        <v>5</v>
      </c>
      <c r="Y37" s="19" t="n">
        <v>5</v>
      </c>
      <c r="Z37" s="19" t="n">
        <v>4</v>
      </c>
      <c r="AA37" s="19" t="n">
        <v>5</v>
      </c>
      <c r="AB37" s="19" t="n">
        <v>3</v>
      </c>
      <c r="AC37" s="19" t="n">
        <v>4</v>
      </c>
      <c r="AD37" s="19" t="n">
        <v>4</v>
      </c>
      <c r="AE37" s="19" t="n">
        <v>3</v>
      </c>
      <c r="AF37" s="19" t="n">
        <v>4</v>
      </c>
      <c r="AG37" s="19" t="n">
        <v>5</v>
      </c>
      <c r="AH37" s="19" t="n">
        <v>4</v>
      </c>
      <c r="AI37" s="19" t="n">
        <v>4</v>
      </c>
      <c r="AJ37" s="19" t="n">
        <v>4</v>
      </c>
      <c r="AK37" s="19" t="n">
        <v>3</v>
      </c>
      <c r="AL37" s="19" t="n">
        <v>4</v>
      </c>
      <c r="AM37" s="19" t="n">
        <v>4</v>
      </c>
      <c r="AN37" s="19" t="n">
        <v>4</v>
      </c>
      <c r="AO37" s="19" t="n">
        <v>9</v>
      </c>
      <c r="AP37" s="0" t="n">
        <v>37</v>
      </c>
      <c r="AQ37" s="16" t="n">
        <v>95.1</v>
      </c>
      <c r="AR37" s="16" t="n">
        <v>80.4</v>
      </c>
      <c r="AS37" s="16" t="n">
        <v>15.9</v>
      </c>
      <c r="AT37" s="0" t="n">
        <v>82.71</v>
      </c>
      <c r="AU37" s="17" t="n">
        <v>0</v>
      </c>
      <c r="AV37" s="0" t="n">
        <v>10.32</v>
      </c>
      <c r="AW37" s="0" t="n">
        <v>0.39</v>
      </c>
      <c r="AX37" s="0" t="n">
        <v>10.32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1.9</v>
      </c>
      <c r="BF37" s="0" t="n">
        <v>26.26</v>
      </c>
      <c r="BG37" s="0" t="n">
        <v>6.04</v>
      </c>
      <c r="BH37" s="0" t="n">
        <v>2.19</v>
      </c>
      <c r="BI37" s="0" t="n">
        <v>0</v>
      </c>
      <c r="BJ37" s="0" t="n">
        <v>0</v>
      </c>
      <c r="BK37" s="0" t="n">
        <v>0</v>
      </c>
      <c r="BL37" s="0" t="n">
        <v>14.7</v>
      </c>
      <c r="BM37" s="0" t="n">
        <v>1</v>
      </c>
      <c r="BN37" s="0" t="n">
        <v>1</v>
      </c>
      <c r="BO37" s="0" t="n">
        <v>0</v>
      </c>
      <c r="BP37" s="19" t="n">
        <v>0</v>
      </c>
      <c r="BQ37" s="16" t="n">
        <v>5.11</v>
      </c>
      <c r="BR37" s="0" t="n">
        <v>4.81</v>
      </c>
      <c r="BS37" s="0" t="n">
        <v>0</v>
      </c>
      <c r="BT37" s="0" t="n">
        <v>0</v>
      </c>
      <c r="BU37" s="0" t="n">
        <v>0</v>
      </c>
      <c r="BV37" s="0" t="n">
        <v>0</v>
      </c>
    </row>
    <row r="38" customFormat="false" ht="13.8" hidden="false" customHeight="false" outlineLevel="0" collapsed="false">
      <c r="A38" s="0" t="n">
        <v>1</v>
      </c>
      <c r="B38" s="0" t="n">
        <v>35.7618069815195</v>
      </c>
      <c r="C38" s="0" t="n">
        <v>0.298425735797399</v>
      </c>
      <c r="D38" s="0" t="n">
        <v>4</v>
      </c>
      <c r="E38" s="0" t="n">
        <v>87</v>
      </c>
      <c r="F38" s="0" t="n">
        <v>1.57</v>
      </c>
      <c r="G38" s="0" t="n">
        <v>35.2955495151933</v>
      </c>
      <c r="H38" s="0" t="n">
        <v>0</v>
      </c>
      <c r="I38" s="0" t="n">
        <v>0</v>
      </c>
      <c r="J38" s="19" t="n">
        <v>0</v>
      </c>
      <c r="K38" s="19" t="n">
        <v>2</v>
      </c>
      <c r="L38" s="19" t="n">
        <v>0</v>
      </c>
      <c r="M38" s="19" t="n">
        <v>0</v>
      </c>
      <c r="N38" s="19" t="n">
        <v>0</v>
      </c>
      <c r="O38" s="19" t="n">
        <v>0</v>
      </c>
      <c r="P38" s="19" t="n">
        <v>0</v>
      </c>
      <c r="Q38" s="19" t="n">
        <v>0</v>
      </c>
      <c r="R38" s="19" t="n">
        <v>0</v>
      </c>
      <c r="S38" s="19" t="n">
        <v>0</v>
      </c>
      <c r="T38" s="19" t="n">
        <v>0</v>
      </c>
      <c r="U38" s="15" t="n">
        <f aca="false">AVERAGE(M38:T38)</f>
        <v>0</v>
      </c>
      <c r="V38" s="19" t="n">
        <v>1</v>
      </c>
      <c r="W38" s="19" t="n">
        <v>1</v>
      </c>
      <c r="X38" s="19" t="n">
        <v>1</v>
      </c>
      <c r="Y38" s="19" t="n">
        <v>2</v>
      </c>
      <c r="Z38" s="19" t="n">
        <v>1</v>
      </c>
      <c r="AA38" s="19" t="n">
        <v>1</v>
      </c>
      <c r="AB38" s="19" t="n">
        <v>1</v>
      </c>
      <c r="AC38" s="19" t="n">
        <v>2</v>
      </c>
      <c r="AD38" s="19" t="n">
        <v>3</v>
      </c>
      <c r="AE38" s="19" t="n">
        <v>5</v>
      </c>
      <c r="AF38" s="19" t="n">
        <v>5</v>
      </c>
      <c r="AG38" s="19" t="n">
        <v>5</v>
      </c>
      <c r="AH38" s="19" t="n">
        <v>4</v>
      </c>
      <c r="AI38" s="19" t="n">
        <v>5</v>
      </c>
      <c r="AJ38" s="19" t="n">
        <v>3</v>
      </c>
      <c r="AK38" s="19" t="n">
        <v>5</v>
      </c>
      <c r="AL38" s="19" t="n">
        <v>5</v>
      </c>
      <c r="AM38" s="19" t="n">
        <v>5</v>
      </c>
      <c r="AN38" s="19" t="n">
        <v>5</v>
      </c>
      <c r="AO38" s="19" t="n">
        <v>10</v>
      </c>
      <c r="AP38" s="0" t="n">
        <v>37</v>
      </c>
      <c r="AQ38" s="16" t="n">
        <v>95.1</v>
      </c>
      <c r="AR38" s="16" t="n">
        <v>80.4</v>
      </c>
      <c r="AS38" s="16" t="n">
        <v>15.9</v>
      </c>
      <c r="AT38" s="0" t="n">
        <v>82.71</v>
      </c>
      <c r="AU38" s="17" t="n">
        <v>0</v>
      </c>
      <c r="AV38" s="0" t="n">
        <v>10.32</v>
      </c>
      <c r="AW38" s="0" t="n">
        <v>0.39</v>
      </c>
      <c r="AX38" s="0" t="n">
        <v>10.32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1.9</v>
      </c>
      <c r="BF38" s="0" t="n">
        <v>26.26</v>
      </c>
      <c r="BG38" s="0" t="n">
        <v>6.04</v>
      </c>
      <c r="BH38" s="0" t="n">
        <v>2.19</v>
      </c>
      <c r="BI38" s="0" t="n">
        <v>0</v>
      </c>
      <c r="BJ38" s="0" t="n">
        <v>0</v>
      </c>
      <c r="BK38" s="0" t="n">
        <v>0</v>
      </c>
      <c r="BL38" s="0" t="n">
        <v>14.7</v>
      </c>
      <c r="BM38" s="0" t="n">
        <v>1</v>
      </c>
      <c r="BN38" s="0" t="n">
        <v>1</v>
      </c>
      <c r="BO38" s="0" t="n">
        <v>0</v>
      </c>
      <c r="BP38" s="19" t="n">
        <v>0</v>
      </c>
      <c r="BQ38" s="16" t="n">
        <v>5.11</v>
      </c>
      <c r="BR38" s="0" t="n">
        <v>4.81</v>
      </c>
      <c r="BS38" s="0" t="n">
        <v>0</v>
      </c>
      <c r="BT38" s="0" t="n">
        <v>0</v>
      </c>
      <c r="BU38" s="0" t="n">
        <v>0</v>
      </c>
      <c r="BV38" s="0" t="n">
        <v>0</v>
      </c>
    </row>
    <row r="39" customFormat="false" ht="13.8" hidden="false" customHeight="false" outlineLevel="0" collapsed="false">
      <c r="A39" s="0" t="n">
        <v>1</v>
      </c>
      <c r="B39" s="0" t="n">
        <v>22.5571526351814</v>
      </c>
      <c r="C39" s="0" t="n">
        <v>0.271047227926078</v>
      </c>
      <c r="D39" s="0" t="n">
        <v>4</v>
      </c>
      <c r="E39" s="0" t="n">
        <v>53</v>
      </c>
      <c r="F39" s="0" t="n">
        <v>1.64</v>
      </c>
      <c r="G39" s="0" t="n">
        <v>19.7055324211779</v>
      </c>
      <c r="H39" s="0" t="n">
        <v>0</v>
      </c>
      <c r="I39" s="0" t="n">
        <v>0</v>
      </c>
      <c r="J39" s="19" t="n">
        <v>0</v>
      </c>
      <c r="K39" s="19" t="n">
        <v>0</v>
      </c>
      <c r="L39" s="19" t="n">
        <v>0</v>
      </c>
      <c r="M39" s="19" t="n">
        <v>0</v>
      </c>
      <c r="N39" s="19" t="n">
        <v>0</v>
      </c>
      <c r="O39" s="19" t="n">
        <v>0</v>
      </c>
      <c r="P39" s="19" t="n">
        <v>0</v>
      </c>
      <c r="Q39" s="19" t="n">
        <v>0</v>
      </c>
      <c r="R39" s="19" t="n">
        <v>0</v>
      </c>
      <c r="S39" s="19" t="n">
        <v>0</v>
      </c>
      <c r="T39" s="19" t="n">
        <v>0</v>
      </c>
      <c r="U39" s="15" t="n">
        <f aca="false">AVERAGE(M39:T39)</f>
        <v>0</v>
      </c>
      <c r="V39" s="19" t="n">
        <v>1</v>
      </c>
      <c r="W39" s="19" t="n">
        <v>1</v>
      </c>
      <c r="X39" s="19" t="n">
        <v>3</v>
      </c>
      <c r="Y39" s="19" t="n">
        <v>5</v>
      </c>
      <c r="Z39" s="19" t="n">
        <v>2</v>
      </c>
      <c r="AA39" s="19" t="n">
        <v>2</v>
      </c>
      <c r="AB39" s="19" t="n">
        <v>2</v>
      </c>
      <c r="AC39" s="19" t="n">
        <v>3</v>
      </c>
      <c r="AD39" s="19" t="n">
        <v>4</v>
      </c>
      <c r="AE39" s="19" t="n">
        <v>5</v>
      </c>
      <c r="AF39" s="19" t="n">
        <v>5</v>
      </c>
      <c r="AG39" s="19" t="n">
        <v>5</v>
      </c>
      <c r="AH39" s="19" t="n">
        <v>5</v>
      </c>
      <c r="AI39" s="19" t="n">
        <v>5</v>
      </c>
      <c r="AJ39" s="19" t="n">
        <v>4</v>
      </c>
      <c r="AK39" s="19" t="n">
        <v>5</v>
      </c>
      <c r="AL39" s="19" t="n">
        <v>5</v>
      </c>
      <c r="AM39" s="19" t="n">
        <v>5</v>
      </c>
      <c r="AN39" s="19" t="n">
        <v>5</v>
      </c>
      <c r="AO39" s="19" t="n">
        <v>10</v>
      </c>
      <c r="AP39" s="0" t="n">
        <v>37</v>
      </c>
      <c r="AQ39" s="16" t="n">
        <v>95.1</v>
      </c>
      <c r="AR39" s="16" t="n">
        <v>80.4</v>
      </c>
      <c r="AS39" s="16" t="n">
        <v>15.9</v>
      </c>
      <c r="AT39" s="0" t="n">
        <v>82.71</v>
      </c>
      <c r="AU39" s="17" t="n">
        <v>0</v>
      </c>
      <c r="AV39" s="0" t="n">
        <v>10.32</v>
      </c>
      <c r="AW39" s="0" t="n">
        <v>0.39</v>
      </c>
      <c r="AX39" s="0" t="n">
        <v>10.32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1.9</v>
      </c>
      <c r="BF39" s="0" t="n">
        <v>26.26</v>
      </c>
      <c r="BG39" s="0" t="n">
        <v>6.04</v>
      </c>
      <c r="BH39" s="0" t="n">
        <v>2.19</v>
      </c>
      <c r="BI39" s="0" t="n">
        <v>0</v>
      </c>
      <c r="BJ39" s="0" t="n">
        <v>0</v>
      </c>
      <c r="BK39" s="0" t="n">
        <v>0</v>
      </c>
      <c r="BL39" s="0" t="n">
        <v>14.7</v>
      </c>
      <c r="BM39" s="0" t="n">
        <v>1</v>
      </c>
      <c r="BN39" s="0" t="n">
        <v>1</v>
      </c>
      <c r="BO39" s="0" t="n">
        <v>0</v>
      </c>
      <c r="BP39" s="19" t="n">
        <v>0</v>
      </c>
      <c r="BQ39" s="16" t="n">
        <v>5.11</v>
      </c>
      <c r="BR39" s="0" t="n">
        <v>4.81</v>
      </c>
      <c r="BS39" s="0" t="n">
        <v>0</v>
      </c>
      <c r="BT39" s="0" t="n">
        <v>0</v>
      </c>
      <c r="BU39" s="0" t="n">
        <v>0</v>
      </c>
      <c r="BV39" s="0" t="n">
        <v>0</v>
      </c>
    </row>
    <row r="40" customFormat="false" ht="13.8" hidden="false" customHeight="false" outlineLevel="0" collapsed="false">
      <c r="A40" s="0" t="n">
        <v>2</v>
      </c>
      <c r="B40" s="0" t="n">
        <v>43.4442162902122</v>
      </c>
      <c r="C40" s="0" t="n">
        <v>22.3682409308693</v>
      </c>
      <c r="D40" s="0" t="n">
        <v>4</v>
      </c>
      <c r="E40" s="0" t="n">
        <v>75</v>
      </c>
      <c r="F40" s="0" t="n">
        <v>1.74</v>
      </c>
      <c r="G40" s="0" t="n">
        <v>24.7720967102656</v>
      </c>
      <c r="H40" s="0" t="n">
        <v>0</v>
      </c>
      <c r="I40" s="0" t="n">
        <v>0</v>
      </c>
      <c r="J40" s="19" t="n">
        <v>1</v>
      </c>
      <c r="K40" s="19" t="n">
        <v>2</v>
      </c>
      <c r="L40" s="19" t="n">
        <v>0</v>
      </c>
      <c r="M40" s="19"/>
      <c r="N40" s="19" t="n">
        <v>0</v>
      </c>
      <c r="O40" s="19" t="n">
        <v>0</v>
      </c>
      <c r="P40" s="19" t="n">
        <v>0</v>
      </c>
      <c r="Q40" s="19" t="n">
        <v>0</v>
      </c>
      <c r="R40" s="19" t="n">
        <v>7</v>
      </c>
      <c r="S40" s="19" t="n">
        <v>7</v>
      </c>
      <c r="T40" s="19" t="n">
        <v>7</v>
      </c>
      <c r="U40" s="15" t="n">
        <f aca="false">AVERAGE(M40:T40)</f>
        <v>3</v>
      </c>
      <c r="V40" s="19" t="n">
        <v>3</v>
      </c>
      <c r="W40" s="19" t="n">
        <v>3</v>
      </c>
      <c r="X40" s="19" t="n">
        <v>5</v>
      </c>
      <c r="Y40" s="19" t="n">
        <v>5</v>
      </c>
      <c r="Z40" s="19" t="n">
        <v>3</v>
      </c>
      <c r="AA40" s="19" t="n">
        <v>1</v>
      </c>
      <c r="AB40" s="19" t="n">
        <v>3</v>
      </c>
      <c r="AC40" s="19" t="n">
        <v>3</v>
      </c>
      <c r="AD40" s="19" t="n">
        <v>2</v>
      </c>
      <c r="AE40" s="19" t="n">
        <v>3</v>
      </c>
      <c r="AF40" s="19" t="n">
        <v>5</v>
      </c>
      <c r="AG40" s="19" t="n">
        <v>5</v>
      </c>
      <c r="AH40" s="19" t="n">
        <v>1</v>
      </c>
      <c r="AI40" s="19" t="n">
        <v>3</v>
      </c>
      <c r="AJ40" s="19" t="n">
        <v>5</v>
      </c>
      <c r="AK40" s="19" t="n">
        <v>3</v>
      </c>
      <c r="AL40" s="19" t="n">
        <v>1</v>
      </c>
      <c r="AM40" s="19" t="n">
        <v>4</v>
      </c>
      <c r="AN40" s="19" t="n">
        <v>3</v>
      </c>
      <c r="AO40" s="19" t="n">
        <v>3</v>
      </c>
      <c r="AP40" s="0" t="n">
        <v>37</v>
      </c>
      <c r="AQ40" s="16" t="n">
        <v>95.1</v>
      </c>
      <c r="AR40" s="16" t="n">
        <v>80.4</v>
      </c>
      <c r="AS40" s="16" t="n">
        <v>15.9</v>
      </c>
      <c r="AT40" s="0" t="n">
        <v>82.71</v>
      </c>
      <c r="AU40" s="17" t="n">
        <v>0</v>
      </c>
      <c r="AV40" s="0" t="n">
        <v>10.32</v>
      </c>
      <c r="AW40" s="0" t="n">
        <v>0.39</v>
      </c>
      <c r="AX40" s="0" t="n">
        <v>10.32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1.9</v>
      </c>
      <c r="BF40" s="0" t="n">
        <v>26.26</v>
      </c>
      <c r="BG40" s="0" t="n">
        <v>6.04</v>
      </c>
      <c r="BH40" s="0" t="n">
        <v>2.19</v>
      </c>
      <c r="BI40" s="0" t="n">
        <v>0</v>
      </c>
      <c r="BJ40" s="0" t="n">
        <v>0</v>
      </c>
      <c r="BK40" s="0" t="n">
        <v>0</v>
      </c>
      <c r="BL40" s="0" t="n">
        <v>14.7</v>
      </c>
      <c r="BM40" s="0" t="n">
        <v>1</v>
      </c>
      <c r="BN40" s="0" t="n">
        <v>1</v>
      </c>
      <c r="BO40" s="0" t="n">
        <v>0</v>
      </c>
      <c r="BP40" s="19" t="n">
        <v>0</v>
      </c>
      <c r="BQ40" s="16" t="n">
        <v>5.11</v>
      </c>
      <c r="BR40" s="0" t="n">
        <v>4.81</v>
      </c>
      <c r="BS40" s="0" t="n">
        <v>0</v>
      </c>
      <c r="BT40" s="0" t="n">
        <v>0</v>
      </c>
      <c r="BU40" s="0" t="n">
        <v>0</v>
      </c>
      <c r="BV40" s="0" t="n">
        <v>0</v>
      </c>
    </row>
    <row r="41" customFormat="false" ht="13.8" hidden="false" customHeight="false" outlineLevel="0" collapsed="false">
      <c r="A41" s="0" t="n">
        <v>2</v>
      </c>
      <c r="B41" s="0" t="n">
        <v>24.6160164271047</v>
      </c>
      <c r="C41" s="0" t="n">
        <v>0.298425735797399</v>
      </c>
      <c r="D41" s="0" t="n">
        <v>4</v>
      </c>
      <c r="E41" s="0" t="n">
        <v>75</v>
      </c>
      <c r="F41" s="0" t="n">
        <v>1.72</v>
      </c>
      <c r="G41" s="0" t="n">
        <v>25.3515413737155</v>
      </c>
      <c r="H41" s="0" t="n">
        <v>0</v>
      </c>
      <c r="I41" s="0" t="n">
        <v>0</v>
      </c>
      <c r="J41" s="19" t="n">
        <v>0</v>
      </c>
      <c r="K41" s="19" t="n">
        <v>1</v>
      </c>
      <c r="L41" s="19" t="n">
        <v>0</v>
      </c>
      <c r="M41" s="19" t="n">
        <v>0</v>
      </c>
      <c r="N41" s="19" t="n">
        <v>0</v>
      </c>
      <c r="O41" s="19" t="n">
        <v>0</v>
      </c>
      <c r="P41" s="19" t="n">
        <v>0</v>
      </c>
      <c r="Q41" s="19" t="n">
        <v>0</v>
      </c>
      <c r="R41" s="19" t="n">
        <v>0</v>
      </c>
      <c r="S41" s="19" t="n">
        <v>0</v>
      </c>
      <c r="T41" s="19" t="n">
        <v>0</v>
      </c>
      <c r="U41" s="15" t="n">
        <f aca="false">AVERAGE(M41:T41)</f>
        <v>0</v>
      </c>
      <c r="V41" s="19" t="n">
        <v>2</v>
      </c>
      <c r="W41" s="19" t="n">
        <v>1</v>
      </c>
      <c r="X41" s="19" t="n">
        <v>3</v>
      </c>
      <c r="Y41" s="19" t="n">
        <v>5</v>
      </c>
      <c r="Z41" s="19" t="n">
        <v>1</v>
      </c>
      <c r="AA41" s="19" t="n">
        <v>1</v>
      </c>
      <c r="AB41" s="19" t="n">
        <v>5</v>
      </c>
      <c r="AC41" s="19" t="n">
        <v>3</v>
      </c>
      <c r="AD41" s="19" t="n">
        <v>5</v>
      </c>
      <c r="AE41" s="19" t="n">
        <v>3</v>
      </c>
      <c r="AF41" s="19" t="n">
        <v>5</v>
      </c>
      <c r="AG41" s="19" t="n">
        <v>5</v>
      </c>
      <c r="AH41" s="19" t="n">
        <v>5</v>
      </c>
      <c r="AI41" s="19" t="n">
        <v>5</v>
      </c>
      <c r="AJ41" s="19" t="n">
        <v>2</v>
      </c>
      <c r="AK41" s="19" t="n">
        <v>5</v>
      </c>
      <c r="AL41" s="19" t="n">
        <v>5</v>
      </c>
      <c r="AM41" s="19" t="n">
        <v>5</v>
      </c>
      <c r="AN41" s="19" t="n">
        <v>5</v>
      </c>
      <c r="AO41" s="19" t="n">
        <v>10</v>
      </c>
      <c r="AP41" s="0" t="n">
        <v>33.5</v>
      </c>
      <c r="AQ41" s="16" t="n">
        <v>91.5</v>
      </c>
      <c r="AR41" s="16" t="n">
        <v>80.4</v>
      </c>
      <c r="AS41" s="16" t="n">
        <v>20</v>
      </c>
      <c r="AT41" s="0" t="n">
        <v>84.58</v>
      </c>
      <c r="AU41" s="17" t="n">
        <v>0</v>
      </c>
      <c r="AV41" s="0" t="n">
        <v>15.42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13.79</v>
      </c>
      <c r="BG41" s="0" t="n">
        <v>2.67</v>
      </c>
      <c r="BH41" s="0" t="n">
        <v>11.54</v>
      </c>
      <c r="BI41" s="0" t="n">
        <v>0</v>
      </c>
      <c r="BJ41" s="0" t="n">
        <v>12.3</v>
      </c>
      <c r="BK41" s="0" t="n">
        <v>2</v>
      </c>
      <c r="BL41" s="0" t="n">
        <v>0</v>
      </c>
      <c r="BM41" s="0" t="n">
        <v>1</v>
      </c>
      <c r="BN41" s="0" t="n">
        <v>0</v>
      </c>
      <c r="BO41" s="16" t="n">
        <v>0.25</v>
      </c>
      <c r="BP41" s="16" t="n">
        <v>1</v>
      </c>
      <c r="BQ41" s="16" t="n">
        <v>0.55</v>
      </c>
      <c r="BR41" s="16" t="n">
        <v>0.55</v>
      </c>
      <c r="BS41" s="16" t="n">
        <v>0</v>
      </c>
      <c r="BT41" s="16" t="n">
        <v>0</v>
      </c>
      <c r="BU41" s="16" t="n">
        <v>0</v>
      </c>
      <c r="BV41" s="0" t="n">
        <v>0</v>
      </c>
    </row>
    <row r="42" customFormat="false" ht="13.8" hidden="false" customHeight="false" outlineLevel="0" collapsed="false">
      <c r="A42" s="0" t="n">
        <v>2</v>
      </c>
      <c r="B42" s="0" t="n">
        <v>27.6440793976728</v>
      </c>
      <c r="C42" s="0" t="n">
        <v>0.279260780287474</v>
      </c>
      <c r="D42" s="0" t="n">
        <v>4</v>
      </c>
      <c r="E42" s="0" t="n">
        <v>78</v>
      </c>
      <c r="F42" s="0" t="n">
        <v>1.82</v>
      </c>
      <c r="G42" s="0" t="n">
        <v>23.5478806907378</v>
      </c>
      <c r="H42" s="0" t="n">
        <v>0</v>
      </c>
      <c r="I42" s="0" t="n">
        <v>0</v>
      </c>
      <c r="J42" s="19" t="n">
        <v>0</v>
      </c>
      <c r="K42" s="19" t="n">
        <v>1</v>
      </c>
      <c r="L42" s="19" t="n">
        <v>1</v>
      </c>
      <c r="M42" s="19" t="n">
        <v>0</v>
      </c>
      <c r="N42" s="19" t="n">
        <v>0</v>
      </c>
      <c r="O42" s="19" t="n">
        <v>0</v>
      </c>
      <c r="P42" s="19" t="n">
        <v>0</v>
      </c>
      <c r="Q42" s="19" t="n">
        <v>0</v>
      </c>
      <c r="R42" s="19" t="n">
        <v>0</v>
      </c>
      <c r="S42" s="19" t="n">
        <v>0</v>
      </c>
      <c r="T42" s="19" t="n">
        <v>0</v>
      </c>
      <c r="U42" s="15" t="n">
        <f aca="false">AVERAGE(M42:T42)</f>
        <v>0</v>
      </c>
      <c r="V42" s="19" t="n">
        <v>1</v>
      </c>
      <c r="W42" s="19" t="n">
        <v>1</v>
      </c>
      <c r="X42" s="19" t="n">
        <v>3</v>
      </c>
      <c r="Y42" s="19" t="n">
        <v>5</v>
      </c>
      <c r="Z42" s="19" t="n">
        <v>2</v>
      </c>
      <c r="AA42" s="19" t="n">
        <v>1</v>
      </c>
      <c r="AB42" s="19" t="n">
        <v>3</v>
      </c>
      <c r="AC42" s="19" t="n">
        <v>4</v>
      </c>
      <c r="AD42" s="19" t="n">
        <v>4</v>
      </c>
      <c r="AE42" s="19" t="n">
        <v>5</v>
      </c>
      <c r="AF42" s="19" t="n">
        <v>5</v>
      </c>
      <c r="AG42" s="19" t="n">
        <v>5</v>
      </c>
      <c r="AH42" s="19" t="n">
        <v>4</v>
      </c>
      <c r="AI42" s="19" t="n">
        <v>5</v>
      </c>
      <c r="AJ42" s="19" t="n">
        <v>5</v>
      </c>
      <c r="AK42" s="19" t="n">
        <v>5</v>
      </c>
      <c r="AL42" s="19" t="n">
        <v>5</v>
      </c>
      <c r="AM42" s="19" t="n">
        <v>5</v>
      </c>
      <c r="AN42" s="19" t="n">
        <v>5</v>
      </c>
      <c r="AO42" s="19" t="n">
        <v>9</v>
      </c>
      <c r="AP42" s="0" t="n">
        <v>33.5</v>
      </c>
      <c r="AQ42" s="16" t="n">
        <v>91.5</v>
      </c>
      <c r="AR42" s="16" t="n">
        <v>80.4</v>
      </c>
      <c r="AS42" s="16" t="n">
        <v>20</v>
      </c>
      <c r="AT42" s="0" t="n">
        <v>84.58</v>
      </c>
      <c r="AU42" s="17" t="n">
        <v>0</v>
      </c>
      <c r="AV42" s="0" t="n">
        <v>15.42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13.79</v>
      </c>
      <c r="BG42" s="0" t="n">
        <v>2.67</v>
      </c>
      <c r="BH42" s="0" t="n">
        <v>11.54</v>
      </c>
      <c r="BI42" s="0" t="n">
        <v>0</v>
      </c>
      <c r="BJ42" s="0" t="n">
        <v>12.3</v>
      </c>
      <c r="BK42" s="0" t="n">
        <v>2</v>
      </c>
      <c r="BL42" s="0" t="n">
        <v>0</v>
      </c>
      <c r="BM42" s="0" t="n">
        <v>1</v>
      </c>
      <c r="BN42" s="0" t="n">
        <v>0</v>
      </c>
      <c r="BO42" s="16" t="n">
        <v>0.25</v>
      </c>
      <c r="BP42" s="16" t="n">
        <v>1</v>
      </c>
      <c r="BQ42" s="16" t="n">
        <v>0.55</v>
      </c>
      <c r="BR42" s="16" t="n">
        <v>0.55</v>
      </c>
      <c r="BS42" s="16" t="n">
        <v>0</v>
      </c>
      <c r="BT42" s="16" t="n">
        <v>0</v>
      </c>
      <c r="BU42" s="16" t="n">
        <v>0</v>
      </c>
      <c r="BV42" s="0" t="n">
        <v>0</v>
      </c>
    </row>
    <row r="43" customFormat="false" ht="13.8" hidden="false" customHeight="false" outlineLevel="0" collapsed="false">
      <c r="A43" s="0" t="n">
        <v>2</v>
      </c>
      <c r="B43" s="0" t="n">
        <v>26.7378507871321</v>
      </c>
      <c r="C43" s="0" t="n">
        <v>0.26009582477755</v>
      </c>
      <c r="D43" s="0" t="n">
        <v>4</v>
      </c>
      <c r="E43" s="0" t="n">
        <v>85</v>
      </c>
      <c r="F43" s="0" t="n">
        <v>1.7</v>
      </c>
      <c r="G43" s="0" t="n">
        <v>29.4117647058823</v>
      </c>
      <c r="H43" s="0" t="n">
        <v>0</v>
      </c>
      <c r="I43" s="0" t="n">
        <v>0</v>
      </c>
      <c r="J43" s="19" t="n">
        <v>0</v>
      </c>
      <c r="K43" s="19" t="n">
        <v>0</v>
      </c>
      <c r="L43" s="19" t="n">
        <v>0</v>
      </c>
      <c r="M43" s="19" t="n">
        <v>0</v>
      </c>
      <c r="N43" s="19" t="n">
        <v>0</v>
      </c>
      <c r="O43" s="19" t="n">
        <v>0</v>
      </c>
      <c r="P43" s="19" t="n">
        <v>0</v>
      </c>
      <c r="Q43" s="19" t="n">
        <v>0</v>
      </c>
      <c r="R43" s="19" t="n">
        <v>0</v>
      </c>
      <c r="S43" s="19" t="n">
        <v>0</v>
      </c>
      <c r="T43" s="19" t="n">
        <v>0</v>
      </c>
      <c r="U43" s="15" t="n">
        <f aca="false">AVERAGE(M43:T43)</f>
        <v>0</v>
      </c>
      <c r="V43" s="19" t="n">
        <v>1</v>
      </c>
      <c r="W43" s="19" t="n">
        <v>1</v>
      </c>
      <c r="X43" s="19" t="n">
        <v>3</v>
      </c>
      <c r="Y43" s="19" t="n">
        <v>5</v>
      </c>
      <c r="Z43" s="19" t="n">
        <v>1</v>
      </c>
      <c r="AA43" s="19" t="n">
        <v>1</v>
      </c>
      <c r="AB43" s="19" t="n">
        <v>5</v>
      </c>
      <c r="AC43" s="19" t="n">
        <v>5</v>
      </c>
      <c r="AD43" s="19" t="n">
        <v>5</v>
      </c>
      <c r="AE43" s="19" t="n">
        <v>3</v>
      </c>
      <c r="AF43" s="19" t="n">
        <v>5</v>
      </c>
      <c r="AG43" s="19" t="n">
        <v>5</v>
      </c>
      <c r="AH43" s="19" t="n">
        <v>5</v>
      </c>
      <c r="AI43" s="19" t="n">
        <v>5</v>
      </c>
      <c r="AJ43" s="19" t="n">
        <v>5</v>
      </c>
      <c r="AK43" s="19" t="n">
        <v>5</v>
      </c>
      <c r="AL43" s="19" t="n">
        <v>5</v>
      </c>
      <c r="AM43" s="19" t="n">
        <v>5</v>
      </c>
      <c r="AN43" s="19" t="n">
        <v>5</v>
      </c>
      <c r="AO43" s="19" t="n">
        <v>10</v>
      </c>
      <c r="AP43" s="0" t="n">
        <v>33.5</v>
      </c>
      <c r="AQ43" s="16" t="n">
        <v>91.5</v>
      </c>
      <c r="AR43" s="16" t="n">
        <v>80.4</v>
      </c>
      <c r="AS43" s="16" t="n">
        <v>20</v>
      </c>
      <c r="AT43" s="0" t="n">
        <v>84.58</v>
      </c>
      <c r="AU43" s="17" t="n">
        <v>0</v>
      </c>
      <c r="AV43" s="0" t="n">
        <v>15.42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13.79</v>
      </c>
      <c r="BG43" s="0" t="n">
        <v>2.67</v>
      </c>
      <c r="BH43" s="0" t="n">
        <v>11.54</v>
      </c>
      <c r="BI43" s="0" t="n">
        <v>0</v>
      </c>
      <c r="BJ43" s="0" t="n">
        <v>12.3</v>
      </c>
      <c r="BK43" s="0" t="n">
        <v>2</v>
      </c>
      <c r="BL43" s="0" t="n">
        <v>0</v>
      </c>
      <c r="BM43" s="0" t="n">
        <v>1</v>
      </c>
      <c r="BN43" s="0" t="n">
        <v>0</v>
      </c>
      <c r="BO43" s="16" t="n">
        <v>0.25</v>
      </c>
      <c r="BP43" s="16" t="n">
        <v>1</v>
      </c>
      <c r="BQ43" s="16" t="n">
        <v>0.55</v>
      </c>
      <c r="BR43" s="16" t="n">
        <v>0.55</v>
      </c>
      <c r="BS43" s="16" t="n">
        <v>0</v>
      </c>
      <c r="BT43" s="16" t="n">
        <v>0</v>
      </c>
      <c r="BU43" s="16" t="n">
        <v>0</v>
      </c>
      <c r="BV43" s="0" t="n">
        <v>0</v>
      </c>
    </row>
    <row r="44" customFormat="false" ht="13.8" hidden="false" customHeight="false" outlineLevel="0" collapsed="false">
      <c r="A44" s="0" t="n">
        <v>1</v>
      </c>
      <c r="B44" s="0" t="n">
        <v>43.0308008213552</v>
      </c>
      <c r="C44" s="0" t="n">
        <v>10.3353867214237</v>
      </c>
      <c r="D44" s="0" t="n">
        <v>8</v>
      </c>
      <c r="E44" s="0" t="n">
        <v>65</v>
      </c>
      <c r="F44" s="0" t="n">
        <v>1.62</v>
      </c>
      <c r="G44" s="0" t="n">
        <v>24.7675659198293</v>
      </c>
      <c r="H44" s="0" t="n">
        <v>0</v>
      </c>
      <c r="I44" s="0" t="n">
        <v>0</v>
      </c>
      <c r="J44" s="19" t="n">
        <v>1</v>
      </c>
      <c r="K44" s="19" t="n">
        <v>1</v>
      </c>
      <c r="L44" s="19" t="n">
        <v>0</v>
      </c>
      <c r="M44" s="19" t="n">
        <v>9</v>
      </c>
      <c r="N44" s="19" t="n">
        <v>0</v>
      </c>
      <c r="O44" s="19" t="n">
        <v>9</v>
      </c>
      <c r="P44" s="19" t="n">
        <v>10</v>
      </c>
      <c r="Q44" s="19" t="n">
        <v>0</v>
      </c>
      <c r="R44" s="19" t="n">
        <v>0</v>
      </c>
      <c r="S44" s="19" t="n">
        <v>0</v>
      </c>
      <c r="T44" s="19" t="n">
        <v>0</v>
      </c>
      <c r="U44" s="15" t="n">
        <f aca="false">AVERAGE(M44:T44)</f>
        <v>3.5</v>
      </c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 t="n">
        <v>5</v>
      </c>
      <c r="AM44" s="19" t="n">
        <v>5</v>
      </c>
      <c r="AN44" s="19" t="n">
        <v>2</v>
      </c>
      <c r="AO44" s="19" t="n">
        <v>9</v>
      </c>
      <c r="AP44" s="0" t="n">
        <v>33.5</v>
      </c>
      <c r="AQ44" s="16" t="n">
        <v>91.5</v>
      </c>
      <c r="AR44" s="16" t="n">
        <v>80.4</v>
      </c>
      <c r="AS44" s="16" t="n">
        <v>20</v>
      </c>
      <c r="AT44" s="0" t="n">
        <v>84.58</v>
      </c>
      <c r="AU44" s="17" t="n">
        <v>0</v>
      </c>
      <c r="AV44" s="0" t="n">
        <v>15.42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13.79</v>
      </c>
      <c r="BG44" s="0" t="n">
        <v>2.67</v>
      </c>
      <c r="BH44" s="0" t="n">
        <v>11.54</v>
      </c>
      <c r="BI44" s="0" t="n">
        <v>0</v>
      </c>
      <c r="BJ44" s="0" t="n">
        <v>12.3</v>
      </c>
      <c r="BK44" s="0" t="n">
        <v>2</v>
      </c>
      <c r="BL44" s="0" t="n">
        <v>0</v>
      </c>
      <c r="BM44" s="0" t="n">
        <v>1</v>
      </c>
      <c r="BN44" s="0" t="n">
        <v>0</v>
      </c>
      <c r="BO44" s="16" t="n">
        <v>0.25</v>
      </c>
      <c r="BP44" s="16" t="n">
        <v>1</v>
      </c>
      <c r="BQ44" s="16" t="n">
        <v>0.55</v>
      </c>
      <c r="BR44" s="16" t="n">
        <v>0.55</v>
      </c>
      <c r="BS44" s="16" t="n">
        <v>0</v>
      </c>
      <c r="BT44" s="16" t="n">
        <v>0</v>
      </c>
      <c r="BU44" s="16" t="n">
        <v>0</v>
      </c>
      <c r="BV44" s="0" t="n">
        <v>0</v>
      </c>
    </row>
    <row r="45" customFormat="false" ht="13.8" hidden="false" customHeight="false" outlineLevel="0" collapsed="false">
      <c r="A45" s="0" t="n">
        <v>1</v>
      </c>
      <c r="B45" s="0" t="n">
        <v>41.6043805612594</v>
      </c>
      <c r="C45" s="0" t="n">
        <v>21.1827515400411</v>
      </c>
      <c r="D45" s="0" t="n">
        <v>4</v>
      </c>
      <c r="F45" s="0" t="n">
        <v>1.75</v>
      </c>
      <c r="G45" s="0" t="n">
        <v>0</v>
      </c>
      <c r="H45" s="0" t="n">
        <v>0</v>
      </c>
      <c r="I45" s="0" t="n">
        <v>0</v>
      </c>
      <c r="J45" s="19" t="n">
        <v>1</v>
      </c>
      <c r="K45" s="19" t="n">
        <v>1</v>
      </c>
      <c r="L45" s="19" t="n">
        <v>0</v>
      </c>
      <c r="M45" s="19" t="n">
        <v>6</v>
      </c>
      <c r="N45" s="19" t="n">
        <v>8</v>
      </c>
      <c r="O45" s="19" t="n">
        <v>6</v>
      </c>
      <c r="P45" s="19" t="n">
        <v>9</v>
      </c>
      <c r="Q45" s="19" t="n">
        <v>5</v>
      </c>
      <c r="R45" s="19" t="n">
        <v>7</v>
      </c>
      <c r="S45" s="19" t="n">
        <v>0</v>
      </c>
      <c r="T45" s="19" t="n">
        <v>0</v>
      </c>
      <c r="U45" s="15" t="n">
        <f aca="false">AVERAGE(M45:T45)</f>
        <v>5.125</v>
      </c>
      <c r="V45" s="19" t="n">
        <v>3</v>
      </c>
      <c r="W45" s="19" t="n">
        <v>2</v>
      </c>
      <c r="X45" s="19" t="n">
        <v>5</v>
      </c>
      <c r="Y45" s="19" t="n">
        <v>5</v>
      </c>
      <c r="Z45" s="19" t="n">
        <v>2</v>
      </c>
      <c r="AA45" s="19" t="n">
        <v>3</v>
      </c>
      <c r="AB45" s="19" t="n">
        <v>4</v>
      </c>
      <c r="AC45" s="19" t="n">
        <v>3</v>
      </c>
      <c r="AD45" s="19" t="n">
        <v>1</v>
      </c>
      <c r="AE45" s="19" t="n">
        <v>2</v>
      </c>
      <c r="AF45" s="19" t="n">
        <v>3</v>
      </c>
      <c r="AG45" s="19" t="n">
        <v>5</v>
      </c>
      <c r="AH45" s="19" t="n">
        <v>3</v>
      </c>
      <c r="AI45" s="19" t="n">
        <v>4</v>
      </c>
      <c r="AJ45" s="19" t="n">
        <v>5</v>
      </c>
      <c r="AK45" s="19" t="n">
        <v>5</v>
      </c>
      <c r="AL45" s="19" t="n">
        <v>2</v>
      </c>
      <c r="AM45" s="19" t="n">
        <v>4</v>
      </c>
      <c r="AN45" s="19" t="n">
        <v>1</v>
      </c>
      <c r="AO45" s="19" t="n">
        <v>5</v>
      </c>
      <c r="AP45" s="15" t="n">
        <v>28.5</v>
      </c>
      <c r="AQ45" s="17" t="n">
        <v>69.3</v>
      </c>
      <c r="AR45" s="17" t="n">
        <v>114</v>
      </c>
      <c r="AS45" s="17" t="n">
        <v>19.5</v>
      </c>
      <c r="AT45" s="17" t="n">
        <v>79.15</v>
      </c>
      <c r="AU45" s="17" t="n">
        <v>0</v>
      </c>
      <c r="AV45" s="17" t="n">
        <v>3.87</v>
      </c>
      <c r="AW45" s="17" t="n">
        <v>2.86</v>
      </c>
      <c r="AX45" s="17" t="n">
        <v>14.12</v>
      </c>
      <c r="AY45" s="17" t="n">
        <v>0</v>
      </c>
      <c r="AZ45" s="17" t="n">
        <v>0</v>
      </c>
      <c r="BA45" s="17" t="n">
        <v>0</v>
      </c>
      <c r="BB45" s="17" t="n">
        <v>0</v>
      </c>
      <c r="BC45" s="17" t="n">
        <v>0</v>
      </c>
      <c r="BD45" s="17" t="n">
        <v>0</v>
      </c>
      <c r="BE45" s="17" t="n">
        <v>0.82</v>
      </c>
      <c r="BF45" s="17" t="n">
        <v>11.71</v>
      </c>
      <c r="BG45" s="17" t="n">
        <v>15.43</v>
      </c>
      <c r="BH45" s="17" t="n">
        <v>4.91</v>
      </c>
      <c r="BI45" s="17" t="n">
        <v>0</v>
      </c>
      <c r="BJ45" s="17" t="n">
        <v>0</v>
      </c>
      <c r="BK45" s="17" t="n">
        <v>0</v>
      </c>
      <c r="BL45" s="17" t="n">
        <v>0</v>
      </c>
      <c r="BM45" s="17" t="n">
        <v>0</v>
      </c>
      <c r="BN45" s="15" t="n">
        <v>0</v>
      </c>
      <c r="BO45" s="15" t="n">
        <v>0</v>
      </c>
      <c r="BP45" s="15" t="n">
        <v>0</v>
      </c>
      <c r="BQ45" s="15" t="n">
        <v>8.7</v>
      </c>
      <c r="BR45" s="15" t="n">
        <v>15.43</v>
      </c>
      <c r="BS45" s="15" t="n">
        <v>0</v>
      </c>
      <c r="BT45" s="15" t="n">
        <v>0</v>
      </c>
      <c r="BU45" s="15" t="n">
        <v>0</v>
      </c>
      <c r="BV45" s="15" t="n">
        <v>0</v>
      </c>
    </row>
    <row r="46" customFormat="false" ht="13.8" hidden="false" customHeight="false" outlineLevel="0" collapsed="false">
      <c r="A46" s="0" t="n">
        <v>2</v>
      </c>
      <c r="B46" s="0" t="n">
        <v>43.0937713894593</v>
      </c>
      <c r="C46" s="0" t="n">
        <v>21.7029431895962</v>
      </c>
      <c r="D46" s="0" t="n">
        <v>4</v>
      </c>
      <c r="E46" s="0" t="n">
        <v>69</v>
      </c>
      <c r="F46" s="0" t="n">
        <v>1.74</v>
      </c>
      <c r="G46" s="0" t="n">
        <v>22.7903289734443</v>
      </c>
      <c r="H46" s="0" t="n">
        <v>0</v>
      </c>
      <c r="I46" s="0" t="n">
        <v>0</v>
      </c>
      <c r="J46" s="19" t="n">
        <v>1</v>
      </c>
      <c r="K46" s="19" t="n">
        <v>2</v>
      </c>
      <c r="L46" s="19" t="n">
        <v>0</v>
      </c>
      <c r="M46" s="19" t="n">
        <v>0</v>
      </c>
      <c r="N46" s="19" t="n">
        <v>0</v>
      </c>
      <c r="O46" s="19" t="n">
        <v>0</v>
      </c>
      <c r="P46" s="19" t="n">
        <v>0</v>
      </c>
      <c r="Q46" s="19" t="n">
        <v>0</v>
      </c>
      <c r="R46" s="19" t="n">
        <v>0</v>
      </c>
      <c r="S46" s="19" t="n">
        <v>0</v>
      </c>
      <c r="T46" s="19" t="n">
        <v>0</v>
      </c>
      <c r="U46" s="15" t="n">
        <f aca="false">AVERAGE(M46:T46)</f>
        <v>0</v>
      </c>
      <c r="V46" s="19" t="n">
        <v>3</v>
      </c>
      <c r="W46" s="19" t="n">
        <v>3</v>
      </c>
      <c r="X46" s="19" t="n">
        <v>3</v>
      </c>
      <c r="Y46" s="19" t="n">
        <v>4</v>
      </c>
      <c r="Z46" s="19" t="n">
        <v>2</v>
      </c>
      <c r="AA46" s="19" t="n">
        <v>1</v>
      </c>
      <c r="AB46" s="19" t="n">
        <v>3</v>
      </c>
      <c r="AC46" s="19" t="n">
        <v>3</v>
      </c>
      <c r="AD46" s="19" t="n">
        <v>3</v>
      </c>
      <c r="AE46" s="19" t="n">
        <v>2</v>
      </c>
      <c r="AF46" s="19" t="n">
        <v>2</v>
      </c>
      <c r="AG46" s="19" t="n">
        <v>5</v>
      </c>
      <c r="AH46" s="19" t="n">
        <v>2</v>
      </c>
      <c r="AI46" s="19" t="n">
        <v>5</v>
      </c>
      <c r="AJ46" s="19" t="n">
        <v>4</v>
      </c>
      <c r="AK46" s="19" t="n">
        <v>4</v>
      </c>
      <c r="AL46" s="19" t="n">
        <v>4</v>
      </c>
      <c r="AM46" s="19" t="n">
        <v>4</v>
      </c>
      <c r="AN46" s="19" t="n">
        <v>3</v>
      </c>
      <c r="AO46" s="19" t="n">
        <v>9</v>
      </c>
      <c r="AP46" s="15" t="n">
        <v>28.5</v>
      </c>
      <c r="AQ46" s="17" t="n">
        <v>69.3</v>
      </c>
      <c r="AR46" s="17" t="n">
        <v>114</v>
      </c>
      <c r="AS46" s="17" t="n">
        <v>19.5</v>
      </c>
      <c r="AT46" s="17" t="n">
        <v>79.15</v>
      </c>
      <c r="AU46" s="17" t="n">
        <v>0</v>
      </c>
      <c r="AV46" s="17" t="n">
        <v>3.87</v>
      </c>
      <c r="AW46" s="17" t="n">
        <v>2.86</v>
      </c>
      <c r="AX46" s="17" t="n">
        <v>14.12</v>
      </c>
      <c r="AY46" s="17" t="n">
        <v>0</v>
      </c>
      <c r="AZ46" s="17" t="n">
        <v>0</v>
      </c>
      <c r="BA46" s="17" t="n">
        <v>0</v>
      </c>
      <c r="BB46" s="17" t="n">
        <v>0</v>
      </c>
      <c r="BC46" s="17" t="n">
        <v>0</v>
      </c>
      <c r="BD46" s="17" t="n">
        <v>0</v>
      </c>
      <c r="BE46" s="17" t="n">
        <v>0.82</v>
      </c>
      <c r="BF46" s="17" t="n">
        <v>11.71</v>
      </c>
      <c r="BG46" s="17" t="n">
        <v>15.43</v>
      </c>
      <c r="BH46" s="17" t="n">
        <v>4.91</v>
      </c>
      <c r="BI46" s="17" t="n">
        <v>0</v>
      </c>
      <c r="BJ46" s="17" t="n">
        <v>0</v>
      </c>
      <c r="BK46" s="17" t="n">
        <v>0</v>
      </c>
      <c r="BL46" s="17" t="n">
        <v>0</v>
      </c>
      <c r="BM46" s="17" t="n">
        <v>0</v>
      </c>
      <c r="BN46" s="15" t="n">
        <v>0</v>
      </c>
      <c r="BO46" s="15" t="n">
        <v>0</v>
      </c>
      <c r="BP46" s="15" t="n">
        <v>0</v>
      </c>
      <c r="BQ46" s="15" t="n">
        <v>8.7</v>
      </c>
      <c r="BR46" s="15" t="n">
        <v>15.43</v>
      </c>
      <c r="BS46" s="15" t="n">
        <v>0</v>
      </c>
      <c r="BT46" s="15" t="n">
        <v>0</v>
      </c>
      <c r="BU46" s="15" t="n">
        <v>0</v>
      </c>
      <c r="BV46" s="15" t="n">
        <v>0</v>
      </c>
    </row>
    <row r="47" customFormat="false" ht="13.8" hidden="false" customHeight="false" outlineLevel="0" collapsed="false">
      <c r="A47" s="0" t="n">
        <v>2</v>
      </c>
      <c r="B47" s="0" t="n">
        <v>40.9171800136893</v>
      </c>
      <c r="C47" s="0" t="n">
        <v>20.0711841204654</v>
      </c>
      <c r="D47" s="0" t="n">
        <v>4</v>
      </c>
      <c r="E47" s="0" t="n">
        <v>62</v>
      </c>
      <c r="F47" s="0" t="n">
        <v>1.76</v>
      </c>
      <c r="G47" s="0" t="n">
        <v>20.0154958677686</v>
      </c>
      <c r="H47" s="0" t="n">
        <v>0</v>
      </c>
      <c r="I47" s="0" t="n">
        <v>0</v>
      </c>
      <c r="J47" s="19" t="n">
        <v>0</v>
      </c>
      <c r="K47" s="19" t="n">
        <v>0</v>
      </c>
      <c r="L47" s="19" t="n">
        <v>1</v>
      </c>
      <c r="M47" s="19" t="n">
        <v>0</v>
      </c>
      <c r="N47" s="19" t="n">
        <v>0</v>
      </c>
      <c r="O47" s="19"/>
      <c r="P47" s="19"/>
      <c r="Q47" s="19" t="n">
        <v>0</v>
      </c>
      <c r="R47" s="19" t="n">
        <v>0</v>
      </c>
      <c r="S47" s="19" t="n">
        <v>0</v>
      </c>
      <c r="T47" s="19" t="n">
        <v>0</v>
      </c>
      <c r="U47" s="15" t="n">
        <f aca="false">AVERAGE(M47:T47)</f>
        <v>0</v>
      </c>
      <c r="V47" s="19" t="n">
        <v>2</v>
      </c>
      <c r="W47" s="19" t="n">
        <v>1</v>
      </c>
      <c r="X47" s="19" t="n">
        <v>2</v>
      </c>
      <c r="Y47" s="19" t="n">
        <v>4</v>
      </c>
      <c r="Z47" s="19" t="n">
        <v>2</v>
      </c>
      <c r="AA47" s="19" t="n">
        <v>2</v>
      </c>
      <c r="AB47" s="19" t="n">
        <v>1</v>
      </c>
      <c r="AC47" s="19" t="n">
        <v>1</v>
      </c>
      <c r="AD47" s="19" t="n">
        <v>1</v>
      </c>
      <c r="AE47" s="19" t="n">
        <v>2</v>
      </c>
      <c r="AF47" s="19" t="n">
        <v>4</v>
      </c>
      <c r="AG47" s="19" t="n">
        <v>4</v>
      </c>
      <c r="AH47" s="19" t="n">
        <v>1</v>
      </c>
      <c r="AI47" s="19" t="n">
        <v>1</v>
      </c>
      <c r="AJ47" s="19" t="n">
        <v>5</v>
      </c>
      <c r="AK47" s="19" t="n">
        <v>4</v>
      </c>
      <c r="AL47" s="19" t="n">
        <v>4</v>
      </c>
      <c r="AM47" s="19" t="n">
        <v>4</v>
      </c>
      <c r="AN47" s="19" t="n">
        <v>2</v>
      </c>
      <c r="AO47" s="19" t="n">
        <v>8</v>
      </c>
      <c r="AP47" s="15" t="n">
        <v>28.5</v>
      </c>
      <c r="AQ47" s="17" t="n">
        <v>69.3</v>
      </c>
      <c r="AR47" s="17" t="n">
        <v>114</v>
      </c>
      <c r="AS47" s="17" t="n">
        <v>19.5</v>
      </c>
      <c r="AT47" s="17" t="n">
        <v>79.15</v>
      </c>
      <c r="AU47" s="17" t="n">
        <v>0</v>
      </c>
      <c r="AV47" s="17" t="n">
        <v>3.87</v>
      </c>
      <c r="AW47" s="17" t="n">
        <v>2.86</v>
      </c>
      <c r="AX47" s="17" t="n">
        <v>14.12</v>
      </c>
      <c r="AY47" s="17" t="n">
        <v>0</v>
      </c>
      <c r="AZ47" s="17" t="n">
        <v>0</v>
      </c>
      <c r="BA47" s="17" t="n">
        <v>0</v>
      </c>
      <c r="BB47" s="17" t="n">
        <v>0</v>
      </c>
      <c r="BC47" s="17" t="n">
        <v>0</v>
      </c>
      <c r="BD47" s="17" t="n">
        <v>0</v>
      </c>
      <c r="BE47" s="17" t="n">
        <v>0.82</v>
      </c>
      <c r="BF47" s="17" t="n">
        <v>11.71</v>
      </c>
      <c r="BG47" s="17" t="n">
        <v>15.43</v>
      </c>
      <c r="BH47" s="17" t="n">
        <v>4.91</v>
      </c>
      <c r="BI47" s="17" t="n">
        <v>0</v>
      </c>
      <c r="BJ47" s="17" t="n">
        <v>0</v>
      </c>
      <c r="BK47" s="17" t="n">
        <v>0</v>
      </c>
      <c r="BL47" s="17" t="n">
        <v>0</v>
      </c>
      <c r="BM47" s="17" t="n">
        <v>0</v>
      </c>
      <c r="BN47" s="15" t="n">
        <v>0</v>
      </c>
      <c r="BO47" s="15" t="n">
        <v>0</v>
      </c>
      <c r="BP47" s="15" t="n">
        <v>0</v>
      </c>
      <c r="BQ47" s="15" t="n">
        <v>8.7</v>
      </c>
      <c r="BR47" s="15" t="n">
        <v>15.43</v>
      </c>
      <c r="BS47" s="15" t="n">
        <v>0</v>
      </c>
      <c r="BT47" s="15" t="n">
        <v>0</v>
      </c>
      <c r="BU47" s="15" t="n">
        <v>0</v>
      </c>
      <c r="BV47" s="15" t="n">
        <v>0</v>
      </c>
    </row>
    <row r="48" customFormat="false" ht="13.8" hidden="false" customHeight="false" outlineLevel="0" collapsed="false">
      <c r="A48" s="0" t="n">
        <v>1</v>
      </c>
      <c r="B48" s="0" t="n">
        <v>49.2457221081451</v>
      </c>
      <c r="C48" s="0" t="n">
        <v>22.6009582477755</v>
      </c>
      <c r="D48" s="0" t="n">
        <v>4</v>
      </c>
      <c r="E48" s="0" t="n">
        <v>72</v>
      </c>
      <c r="F48" s="0" t="n">
        <v>1.5</v>
      </c>
      <c r="G48" s="0" t="n">
        <v>32</v>
      </c>
      <c r="H48" s="0" t="n">
        <v>1</v>
      </c>
      <c r="I48" s="0" t="n">
        <v>1</v>
      </c>
      <c r="J48" s="19" t="n">
        <v>1</v>
      </c>
      <c r="K48" s="19" t="n">
        <v>0</v>
      </c>
      <c r="L48" s="19" t="n">
        <v>1</v>
      </c>
      <c r="M48" s="19"/>
      <c r="N48" s="19" t="n">
        <v>9</v>
      </c>
      <c r="O48" s="19" t="n">
        <v>9</v>
      </c>
      <c r="P48" s="19" t="n">
        <v>9</v>
      </c>
      <c r="Q48" s="19" t="n">
        <v>9</v>
      </c>
      <c r="R48" s="19" t="n">
        <v>9</v>
      </c>
      <c r="S48" s="19" t="n">
        <v>0</v>
      </c>
      <c r="T48" s="19" t="n">
        <v>5</v>
      </c>
      <c r="U48" s="15" t="n">
        <f aca="false">AVERAGE(M48:T48)</f>
        <v>7.14285714285714</v>
      </c>
      <c r="V48" s="19" t="n">
        <v>3</v>
      </c>
      <c r="W48" s="19" t="n">
        <v>1</v>
      </c>
      <c r="X48" s="19"/>
      <c r="Y48" s="19" t="n">
        <v>4</v>
      </c>
      <c r="Z48" s="19" t="n">
        <v>1</v>
      </c>
      <c r="AA48" s="19" t="n">
        <v>1</v>
      </c>
      <c r="AB48" s="19" t="n">
        <v>2</v>
      </c>
      <c r="AC48" s="19" t="n">
        <v>3</v>
      </c>
      <c r="AD48" s="19" t="n">
        <v>2</v>
      </c>
      <c r="AE48" s="19" t="n">
        <v>2</v>
      </c>
      <c r="AF48" s="19" t="n">
        <v>2</v>
      </c>
      <c r="AG48" s="19" t="n">
        <v>5</v>
      </c>
      <c r="AH48" s="19" t="n">
        <v>3</v>
      </c>
      <c r="AI48" s="19" t="n">
        <v>5</v>
      </c>
      <c r="AJ48" s="19" t="n">
        <v>5</v>
      </c>
      <c r="AK48" s="19" t="n">
        <v>4</v>
      </c>
      <c r="AL48" s="19" t="n">
        <v>4</v>
      </c>
      <c r="AM48" s="19" t="n">
        <v>4</v>
      </c>
      <c r="AN48" s="19" t="n">
        <v>4</v>
      </c>
      <c r="AO48" s="19" t="n">
        <v>9</v>
      </c>
      <c r="AP48" s="15" t="n">
        <v>28.5</v>
      </c>
      <c r="AQ48" s="17" t="n">
        <v>69.3</v>
      </c>
      <c r="AR48" s="17" t="n">
        <v>114</v>
      </c>
      <c r="AS48" s="17" t="n">
        <v>19.5</v>
      </c>
      <c r="AT48" s="17" t="n">
        <v>79.15</v>
      </c>
      <c r="AU48" s="17" t="n">
        <v>0</v>
      </c>
      <c r="AV48" s="17" t="n">
        <v>3.87</v>
      </c>
      <c r="AW48" s="17" t="n">
        <v>2.86</v>
      </c>
      <c r="AX48" s="17" t="n">
        <v>14.12</v>
      </c>
      <c r="AY48" s="17" t="n">
        <v>0</v>
      </c>
      <c r="AZ48" s="17" t="n">
        <v>0</v>
      </c>
      <c r="BA48" s="17" t="n">
        <v>0</v>
      </c>
      <c r="BB48" s="17" t="n">
        <v>0</v>
      </c>
      <c r="BC48" s="17" t="n">
        <v>0</v>
      </c>
      <c r="BD48" s="17" t="n">
        <v>0</v>
      </c>
      <c r="BE48" s="17" t="n">
        <v>0.82</v>
      </c>
      <c r="BF48" s="17" t="n">
        <v>11.71</v>
      </c>
      <c r="BG48" s="17" t="n">
        <v>15.43</v>
      </c>
      <c r="BH48" s="17" t="n">
        <v>4.91</v>
      </c>
      <c r="BI48" s="17" t="n">
        <v>0</v>
      </c>
      <c r="BJ48" s="17" t="n">
        <v>0</v>
      </c>
      <c r="BK48" s="17" t="n">
        <v>0</v>
      </c>
      <c r="BL48" s="17" t="n">
        <v>0</v>
      </c>
      <c r="BM48" s="17" t="n">
        <v>0</v>
      </c>
      <c r="BN48" s="15" t="n">
        <v>0</v>
      </c>
      <c r="BO48" s="15" t="n">
        <v>0</v>
      </c>
      <c r="BP48" s="15" t="n">
        <v>0</v>
      </c>
      <c r="BQ48" s="15" t="n">
        <v>8.7</v>
      </c>
      <c r="BR48" s="15" t="n">
        <v>15.43</v>
      </c>
      <c r="BS48" s="15" t="n">
        <v>0</v>
      </c>
      <c r="BT48" s="15" t="n">
        <v>0</v>
      </c>
      <c r="BU48" s="15" t="n">
        <v>0</v>
      </c>
      <c r="BV48" s="15" t="n">
        <v>0</v>
      </c>
    </row>
    <row r="49" customFormat="false" ht="13.8" hidden="false" customHeight="false" outlineLevel="0" collapsed="false">
      <c r="A49" s="0" t="n">
        <v>2</v>
      </c>
      <c r="B49" s="0" t="n">
        <v>47.6002737850787</v>
      </c>
      <c r="C49" s="0" t="n">
        <v>22.6584531143053</v>
      </c>
      <c r="D49" s="0" t="n">
        <v>4</v>
      </c>
      <c r="E49" s="0" t="n">
        <v>85</v>
      </c>
      <c r="F49" s="0" t="n">
        <v>1.73</v>
      </c>
      <c r="G49" s="0" t="n">
        <v>28.4005479635136</v>
      </c>
      <c r="H49" s="0" t="n">
        <v>1</v>
      </c>
      <c r="I49" s="0" t="n">
        <v>1</v>
      </c>
      <c r="J49" s="19" t="n">
        <v>0</v>
      </c>
      <c r="K49" s="19" t="n">
        <v>1</v>
      </c>
      <c r="L49" s="19" t="n">
        <v>0</v>
      </c>
      <c r="M49" s="19"/>
      <c r="N49" s="19" t="n">
        <v>0</v>
      </c>
      <c r="O49" s="19" t="n">
        <v>0</v>
      </c>
      <c r="P49" s="19" t="n">
        <v>0</v>
      </c>
      <c r="Q49" s="19"/>
      <c r="R49" s="19"/>
      <c r="S49" s="19" t="n">
        <v>0</v>
      </c>
      <c r="T49" s="19"/>
      <c r="U49" s="15" t="n">
        <f aca="false">AVERAGE(M49:T49)</f>
        <v>0</v>
      </c>
      <c r="V49" s="19" t="n">
        <v>2</v>
      </c>
      <c r="W49" s="19" t="n">
        <v>2</v>
      </c>
      <c r="X49" s="19" t="n">
        <v>4</v>
      </c>
      <c r="Y49" s="19" t="n">
        <v>5</v>
      </c>
      <c r="Z49" s="19" t="n">
        <v>3</v>
      </c>
      <c r="AA49" s="19" t="n">
        <v>3</v>
      </c>
      <c r="AB49" s="19" t="n">
        <v>3</v>
      </c>
      <c r="AC49" s="19" t="n">
        <v>4</v>
      </c>
      <c r="AD49" s="19" t="n">
        <v>2</v>
      </c>
      <c r="AE49" s="19" t="n">
        <v>3</v>
      </c>
      <c r="AF49" s="19" t="n">
        <v>3</v>
      </c>
      <c r="AG49" s="19" t="n">
        <v>5</v>
      </c>
      <c r="AH49" s="19" t="n">
        <v>4</v>
      </c>
      <c r="AI49" s="19" t="n">
        <v>4</v>
      </c>
      <c r="AJ49" s="19" t="n">
        <v>4</v>
      </c>
      <c r="AK49" s="19" t="n">
        <v>5</v>
      </c>
      <c r="AL49" s="19" t="n">
        <v>4</v>
      </c>
      <c r="AM49" s="19" t="n">
        <v>4</v>
      </c>
      <c r="AN49" s="19" t="n">
        <v>4</v>
      </c>
      <c r="AO49" s="19" t="n">
        <v>9</v>
      </c>
      <c r="AP49" s="15" t="n">
        <v>28.5</v>
      </c>
      <c r="AQ49" s="17" t="n">
        <v>69.3</v>
      </c>
      <c r="AR49" s="17" t="n">
        <v>114</v>
      </c>
      <c r="AS49" s="17" t="n">
        <v>19.5</v>
      </c>
      <c r="AT49" s="17" t="n">
        <v>79.15</v>
      </c>
      <c r="AU49" s="17" t="n">
        <v>0</v>
      </c>
      <c r="AV49" s="17" t="n">
        <v>3.87</v>
      </c>
      <c r="AW49" s="17" t="n">
        <v>2.86</v>
      </c>
      <c r="AX49" s="17" t="n">
        <v>14.12</v>
      </c>
      <c r="AY49" s="17" t="n">
        <v>0</v>
      </c>
      <c r="AZ49" s="17" t="n">
        <v>0</v>
      </c>
      <c r="BA49" s="17" t="n">
        <v>0</v>
      </c>
      <c r="BB49" s="17" t="n">
        <v>0</v>
      </c>
      <c r="BC49" s="17" t="n">
        <v>0</v>
      </c>
      <c r="BD49" s="17" t="n">
        <v>0</v>
      </c>
      <c r="BE49" s="17" t="n">
        <v>0.82</v>
      </c>
      <c r="BF49" s="17" t="n">
        <v>11.71</v>
      </c>
      <c r="BG49" s="17" t="n">
        <v>15.43</v>
      </c>
      <c r="BH49" s="17" t="n">
        <v>4.91</v>
      </c>
      <c r="BI49" s="17" t="n">
        <v>0</v>
      </c>
      <c r="BJ49" s="17" t="n">
        <v>0</v>
      </c>
      <c r="BK49" s="17" t="n">
        <v>0</v>
      </c>
      <c r="BL49" s="17" t="n">
        <v>0</v>
      </c>
      <c r="BM49" s="17" t="n">
        <v>0</v>
      </c>
      <c r="BN49" s="15" t="n">
        <v>0</v>
      </c>
      <c r="BO49" s="15" t="n">
        <v>0</v>
      </c>
      <c r="BP49" s="15" t="n">
        <v>0</v>
      </c>
      <c r="BQ49" s="15" t="n">
        <v>8.7</v>
      </c>
      <c r="BR49" s="15" t="n">
        <v>15.43</v>
      </c>
      <c r="BS49" s="15" t="n">
        <v>0</v>
      </c>
      <c r="BT49" s="15" t="n">
        <v>0</v>
      </c>
      <c r="BU49" s="15" t="n">
        <v>0</v>
      </c>
      <c r="BV49" s="15" t="n">
        <v>0</v>
      </c>
    </row>
    <row r="50" customFormat="false" ht="13.8" hidden="false" customHeight="false" outlineLevel="0" collapsed="false">
      <c r="A50" s="0" t="n">
        <v>1</v>
      </c>
      <c r="B50" s="0" t="n">
        <v>52.643394934976</v>
      </c>
      <c r="C50" s="0" t="n">
        <v>19.9753593429158</v>
      </c>
      <c r="D50" s="0" t="n">
        <v>4</v>
      </c>
      <c r="H50" s="0" t="n">
        <v>0</v>
      </c>
      <c r="I50" s="0" t="n">
        <v>0</v>
      </c>
      <c r="J50" s="19" t="n">
        <v>0</v>
      </c>
      <c r="K50" s="19" t="n">
        <v>1</v>
      </c>
      <c r="L50" s="19" t="n">
        <v>0</v>
      </c>
      <c r="M50" s="19"/>
      <c r="N50" s="19" t="n">
        <v>5</v>
      </c>
      <c r="O50" s="19"/>
      <c r="P50" s="19"/>
      <c r="Q50" s="19" t="n">
        <v>0</v>
      </c>
      <c r="R50" s="19" t="n">
        <v>0</v>
      </c>
      <c r="S50" s="19"/>
      <c r="T50" s="19" t="n">
        <v>5</v>
      </c>
      <c r="U50" s="15" t="n">
        <f aca="false">AVERAGE(M50:T50)</f>
        <v>2.5</v>
      </c>
      <c r="V50" s="19" t="n">
        <v>2</v>
      </c>
      <c r="W50" s="19" t="n">
        <v>1</v>
      </c>
      <c r="X50" s="19" t="n">
        <v>3</v>
      </c>
      <c r="Y50" s="19" t="n">
        <v>2</v>
      </c>
      <c r="Z50" s="19" t="n">
        <v>1</v>
      </c>
      <c r="AA50" s="19" t="n">
        <v>2</v>
      </c>
      <c r="AB50" s="19" t="n">
        <v>2</v>
      </c>
      <c r="AC50" s="19" t="n">
        <v>2</v>
      </c>
      <c r="AD50" s="19" t="n">
        <v>3</v>
      </c>
      <c r="AE50" s="19" t="n">
        <v>2</v>
      </c>
      <c r="AF50" s="19" t="n">
        <v>3</v>
      </c>
      <c r="AG50" s="19" t="n">
        <v>5</v>
      </c>
      <c r="AH50" s="19" t="n">
        <v>4</v>
      </c>
      <c r="AI50" s="19" t="n">
        <v>5</v>
      </c>
      <c r="AJ50" s="19" t="n">
        <v>4</v>
      </c>
      <c r="AK50" s="19" t="n">
        <v>4</v>
      </c>
      <c r="AL50" s="19" t="n">
        <v>4</v>
      </c>
      <c r="AM50" s="19" t="n">
        <v>3</v>
      </c>
      <c r="AN50" s="19" t="n">
        <v>3</v>
      </c>
      <c r="AO50" s="19" t="n">
        <v>10</v>
      </c>
      <c r="AP50" s="15" t="n">
        <v>28.5</v>
      </c>
      <c r="AQ50" s="17" t="n">
        <v>69.3</v>
      </c>
      <c r="AR50" s="17" t="n">
        <v>114</v>
      </c>
      <c r="AS50" s="17" t="n">
        <v>19.5</v>
      </c>
      <c r="AT50" s="17" t="n">
        <v>79.15</v>
      </c>
      <c r="AU50" s="17" t="n">
        <v>0</v>
      </c>
      <c r="AV50" s="17" t="n">
        <v>3.87</v>
      </c>
      <c r="AW50" s="17" t="n">
        <v>2.86</v>
      </c>
      <c r="AX50" s="17" t="n">
        <v>14.12</v>
      </c>
      <c r="AY50" s="17" t="n">
        <v>0</v>
      </c>
      <c r="AZ50" s="17" t="n">
        <v>0</v>
      </c>
      <c r="BA50" s="17" t="n">
        <v>0</v>
      </c>
      <c r="BB50" s="17" t="n">
        <v>0</v>
      </c>
      <c r="BC50" s="17" t="n">
        <v>0</v>
      </c>
      <c r="BD50" s="17" t="n">
        <v>0</v>
      </c>
      <c r="BE50" s="17" t="n">
        <v>0.82</v>
      </c>
      <c r="BF50" s="17" t="n">
        <v>11.71</v>
      </c>
      <c r="BG50" s="17" t="n">
        <v>15.43</v>
      </c>
      <c r="BH50" s="17" t="n">
        <v>4.91</v>
      </c>
      <c r="BI50" s="17" t="n">
        <v>0</v>
      </c>
      <c r="BJ50" s="17" t="n">
        <v>0</v>
      </c>
      <c r="BK50" s="17" t="n">
        <v>0</v>
      </c>
      <c r="BL50" s="17" t="n">
        <v>0</v>
      </c>
      <c r="BM50" s="17" t="n">
        <v>0</v>
      </c>
      <c r="BN50" s="15" t="n">
        <v>0</v>
      </c>
      <c r="BO50" s="15" t="n">
        <v>0</v>
      </c>
      <c r="BP50" s="15" t="n">
        <v>0</v>
      </c>
      <c r="BQ50" s="15" t="n">
        <v>8.7</v>
      </c>
      <c r="BR50" s="15" t="n">
        <v>15.43</v>
      </c>
      <c r="BS50" s="15" t="n">
        <v>0</v>
      </c>
      <c r="BT50" s="15" t="n">
        <v>0</v>
      </c>
      <c r="BU50" s="15" t="n">
        <v>0</v>
      </c>
      <c r="BV50" s="15" t="n">
        <v>0</v>
      </c>
    </row>
    <row r="51" customFormat="false" ht="13.8" hidden="false" customHeight="false" outlineLevel="0" collapsed="false">
      <c r="A51" s="0" t="n">
        <v>2</v>
      </c>
      <c r="B51" s="0" t="n">
        <v>41.7932922655715</v>
      </c>
      <c r="C51" s="0" t="n">
        <v>19.2470910335387</v>
      </c>
      <c r="D51" s="0" t="n">
        <v>4</v>
      </c>
      <c r="E51" s="0" t="n">
        <v>120</v>
      </c>
      <c r="F51" s="0" t="n">
        <v>1.8</v>
      </c>
      <c r="G51" s="0" t="n">
        <v>37.037037037037</v>
      </c>
      <c r="H51" s="0" t="n">
        <v>1</v>
      </c>
      <c r="J51" s="19" t="n">
        <v>1</v>
      </c>
      <c r="K51" s="19" t="n">
        <v>0</v>
      </c>
      <c r="L51" s="19" t="n">
        <v>1</v>
      </c>
      <c r="M51" s="19" t="n">
        <v>8</v>
      </c>
      <c r="N51" s="19" t="n">
        <v>8</v>
      </c>
      <c r="O51" s="19" t="n">
        <v>8</v>
      </c>
      <c r="P51" s="19" t="n">
        <v>8</v>
      </c>
      <c r="Q51" s="19" t="n">
        <v>8</v>
      </c>
      <c r="R51" s="19" t="n">
        <v>8</v>
      </c>
      <c r="S51" s="19" t="n">
        <v>8</v>
      </c>
      <c r="T51" s="19" t="n">
        <v>8</v>
      </c>
      <c r="U51" s="15" t="n">
        <f aca="false">AVERAGE(M51:T51)</f>
        <v>8</v>
      </c>
      <c r="V51" s="19" t="n">
        <v>5</v>
      </c>
      <c r="W51" s="19" t="n">
        <v>3</v>
      </c>
      <c r="X51" s="19" t="n">
        <v>5</v>
      </c>
      <c r="Y51" s="19" t="n">
        <v>5</v>
      </c>
      <c r="Z51" s="19" t="n">
        <v>2</v>
      </c>
      <c r="AA51" s="19" t="n">
        <v>5</v>
      </c>
      <c r="AB51" s="19" t="n">
        <v>4</v>
      </c>
      <c r="AC51" s="19" t="n">
        <v>3</v>
      </c>
      <c r="AD51" s="19" t="n">
        <v>1</v>
      </c>
      <c r="AE51" s="19" t="n">
        <v>1</v>
      </c>
      <c r="AF51" s="19" t="n">
        <v>2</v>
      </c>
      <c r="AG51" s="19" t="n">
        <v>4</v>
      </c>
      <c r="AH51" s="19" t="n">
        <v>1</v>
      </c>
      <c r="AI51" s="19" t="n">
        <v>2</v>
      </c>
      <c r="AJ51" s="19" t="n">
        <v>4</v>
      </c>
      <c r="AK51" s="19" t="n">
        <v>5</v>
      </c>
      <c r="AL51" s="19" t="n">
        <v>5</v>
      </c>
      <c r="AM51" s="19" t="n">
        <v>5</v>
      </c>
      <c r="AN51" s="19" t="n">
        <v>1</v>
      </c>
      <c r="AO51" s="19" t="n">
        <v>5</v>
      </c>
      <c r="AP51" s="15" t="n">
        <v>28.5</v>
      </c>
      <c r="AQ51" s="17" t="n">
        <v>69.3</v>
      </c>
      <c r="AR51" s="17" t="n">
        <v>114</v>
      </c>
      <c r="AS51" s="17" t="n">
        <v>19.5</v>
      </c>
      <c r="AT51" s="17" t="n">
        <v>79.15</v>
      </c>
      <c r="AU51" s="17" t="n">
        <v>0</v>
      </c>
      <c r="AV51" s="17" t="n">
        <v>3.87</v>
      </c>
      <c r="AW51" s="17" t="n">
        <v>2.86</v>
      </c>
      <c r="AX51" s="17" t="n">
        <v>14.12</v>
      </c>
      <c r="AY51" s="17" t="n">
        <v>0</v>
      </c>
      <c r="AZ51" s="17" t="n">
        <v>0</v>
      </c>
      <c r="BA51" s="17" t="n">
        <v>0</v>
      </c>
      <c r="BB51" s="17" t="n">
        <v>0</v>
      </c>
      <c r="BC51" s="17" t="n">
        <v>0</v>
      </c>
      <c r="BD51" s="17" t="n">
        <v>0</v>
      </c>
      <c r="BE51" s="17" t="n">
        <v>0.82</v>
      </c>
      <c r="BF51" s="17" t="n">
        <v>11.71</v>
      </c>
      <c r="BG51" s="17" t="n">
        <v>15.43</v>
      </c>
      <c r="BH51" s="17" t="n">
        <v>4.91</v>
      </c>
      <c r="BI51" s="17" t="n">
        <v>0</v>
      </c>
      <c r="BJ51" s="17" t="n">
        <v>0</v>
      </c>
      <c r="BK51" s="17" t="n">
        <v>0</v>
      </c>
      <c r="BL51" s="17" t="n">
        <v>0</v>
      </c>
      <c r="BM51" s="17" t="n">
        <v>0</v>
      </c>
      <c r="BN51" s="15" t="n">
        <v>0</v>
      </c>
      <c r="BO51" s="15" t="n">
        <v>0</v>
      </c>
      <c r="BP51" s="15" t="n">
        <v>0</v>
      </c>
      <c r="BQ51" s="15" t="n">
        <v>8.7</v>
      </c>
      <c r="BR51" s="15" t="n">
        <v>15.43</v>
      </c>
      <c r="BS51" s="15" t="n">
        <v>0</v>
      </c>
      <c r="BT51" s="15" t="n">
        <v>0</v>
      </c>
      <c r="BU51" s="15" t="n">
        <v>0</v>
      </c>
      <c r="BV51" s="15" t="n">
        <v>0</v>
      </c>
    </row>
    <row r="52" customFormat="false" ht="13.8" hidden="false" customHeight="false" outlineLevel="0" collapsed="false">
      <c r="A52" s="0" t="n">
        <v>1</v>
      </c>
      <c r="B52" s="0" t="n">
        <v>35.8904859685147</v>
      </c>
      <c r="C52" s="0" t="n">
        <v>8.97467488021903</v>
      </c>
      <c r="D52" s="0" t="n">
        <v>4</v>
      </c>
      <c r="F52" s="0" t="n">
        <v>1.69</v>
      </c>
      <c r="G52" s="0" t="n">
        <v>0</v>
      </c>
      <c r="H52" s="0" t="n">
        <v>0</v>
      </c>
      <c r="I52" s="0" t="n">
        <v>0</v>
      </c>
      <c r="J52" s="19" t="n">
        <v>0</v>
      </c>
      <c r="K52" s="19" t="n">
        <v>0</v>
      </c>
      <c r="L52" s="19" t="n">
        <v>0</v>
      </c>
      <c r="M52" s="19" t="n">
        <v>0</v>
      </c>
      <c r="N52" s="19" t="n">
        <v>0</v>
      </c>
      <c r="O52" s="19" t="n">
        <v>5</v>
      </c>
      <c r="P52" s="19"/>
      <c r="Q52" s="19" t="n">
        <v>2</v>
      </c>
      <c r="R52" s="19"/>
      <c r="S52" s="19" t="n">
        <v>0</v>
      </c>
      <c r="T52" s="19" t="n">
        <v>0</v>
      </c>
      <c r="U52" s="15" t="n">
        <f aca="false">AVERAGE(M52:T52)</f>
        <v>1.16666666666667</v>
      </c>
      <c r="V52" s="19" t="n">
        <v>3</v>
      </c>
      <c r="W52" s="19" t="n">
        <v>1</v>
      </c>
      <c r="X52" s="19" t="n">
        <v>3</v>
      </c>
      <c r="Y52" s="19" t="n">
        <v>4</v>
      </c>
      <c r="Z52" s="19" t="n">
        <v>1</v>
      </c>
      <c r="AA52" s="19" t="n">
        <v>2</v>
      </c>
      <c r="AB52" s="19" t="n">
        <v>4</v>
      </c>
      <c r="AC52" s="19" t="n">
        <v>2</v>
      </c>
      <c r="AD52" s="19" t="n">
        <v>3</v>
      </c>
      <c r="AE52" s="19" t="n">
        <v>3</v>
      </c>
      <c r="AF52" s="19" t="n">
        <v>3</v>
      </c>
      <c r="AG52" s="19" t="n">
        <v>5</v>
      </c>
      <c r="AH52" s="19" t="n">
        <v>4</v>
      </c>
      <c r="AI52" s="19" t="n">
        <v>5</v>
      </c>
      <c r="AJ52" s="19" t="n">
        <v>5</v>
      </c>
      <c r="AK52" s="19" t="n">
        <v>5</v>
      </c>
      <c r="AL52" s="19" t="n">
        <v>4</v>
      </c>
      <c r="AM52" s="19" t="n">
        <v>4</v>
      </c>
      <c r="AN52" s="19" t="n">
        <v>4</v>
      </c>
      <c r="AO52" s="19" t="n">
        <v>7</v>
      </c>
      <c r="AP52" s="15" t="n">
        <v>28.5</v>
      </c>
      <c r="AQ52" s="17" t="n">
        <v>69.3</v>
      </c>
      <c r="AR52" s="17" t="n">
        <v>114</v>
      </c>
      <c r="AS52" s="17" t="n">
        <v>19.5</v>
      </c>
      <c r="AT52" s="17" t="n">
        <v>79.15</v>
      </c>
      <c r="AU52" s="17" t="n">
        <v>0</v>
      </c>
      <c r="AV52" s="17" t="n">
        <v>3.87</v>
      </c>
      <c r="AW52" s="17" t="n">
        <v>2.86</v>
      </c>
      <c r="AX52" s="17" t="n">
        <v>14.12</v>
      </c>
      <c r="AY52" s="17" t="n">
        <v>0</v>
      </c>
      <c r="AZ52" s="17" t="n">
        <v>0</v>
      </c>
      <c r="BA52" s="17" t="n">
        <v>0</v>
      </c>
      <c r="BB52" s="17" t="n">
        <v>0</v>
      </c>
      <c r="BC52" s="17" t="n">
        <v>0</v>
      </c>
      <c r="BD52" s="17" t="n">
        <v>0</v>
      </c>
      <c r="BE52" s="17" t="n">
        <v>0.82</v>
      </c>
      <c r="BF52" s="17" t="n">
        <v>11.71</v>
      </c>
      <c r="BG52" s="17" t="n">
        <v>15.43</v>
      </c>
      <c r="BH52" s="17" t="n">
        <v>4.91</v>
      </c>
      <c r="BI52" s="17" t="n">
        <v>0</v>
      </c>
      <c r="BJ52" s="17" t="n">
        <v>0</v>
      </c>
      <c r="BK52" s="17" t="n">
        <v>0</v>
      </c>
      <c r="BL52" s="17" t="n">
        <v>0</v>
      </c>
      <c r="BM52" s="17" t="n">
        <v>0</v>
      </c>
      <c r="BN52" s="15" t="n">
        <v>0</v>
      </c>
      <c r="BO52" s="15" t="n">
        <v>0</v>
      </c>
      <c r="BP52" s="15" t="n">
        <v>0</v>
      </c>
      <c r="BQ52" s="15" t="n">
        <v>8.7</v>
      </c>
      <c r="BR52" s="15" t="n">
        <v>15.43</v>
      </c>
      <c r="BS52" s="15" t="n">
        <v>0</v>
      </c>
      <c r="BT52" s="15" t="n">
        <v>0</v>
      </c>
      <c r="BU52" s="15" t="n">
        <v>0</v>
      </c>
      <c r="BV52" s="15" t="n">
        <v>0</v>
      </c>
    </row>
    <row r="53" customFormat="false" ht="13.8" hidden="false" customHeight="false" outlineLevel="0" collapsed="false">
      <c r="A53" s="0" t="n">
        <v>1</v>
      </c>
      <c r="B53" s="0" t="n">
        <v>52.1122518822724</v>
      </c>
      <c r="C53" s="0" t="n">
        <v>22.3518138261465</v>
      </c>
      <c r="D53" s="0" t="n">
        <v>4</v>
      </c>
      <c r="E53" s="0" t="n">
        <v>58.7</v>
      </c>
      <c r="F53" s="0" t="n">
        <v>1.6</v>
      </c>
      <c r="G53" s="0" t="n">
        <v>22.9296875</v>
      </c>
      <c r="H53" s="0" t="n">
        <v>0</v>
      </c>
      <c r="I53" s="0" t="n">
        <v>0</v>
      </c>
      <c r="J53" s="19" t="n">
        <v>1</v>
      </c>
      <c r="K53" s="19" t="n">
        <v>0</v>
      </c>
      <c r="L53" s="19" t="n">
        <v>1</v>
      </c>
      <c r="M53" s="19" t="n">
        <v>3</v>
      </c>
      <c r="N53" s="19" t="n">
        <v>9</v>
      </c>
      <c r="O53" s="19" t="n">
        <v>7</v>
      </c>
      <c r="P53" s="19" t="n">
        <v>3</v>
      </c>
      <c r="Q53" s="19" t="n">
        <v>7</v>
      </c>
      <c r="R53" s="19" t="n">
        <v>7</v>
      </c>
      <c r="S53" s="19"/>
      <c r="T53" s="19" t="n">
        <v>4</v>
      </c>
      <c r="U53" s="15" t="n">
        <f aca="false">AVERAGE(M53:T53)</f>
        <v>5.71428571428571</v>
      </c>
      <c r="V53" s="19" t="n">
        <v>3</v>
      </c>
      <c r="W53" s="19" t="n">
        <v>1</v>
      </c>
      <c r="X53" s="19" t="n">
        <v>2</v>
      </c>
      <c r="Y53" s="19" t="n">
        <v>4</v>
      </c>
      <c r="Z53" s="19" t="n">
        <v>2</v>
      </c>
      <c r="AA53" s="19" t="n">
        <v>3</v>
      </c>
      <c r="AB53" s="19" t="n">
        <v>2</v>
      </c>
      <c r="AC53" s="19" t="n">
        <v>3</v>
      </c>
      <c r="AD53" s="19" t="n">
        <v>1</v>
      </c>
      <c r="AE53" s="19" t="n">
        <v>1</v>
      </c>
      <c r="AF53" s="19" t="n">
        <v>3</v>
      </c>
      <c r="AG53" s="19" t="n">
        <v>5</v>
      </c>
      <c r="AH53" s="19" t="n">
        <v>3</v>
      </c>
      <c r="AI53" s="19" t="n">
        <v>3</v>
      </c>
      <c r="AJ53" s="19" t="n">
        <v>2</v>
      </c>
      <c r="AK53" s="19" t="n">
        <v>3</v>
      </c>
      <c r="AL53" s="19" t="n">
        <v>3</v>
      </c>
      <c r="AM53" s="19" t="n">
        <v>3</v>
      </c>
      <c r="AN53" s="19" t="n">
        <v>1</v>
      </c>
      <c r="AO53" s="19" t="n">
        <v>5</v>
      </c>
      <c r="AP53" s="15" t="n">
        <v>28.5</v>
      </c>
      <c r="AQ53" s="17" t="n">
        <v>69.3</v>
      </c>
      <c r="AR53" s="17" t="n">
        <v>114</v>
      </c>
      <c r="AS53" s="17" t="n">
        <v>19.5</v>
      </c>
      <c r="AT53" s="17" t="n">
        <v>79.15</v>
      </c>
      <c r="AU53" s="17" t="n">
        <v>0</v>
      </c>
      <c r="AV53" s="17" t="n">
        <v>3.87</v>
      </c>
      <c r="AW53" s="17" t="n">
        <v>2.86</v>
      </c>
      <c r="AX53" s="17" t="n">
        <v>14.12</v>
      </c>
      <c r="AY53" s="17" t="n">
        <v>0</v>
      </c>
      <c r="AZ53" s="17" t="n">
        <v>0</v>
      </c>
      <c r="BA53" s="17" t="n">
        <v>0</v>
      </c>
      <c r="BB53" s="17" t="n">
        <v>0</v>
      </c>
      <c r="BC53" s="17" t="n">
        <v>0</v>
      </c>
      <c r="BD53" s="17" t="n">
        <v>0</v>
      </c>
      <c r="BE53" s="17" t="n">
        <v>0.82</v>
      </c>
      <c r="BF53" s="17" t="n">
        <v>11.71</v>
      </c>
      <c r="BG53" s="17" t="n">
        <v>15.43</v>
      </c>
      <c r="BH53" s="17" t="n">
        <v>4.91</v>
      </c>
      <c r="BI53" s="17" t="n">
        <v>0</v>
      </c>
      <c r="BJ53" s="17" t="n">
        <v>0</v>
      </c>
      <c r="BK53" s="17" t="n">
        <v>0</v>
      </c>
      <c r="BL53" s="17" t="n">
        <v>0</v>
      </c>
      <c r="BM53" s="17" t="n">
        <v>0</v>
      </c>
      <c r="BN53" s="15" t="n">
        <v>0</v>
      </c>
      <c r="BO53" s="15" t="n">
        <v>0</v>
      </c>
      <c r="BP53" s="15" t="n">
        <v>0</v>
      </c>
      <c r="BQ53" s="15" t="n">
        <v>8.7</v>
      </c>
      <c r="BR53" s="15" t="n">
        <v>15.43</v>
      </c>
      <c r="BS53" s="15" t="n">
        <v>0</v>
      </c>
      <c r="BT53" s="15" t="n">
        <v>0</v>
      </c>
      <c r="BU53" s="15" t="n">
        <v>0</v>
      </c>
      <c r="BV53" s="15" t="n">
        <v>0</v>
      </c>
    </row>
    <row r="54" customFormat="false" ht="13.8" hidden="false" customHeight="false" outlineLevel="0" collapsed="false">
      <c r="A54" s="0" t="n">
        <v>2</v>
      </c>
      <c r="B54" s="0" t="n">
        <v>40.8459958932238</v>
      </c>
      <c r="C54" s="0" t="n">
        <v>0.224503764544832</v>
      </c>
      <c r="D54" s="0" t="n">
        <v>4</v>
      </c>
      <c r="E54" s="0" t="n">
        <v>97</v>
      </c>
      <c r="F54" s="0" t="n">
        <v>1.72</v>
      </c>
      <c r="G54" s="0" t="n">
        <v>32.7879935100054</v>
      </c>
      <c r="H54" s="0" t="n">
        <v>0</v>
      </c>
      <c r="I54" s="0" t="n">
        <v>0</v>
      </c>
      <c r="J54" s="19" t="n">
        <v>0</v>
      </c>
      <c r="K54" s="19" t="n">
        <v>1</v>
      </c>
      <c r="L54" s="19" t="n">
        <v>0</v>
      </c>
      <c r="M54" s="19" t="n">
        <v>0</v>
      </c>
      <c r="N54" s="19" t="n">
        <v>0</v>
      </c>
      <c r="O54" s="19" t="n">
        <v>0</v>
      </c>
      <c r="P54" s="19" t="n">
        <v>0</v>
      </c>
      <c r="Q54" s="19" t="n">
        <v>0</v>
      </c>
      <c r="R54" s="19" t="n">
        <v>0</v>
      </c>
      <c r="S54" s="19" t="n">
        <v>0</v>
      </c>
      <c r="T54" s="19" t="n">
        <v>0</v>
      </c>
      <c r="U54" s="15" t="n">
        <f aca="false">AVERAGE(M54:T54)</f>
        <v>0</v>
      </c>
      <c r="V54" s="19" t="n">
        <v>2</v>
      </c>
      <c r="W54" s="19" t="n">
        <v>2</v>
      </c>
      <c r="X54" s="19" t="n">
        <v>3</v>
      </c>
      <c r="Y54" s="19" t="n">
        <v>4</v>
      </c>
      <c r="Z54" s="19" t="n">
        <v>3</v>
      </c>
      <c r="AA54" s="19" t="n">
        <v>2</v>
      </c>
      <c r="AB54" s="19" t="n">
        <v>3</v>
      </c>
      <c r="AC54" s="19" t="n">
        <v>3</v>
      </c>
      <c r="AD54" s="19" t="n">
        <v>3</v>
      </c>
      <c r="AE54" s="19" t="n">
        <v>4</v>
      </c>
      <c r="AF54" s="19" t="n">
        <v>4</v>
      </c>
      <c r="AG54" s="19" t="n">
        <v>5</v>
      </c>
      <c r="AH54" s="19" t="n">
        <v>4</v>
      </c>
      <c r="AI54" s="19" t="n">
        <v>5</v>
      </c>
      <c r="AJ54" s="19" t="n">
        <v>5</v>
      </c>
      <c r="AK54" s="19" t="n">
        <v>4</v>
      </c>
      <c r="AL54" s="19" t="n">
        <v>5</v>
      </c>
      <c r="AM54" s="19" t="n">
        <v>5</v>
      </c>
      <c r="AN54" s="19" t="n">
        <v>4</v>
      </c>
      <c r="AO54" s="19" t="n">
        <v>10</v>
      </c>
      <c r="AP54" s="0" t="n">
        <v>21.5</v>
      </c>
      <c r="AQ54" s="16" t="n">
        <v>78.4</v>
      </c>
      <c r="AR54" s="16" t="n">
        <v>80.4</v>
      </c>
      <c r="AS54" s="16" t="n">
        <v>9.6</v>
      </c>
      <c r="AT54" s="0" t="n">
        <v>84.68</v>
      </c>
      <c r="AU54" s="0" t="n">
        <v>14.18</v>
      </c>
      <c r="AV54" s="0" t="n">
        <v>1.12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9.51</v>
      </c>
      <c r="BG54" s="0" t="n">
        <v>25.42</v>
      </c>
      <c r="BH54" s="0" t="n">
        <v>0</v>
      </c>
      <c r="BI54" s="0" t="n">
        <v>0</v>
      </c>
      <c r="BJ54" s="0" t="n">
        <v>0</v>
      </c>
      <c r="BK54" s="0" t="n">
        <v>2</v>
      </c>
      <c r="BL54" s="0" t="n">
        <v>3.2</v>
      </c>
      <c r="BM54" s="0" t="n">
        <v>1</v>
      </c>
      <c r="BN54" s="0" t="n">
        <v>0</v>
      </c>
      <c r="BO54" s="16" t="n">
        <v>0.36</v>
      </c>
      <c r="BP54" s="16" t="n">
        <v>1</v>
      </c>
      <c r="BQ54" s="16" t="n">
        <v>8.32</v>
      </c>
      <c r="BR54" s="16" t="n">
        <v>8.31</v>
      </c>
      <c r="BS54" s="16" t="n">
        <v>0</v>
      </c>
      <c r="BT54" s="16" t="n">
        <v>0</v>
      </c>
      <c r="BU54" s="16" t="n">
        <v>0</v>
      </c>
      <c r="BV54" s="0" t="n">
        <v>0</v>
      </c>
    </row>
    <row r="55" customFormat="false" ht="13.8" hidden="false" customHeight="false" outlineLevel="0" collapsed="false">
      <c r="A55" s="0" t="n">
        <v>2</v>
      </c>
      <c r="B55" s="0" t="n">
        <v>33.6591375770021</v>
      </c>
      <c r="C55" s="0" t="n">
        <v>0.287474332648871</v>
      </c>
      <c r="D55" s="0" t="n">
        <v>8</v>
      </c>
      <c r="E55" s="0" t="n">
        <v>95</v>
      </c>
      <c r="F55" s="0" t="n">
        <v>1.7</v>
      </c>
      <c r="G55" s="0" t="n">
        <v>32.8719723183391</v>
      </c>
      <c r="H55" s="0" t="n">
        <v>0</v>
      </c>
      <c r="I55" s="0" t="n">
        <v>0</v>
      </c>
      <c r="J55" s="19" t="n">
        <v>0</v>
      </c>
      <c r="K55" s="19" t="n">
        <v>1</v>
      </c>
      <c r="L55" s="19" t="n">
        <v>0</v>
      </c>
      <c r="M55" s="19" t="n">
        <v>0</v>
      </c>
      <c r="N55" s="19" t="n">
        <v>0</v>
      </c>
      <c r="O55" s="19" t="n">
        <v>0</v>
      </c>
      <c r="P55" s="19" t="n">
        <v>0</v>
      </c>
      <c r="Q55" s="19" t="n">
        <v>0</v>
      </c>
      <c r="R55" s="19" t="n">
        <v>0</v>
      </c>
      <c r="S55" s="19" t="n">
        <v>0</v>
      </c>
      <c r="T55" s="19" t="n">
        <v>0</v>
      </c>
      <c r="U55" s="15" t="n">
        <f aca="false">AVERAGE(M55:T55)</f>
        <v>0</v>
      </c>
      <c r="V55" s="19" t="n">
        <v>1</v>
      </c>
      <c r="W55" s="19" t="n">
        <v>2</v>
      </c>
      <c r="X55" s="19" t="n">
        <v>2</v>
      </c>
      <c r="Y55" s="19" t="n">
        <v>2</v>
      </c>
      <c r="Z55" s="19" t="n">
        <v>2</v>
      </c>
      <c r="AA55" s="19" t="n">
        <v>1</v>
      </c>
      <c r="AB55" s="19" t="n">
        <v>2</v>
      </c>
      <c r="AC55" s="19" t="n">
        <v>1</v>
      </c>
      <c r="AD55" s="19" t="n">
        <v>4</v>
      </c>
      <c r="AE55" s="19" t="n">
        <v>4</v>
      </c>
      <c r="AF55" s="19" t="n">
        <v>4</v>
      </c>
      <c r="AG55" s="19" t="n">
        <v>4</v>
      </c>
      <c r="AH55" s="19" t="n">
        <v>4</v>
      </c>
      <c r="AI55" s="19" t="n">
        <v>4</v>
      </c>
      <c r="AJ55" s="19" t="n">
        <v>4</v>
      </c>
      <c r="AK55" s="19" t="n">
        <v>4</v>
      </c>
      <c r="AL55" s="19" t="n">
        <v>4</v>
      </c>
      <c r="AM55" s="19" t="n">
        <v>4</v>
      </c>
      <c r="AN55" s="19" t="n">
        <v>4</v>
      </c>
      <c r="AO55" s="19" t="n">
        <v>10</v>
      </c>
      <c r="AP55" s="0" t="n">
        <v>21.5</v>
      </c>
      <c r="AQ55" s="16" t="n">
        <v>78.4</v>
      </c>
      <c r="AR55" s="16" t="n">
        <v>80.4</v>
      </c>
      <c r="AS55" s="16" t="n">
        <v>9.6</v>
      </c>
      <c r="AT55" s="0" t="n">
        <v>84.68</v>
      </c>
      <c r="AU55" s="0" t="n">
        <v>14.18</v>
      </c>
      <c r="AV55" s="0" t="n">
        <v>1.12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9.51</v>
      </c>
      <c r="BG55" s="0" t="n">
        <v>25.42</v>
      </c>
      <c r="BH55" s="0" t="n">
        <v>0</v>
      </c>
      <c r="BI55" s="0" t="n">
        <v>0</v>
      </c>
      <c r="BJ55" s="0" t="n">
        <v>0</v>
      </c>
      <c r="BK55" s="0" t="n">
        <v>2</v>
      </c>
      <c r="BL55" s="0" t="n">
        <v>3.2</v>
      </c>
      <c r="BM55" s="0" t="n">
        <v>1</v>
      </c>
      <c r="BN55" s="0" t="n">
        <v>0</v>
      </c>
      <c r="BO55" s="16" t="n">
        <v>0.36</v>
      </c>
      <c r="BP55" s="16" t="n">
        <v>1</v>
      </c>
      <c r="BQ55" s="16" t="n">
        <v>8.32</v>
      </c>
      <c r="BR55" s="16" t="n">
        <v>8.31</v>
      </c>
      <c r="BS55" s="16" t="n">
        <v>0</v>
      </c>
      <c r="BT55" s="16" t="n">
        <v>0</v>
      </c>
      <c r="BU55" s="16" t="n">
        <v>0</v>
      </c>
      <c r="BV55" s="0" t="n">
        <v>0</v>
      </c>
    </row>
    <row r="56" customFormat="false" ht="13.8" hidden="false" customHeight="false" outlineLevel="0" collapsed="false">
      <c r="A56" s="0" t="n">
        <v>2</v>
      </c>
      <c r="B56" s="0" t="n">
        <v>23.8466803559206</v>
      </c>
      <c r="C56" s="0" t="n">
        <v>0.243668720054757</v>
      </c>
      <c r="D56" s="0" t="n">
        <v>4</v>
      </c>
      <c r="E56" s="0" t="n">
        <v>95</v>
      </c>
      <c r="F56" s="0" t="n">
        <v>1.72</v>
      </c>
      <c r="G56" s="0" t="n">
        <v>32.1119524067063</v>
      </c>
      <c r="H56" s="0" t="n">
        <v>0</v>
      </c>
      <c r="I56" s="0" t="n">
        <v>0</v>
      </c>
      <c r="J56" s="19" t="n">
        <v>0</v>
      </c>
      <c r="K56" s="19" t="n">
        <v>1</v>
      </c>
      <c r="L56" s="19" t="n">
        <v>0</v>
      </c>
      <c r="M56" s="19" t="n">
        <v>0</v>
      </c>
      <c r="N56" s="19" t="n">
        <v>0</v>
      </c>
      <c r="O56" s="19" t="n">
        <v>0</v>
      </c>
      <c r="P56" s="19" t="n">
        <v>0</v>
      </c>
      <c r="Q56" s="19" t="n">
        <v>0</v>
      </c>
      <c r="R56" s="19" t="n">
        <v>0</v>
      </c>
      <c r="S56" s="19" t="n">
        <v>0</v>
      </c>
      <c r="T56" s="19" t="n">
        <v>0</v>
      </c>
      <c r="U56" s="15" t="n">
        <f aca="false">AVERAGE(M56:T56)</f>
        <v>0</v>
      </c>
      <c r="V56" s="19" t="n">
        <v>2</v>
      </c>
      <c r="W56" s="19" t="n">
        <v>2</v>
      </c>
      <c r="X56" s="19" t="n">
        <v>2</v>
      </c>
      <c r="Y56" s="19" t="n">
        <v>5</v>
      </c>
      <c r="Z56" s="19" t="n">
        <v>2</v>
      </c>
      <c r="AA56" s="19" t="n">
        <v>2</v>
      </c>
      <c r="AB56" s="19" t="n">
        <v>2</v>
      </c>
      <c r="AC56" s="19" t="n">
        <v>4</v>
      </c>
      <c r="AD56" s="19" t="n">
        <v>4</v>
      </c>
      <c r="AE56" s="19" t="n">
        <v>4</v>
      </c>
      <c r="AF56" s="19" t="n">
        <v>5</v>
      </c>
      <c r="AG56" s="19" t="n">
        <v>5</v>
      </c>
      <c r="AH56" s="19" t="n">
        <v>3</v>
      </c>
      <c r="AI56" s="19" t="n">
        <v>5</v>
      </c>
      <c r="AJ56" s="19" t="n">
        <v>5</v>
      </c>
      <c r="AK56" s="19" t="n">
        <v>4</v>
      </c>
      <c r="AL56" s="19" t="n">
        <v>5</v>
      </c>
      <c r="AM56" s="19" t="n">
        <v>5</v>
      </c>
      <c r="AN56" s="19" t="n">
        <v>5</v>
      </c>
      <c r="AO56" s="19" t="n">
        <v>10</v>
      </c>
      <c r="AP56" s="0" t="n">
        <v>21.5</v>
      </c>
      <c r="AQ56" s="16" t="n">
        <v>78.4</v>
      </c>
      <c r="AR56" s="16" t="n">
        <v>80.4</v>
      </c>
      <c r="AS56" s="16" t="n">
        <v>9.6</v>
      </c>
      <c r="AT56" s="0" t="n">
        <v>84.68</v>
      </c>
      <c r="AU56" s="0" t="n">
        <v>14.18</v>
      </c>
      <c r="AV56" s="0" t="n">
        <v>1.12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9.51</v>
      </c>
      <c r="BG56" s="0" t="n">
        <v>25.42</v>
      </c>
      <c r="BH56" s="0" t="n">
        <v>0</v>
      </c>
      <c r="BI56" s="0" t="n">
        <v>0</v>
      </c>
      <c r="BJ56" s="0" t="n">
        <v>0</v>
      </c>
      <c r="BK56" s="0" t="n">
        <v>2</v>
      </c>
      <c r="BL56" s="0" t="n">
        <v>3.2</v>
      </c>
      <c r="BM56" s="0" t="n">
        <v>1</v>
      </c>
      <c r="BN56" s="0" t="n">
        <v>0</v>
      </c>
      <c r="BO56" s="16" t="n">
        <v>0.36</v>
      </c>
      <c r="BP56" s="16" t="n">
        <v>1</v>
      </c>
      <c r="BQ56" s="16" t="n">
        <v>8.32</v>
      </c>
      <c r="BR56" s="16" t="n">
        <v>8.31</v>
      </c>
      <c r="BS56" s="16" t="n">
        <v>0</v>
      </c>
      <c r="BT56" s="16" t="n">
        <v>0</v>
      </c>
      <c r="BU56" s="16" t="n">
        <v>0</v>
      </c>
      <c r="BV56" s="0" t="n">
        <v>0</v>
      </c>
    </row>
    <row r="57" customFormat="false" ht="13.8" hidden="false" customHeight="false" outlineLevel="0" collapsed="false">
      <c r="A57" s="0" t="n">
        <v>1</v>
      </c>
      <c r="B57" s="0" t="n">
        <v>47.5592060232717</v>
      </c>
      <c r="C57" s="0" t="n">
        <v>6.54072553045859</v>
      </c>
      <c r="D57" s="0" t="n">
        <v>8</v>
      </c>
      <c r="E57" s="0" t="n">
        <v>75</v>
      </c>
      <c r="F57" s="0" t="n">
        <v>1.68</v>
      </c>
      <c r="G57" s="0" t="n">
        <v>26.5731292517007</v>
      </c>
      <c r="H57" s="0" t="n">
        <v>0</v>
      </c>
      <c r="I57" s="0" t="n">
        <v>0</v>
      </c>
      <c r="J57" s="19" t="n">
        <v>1</v>
      </c>
      <c r="K57" s="19" t="n">
        <v>2</v>
      </c>
      <c r="L57" s="19" t="n">
        <v>0</v>
      </c>
      <c r="M57" s="19" t="n">
        <v>0</v>
      </c>
      <c r="N57" s="19" t="n">
        <v>0</v>
      </c>
      <c r="O57" s="19" t="n">
        <v>10</v>
      </c>
      <c r="P57" s="19" t="n">
        <v>7</v>
      </c>
      <c r="Q57" s="19" t="n">
        <v>0</v>
      </c>
      <c r="R57" s="19" t="n">
        <v>0</v>
      </c>
      <c r="S57" s="19" t="n">
        <v>0</v>
      </c>
      <c r="T57" s="19" t="n">
        <v>0</v>
      </c>
      <c r="U57" s="15" t="n">
        <f aca="false">AVERAGE(M57:T57)</f>
        <v>2.125</v>
      </c>
      <c r="V57" s="19" t="n">
        <v>2</v>
      </c>
      <c r="W57" s="19" t="n">
        <v>1</v>
      </c>
      <c r="X57" s="19" t="n">
        <v>5</v>
      </c>
      <c r="Y57" s="19" t="n">
        <v>5</v>
      </c>
      <c r="Z57" s="19" t="n">
        <v>3</v>
      </c>
      <c r="AA57" s="19" t="n">
        <v>4</v>
      </c>
      <c r="AB57" s="19" t="n">
        <v>4</v>
      </c>
      <c r="AC57" s="19" t="n">
        <v>3</v>
      </c>
      <c r="AD57" s="19" t="n">
        <v>3</v>
      </c>
      <c r="AE57" s="19" t="n">
        <v>3</v>
      </c>
      <c r="AF57" s="19" t="n">
        <v>4</v>
      </c>
      <c r="AG57" s="19" t="n">
        <v>5</v>
      </c>
      <c r="AH57" s="19" t="n">
        <v>3</v>
      </c>
      <c r="AI57" s="19" t="n">
        <v>4</v>
      </c>
      <c r="AJ57" s="19" t="n">
        <v>3</v>
      </c>
      <c r="AK57" s="19" t="n">
        <v>5</v>
      </c>
      <c r="AL57" s="19" t="n">
        <v>3</v>
      </c>
      <c r="AM57" s="19" t="n">
        <v>4</v>
      </c>
      <c r="AN57" s="19" t="n">
        <v>4</v>
      </c>
      <c r="AO57" s="19" t="n">
        <v>10</v>
      </c>
      <c r="AP57" s="0" t="n">
        <v>21.5</v>
      </c>
      <c r="AQ57" s="16" t="n">
        <v>78.4</v>
      </c>
      <c r="AR57" s="16" t="n">
        <v>80.4</v>
      </c>
      <c r="AS57" s="16" t="n">
        <v>9.6</v>
      </c>
      <c r="AT57" s="0" t="n">
        <v>84.68</v>
      </c>
      <c r="AU57" s="0" t="n">
        <v>14.18</v>
      </c>
      <c r="AV57" s="0" t="n">
        <v>1.12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9.51</v>
      </c>
      <c r="BG57" s="0" t="n">
        <v>25.42</v>
      </c>
      <c r="BH57" s="0" t="n">
        <v>0</v>
      </c>
      <c r="BI57" s="0" t="n">
        <v>0</v>
      </c>
      <c r="BJ57" s="0" t="n">
        <v>0</v>
      </c>
      <c r="BK57" s="0" t="n">
        <v>2</v>
      </c>
      <c r="BL57" s="0" t="n">
        <v>3.2</v>
      </c>
      <c r="BM57" s="0" t="n">
        <v>1</v>
      </c>
      <c r="BN57" s="0" t="n">
        <v>0</v>
      </c>
      <c r="BO57" s="16" t="n">
        <v>0.36</v>
      </c>
      <c r="BP57" s="16" t="n">
        <v>1</v>
      </c>
      <c r="BQ57" s="16" t="n">
        <v>8.32</v>
      </c>
      <c r="BR57" s="16" t="n">
        <v>8.31</v>
      </c>
      <c r="BS57" s="16" t="n">
        <v>0</v>
      </c>
      <c r="BT57" s="16" t="n">
        <v>0</v>
      </c>
      <c r="BU57" s="16" t="n">
        <v>0</v>
      </c>
      <c r="BV57" s="0" t="n">
        <v>0</v>
      </c>
    </row>
    <row r="58" customFormat="false" ht="13.8" hidden="false" customHeight="false" outlineLevel="0" collapsed="false">
      <c r="A58" s="0" t="n">
        <v>2</v>
      </c>
      <c r="B58" s="0" t="n">
        <v>42.1026694045175</v>
      </c>
      <c r="C58" s="0" t="n">
        <v>21.6098562628337</v>
      </c>
      <c r="D58" s="0" t="n">
        <v>8</v>
      </c>
      <c r="E58" s="0" t="n">
        <v>64</v>
      </c>
      <c r="F58" s="0" t="n">
        <v>1.8</v>
      </c>
      <c r="G58" s="0" t="n">
        <v>19.7530864197531</v>
      </c>
      <c r="H58" s="0" t="n">
        <v>0</v>
      </c>
      <c r="I58" s="0" t="n">
        <v>0</v>
      </c>
      <c r="J58" s="19" t="n">
        <v>1</v>
      </c>
      <c r="K58" s="19" t="n">
        <v>0</v>
      </c>
      <c r="L58" s="19" t="n">
        <v>0</v>
      </c>
      <c r="M58" s="19" t="n">
        <v>4</v>
      </c>
      <c r="N58" s="19" t="n">
        <v>4</v>
      </c>
      <c r="O58" s="19" t="n">
        <v>0</v>
      </c>
      <c r="P58" s="19" t="n">
        <v>0</v>
      </c>
      <c r="Q58" s="19" t="n">
        <v>6</v>
      </c>
      <c r="R58" s="19"/>
      <c r="S58" s="19" t="n">
        <v>0</v>
      </c>
      <c r="T58" s="19" t="n">
        <v>9</v>
      </c>
      <c r="U58" s="15" t="n">
        <f aca="false">AVERAGE(M58:T58)</f>
        <v>3.28571428571429</v>
      </c>
      <c r="V58" s="19" t="n">
        <v>3</v>
      </c>
      <c r="W58" s="19" t="n">
        <v>3</v>
      </c>
      <c r="X58" s="19" t="n">
        <v>4</v>
      </c>
      <c r="Y58" s="19" t="n">
        <v>5</v>
      </c>
      <c r="Z58" s="19" t="n">
        <v>3</v>
      </c>
      <c r="AA58" s="19" t="n">
        <v>2</v>
      </c>
      <c r="AB58" s="19" t="n">
        <v>2</v>
      </c>
      <c r="AC58" s="19" t="n">
        <v>2</v>
      </c>
      <c r="AD58" s="19" t="n">
        <v>3</v>
      </c>
      <c r="AE58" s="19" t="n">
        <v>3</v>
      </c>
      <c r="AF58" s="19" t="n">
        <v>4</v>
      </c>
      <c r="AG58" s="19" t="n">
        <v>4</v>
      </c>
      <c r="AH58" s="19" t="n">
        <v>3</v>
      </c>
      <c r="AI58" s="19" t="n">
        <v>3</v>
      </c>
      <c r="AJ58" s="19" t="n">
        <v>4</v>
      </c>
      <c r="AK58" s="19" t="n">
        <v>4</v>
      </c>
      <c r="AL58" s="19" t="n">
        <v>4</v>
      </c>
      <c r="AM58" s="19" t="n">
        <v>4</v>
      </c>
      <c r="AN58" s="19" t="n">
        <v>2</v>
      </c>
      <c r="AO58" s="19" t="n">
        <v>8</v>
      </c>
      <c r="AP58" s="0" t="n">
        <v>21.5</v>
      </c>
      <c r="AQ58" s="16" t="n">
        <v>78.4</v>
      </c>
      <c r="AR58" s="16" t="n">
        <v>80.4</v>
      </c>
      <c r="AS58" s="16" t="n">
        <v>9.6</v>
      </c>
      <c r="AT58" s="0" t="n">
        <v>84.68</v>
      </c>
      <c r="AU58" s="0" t="n">
        <v>14.18</v>
      </c>
      <c r="AV58" s="0" t="n">
        <v>1.12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9.51</v>
      </c>
      <c r="BG58" s="0" t="n">
        <v>25.42</v>
      </c>
      <c r="BH58" s="0" t="n">
        <v>0</v>
      </c>
      <c r="BI58" s="0" t="n">
        <v>0</v>
      </c>
      <c r="BJ58" s="0" t="n">
        <v>0</v>
      </c>
      <c r="BK58" s="0" t="n">
        <v>2</v>
      </c>
      <c r="BL58" s="0" t="n">
        <v>3.2</v>
      </c>
      <c r="BM58" s="0" t="n">
        <v>1</v>
      </c>
      <c r="BN58" s="0" t="n">
        <v>0</v>
      </c>
      <c r="BO58" s="16" t="n">
        <v>0.36</v>
      </c>
      <c r="BP58" s="16" t="n">
        <v>1</v>
      </c>
      <c r="BQ58" s="16" t="n">
        <v>8.32</v>
      </c>
      <c r="BR58" s="16" t="n">
        <v>8.31</v>
      </c>
      <c r="BS58" s="16" t="n">
        <v>0</v>
      </c>
      <c r="BT58" s="16" t="n">
        <v>0</v>
      </c>
      <c r="BU58" s="16" t="n">
        <v>0</v>
      </c>
      <c r="BV58" s="0" t="n">
        <v>0</v>
      </c>
    </row>
    <row r="59" customFormat="false" ht="13.8" hidden="false" customHeight="false" outlineLevel="0" collapsed="false">
      <c r="A59" s="0" t="n">
        <v>2</v>
      </c>
      <c r="B59" s="0" t="n">
        <v>21.7987679671458</v>
      </c>
      <c r="C59" s="0" t="n">
        <v>0.254620123203285</v>
      </c>
      <c r="D59" s="0" t="n">
        <v>4</v>
      </c>
      <c r="E59" s="0" t="n">
        <v>70</v>
      </c>
      <c r="F59" s="0" t="n">
        <v>1.7</v>
      </c>
      <c r="G59" s="0" t="n">
        <v>24.2214532871972</v>
      </c>
      <c r="H59" s="0" t="n">
        <v>0</v>
      </c>
      <c r="I59" s="0" t="n">
        <v>0</v>
      </c>
      <c r="J59" s="19" t="n">
        <v>0</v>
      </c>
      <c r="K59" s="19" t="n">
        <v>1</v>
      </c>
      <c r="L59" s="19" t="n">
        <v>0</v>
      </c>
      <c r="M59" s="19" t="n">
        <v>0</v>
      </c>
      <c r="N59" s="19" t="n">
        <v>0</v>
      </c>
      <c r="O59" s="19" t="n">
        <v>0</v>
      </c>
      <c r="P59" s="19" t="n">
        <v>0</v>
      </c>
      <c r="Q59" s="19" t="n">
        <v>0</v>
      </c>
      <c r="R59" s="19" t="n">
        <v>0</v>
      </c>
      <c r="S59" s="19" t="n">
        <v>0</v>
      </c>
      <c r="T59" s="19" t="n">
        <v>0</v>
      </c>
      <c r="U59" s="15" t="n">
        <f aca="false">AVERAGE(M59:T59)</f>
        <v>0</v>
      </c>
      <c r="V59" s="19" t="n">
        <v>2</v>
      </c>
      <c r="W59" s="19" t="n">
        <v>1</v>
      </c>
      <c r="X59" s="19" t="n">
        <v>4</v>
      </c>
      <c r="Y59" s="19" t="n">
        <v>5</v>
      </c>
      <c r="Z59" s="19" t="n">
        <v>2</v>
      </c>
      <c r="AA59" s="19" t="n">
        <v>3</v>
      </c>
      <c r="AB59" s="19" t="n">
        <v>3</v>
      </c>
      <c r="AC59" s="19" t="n">
        <v>3</v>
      </c>
      <c r="AD59" s="19" t="n">
        <v>3</v>
      </c>
      <c r="AE59" s="19" t="n">
        <v>4</v>
      </c>
      <c r="AF59" s="19" t="n">
        <v>4</v>
      </c>
      <c r="AG59" s="19" t="n">
        <v>5</v>
      </c>
      <c r="AH59" s="19" t="n">
        <v>3</v>
      </c>
      <c r="AI59" s="19" t="n">
        <v>3</v>
      </c>
      <c r="AJ59" s="19" t="n">
        <v>4</v>
      </c>
      <c r="AK59" s="19" t="n">
        <v>3</v>
      </c>
      <c r="AL59" s="19" t="n">
        <v>2</v>
      </c>
      <c r="AM59" s="19" t="n">
        <v>3</v>
      </c>
      <c r="AN59" s="19" t="n">
        <v>4</v>
      </c>
      <c r="AO59" s="19" t="n">
        <v>8</v>
      </c>
      <c r="AP59" s="0" t="n">
        <v>21.5</v>
      </c>
      <c r="AQ59" s="16" t="n">
        <v>78.4</v>
      </c>
      <c r="AR59" s="16" t="n">
        <v>80.4</v>
      </c>
      <c r="AS59" s="16" t="n">
        <v>9.6</v>
      </c>
      <c r="AT59" s="0" t="n">
        <v>84.68</v>
      </c>
      <c r="AU59" s="0" t="n">
        <v>14.18</v>
      </c>
      <c r="AV59" s="0" t="n">
        <v>1.12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9.51</v>
      </c>
      <c r="BG59" s="0" t="n">
        <v>25.42</v>
      </c>
      <c r="BH59" s="0" t="n">
        <v>0</v>
      </c>
      <c r="BI59" s="0" t="n">
        <v>0</v>
      </c>
      <c r="BJ59" s="0" t="n">
        <v>0</v>
      </c>
      <c r="BK59" s="0" t="n">
        <v>2</v>
      </c>
      <c r="BL59" s="0" t="n">
        <v>3.2</v>
      </c>
      <c r="BM59" s="0" t="n">
        <v>1</v>
      </c>
      <c r="BN59" s="0" t="n">
        <v>0</v>
      </c>
      <c r="BO59" s="16" t="n">
        <v>0.36</v>
      </c>
      <c r="BP59" s="16" t="n">
        <v>1</v>
      </c>
      <c r="BQ59" s="16" t="n">
        <v>8.32</v>
      </c>
      <c r="BR59" s="16" t="n">
        <v>8.31</v>
      </c>
      <c r="BS59" s="16" t="n">
        <v>0</v>
      </c>
      <c r="BT59" s="16" t="n">
        <v>0</v>
      </c>
      <c r="BU59" s="16" t="n">
        <v>0</v>
      </c>
      <c r="BV59" s="0" t="n">
        <v>0</v>
      </c>
    </row>
    <row r="60" customFormat="false" ht="13.8" hidden="false" customHeight="false" outlineLevel="0" collapsed="false">
      <c r="A60" s="0" t="n">
        <v>2</v>
      </c>
      <c r="B60" s="0" t="n">
        <v>45.6481861738535</v>
      </c>
      <c r="C60" s="0" t="n">
        <v>15.750855578371</v>
      </c>
      <c r="D60" s="0" t="n">
        <v>4</v>
      </c>
      <c r="E60" s="0" t="n">
        <v>77</v>
      </c>
      <c r="F60" s="0" t="n">
        <v>1.7</v>
      </c>
      <c r="G60" s="0" t="n">
        <v>26.6435986159169</v>
      </c>
      <c r="H60" s="0" t="n">
        <v>0</v>
      </c>
      <c r="I60" s="0" t="n">
        <v>0</v>
      </c>
      <c r="J60" s="19" t="n">
        <v>1</v>
      </c>
      <c r="K60" s="19" t="n">
        <v>2</v>
      </c>
      <c r="L60" s="19" t="n">
        <v>0</v>
      </c>
      <c r="M60" s="19" t="n">
        <v>0</v>
      </c>
      <c r="N60" s="19" t="n">
        <v>9</v>
      </c>
      <c r="O60" s="19" t="n">
        <v>0</v>
      </c>
      <c r="P60" s="19" t="n">
        <v>0</v>
      </c>
      <c r="Q60" s="19" t="n">
        <v>9</v>
      </c>
      <c r="R60" s="19" t="n">
        <v>5</v>
      </c>
      <c r="S60" s="19" t="n">
        <v>0</v>
      </c>
      <c r="T60" s="19" t="n">
        <v>0</v>
      </c>
      <c r="U60" s="15" t="n">
        <f aca="false">AVERAGE(M60:T60)</f>
        <v>2.875</v>
      </c>
      <c r="V60" s="19" t="n">
        <v>5</v>
      </c>
      <c r="W60" s="19" t="n">
        <v>3</v>
      </c>
      <c r="X60" s="19" t="n">
        <v>5</v>
      </c>
      <c r="Y60" s="19" t="n">
        <v>5</v>
      </c>
      <c r="Z60" s="19" t="n">
        <v>3</v>
      </c>
      <c r="AA60" s="19" t="n">
        <v>2</v>
      </c>
      <c r="AB60" s="19" t="n">
        <v>3</v>
      </c>
      <c r="AC60" s="19" t="n">
        <v>4</v>
      </c>
      <c r="AD60" s="19" t="n">
        <v>5</v>
      </c>
      <c r="AE60" s="19" t="n">
        <v>2</v>
      </c>
      <c r="AF60" s="19" t="n">
        <v>1</v>
      </c>
      <c r="AG60" s="19" t="n">
        <v>5</v>
      </c>
      <c r="AH60" s="19" t="n">
        <v>3</v>
      </c>
      <c r="AI60" s="19" t="n">
        <v>3</v>
      </c>
      <c r="AJ60" s="19" t="n">
        <v>4</v>
      </c>
      <c r="AK60" s="19" t="n">
        <v>4</v>
      </c>
      <c r="AL60" s="19" t="n">
        <v>4</v>
      </c>
      <c r="AM60" s="19" t="n">
        <v>3</v>
      </c>
      <c r="AN60" s="19" t="n">
        <v>3</v>
      </c>
      <c r="AO60" s="19" t="n">
        <v>7</v>
      </c>
      <c r="AP60" s="0" t="n">
        <v>21.5</v>
      </c>
      <c r="AQ60" s="16" t="n">
        <v>78.4</v>
      </c>
      <c r="AR60" s="16" t="n">
        <v>80.4</v>
      </c>
      <c r="AS60" s="16" t="n">
        <v>9.6</v>
      </c>
      <c r="AT60" s="0" t="n">
        <v>84.68</v>
      </c>
      <c r="AU60" s="0" t="n">
        <v>14.18</v>
      </c>
      <c r="AV60" s="0" t="n">
        <v>1.12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9.51</v>
      </c>
      <c r="BG60" s="0" t="n">
        <v>25.42</v>
      </c>
      <c r="BH60" s="0" t="n">
        <v>0</v>
      </c>
      <c r="BI60" s="0" t="n">
        <v>0</v>
      </c>
      <c r="BJ60" s="0" t="n">
        <v>0</v>
      </c>
      <c r="BK60" s="0" t="n">
        <v>2</v>
      </c>
      <c r="BL60" s="0" t="n">
        <v>3.2</v>
      </c>
      <c r="BM60" s="0" t="n">
        <v>1</v>
      </c>
      <c r="BN60" s="0" t="n">
        <v>0</v>
      </c>
      <c r="BO60" s="16" t="n">
        <v>0.36</v>
      </c>
      <c r="BP60" s="16" t="n">
        <v>1</v>
      </c>
      <c r="BQ60" s="16" t="n">
        <v>8.32</v>
      </c>
      <c r="BR60" s="16" t="n">
        <v>8.31</v>
      </c>
      <c r="BS60" s="16" t="n">
        <v>0</v>
      </c>
      <c r="BT60" s="16" t="n">
        <v>0</v>
      </c>
      <c r="BU60" s="16" t="n">
        <v>0</v>
      </c>
      <c r="BV60" s="0" t="n">
        <v>0</v>
      </c>
    </row>
    <row r="61" customFormat="false" ht="13.8" hidden="false" customHeight="false" outlineLevel="0" collapsed="false">
      <c r="A61" s="24" t="n">
        <v>2</v>
      </c>
      <c r="B61" s="0" t="n">
        <v>29.242984257358</v>
      </c>
      <c r="C61" s="0" t="n">
        <v>0.183436002737851</v>
      </c>
      <c r="D61" s="0" t="n">
        <v>8</v>
      </c>
      <c r="E61" s="0" t="n">
        <v>68</v>
      </c>
      <c r="F61" s="0" t="n">
        <v>1.72</v>
      </c>
      <c r="G61" s="0" t="n">
        <v>22.9853975121687</v>
      </c>
      <c r="H61" s="0" t="n">
        <v>0</v>
      </c>
      <c r="I61" s="0" t="n">
        <v>0</v>
      </c>
      <c r="J61" s="26" t="n">
        <v>0</v>
      </c>
      <c r="K61" s="26" t="n">
        <v>1</v>
      </c>
      <c r="L61" s="26" t="n">
        <v>0</v>
      </c>
      <c r="M61" s="26" t="n">
        <v>0</v>
      </c>
      <c r="N61" s="19" t="n">
        <v>0</v>
      </c>
      <c r="O61" s="26" t="n">
        <v>4</v>
      </c>
      <c r="P61" s="26" t="n">
        <v>0</v>
      </c>
      <c r="Q61" s="26" t="n">
        <v>0</v>
      </c>
      <c r="R61" s="26" t="n">
        <v>3</v>
      </c>
      <c r="S61" s="26" t="n">
        <v>0</v>
      </c>
      <c r="T61" s="26" t="n">
        <v>0</v>
      </c>
      <c r="U61" s="15" t="n">
        <f aca="false">AVERAGE(M61:T61)</f>
        <v>0.875</v>
      </c>
      <c r="V61" s="26" t="n">
        <v>3</v>
      </c>
      <c r="W61" s="26" t="n">
        <v>2</v>
      </c>
      <c r="X61" s="26" t="n">
        <v>3</v>
      </c>
      <c r="Y61" s="26" t="n">
        <v>5</v>
      </c>
      <c r="Z61" s="26" t="n">
        <v>3</v>
      </c>
      <c r="AA61" s="26" t="n">
        <v>1</v>
      </c>
      <c r="AB61" s="26" t="n">
        <v>4</v>
      </c>
      <c r="AC61" s="26" t="n">
        <v>5</v>
      </c>
      <c r="AD61" s="26" t="n">
        <v>5</v>
      </c>
      <c r="AE61" s="26" t="n">
        <v>5</v>
      </c>
      <c r="AF61" s="26" t="n">
        <v>3</v>
      </c>
      <c r="AG61" s="26" t="n">
        <v>4</v>
      </c>
      <c r="AH61" s="26" t="n">
        <v>2</v>
      </c>
      <c r="AI61" s="26" t="n">
        <v>5</v>
      </c>
      <c r="AJ61" s="26" t="n">
        <v>5</v>
      </c>
      <c r="AK61" s="26" t="n">
        <v>5</v>
      </c>
      <c r="AL61" s="26" t="n">
        <v>4</v>
      </c>
      <c r="AM61" s="26" t="n">
        <v>5</v>
      </c>
      <c r="AN61" s="26" t="n">
        <v>5</v>
      </c>
      <c r="AO61" s="26" t="n">
        <v>10</v>
      </c>
      <c r="AP61" s="24" t="n">
        <v>36.5</v>
      </c>
      <c r="AQ61" s="27" t="n">
        <v>88.3</v>
      </c>
      <c r="AR61" s="27" t="n">
        <v>80.4</v>
      </c>
      <c r="AS61" s="27" t="n">
        <v>28.2</v>
      </c>
      <c r="AT61" s="24" t="n">
        <v>73.82</v>
      </c>
      <c r="AU61" s="24" t="n">
        <v>0</v>
      </c>
      <c r="AV61" s="24" t="n">
        <v>25.61</v>
      </c>
      <c r="AW61" s="24" t="n">
        <v>0</v>
      </c>
      <c r="AX61" s="24" t="n">
        <v>0.57</v>
      </c>
      <c r="AY61" s="24" t="n">
        <v>0</v>
      </c>
      <c r="AZ61" s="24" t="n">
        <v>0</v>
      </c>
      <c r="BA61" s="24" t="n">
        <v>0</v>
      </c>
      <c r="BB61" s="24" t="n">
        <v>0</v>
      </c>
      <c r="BC61" s="24" t="n">
        <v>0</v>
      </c>
      <c r="BD61" s="24" t="n">
        <v>0</v>
      </c>
      <c r="BE61" s="24" t="n">
        <v>1.17</v>
      </c>
      <c r="BF61" s="24" t="n">
        <v>31.76</v>
      </c>
      <c r="BG61" s="24" t="n">
        <v>23.3</v>
      </c>
      <c r="BH61" s="24" t="n">
        <v>26.08</v>
      </c>
      <c r="BI61" s="24" t="n">
        <v>0</v>
      </c>
      <c r="BJ61" s="24" t="n">
        <v>0</v>
      </c>
      <c r="BK61" s="24" t="n">
        <v>0</v>
      </c>
      <c r="BL61" s="24" t="n">
        <v>2.1</v>
      </c>
      <c r="BM61" s="24" t="n">
        <v>1</v>
      </c>
      <c r="BN61" s="24" t="n">
        <v>0</v>
      </c>
      <c r="BO61" s="27" t="n">
        <v>1.9</v>
      </c>
      <c r="BP61" s="27" t="n">
        <v>1</v>
      </c>
      <c r="BQ61" s="27" t="n">
        <v>0.57</v>
      </c>
      <c r="BR61" s="27" t="n">
        <v>0.56</v>
      </c>
      <c r="BS61" s="27" t="n">
        <v>0</v>
      </c>
      <c r="BT61" s="27" t="n">
        <v>0</v>
      </c>
      <c r="BU61" s="27" t="n">
        <v>0</v>
      </c>
      <c r="BV61" s="24" t="n">
        <v>0</v>
      </c>
    </row>
    <row r="62" customFormat="false" ht="13.8" hidden="false" customHeight="false" outlineLevel="0" collapsed="false">
      <c r="A62" s="0" t="n">
        <v>2</v>
      </c>
      <c r="B62" s="0" t="n">
        <v>41.6591375770021</v>
      </c>
      <c r="C62" s="0" t="n">
        <v>0.276522929500342</v>
      </c>
      <c r="D62" s="0" t="n">
        <v>8</v>
      </c>
      <c r="E62" s="0" t="n">
        <v>90</v>
      </c>
      <c r="F62" s="0" t="n">
        <v>1.73</v>
      </c>
      <c r="G62" s="0" t="n">
        <v>30.0711684319556</v>
      </c>
      <c r="H62" s="0" t="n">
        <v>0</v>
      </c>
      <c r="I62" s="0" t="n">
        <v>0</v>
      </c>
      <c r="J62" s="19" t="n">
        <v>0</v>
      </c>
      <c r="K62" s="19" t="n">
        <v>2</v>
      </c>
      <c r="L62" s="19" t="n">
        <v>1</v>
      </c>
      <c r="M62" s="19" t="n">
        <v>0</v>
      </c>
      <c r="N62" s="19" t="n">
        <v>0</v>
      </c>
      <c r="O62" s="19" t="n">
        <v>0</v>
      </c>
      <c r="P62" s="19" t="n">
        <v>0</v>
      </c>
      <c r="Q62" s="19" t="n">
        <v>0</v>
      </c>
      <c r="R62" s="19" t="n">
        <v>0</v>
      </c>
      <c r="S62" s="19" t="n">
        <v>0</v>
      </c>
      <c r="T62" s="19" t="n">
        <v>0</v>
      </c>
      <c r="U62" s="15" t="n">
        <f aca="false">AVERAGE(M62:T62)</f>
        <v>0</v>
      </c>
      <c r="V62" s="19" t="n">
        <v>4</v>
      </c>
      <c r="W62" s="19" t="n">
        <v>1</v>
      </c>
      <c r="X62" s="19" t="n">
        <v>3</v>
      </c>
      <c r="Y62" s="19" t="n">
        <v>4</v>
      </c>
      <c r="Z62" s="19" t="n">
        <v>3</v>
      </c>
      <c r="AA62" s="19" t="n">
        <v>2</v>
      </c>
      <c r="AB62" s="19" t="n">
        <v>2</v>
      </c>
      <c r="AC62" s="19" t="n">
        <v>3</v>
      </c>
      <c r="AD62" s="19" t="n">
        <v>3</v>
      </c>
      <c r="AE62" s="19" t="n">
        <v>3</v>
      </c>
      <c r="AF62" s="19" t="n">
        <v>4</v>
      </c>
      <c r="AG62" s="19" t="n">
        <v>4</v>
      </c>
      <c r="AH62" s="19" t="n">
        <v>2</v>
      </c>
      <c r="AI62" s="19" t="n">
        <v>4</v>
      </c>
      <c r="AJ62" s="19" t="n">
        <v>2</v>
      </c>
      <c r="AK62" s="19" t="n">
        <v>5</v>
      </c>
      <c r="AL62" s="19" t="n">
        <v>3</v>
      </c>
      <c r="AM62" s="19" t="n">
        <v>4</v>
      </c>
      <c r="AN62" s="19" t="n">
        <v>4</v>
      </c>
      <c r="AO62" s="19" t="n">
        <v>8</v>
      </c>
      <c r="AP62" s="24" t="n">
        <v>36.5</v>
      </c>
      <c r="AQ62" s="27" t="n">
        <v>88.3</v>
      </c>
      <c r="AR62" s="27" t="n">
        <v>80.4</v>
      </c>
      <c r="AS62" s="27" t="n">
        <v>28.2</v>
      </c>
      <c r="AT62" s="24" t="n">
        <v>73.82</v>
      </c>
      <c r="AU62" s="24" t="n">
        <v>0</v>
      </c>
      <c r="AV62" s="24" t="n">
        <v>25.61</v>
      </c>
      <c r="AW62" s="24" t="n">
        <v>0</v>
      </c>
      <c r="AX62" s="24" t="n">
        <v>0.57</v>
      </c>
      <c r="AY62" s="24" t="n">
        <v>0</v>
      </c>
      <c r="AZ62" s="24" t="n">
        <v>0</v>
      </c>
      <c r="BA62" s="24" t="n">
        <v>0</v>
      </c>
      <c r="BB62" s="24" t="n">
        <v>0</v>
      </c>
      <c r="BC62" s="24" t="n">
        <v>0</v>
      </c>
      <c r="BD62" s="24" t="n">
        <v>0</v>
      </c>
      <c r="BE62" s="24" t="n">
        <v>1.17</v>
      </c>
      <c r="BF62" s="24" t="n">
        <v>31.76</v>
      </c>
      <c r="BG62" s="24" t="n">
        <v>23.3</v>
      </c>
      <c r="BH62" s="24" t="n">
        <v>26.08</v>
      </c>
      <c r="BI62" s="24" t="n">
        <v>0</v>
      </c>
      <c r="BJ62" s="24" t="n">
        <v>0</v>
      </c>
      <c r="BK62" s="24" t="n">
        <v>0</v>
      </c>
      <c r="BL62" s="24" t="n">
        <v>2.1</v>
      </c>
      <c r="BM62" s="24" t="n">
        <v>1</v>
      </c>
      <c r="BN62" s="24" t="n">
        <v>0</v>
      </c>
      <c r="BO62" s="27" t="n">
        <v>1.9</v>
      </c>
      <c r="BP62" s="27" t="n">
        <v>1</v>
      </c>
      <c r="BQ62" s="27" t="n">
        <v>0.57</v>
      </c>
      <c r="BR62" s="27" t="n">
        <v>0.56</v>
      </c>
      <c r="BS62" s="27" t="n">
        <v>0</v>
      </c>
      <c r="BT62" s="27" t="n">
        <v>0</v>
      </c>
      <c r="BU62" s="27" t="n">
        <v>0</v>
      </c>
      <c r="BV62" s="24" t="n">
        <v>0</v>
      </c>
    </row>
    <row r="63" customFormat="false" ht="13.8" hidden="false" customHeight="false" outlineLevel="0" collapsed="false">
      <c r="A63" s="0" t="n">
        <v>2</v>
      </c>
      <c r="B63" s="0" t="n">
        <v>26.7652292950034</v>
      </c>
      <c r="C63" s="0" t="n">
        <v>6.51334702258727</v>
      </c>
      <c r="D63" s="0" t="n">
        <v>8</v>
      </c>
      <c r="E63" s="0" t="n">
        <v>95</v>
      </c>
      <c r="F63" s="0" t="n">
        <v>1.82</v>
      </c>
      <c r="G63" s="0" t="n">
        <v>28.6801110976935</v>
      </c>
      <c r="H63" s="0" t="n">
        <v>0</v>
      </c>
      <c r="I63" s="0" t="n">
        <v>0</v>
      </c>
      <c r="J63" s="19" t="n">
        <v>0</v>
      </c>
      <c r="K63" s="19" t="n">
        <v>0</v>
      </c>
      <c r="L63" s="19" t="n">
        <v>1</v>
      </c>
      <c r="M63" s="19" t="n">
        <v>0</v>
      </c>
      <c r="N63" s="19" t="n">
        <v>0</v>
      </c>
      <c r="O63" s="19" t="n">
        <v>0</v>
      </c>
      <c r="P63" s="19" t="n">
        <v>0</v>
      </c>
      <c r="Q63" s="19" t="n">
        <v>9</v>
      </c>
      <c r="R63" s="19" t="n">
        <v>9</v>
      </c>
      <c r="S63" s="19" t="n">
        <v>0</v>
      </c>
      <c r="T63" s="19" t="n">
        <v>3</v>
      </c>
      <c r="U63" s="15" t="n">
        <f aca="false">AVERAGE(M63:T63)</f>
        <v>2.625</v>
      </c>
      <c r="V63" s="19" t="n">
        <v>3</v>
      </c>
      <c r="W63" s="19" t="n">
        <v>2</v>
      </c>
      <c r="X63" s="19" t="n">
        <v>4</v>
      </c>
      <c r="Y63" s="19" t="n">
        <v>4</v>
      </c>
      <c r="Z63" s="19" t="n">
        <v>3</v>
      </c>
      <c r="AA63" s="19" t="n">
        <v>3</v>
      </c>
      <c r="AB63" s="19" t="n">
        <v>2</v>
      </c>
      <c r="AC63" s="19" t="n">
        <v>3</v>
      </c>
      <c r="AD63" s="19" t="n">
        <v>3</v>
      </c>
      <c r="AE63" s="19" t="n">
        <v>3</v>
      </c>
      <c r="AF63" s="19" t="n">
        <v>3</v>
      </c>
      <c r="AG63" s="19" t="n">
        <v>5</v>
      </c>
      <c r="AH63" s="19" t="n">
        <v>3</v>
      </c>
      <c r="AI63" s="19" t="n">
        <v>5</v>
      </c>
      <c r="AJ63" s="19" t="n">
        <v>3</v>
      </c>
      <c r="AK63" s="19" t="n">
        <v>4</v>
      </c>
      <c r="AL63" s="19" t="n">
        <v>3</v>
      </c>
      <c r="AM63" s="19" t="n">
        <v>3</v>
      </c>
      <c r="AN63" s="19" t="n">
        <v>4</v>
      </c>
      <c r="AO63" s="19" t="n">
        <v>10</v>
      </c>
      <c r="AP63" s="0" t="n">
        <v>64</v>
      </c>
      <c r="AQ63" s="16" t="n">
        <v>74.3</v>
      </c>
      <c r="AR63" s="16" t="n">
        <v>81</v>
      </c>
      <c r="AS63" s="16" t="n">
        <v>58.5</v>
      </c>
      <c r="AT63" s="0" t="n">
        <v>49.17</v>
      </c>
      <c r="AU63" s="0" t="n">
        <v>0</v>
      </c>
      <c r="AV63" s="0" t="n">
        <v>34.45</v>
      </c>
      <c r="AW63" s="0" t="n">
        <v>16.22</v>
      </c>
      <c r="AX63" s="0" t="n">
        <v>0.16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2.52</v>
      </c>
      <c r="BH63" s="0" t="n">
        <v>9.18</v>
      </c>
      <c r="BI63" s="0" t="n">
        <v>0</v>
      </c>
      <c r="BJ63" s="0" t="n">
        <v>0</v>
      </c>
      <c r="BK63" s="0" t="n">
        <v>0</v>
      </c>
      <c r="BL63" s="0" t="n">
        <v>0.3</v>
      </c>
      <c r="BM63" s="0" t="n">
        <v>1</v>
      </c>
      <c r="BN63" s="0" t="n">
        <v>0</v>
      </c>
      <c r="BO63" s="16" t="n">
        <v>2.89</v>
      </c>
      <c r="BP63" s="16" t="n">
        <v>1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0" t="n">
        <v>0</v>
      </c>
    </row>
    <row r="64" customFormat="false" ht="13.8" hidden="false" customHeight="false" outlineLevel="0" collapsed="false">
      <c r="A64" s="0" t="n">
        <v>1</v>
      </c>
      <c r="B64" s="0" t="n">
        <v>33.6399726214921</v>
      </c>
      <c r="C64" s="0" t="n">
        <v>0.246406570841889</v>
      </c>
      <c r="D64" s="0" t="n">
        <v>4</v>
      </c>
      <c r="F64" s="0" t="n">
        <v>1.71</v>
      </c>
      <c r="G64" s="0" t="n">
        <v>0</v>
      </c>
      <c r="H64" s="0" t="n">
        <v>0</v>
      </c>
      <c r="I64" s="0" t="n">
        <v>0</v>
      </c>
      <c r="J64" s="19" t="n">
        <v>0</v>
      </c>
      <c r="K64" s="19" t="n">
        <v>0</v>
      </c>
      <c r="L64" s="19" t="n">
        <v>1</v>
      </c>
      <c r="M64" s="19" t="n">
        <v>7</v>
      </c>
      <c r="N64" s="19" t="n">
        <v>4</v>
      </c>
      <c r="O64" s="19" t="n">
        <v>2</v>
      </c>
      <c r="P64" s="19" t="n">
        <v>0</v>
      </c>
      <c r="Q64" s="19" t="n">
        <v>2</v>
      </c>
      <c r="R64" s="19" t="n">
        <v>2</v>
      </c>
      <c r="S64" s="19" t="n">
        <v>0</v>
      </c>
      <c r="T64" s="19"/>
      <c r="U64" s="15" t="n">
        <f aca="false">AVERAGE(M64:T64)</f>
        <v>2.42857142857143</v>
      </c>
      <c r="V64" s="19" t="n">
        <v>3</v>
      </c>
      <c r="W64" s="19" t="n">
        <v>2</v>
      </c>
      <c r="X64" s="19" t="n">
        <v>3</v>
      </c>
      <c r="Y64" s="19" t="n">
        <v>5</v>
      </c>
      <c r="Z64" s="19" t="n">
        <v>1</v>
      </c>
      <c r="AA64" s="19" t="n">
        <v>2</v>
      </c>
      <c r="AB64" s="19" t="n">
        <v>4</v>
      </c>
      <c r="AC64" s="19" t="n">
        <v>3</v>
      </c>
      <c r="AD64" s="19" t="n">
        <v>2</v>
      </c>
      <c r="AE64" s="19" t="n">
        <v>5</v>
      </c>
      <c r="AF64" s="19" t="n">
        <v>5</v>
      </c>
      <c r="AG64" s="19" t="n">
        <v>5</v>
      </c>
      <c r="AH64" s="19" t="n">
        <v>5</v>
      </c>
      <c r="AI64" s="19" t="n">
        <v>4</v>
      </c>
      <c r="AJ64" s="19" t="n">
        <v>5</v>
      </c>
      <c r="AK64" s="19" t="n">
        <v>5</v>
      </c>
      <c r="AL64" s="19" t="n">
        <v>4</v>
      </c>
      <c r="AM64" s="19" t="n">
        <v>5</v>
      </c>
      <c r="AN64" s="19" t="n">
        <v>5</v>
      </c>
      <c r="AO64" s="19" t="n">
        <v>10</v>
      </c>
      <c r="AP64" s="24" t="n">
        <v>36.5</v>
      </c>
      <c r="AQ64" s="27" t="n">
        <v>88.3</v>
      </c>
      <c r="AR64" s="27" t="n">
        <v>80.4</v>
      </c>
      <c r="AS64" s="27" t="n">
        <v>28.2</v>
      </c>
      <c r="AT64" s="24" t="n">
        <v>73.82</v>
      </c>
      <c r="AU64" s="24" t="n">
        <v>0</v>
      </c>
      <c r="AV64" s="24" t="n">
        <v>25.61</v>
      </c>
      <c r="AW64" s="24" t="n">
        <v>0</v>
      </c>
      <c r="AX64" s="24" t="n">
        <v>0.57</v>
      </c>
      <c r="AY64" s="24" t="n">
        <v>0</v>
      </c>
      <c r="AZ64" s="24" t="n">
        <v>0</v>
      </c>
      <c r="BA64" s="24" t="n">
        <v>0</v>
      </c>
      <c r="BB64" s="24" t="n">
        <v>0</v>
      </c>
      <c r="BC64" s="24" t="n">
        <v>0</v>
      </c>
      <c r="BD64" s="24" t="n">
        <v>0</v>
      </c>
      <c r="BE64" s="24" t="n">
        <v>1.17</v>
      </c>
      <c r="BF64" s="24" t="n">
        <v>31.76</v>
      </c>
      <c r="BG64" s="24" t="n">
        <v>23.3</v>
      </c>
      <c r="BH64" s="24" t="n">
        <v>26.08</v>
      </c>
      <c r="BI64" s="24" t="n">
        <v>0</v>
      </c>
      <c r="BJ64" s="24" t="n">
        <v>0</v>
      </c>
      <c r="BK64" s="24" t="n">
        <v>0</v>
      </c>
      <c r="BL64" s="24" t="n">
        <v>2.1</v>
      </c>
      <c r="BM64" s="24" t="n">
        <v>1</v>
      </c>
      <c r="BN64" s="24" t="n">
        <v>0</v>
      </c>
      <c r="BO64" s="27" t="n">
        <v>1.9</v>
      </c>
      <c r="BP64" s="27" t="n">
        <v>1</v>
      </c>
      <c r="BQ64" s="27" t="n">
        <v>0.57</v>
      </c>
      <c r="BR64" s="27" t="n">
        <v>0.56</v>
      </c>
      <c r="BS64" s="27" t="n">
        <v>0</v>
      </c>
      <c r="BT64" s="27" t="n">
        <v>0</v>
      </c>
      <c r="BU64" s="27" t="n">
        <v>0</v>
      </c>
      <c r="BV64" s="24" t="n">
        <v>0</v>
      </c>
    </row>
    <row r="65" customFormat="false" ht="13.8" hidden="false" customHeight="false" outlineLevel="0" collapsed="false">
      <c r="A65" s="0" t="n">
        <v>2</v>
      </c>
      <c r="B65" s="0" t="n">
        <v>25.160848733744</v>
      </c>
      <c r="C65" s="0" t="n">
        <v>0.287474332648871</v>
      </c>
      <c r="D65" s="0" t="n">
        <v>8</v>
      </c>
      <c r="E65" s="0" t="n">
        <v>79</v>
      </c>
      <c r="F65" s="0" t="n">
        <v>1.71</v>
      </c>
      <c r="G65" s="0" t="n">
        <v>27.0168598885127</v>
      </c>
      <c r="H65" s="0" t="n">
        <v>0</v>
      </c>
      <c r="I65" s="0" t="n">
        <v>0</v>
      </c>
      <c r="J65" s="19" t="n">
        <v>0</v>
      </c>
      <c r="K65" s="19" t="n">
        <v>1</v>
      </c>
      <c r="L65" s="19" t="n">
        <v>0</v>
      </c>
      <c r="M65" s="19" t="n">
        <v>0</v>
      </c>
      <c r="N65" s="19" t="n">
        <v>0</v>
      </c>
      <c r="O65" s="19" t="n">
        <v>0</v>
      </c>
      <c r="P65" s="19" t="n">
        <v>0</v>
      </c>
      <c r="Q65" s="19" t="n">
        <v>0</v>
      </c>
      <c r="R65" s="19" t="n">
        <v>0</v>
      </c>
      <c r="S65" s="19" t="n">
        <v>0</v>
      </c>
      <c r="T65" s="19" t="n">
        <v>0</v>
      </c>
      <c r="U65" s="15" t="n">
        <f aca="false">AVERAGE(M65:T65)</f>
        <v>0</v>
      </c>
      <c r="V65" s="19" t="n">
        <v>3</v>
      </c>
      <c r="W65" s="19" t="n">
        <v>2</v>
      </c>
      <c r="X65" s="19" t="n">
        <v>4</v>
      </c>
      <c r="Y65" s="19" t="n">
        <v>5</v>
      </c>
      <c r="Z65" s="19" t="n">
        <v>2</v>
      </c>
      <c r="AA65" s="19" t="n">
        <v>1</v>
      </c>
      <c r="AB65" s="19" t="n">
        <v>3</v>
      </c>
      <c r="AC65" s="19" t="n">
        <v>4</v>
      </c>
      <c r="AD65" s="19" t="n">
        <v>4</v>
      </c>
      <c r="AE65" s="19" t="n">
        <v>3</v>
      </c>
      <c r="AF65" s="19" t="n">
        <v>4</v>
      </c>
      <c r="AG65" s="19" t="n">
        <v>5</v>
      </c>
      <c r="AH65" s="19" t="n">
        <v>2</v>
      </c>
      <c r="AI65" s="19" t="n">
        <v>4</v>
      </c>
      <c r="AJ65" s="19" t="n">
        <v>2</v>
      </c>
      <c r="AK65" s="19" t="n">
        <v>4</v>
      </c>
      <c r="AL65" s="19"/>
      <c r="AM65" s="19" t="n">
        <v>3</v>
      </c>
      <c r="AN65" s="19" t="n">
        <v>2</v>
      </c>
      <c r="AO65" s="19" t="n">
        <v>8</v>
      </c>
      <c r="AP65" s="0" t="n">
        <v>19.5</v>
      </c>
      <c r="AQ65" s="16" t="n">
        <v>74.3</v>
      </c>
      <c r="AR65" s="16" t="n">
        <v>80.4</v>
      </c>
      <c r="AS65" s="16" t="n">
        <v>7.8</v>
      </c>
      <c r="AT65" s="0" t="n">
        <v>89.52</v>
      </c>
      <c r="AU65" s="0" t="n">
        <v>8.69</v>
      </c>
      <c r="AV65" s="0" t="n">
        <v>1.79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18.73</v>
      </c>
      <c r="BG65" s="0" t="n">
        <v>9.35</v>
      </c>
      <c r="BH65" s="0" t="n">
        <v>0</v>
      </c>
      <c r="BI65" s="0" t="n">
        <v>0</v>
      </c>
      <c r="BJ65" s="0" t="n">
        <v>0</v>
      </c>
      <c r="BK65" s="0"/>
      <c r="BL65" s="0" t="n">
        <v>3.92</v>
      </c>
      <c r="BM65" s="0" t="n">
        <v>1</v>
      </c>
      <c r="BN65" s="0" t="n">
        <v>1</v>
      </c>
      <c r="BO65" s="16" t="n">
        <v>2.24</v>
      </c>
      <c r="BP65" s="16" t="n">
        <v>1</v>
      </c>
      <c r="BQ65" s="16" t="n">
        <v>5.49</v>
      </c>
      <c r="BR65" s="16" t="n">
        <v>7.22</v>
      </c>
      <c r="BS65" s="16" t="n">
        <v>0</v>
      </c>
      <c r="BT65" s="16" t="n">
        <v>0</v>
      </c>
      <c r="BU65" s="16" t="n">
        <v>0</v>
      </c>
      <c r="BV65" s="0" t="n">
        <v>0</v>
      </c>
    </row>
    <row r="66" customFormat="false" ht="13.8" hidden="false" customHeight="false" outlineLevel="0" collapsed="false">
      <c r="A66" s="0" t="n">
        <v>2</v>
      </c>
      <c r="B66" s="0" t="n">
        <v>22.4421629021218</v>
      </c>
      <c r="C66" s="0" t="n">
        <v>0.246406570841889</v>
      </c>
      <c r="D66" s="0" t="n">
        <v>8</v>
      </c>
      <c r="E66" s="0" t="n">
        <v>63</v>
      </c>
      <c r="F66" s="0" t="n">
        <v>1.8</v>
      </c>
      <c r="G66" s="0" t="n">
        <v>19.4444444444444</v>
      </c>
      <c r="H66" s="0" t="n">
        <v>0</v>
      </c>
      <c r="I66" s="0" t="n">
        <v>0</v>
      </c>
      <c r="J66" s="19" t="n">
        <v>0</v>
      </c>
      <c r="K66" s="19" t="n">
        <v>2</v>
      </c>
      <c r="L66" s="19" t="n">
        <v>1</v>
      </c>
      <c r="M66" s="19" t="n">
        <v>0</v>
      </c>
      <c r="N66" s="19" t="n">
        <v>0</v>
      </c>
      <c r="O66" s="19" t="n">
        <v>0</v>
      </c>
      <c r="P66" s="19" t="n">
        <v>0</v>
      </c>
      <c r="Q66" s="19" t="n">
        <v>0</v>
      </c>
      <c r="R66" s="19" t="n">
        <v>0</v>
      </c>
      <c r="S66" s="19" t="n">
        <v>0</v>
      </c>
      <c r="T66" s="19" t="n">
        <v>0</v>
      </c>
      <c r="U66" s="15" t="n">
        <f aca="false">AVERAGE(M66:T66)</f>
        <v>0</v>
      </c>
      <c r="V66" s="19" t="n">
        <v>3</v>
      </c>
      <c r="W66" s="19" t="n">
        <v>3</v>
      </c>
      <c r="X66" s="19" t="n">
        <v>4</v>
      </c>
      <c r="Y66" s="19" t="n">
        <v>5</v>
      </c>
      <c r="Z66" s="19" t="n">
        <v>3</v>
      </c>
      <c r="AA66" s="19" t="n">
        <v>3</v>
      </c>
      <c r="AB66" s="19" t="n">
        <v>2</v>
      </c>
      <c r="AC66" s="19" t="n">
        <v>4</v>
      </c>
      <c r="AD66" s="19" t="n">
        <v>5</v>
      </c>
      <c r="AE66" s="19" t="n">
        <v>3</v>
      </c>
      <c r="AF66" s="19" t="n">
        <v>3</v>
      </c>
      <c r="AG66" s="19" t="n">
        <v>4</v>
      </c>
      <c r="AH66" s="19" t="n">
        <v>3</v>
      </c>
      <c r="AI66" s="19" t="n">
        <v>4</v>
      </c>
      <c r="AJ66" s="19" t="n">
        <v>4</v>
      </c>
      <c r="AK66" s="19" t="n">
        <v>5</v>
      </c>
      <c r="AL66" s="19"/>
      <c r="AM66" s="19"/>
      <c r="AN66" s="19"/>
      <c r="AO66" s="19" t="n">
        <v>6</v>
      </c>
      <c r="AP66" s="0" t="n">
        <v>19.5</v>
      </c>
      <c r="AQ66" s="16" t="n">
        <v>74.3</v>
      </c>
      <c r="AR66" s="16" t="n">
        <v>80.4</v>
      </c>
      <c r="AS66" s="16" t="n">
        <v>7.8</v>
      </c>
      <c r="AT66" s="0" t="n">
        <v>89.52</v>
      </c>
      <c r="AU66" s="0" t="n">
        <v>8.69</v>
      </c>
      <c r="AV66" s="0" t="n">
        <v>1.79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18.73</v>
      </c>
      <c r="BG66" s="0" t="n">
        <v>9.35</v>
      </c>
      <c r="BH66" s="0" t="n">
        <v>0</v>
      </c>
      <c r="BI66" s="0" t="n">
        <v>0</v>
      </c>
      <c r="BJ66" s="0" t="n">
        <v>0</v>
      </c>
      <c r="BK66" s="0"/>
      <c r="BL66" s="0" t="n">
        <v>3.92</v>
      </c>
      <c r="BM66" s="0" t="n">
        <v>1</v>
      </c>
      <c r="BN66" s="0" t="n">
        <v>1</v>
      </c>
      <c r="BO66" s="16" t="n">
        <v>2.24</v>
      </c>
      <c r="BP66" s="16" t="n">
        <v>1</v>
      </c>
      <c r="BQ66" s="16" t="n">
        <v>5.49</v>
      </c>
      <c r="BR66" s="16" t="n">
        <v>7.22</v>
      </c>
      <c r="BS66" s="16" t="n">
        <v>0</v>
      </c>
      <c r="BT66" s="16" t="n">
        <v>0</v>
      </c>
      <c r="BU66" s="16" t="n">
        <v>0</v>
      </c>
      <c r="BV66" s="0" t="n">
        <v>0</v>
      </c>
    </row>
    <row r="67" customFormat="false" ht="13.8" hidden="false" customHeight="false" outlineLevel="0" collapsed="false">
      <c r="A67" s="0" t="n">
        <v>2</v>
      </c>
      <c r="B67" s="0" t="n">
        <v>32.7556468172485</v>
      </c>
      <c r="C67" s="0" t="n">
        <v>0.240930869267625</v>
      </c>
      <c r="D67" s="0" t="n">
        <v>8</v>
      </c>
      <c r="E67" s="0" t="n">
        <v>65</v>
      </c>
      <c r="F67" s="0" t="n">
        <v>1.74</v>
      </c>
      <c r="G67" s="0" t="n">
        <v>21.4691504822301</v>
      </c>
      <c r="H67" s="0" t="n">
        <v>0</v>
      </c>
      <c r="I67" s="0" t="n">
        <v>0</v>
      </c>
      <c r="J67" s="19" t="n">
        <v>0</v>
      </c>
      <c r="K67" s="19" t="n">
        <v>1</v>
      </c>
      <c r="L67" s="19" t="n">
        <v>1</v>
      </c>
      <c r="M67" s="19" t="n">
        <v>0</v>
      </c>
      <c r="N67" s="19" t="n">
        <v>0</v>
      </c>
      <c r="O67" s="19" t="n">
        <v>0</v>
      </c>
      <c r="P67" s="19" t="n">
        <v>0</v>
      </c>
      <c r="Q67" s="19" t="n">
        <v>0</v>
      </c>
      <c r="R67" s="19" t="n">
        <v>0</v>
      </c>
      <c r="S67" s="19" t="n">
        <v>0</v>
      </c>
      <c r="T67" s="19" t="n">
        <v>0</v>
      </c>
      <c r="U67" s="15" t="n">
        <f aca="false">AVERAGE(M67:T67)</f>
        <v>0</v>
      </c>
      <c r="V67" s="19" t="n">
        <v>1</v>
      </c>
      <c r="W67" s="19" t="n">
        <v>1</v>
      </c>
      <c r="X67" s="19" t="n">
        <v>2</v>
      </c>
      <c r="Y67" s="19" t="n">
        <v>3</v>
      </c>
      <c r="Z67" s="19" t="n">
        <v>2</v>
      </c>
      <c r="AA67" s="19" t="n">
        <v>2</v>
      </c>
      <c r="AB67" s="19" t="n">
        <v>3</v>
      </c>
      <c r="AC67" s="19" t="n">
        <v>4</v>
      </c>
      <c r="AD67" s="19" t="n">
        <v>3</v>
      </c>
      <c r="AE67" s="19" t="n">
        <v>3</v>
      </c>
      <c r="AF67" s="19" t="n">
        <v>3</v>
      </c>
      <c r="AG67" s="19" t="n">
        <v>5</v>
      </c>
      <c r="AH67" s="19" t="n">
        <v>5</v>
      </c>
      <c r="AI67" s="19" t="n">
        <v>3</v>
      </c>
      <c r="AJ67" s="19" t="n">
        <v>3</v>
      </c>
      <c r="AK67" s="19" t="n">
        <v>5</v>
      </c>
      <c r="AL67" s="19" t="n">
        <v>4</v>
      </c>
      <c r="AM67" s="19" t="n">
        <v>4</v>
      </c>
      <c r="AN67" s="19" t="n">
        <v>4</v>
      </c>
      <c r="AO67" s="19" t="n">
        <v>10</v>
      </c>
      <c r="AP67" s="0" t="n">
        <v>19.5</v>
      </c>
      <c r="AQ67" s="16" t="n">
        <v>74.3</v>
      </c>
      <c r="AR67" s="16" t="n">
        <v>80.4</v>
      </c>
      <c r="AS67" s="16" t="n">
        <v>7.8</v>
      </c>
      <c r="AT67" s="0" t="n">
        <v>89.52</v>
      </c>
      <c r="AU67" s="0" t="n">
        <v>8.69</v>
      </c>
      <c r="AV67" s="0" t="n">
        <v>1.79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18.73</v>
      </c>
      <c r="BG67" s="0" t="n">
        <v>9.35</v>
      </c>
      <c r="BH67" s="0" t="n">
        <v>0</v>
      </c>
      <c r="BI67" s="0" t="n">
        <v>0</v>
      </c>
      <c r="BJ67" s="0" t="n">
        <v>0</v>
      </c>
      <c r="BK67" s="0"/>
      <c r="BL67" s="0" t="n">
        <v>3.92</v>
      </c>
      <c r="BM67" s="0" t="n">
        <v>1</v>
      </c>
      <c r="BN67" s="0" t="n">
        <v>1</v>
      </c>
      <c r="BO67" s="16" t="n">
        <v>2.24</v>
      </c>
      <c r="BP67" s="16" t="n">
        <v>1</v>
      </c>
      <c r="BQ67" s="16" t="n">
        <v>5.49</v>
      </c>
      <c r="BR67" s="16" t="n">
        <v>7.22</v>
      </c>
      <c r="BS67" s="16" t="n">
        <v>0</v>
      </c>
      <c r="BT67" s="16" t="n">
        <v>0</v>
      </c>
      <c r="BU67" s="16" t="n">
        <v>0</v>
      </c>
      <c r="BV67" s="0" t="n">
        <v>0</v>
      </c>
    </row>
    <row r="68" customFormat="false" ht="13.8" hidden="false" customHeight="false" outlineLevel="0" collapsed="false">
      <c r="A68" s="0" t="n">
        <v>2</v>
      </c>
      <c r="B68" s="0" t="n">
        <v>45.1033538672142</v>
      </c>
      <c r="C68" s="0" t="n">
        <v>21.6098562628337</v>
      </c>
      <c r="D68" s="0" t="n">
        <v>8</v>
      </c>
      <c r="E68" s="0" t="n">
        <v>70</v>
      </c>
      <c r="F68" s="0" t="n">
        <v>1.72</v>
      </c>
      <c r="G68" s="0" t="n">
        <v>23.6614386154678</v>
      </c>
      <c r="H68" s="0" t="n">
        <v>0</v>
      </c>
      <c r="I68" s="0" t="n">
        <v>0</v>
      </c>
      <c r="J68" s="19" t="n">
        <v>1</v>
      </c>
      <c r="K68" s="19" t="n">
        <v>0</v>
      </c>
      <c r="L68" s="19" t="n">
        <v>1</v>
      </c>
      <c r="M68" s="19" t="n">
        <v>7</v>
      </c>
      <c r="N68" s="19" t="n">
        <v>7</v>
      </c>
      <c r="O68" s="19" t="n">
        <v>5</v>
      </c>
      <c r="P68" s="19" t="n">
        <v>5</v>
      </c>
      <c r="Q68" s="19" t="n">
        <v>6</v>
      </c>
      <c r="R68" s="19" t="n">
        <v>7</v>
      </c>
      <c r="S68" s="19" t="n">
        <v>0</v>
      </c>
      <c r="T68" s="19" t="n">
        <v>6</v>
      </c>
      <c r="U68" s="15" t="n">
        <f aca="false">AVERAGE(M68:T68)</f>
        <v>5.375</v>
      </c>
      <c r="V68" s="19" t="n">
        <v>3</v>
      </c>
      <c r="W68" s="19" t="n">
        <v>1</v>
      </c>
      <c r="X68" s="19" t="n">
        <v>3</v>
      </c>
      <c r="Y68" s="19" t="n">
        <v>3</v>
      </c>
      <c r="Z68" s="19" t="n">
        <v>1</v>
      </c>
      <c r="AA68" s="19" t="n">
        <v>1</v>
      </c>
      <c r="AB68" s="19" t="n">
        <v>1</v>
      </c>
      <c r="AC68" s="19" t="n">
        <v>3</v>
      </c>
      <c r="AD68" s="19" t="n">
        <v>1</v>
      </c>
      <c r="AE68" s="19" t="n">
        <v>1</v>
      </c>
      <c r="AF68" s="19" t="n">
        <v>3</v>
      </c>
      <c r="AG68" s="19" t="n">
        <v>4</v>
      </c>
      <c r="AH68" s="19" t="n">
        <v>1</v>
      </c>
      <c r="AI68" s="19" t="n">
        <v>1</v>
      </c>
      <c r="AJ68" s="19" t="n">
        <v>3</v>
      </c>
      <c r="AK68" s="19" t="n">
        <v>3</v>
      </c>
      <c r="AL68" s="19" t="n">
        <v>1</v>
      </c>
      <c r="AM68" s="19" t="n">
        <v>3</v>
      </c>
      <c r="AN68" s="19" t="n">
        <v>2</v>
      </c>
      <c r="AO68" s="19" t="n">
        <v>3</v>
      </c>
      <c r="AP68" s="0" t="n">
        <v>17.5</v>
      </c>
      <c r="AQ68" s="16" t="n">
        <v>81.9</v>
      </c>
      <c r="AR68" s="16" t="n">
        <v>80.4</v>
      </c>
      <c r="AS68" s="16" t="n">
        <v>12.5</v>
      </c>
      <c r="AT68" s="0" t="n">
        <v>85.79</v>
      </c>
      <c r="AU68" s="17" t="n">
        <v>0</v>
      </c>
      <c r="AV68" s="0" t="n">
        <v>10.02</v>
      </c>
      <c r="AW68" s="0" t="n">
        <v>0</v>
      </c>
      <c r="AX68" s="0" t="n">
        <v>0</v>
      </c>
      <c r="AY68" s="0" t="n">
        <v>0</v>
      </c>
      <c r="AZ68" s="0" t="n">
        <v>4.19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53.51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16" t="n">
        <v>3.38</v>
      </c>
      <c r="BP68" s="16" t="n">
        <v>1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0" t="n">
        <v>0</v>
      </c>
    </row>
    <row r="69" customFormat="false" ht="13.8" hidden="false" customHeight="false" outlineLevel="0" collapsed="false">
      <c r="A69" s="0" t="n">
        <v>2</v>
      </c>
      <c r="B69" s="0" t="n">
        <v>37.8672142368241</v>
      </c>
      <c r="C69" s="0" t="n">
        <v>0.271047227926078</v>
      </c>
      <c r="D69" s="0" t="n">
        <v>8</v>
      </c>
      <c r="E69" s="0" t="n">
        <v>80</v>
      </c>
      <c r="F69" s="0" t="n">
        <v>1.7</v>
      </c>
      <c r="G69" s="0" t="n">
        <v>27.681660899654</v>
      </c>
      <c r="H69" s="0" t="n">
        <v>0</v>
      </c>
      <c r="I69" s="0" t="n">
        <v>0</v>
      </c>
      <c r="J69" s="19" t="n">
        <v>0</v>
      </c>
      <c r="K69" s="19" t="n">
        <v>0</v>
      </c>
      <c r="L69" s="19" t="n">
        <v>0</v>
      </c>
      <c r="M69" s="19" t="n">
        <v>0</v>
      </c>
      <c r="N69" s="19" t="n">
        <v>0</v>
      </c>
      <c r="O69" s="19" t="n">
        <v>0</v>
      </c>
      <c r="P69" s="19" t="n">
        <v>0</v>
      </c>
      <c r="Q69" s="19" t="n">
        <v>0</v>
      </c>
      <c r="R69" s="19" t="n">
        <v>0</v>
      </c>
      <c r="S69" s="19" t="n">
        <v>0</v>
      </c>
      <c r="T69" s="19" t="n">
        <v>0</v>
      </c>
      <c r="U69" s="15" t="n">
        <f aca="false">AVERAGE(M69:T69)</f>
        <v>0</v>
      </c>
      <c r="V69" s="19" t="n">
        <v>2</v>
      </c>
      <c r="W69" s="19" t="n">
        <v>2</v>
      </c>
      <c r="X69" s="19" t="n">
        <v>3</v>
      </c>
      <c r="Y69" s="19" t="n">
        <v>5</v>
      </c>
      <c r="Z69" s="19" t="n">
        <v>2</v>
      </c>
      <c r="AA69" s="19" t="n">
        <v>1</v>
      </c>
      <c r="AB69" s="19" t="n">
        <v>2</v>
      </c>
      <c r="AC69" s="19" t="n">
        <v>3</v>
      </c>
      <c r="AD69" s="19" t="n">
        <v>4</v>
      </c>
      <c r="AE69" s="19" t="n">
        <v>4</v>
      </c>
      <c r="AF69" s="19" t="n">
        <v>4</v>
      </c>
      <c r="AG69" s="19" t="n">
        <v>4</v>
      </c>
      <c r="AH69" s="19" t="n">
        <v>4</v>
      </c>
      <c r="AI69" s="19" t="n">
        <v>4</v>
      </c>
      <c r="AJ69" s="19" t="n">
        <v>4</v>
      </c>
      <c r="AK69" s="19" t="n">
        <v>5</v>
      </c>
      <c r="AL69" s="19" t="n">
        <v>4</v>
      </c>
      <c r="AM69" s="19" t="n">
        <v>4</v>
      </c>
      <c r="AN69" s="19" t="n">
        <v>4</v>
      </c>
      <c r="AO69" s="19" t="n">
        <v>7</v>
      </c>
      <c r="AP69" s="0" t="n">
        <v>17.5</v>
      </c>
      <c r="AQ69" s="16" t="n">
        <v>81.9</v>
      </c>
      <c r="AR69" s="16" t="n">
        <v>80.4</v>
      </c>
      <c r="AS69" s="16" t="n">
        <v>12.5</v>
      </c>
      <c r="AT69" s="0" t="n">
        <v>85.79</v>
      </c>
      <c r="AU69" s="0" t="n">
        <v>0</v>
      </c>
      <c r="AV69" s="0" t="n">
        <v>10.02</v>
      </c>
      <c r="AW69" s="0" t="n">
        <v>0</v>
      </c>
      <c r="AX69" s="0" t="n">
        <v>0</v>
      </c>
      <c r="AY69" s="0" t="n">
        <v>0</v>
      </c>
      <c r="AZ69" s="0" t="n">
        <v>4.19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53.51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16" t="n">
        <v>3.38</v>
      </c>
      <c r="BP69" s="16" t="n">
        <v>1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0" t="n">
        <v>0</v>
      </c>
    </row>
    <row r="70" customFormat="false" ht="13.8" hidden="false" customHeight="false" outlineLevel="0" collapsed="false">
      <c r="A70" s="0" t="n">
        <v>2</v>
      </c>
      <c r="B70" s="0" t="n">
        <v>40.6078028747433</v>
      </c>
      <c r="C70" s="0" t="n">
        <v>20.0520191649555</v>
      </c>
      <c r="D70" s="0" t="n">
        <v>8</v>
      </c>
      <c r="E70" s="0" t="n">
        <v>73</v>
      </c>
      <c r="F70" s="0" t="n">
        <v>1.72</v>
      </c>
      <c r="G70" s="0" t="n">
        <v>24.6755002704164</v>
      </c>
      <c r="H70" s="0" t="n">
        <v>0</v>
      </c>
      <c r="I70" s="0" t="n">
        <v>0</v>
      </c>
      <c r="J70" s="19" t="n">
        <v>0</v>
      </c>
      <c r="K70" s="19" t="n">
        <v>2</v>
      </c>
      <c r="L70" s="19" t="n">
        <v>0</v>
      </c>
      <c r="M70" s="19"/>
      <c r="N70" s="19" t="n">
        <v>6</v>
      </c>
      <c r="O70" s="19" t="n">
        <v>0</v>
      </c>
      <c r="P70" s="19" t="n">
        <v>0</v>
      </c>
      <c r="Q70" s="19" t="n">
        <v>7</v>
      </c>
      <c r="R70" s="19" t="n">
        <v>0</v>
      </c>
      <c r="S70" s="19" t="n">
        <v>0</v>
      </c>
      <c r="T70" s="19" t="n">
        <v>0</v>
      </c>
      <c r="U70" s="15" t="n">
        <f aca="false">AVERAGE(M70:T70)</f>
        <v>1.85714285714286</v>
      </c>
      <c r="V70" s="19" t="n">
        <v>3</v>
      </c>
      <c r="W70" s="19" t="n">
        <v>3</v>
      </c>
      <c r="X70" s="19" t="n">
        <v>5</v>
      </c>
      <c r="Y70" s="19" t="n">
        <v>5</v>
      </c>
      <c r="Z70" s="19" t="n">
        <v>3</v>
      </c>
      <c r="AA70" s="19" t="n">
        <v>4</v>
      </c>
      <c r="AB70" s="19" t="n">
        <v>3</v>
      </c>
      <c r="AC70" s="19" t="n">
        <v>3</v>
      </c>
      <c r="AD70" s="19" t="n">
        <v>1</v>
      </c>
      <c r="AE70" s="19" t="n">
        <v>2</v>
      </c>
      <c r="AF70" s="19" t="n">
        <v>3</v>
      </c>
      <c r="AG70" s="19" t="n">
        <v>4</v>
      </c>
      <c r="AH70" s="19" t="n">
        <v>1</v>
      </c>
      <c r="AI70" s="19" t="n">
        <v>2</v>
      </c>
      <c r="AJ70" s="19" t="n">
        <v>4</v>
      </c>
      <c r="AK70" s="19" t="n">
        <v>3</v>
      </c>
      <c r="AL70" s="19" t="n">
        <v>2</v>
      </c>
      <c r="AM70" s="19" t="n">
        <v>3</v>
      </c>
      <c r="AN70" s="19" t="n">
        <v>1</v>
      </c>
      <c r="AO70" s="19" t="n">
        <v>10</v>
      </c>
      <c r="AP70" s="0" t="n">
        <v>17.5</v>
      </c>
      <c r="AQ70" s="16" t="n">
        <v>81.9</v>
      </c>
      <c r="AR70" s="16" t="n">
        <v>80.4</v>
      </c>
      <c r="AS70" s="16" t="n">
        <v>12.5</v>
      </c>
      <c r="AT70" s="0" t="n">
        <v>85.79</v>
      </c>
      <c r="AU70" s="0" t="n">
        <v>0</v>
      </c>
      <c r="AV70" s="0" t="n">
        <v>10.02</v>
      </c>
      <c r="AW70" s="0" t="n">
        <v>0</v>
      </c>
      <c r="AX70" s="0" t="n">
        <v>0</v>
      </c>
      <c r="AY70" s="0" t="n">
        <v>0</v>
      </c>
      <c r="AZ70" s="0" t="n">
        <v>4.19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53.51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16" t="n">
        <v>3.38</v>
      </c>
      <c r="BP70" s="16" t="n">
        <v>1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0" t="n">
        <v>0</v>
      </c>
    </row>
    <row r="71" customFormat="false" ht="13.8" hidden="false" customHeight="false" outlineLevel="0" collapsed="false">
      <c r="A71" s="0" t="n">
        <v>2</v>
      </c>
      <c r="B71" s="0" t="n">
        <v>34.7898699520876</v>
      </c>
      <c r="C71" s="0" t="n">
        <v>14.6283367556468</v>
      </c>
      <c r="D71" s="0" t="n">
        <v>8</v>
      </c>
      <c r="E71" s="0" t="n">
        <v>70</v>
      </c>
      <c r="F71" s="0" t="n">
        <v>1.8</v>
      </c>
      <c r="G71" s="0" t="n">
        <v>21.6049382716049</v>
      </c>
      <c r="H71" s="0" t="n">
        <v>0</v>
      </c>
      <c r="I71" s="0" t="n">
        <v>0</v>
      </c>
      <c r="J71" s="19" t="n">
        <v>0</v>
      </c>
      <c r="K71" s="19" t="n">
        <v>2</v>
      </c>
      <c r="L71" s="19" t="n">
        <v>0</v>
      </c>
      <c r="M71" s="19" t="n">
        <v>0</v>
      </c>
      <c r="N71" s="19" t="n">
        <v>0</v>
      </c>
      <c r="O71" s="19" t="n">
        <v>0</v>
      </c>
      <c r="P71" s="19" t="n">
        <v>0</v>
      </c>
      <c r="Q71" s="19" t="n">
        <v>4</v>
      </c>
      <c r="R71" s="19" t="n">
        <v>3</v>
      </c>
      <c r="S71" s="19" t="n">
        <v>0</v>
      </c>
      <c r="T71" s="19" t="n">
        <v>0</v>
      </c>
      <c r="U71" s="15" t="n">
        <f aca="false">AVERAGE(M71:T71)</f>
        <v>0.875</v>
      </c>
      <c r="V71" s="19" t="n">
        <v>2</v>
      </c>
      <c r="W71" s="19" t="n">
        <v>2</v>
      </c>
      <c r="X71" s="19" t="n">
        <v>4</v>
      </c>
      <c r="Y71" s="19" t="n">
        <v>4</v>
      </c>
      <c r="Z71" s="19" t="n">
        <v>3</v>
      </c>
      <c r="AA71" s="19" t="n">
        <v>2</v>
      </c>
      <c r="AB71" s="19" t="n">
        <v>3</v>
      </c>
      <c r="AC71" s="19" t="n">
        <v>3</v>
      </c>
      <c r="AD71" s="19" t="n">
        <v>2</v>
      </c>
      <c r="AE71" s="19" t="n">
        <v>2</v>
      </c>
      <c r="AF71" s="19" t="n">
        <v>3</v>
      </c>
      <c r="AG71" s="19" t="n">
        <v>5</v>
      </c>
      <c r="AH71" s="19" t="n">
        <v>2</v>
      </c>
      <c r="AI71" s="19" t="n">
        <v>3</v>
      </c>
      <c r="AJ71" s="19" t="n">
        <v>3</v>
      </c>
      <c r="AK71" s="19" t="n">
        <v>4</v>
      </c>
      <c r="AL71" s="19" t="n">
        <v>3</v>
      </c>
      <c r="AM71" s="19" t="n">
        <v>3</v>
      </c>
      <c r="AN71" s="19" t="n">
        <v>3</v>
      </c>
      <c r="AO71" s="19" t="n">
        <v>8</v>
      </c>
      <c r="AP71" s="0" t="n">
        <v>17.5</v>
      </c>
      <c r="AQ71" s="16" t="n">
        <v>81.9</v>
      </c>
      <c r="AR71" s="16" t="n">
        <v>80.4</v>
      </c>
      <c r="AS71" s="16" t="n">
        <v>12.5</v>
      </c>
      <c r="AT71" s="0" t="n">
        <v>85.79</v>
      </c>
      <c r="AU71" s="0" t="n">
        <v>0</v>
      </c>
      <c r="AV71" s="0" t="n">
        <v>10.02</v>
      </c>
      <c r="AW71" s="0" t="n">
        <v>0</v>
      </c>
      <c r="AX71" s="0" t="n">
        <v>0</v>
      </c>
      <c r="AY71" s="0" t="n">
        <v>0</v>
      </c>
      <c r="AZ71" s="0" t="n">
        <v>4.19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53.51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16" t="n">
        <v>3.38</v>
      </c>
      <c r="BP71" s="16" t="n">
        <v>1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0" t="n">
        <v>0</v>
      </c>
    </row>
    <row r="72" customFormat="false" ht="13.8" hidden="false" customHeight="false" outlineLevel="0" collapsed="false">
      <c r="A72" s="0" t="n">
        <v>1</v>
      </c>
      <c r="B72" s="0" t="n">
        <v>40.2190280629706</v>
      </c>
      <c r="C72" s="0" t="n">
        <v>0.317590691307324</v>
      </c>
      <c r="D72" s="0" t="n">
        <v>8</v>
      </c>
      <c r="E72" s="0" t="n">
        <v>43</v>
      </c>
      <c r="F72" s="0" t="n">
        <v>1.56</v>
      </c>
      <c r="G72" s="0" t="n">
        <v>17.6692965154504</v>
      </c>
      <c r="H72" s="0" t="n">
        <v>0</v>
      </c>
      <c r="I72" s="0" t="n">
        <v>0</v>
      </c>
      <c r="J72" s="19" t="n">
        <v>0</v>
      </c>
      <c r="K72" s="19" t="n">
        <v>0</v>
      </c>
      <c r="L72" s="19" t="n">
        <v>1</v>
      </c>
      <c r="M72" s="19" t="n">
        <v>0</v>
      </c>
      <c r="N72" s="19" t="n">
        <v>0</v>
      </c>
      <c r="O72" s="19" t="n">
        <v>0</v>
      </c>
      <c r="P72" s="19" t="n">
        <v>0</v>
      </c>
      <c r="Q72" s="19" t="n">
        <v>0</v>
      </c>
      <c r="R72" s="19" t="n">
        <v>0</v>
      </c>
      <c r="S72" s="19" t="n">
        <v>0</v>
      </c>
      <c r="T72" s="19" t="n">
        <v>0</v>
      </c>
      <c r="U72" s="15" t="n">
        <f aca="false">AVERAGE(M72:T72)</f>
        <v>0</v>
      </c>
      <c r="V72" s="19" t="n">
        <v>1</v>
      </c>
      <c r="W72" s="19" t="n">
        <v>2</v>
      </c>
      <c r="X72" s="19" t="n">
        <v>4</v>
      </c>
      <c r="Y72" s="19" t="n">
        <v>5</v>
      </c>
      <c r="Z72" s="19" t="n">
        <v>2</v>
      </c>
      <c r="AA72" s="19" t="n">
        <v>2</v>
      </c>
      <c r="AB72" s="19" t="n">
        <v>2</v>
      </c>
      <c r="AC72" s="19" t="n">
        <v>3</v>
      </c>
      <c r="AD72" s="19" t="n">
        <v>4</v>
      </c>
      <c r="AE72" s="19" t="n">
        <v>4</v>
      </c>
      <c r="AF72" s="19" t="n">
        <v>4</v>
      </c>
      <c r="AG72" s="19" t="n">
        <v>4</v>
      </c>
      <c r="AH72" s="19" t="n">
        <v>4</v>
      </c>
      <c r="AI72" s="19" t="n">
        <v>4</v>
      </c>
      <c r="AJ72" s="19" t="n">
        <v>5</v>
      </c>
      <c r="AK72" s="19" t="n">
        <v>5</v>
      </c>
      <c r="AL72" s="19" t="n">
        <v>5</v>
      </c>
      <c r="AM72" s="19" t="n">
        <v>5</v>
      </c>
      <c r="AN72" s="19" t="n">
        <v>5</v>
      </c>
      <c r="AO72" s="19"/>
      <c r="AP72" s="0" t="n">
        <v>17.5</v>
      </c>
      <c r="AQ72" s="16" t="n">
        <v>81.9</v>
      </c>
      <c r="AR72" s="16" t="n">
        <v>80.4</v>
      </c>
      <c r="AS72" s="16" t="n">
        <v>12.5</v>
      </c>
      <c r="AT72" s="0" t="n">
        <v>85.79</v>
      </c>
      <c r="AU72" s="0" t="n">
        <v>0</v>
      </c>
      <c r="AV72" s="0" t="n">
        <v>10.02</v>
      </c>
      <c r="AW72" s="0" t="n">
        <v>0</v>
      </c>
      <c r="AX72" s="0" t="n">
        <v>0</v>
      </c>
      <c r="AY72" s="0" t="n">
        <v>0</v>
      </c>
      <c r="AZ72" s="0" t="n">
        <v>4.19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53.51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16" t="n">
        <v>3.38</v>
      </c>
      <c r="BP72" s="16" t="n">
        <v>1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0" t="n">
        <v>0</v>
      </c>
    </row>
    <row r="73" customFormat="false" ht="13.8" hidden="false" customHeight="false" outlineLevel="0" collapsed="false">
      <c r="A73" s="0" t="n">
        <v>2</v>
      </c>
      <c r="B73" s="0" t="n">
        <v>35.1676933607118</v>
      </c>
      <c r="C73" s="0" t="n">
        <v>15.772758384668</v>
      </c>
      <c r="D73" s="0" t="n">
        <v>8</v>
      </c>
      <c r="E73" s="0" t="n">
        <v>70</v>
      </c>
      <c r="F73" s="0" t="n">
        <v>1.68</v>
      </c>
      <c r="G73" s="0" t="n">
        <v>24.8015873015873</v>
      </c>
      <c r="H73" s="0" t="n">
        <v>0</v>
      </c>
      <c r="I73" s="0" t="n">
        <v>0</v>
      </c>
      <c r="J73" s="19" t="n">
        <v>1</v>
      </c>
      <c r="K73" s="19" t="n">
        <v>0</v>
      </c>
      <c r="L73" s="19" t="n">
        <v>1</v>
      </c>
      <c r="M73" s="19" t="n">
        <v>0</v>
      </c>
      <c r="N73" s="19" t="n">
        <v>0</v>
      </c>
      <c r="O73" s="19" t="n">
        <v>0</v>
      </c>
      <c r="P73" s="19" t="n">
        <v>0</v>
      </c>
      <c r="Q73" s="19" t="n">
        <v>10</v>
      </c>
      <c r="R73" s="19" t="n">
        <v>0</v>
      </c>
      <c r="S73" s="19" t="n">
        <v>0</v>
      </c>
      <c r="T73" s="19" t="n">
        <v>0</v>
      </c>
      <c r="U73" s="15" t="n">
        <f aca="false">AVERAGE(M73:T73)</f>
        <v>1.25</v>
      </c>
      <c r="V73" s="19" t="n">
        <v>4</v>
      </c>
      <c r="W73" s="19" t="n">
        <v>3</v>
      </c>
      <c r="X73" s="19" t="n">
        <v>5</v>
      </c>
      <c r="Y73" s="19" t="n">
        <v>5</v>
      </c>
      <c r="Z73" s="19" t="n">
        <v>5</v>
      </c>
      <c r="AA73" s="19" t="n">
        <v>5</v>
      </c>
      <c r="AB73" s="19" t="n">
        <v>5</v>
      </c>
      <c r="AC73" s="19" t="n">
        <v>3</v>
      </c>
      <c r="AD73" s="19" t="n">
        <v>1</v>
      </c>
      <c r="AE73" s="19" t="n">
        <v>3</v>
      </c>
      <c r="AF73" s="19" t="n">
        <v>2</v>
      </c>
      <c r="AG73" s="19" t="n">
        <v>4</v>
      </c>
      <c r="AH73" s="19" t="n">
        <v>1</v>
      </c>
      <c r="AI73" s="19" t="n">
        <v>3</v>
      </c>
      <c r="AJ73" s="19" t="n">
        <v>3</v>
      </c>
      <c r="AK73" s="19" t="n">
        <v>5</v>
      </c>
      <c r="AL73" s="19" t="n">
        <v>3</v>
      </c>
      <c r="AM73" s="19" t="n">
        <v>3</v>
      </c>
      <c r="AN73" s="19" t="n">
        <v>1</v>
      </c>
      <c r="AO73" s="19" t="n">
        <v>5</v>
      </c>
      <c r="AP73" s="0" t="n">
        <v>30</v>
      </c>
      <c r="AQ73" s="16" t="n">
        <v>85.5</v>
      </c>
      <c r="AR73" s="16" t="n">
        <v>81</v>
      </c>
      <c r="AS73" s="16" t="n">
        <v>15.2</v>
      </c>
      <c r="AT73" s="0" t="n">
        <v>87.44</v>
      </c>
      <c r="AU73" s="0" t="n">
        <v>0</v>
      </c>
      <c r="AV73" s="0" t="n">
        <v>0.94</v>
      </c>
      <c r="AW73" s="0" t="n">
        <v>1.97</v>
      </c>
      <c r="AX73" s="0" t="n">
        <v>9.65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2.71</v>
      </c>
      <c r="BF73" s="0" t="n">
        <v>0.6</v>
      </c>
      <c r="BG73" s="0" t="n">
        <v>2.17</v>
      </c>
      <c r="BH73" s="0" t="n">
        <v>5.97</v>
      </c>
      <c r="BI73" s="0" t="n">
        <v>2.65</v>
      </c>
      <c r="BJ73" s="0" t="n">
        <v>0</v>
      </c>
      <c r="BK73" s="0" t="n">
        <v>0</v>
      </c>
      <c r="BL73" s="0" t="n">
        <v>10.6</v>
      </c>
      <c r="BM73" s="0" t="n">
        <v>1</v>
      </c>
      <c r="BN73" s="0" t="n">
        <v>0</v>
      </c>
      <c r="BO73" s="16" t="n">
        <v>0</v>
      </c>
      <c r="BP73" s="16" t="n">
        <v>0</v>
      </c>
      <c r="BQ73" s="16" t="n">
        <v>4.17</v>
      </c>
      <c r="BR73" s="16" t="n">
        <v>2.54</v>
      </c>
      <c r="BS73" s="16" t="n">
        <v>0</v>
      </c>
      <c r="BT73" s="16" t="n">
        <v>0</v>
      </c>
      <c r="BU73" s="16" t="n">
        <v>0</v>
      </c>
      <c r="BV73" s="0" t="n">
        <v>0</v>
      </c>
    </row>
    <row r="74" customFormat="false" ht="13.8" hidden="false" customHeight="false" outlineLevel="0" collapsed="false">
      <c r="A74" s="0" t="n">
        <v>2</v>
      </c>
      <c r="B74" s="0" t="n">
        <v>25.7166324435318</v>
      </c>
      <c r="C74" s="0" t="n">
        <v>0.342231348391513</v>
      </c>
      <c r="D74" s="0" t="n">
        <v>8</v>
      </c>
      <c r="H74" s="0" t="n">
        <v>0</v>
      </c>
      <c r="I74" s="0" t="n">
        <v>0</v>
      </c>
      <c r="J74" s="19" t="n">
        <v>0</v>
      </c>
      <c r="K74" s="19" t="n">
        <v>1</v>
      </c>
      <c r="L74" s="19" t="n">
        <v>1</v>
      </c>
      <c r="M74" s="19" t="n">
        <v>0</v>
      </c>
      <c r="N74" s="19" t="n">
        <v>0</v>
      </c>
      <c r="O74" s="19" t="n">
        <v>0</v>
      </c>
      <c r="P74" s="19" t="n">
        <v>0</v>
      </c>
      <c r="Q74" s="19" t="n">
        <v>0</v>
      </c>
      <c r="R74" s="19" t="n">
        <v>0</v>
      </c>
      <c r="S74" s="19" t="n">
        <v>0</v>
      </c>
      <c r="T74" s="19" t="n">
        <v>0</v>
      </c>
      <c r="U74" s="15" t="n">
        <f aca="false">AVERAGE(M74:T74)</f>
        <v>0</v>
      </c>
      <c r="V74" s="19" t="n">
        <v>1</v>
      </c>
      <c r="W74" s="19" t="n">
        <v>1</v>
      </c>
      <c r="X74" s="19" t="n">
        <v>4</v>
      </c>
      <c r="Y74" s="19" t="n">
        <v>5</v>
      </c>
      <c r="Z74" s="19" t="n">
        <v>1</v>
      </c>
      <c r="AA74" s="19" t="n">
        <v>1</v>
      </c>
      <c r="AB74" s="19" t="n">
        <v>5</v>
      </c>
      <c r="AC74" s="19" t="n">
        <v>5</v>
      </c>
      <c r="AD74" s="19" t="n">
        <v>4</v>
      </c>
      <c r="AE74" s="19" t="n">
        <v>5</v>
      </c>
      <c r="AF74" s="19" t="n">
        <v>5</v>
      </c>
      <c r="AG74" s="19" t="n">
        <v>5</v>
      </c>
      <c r="AH74" s="19" t="n">
        <v>5</v>
      </c>
      <c r="AI74" s="19" t="n">
        <v>5</v>
      </c>
      <c r="AJ74" s="19" t="n">
        <v>2</v>
      </c>
      <c r="AK74" s="19" t="n">
        <v>5</v>
      </c>
      <c r="AL74" s="19" t="n">
        <v>5</v>
      </c>
      <c r="AM74" s="19" t="n">
        <v>5</v>
      </c>
      <c r="AN74" s="19" t="n">
        <v>5</v>
      </c>
      <c r="AO74" s="19" t="n">
        <v>10</v>
      </c>
      <c r="AP74" s="0" t="n">
        <v>30</v>
      </c>
      <c r="AQ74" s="16" t="n">
        <v>85.5</v>
      </c>
      <c r="AR74" s="16" t="n">
        <v>81</v>
      </c>
      <c r="AS74" s="16" t="n">
        <v>15.2</v>
      </c>
      <c r="AT74" s="0" t="n">
        <v>87.44</v>
      </c>
      <c r="AU74" s="0" t="n">
        <v>0</v>
      </c>
      <c r="AV74" s="0" t="n">
        <v>0.94</v>
      </c>
      <c r="AW74" s="0" t="n">
        <v>1.97</v>
      </c>
      <c r="AX74" s="0" t="n">
        <v>9.65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2.71</v>
      </c>
      <c r="BF74" s="0" t="n">
        <v>0.6</v>
      </c>
      <c r="BG74" s="0" t="n">
        <v>2.17</v>
      </c>
      <c r="BH74" s="0" t="n">
        <v>5.97</v>
      </c>
      <c r="BI74" s="0" t="n">
        <v>2.65</v>
      </c>
      <c r="BJ74" s="0" t="n">
        <v>0</v>
      </c>
      <c r="BK74" s="0" t="n">
        <v>0</v>
      </c>
      <c r="BL74" s="0" t="n">
        <v>10.6</v>
      </c>
      <c r="BM74" s="0" t="n">
        <v>1</v>
      </c>
      <c r="BN74" s="0" t="n">
        <v>0</v>
      </c>
      <c r="BO74" s="16" t="n">
        <v>0</v>
      </c>
      <c r="BP74" s="16" t="n">
        <v>0</v>
      </c>
      <c r="BQ74" s="16" t="n">
        <v>4.17</v>
      </c>
      <c r="BR74" s="16" t="n">
        <v>2.54</v>
      </c>
      <c r="BS74" s="16" t="n">
        <v>0</v>
      </c>
      <c r="BT74" s="16" t="n">
        <v>0</v>
      </c>
      <c r="BU74" s="16" t="n">
        <v>0</v>
      </c>
      <c r="BV74" s="0" t="n">
        <v>0</v>
      </c>
    </row>
    <row r="75" customFormat="false" ht="13.8" hidden="false" customHeight="false" outlineLevel="0" collapsed="false">
      <c r="A75" s="0" t="n">
        <v>2</v>
      </c>
      <c r="B75" s="0" t="n">
        <v>44.0547570157426</v>
      </c>
      <c r="C75" s="0" t="n">
        <v>19.605749486653</v>
      </c>
      <c r="D75" s="0" t="n">
        <v>8</v>
      </c>
      <c r="E75" s="0" t="n">
        <v>80</v>
      </c>
      <c r="F75" s="0" t="n">
        <v>1.7</v>
      </c>
      <c r="G75" s="0" t="n">
        <v>27.681660899654</v>
      </c>
      <c r="H75" s="0" t="n">
        <v>1</v>
      </c>
      <c r="I75" s="0" t="n">
        <v>1</v>
      </c>
      <c r="J75" s="19" t="n">
        <v>1</v>
      </c>
      <c r="K75" s="19" t="n">
        <v>0</v>
      </c>
      <c r="L75" s="19" t="n">
        <v>0</v>
      </c>
      <c r="M75" s="19" t="n">
        <v>8</v>
      </c>
      <c r="N75" s="19" t="n">
        <v>0</v>
      </c>
      <c r="O75" s="19" t="n">
        <v>0</v>
      </c>
      <c r="P75" s="19" t="n">
        <v>0</v>
      </c>
      <c r="Q75" s="19" t="n">
        <v>0</v>
      </c>
      <c r="R75" s="19" t="n">
        <v>0</v>
      </c>
      <c r="S75" s="19" t="n">
        <v>0</v>
      </c>
      <c r="T75" s="19" t="n">
        <v>9</v>
      </c>
      <c r="U75" s="15" t="n">
        <f aca="false">AVERAGE(M75:T75)</f>
        <v>2.125</v>
      </c>
      <c r="V75" s="19" t="n">
        <v>4</v>
      </c>
      <c r="W75" s="19" t="n">
        <v>3</v>
      </c>
      <c r="X75" s="19" t="n">
        <v>5</v>
      </c>
      <c r="Y75" s="19" t="n">
        <v>5</v>
      </c>
      <c r="Z75" s="19" t="n">
        <v>3</v>
      </c>
      <c r="AA75" s="19" t="n">
        <v>4</v>
      </c>
      <c r="AB75" s="19" t="n">
        <v>3</v>
      </c>
      <c r="AC75" s="19" t="n">
        <v>3</v>
      </c>
      <c r="AD75" s="19" t="n">
        <v>2</v>
      </c>
      <c r="AE75" s="19" t="n">
        <v>2</v>
      </c>
      <c r="AF75" s="19" t="n">
        <v>4</v>
      </c>
      <c r="AG75" s="19" t="n">
        <v>5</v>
      </c>
      <c r="AH75" s="19" t="n">
        <v>4</v>
      </c>
      <c r="AI75" s="19" t="n">
        <v>5</v>
      </c>
      <c r="AJ75" s="19" t="n">
        <v>4</v>
      </c>
      <c r="AK75" s="19" t="n">
        <v>5</v>
      </c>
      <c r="AL75" s="19" t="n">
        <v>2</v>
      </c>
      <c r="AM75" s="19" t="n">
        <v>5</v>
      </c>
      <c r="AN75" s="19" t="n">
        <v>3</v>
      </c>
      <c r="AO75" s="19" t="n">
        <v>10</v>
      </c>
      <c r="AP75" s="0" t="n">
        <v>30</v>
      </c>
      <c r="AQ75" s="16" t="n">
        <v>85.5</v>
      </c>
      <c r="AR75" s="16" t="n">
        <v>81</v>
      </c>
      <c r="AS75" s="16" t="n">
        <v>15.2</v>
      </c>
      <c r="AT75" s="0" t="n">
        <v>87.44</v>
      </c>
      <c r="AU75" s="0" t="n">
        <v>0</v>
      </c>
      <c r="AV75" s="0" t="n">
        <v>0.94</v>
      </c>
      <c r="AW75" s="0" t="n">
        <v>1.97</v>
      </c>
      <c r="AX75" s="0" t="n">
        <v>9.65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2.71</v>
      </c>
      <c r="BF75" s="0" t="n">
        <v>0.6</v>
      </c>
      <c r="BG75" s="0" t="n">
        <v>2.17</v>
      </c>
      <c r="BH75" s="0" t="n">
        <v>5.97</v>
      </c>
      <c r="BI75" s="0" t="n">
        <v>2.65</v>
      </c>
      <c r="BJ75" s="0" t="n">
        <v>0</v>
      </c>
      <c r="BK75" s="0" t="n">
        <v>0</v>
      </c>
      <c r="BL75" s="0" t="n">
        <v>10.6</v>
      </c>
      <c r="BM75" s="0" t="n">
        <v>1</v>
      </c>
      <c r="BN75" s="0" t="n">
        <v>0</v>
      </c>
      <c r="BO75" s="16" t="n">
        <v>0</v>
      </c>
      <c r="BP75" s="16" t="n">
        <v>0</v>
      </c>
      <c r="BQ75" s="16" t="n">
        <v>4.17</v>
      </c>
      <c r="BR75" s="16" t="n">
        <v>2.54</v>
      </c>
      <c r="BS75" s="16" t="n">
        <v>0</v>
      </c>
      <c r="BT75" s="16" t="n">
        <v>0</v>
      </c>
      <c r="BU75" s="16" t="n">
        <v>0</v>
      </c>
      <c r="BV75" s="0" t="n">
        <v>0</v>
      </c>
    </row>
    <row r="76" customFormat="false" ht="13.8" hidden="false" customHeight="false" outlineLevel="0" collapsed="false">
      <c r="A76" s="0" t="n">
        <v>1</v>
      </c>
      <c r="B76" s="0" t="n">
        <v>39.1841204654346</v>
      </c>
      <c r="C76" s="0" t="n">
        <v>0.306639288158795</v>
      </c>
      <c r="D76" s="0" t="n">
        <v>8</v>
      </c>
      <c r="E76" s="0" t="n">
        <v>63</v>
      </c>
      <c r="F76" s="0" t="n">
        <v>1.61</v>
      </c>
      <c r="G76" s="0" t="n">
        <v>24.3046178773967</v>
      </c>
      <c r="H76" s="0" t="n">
        <v>0</v>
      </c>
      <c r="I76" s="0" t="n">
        <v>0</v>
      </c>
      <c r="J76" s="19" t="n">
        <v>0</v>
      </c>
      <c r="K76" s="19" t="n">
        <v>0</v>
      </c>
      <c r="L76" s="19" t="n">
        <v>1</v>
      </c>
      <c r="M76" s="19" t="n">
        <v>0</v>
      </c>
      <c r="N76" s="19" t="n">
        <v>0</v>
      </c>
      <c r="O76" s="19" t="n">
        <v>0</v>
      </c>
      <c r="P76" s="19" t="n">
        <v>0</v>
      </c>
      <c r="Q76" s="19" t="n">
        <v>0</v>
      </c>
      <c r="R76" s="19" t="n">
        <v>0</v>
      </c>
      <c r="S76" s="19" t="n">
        <v>0</v>
      </c>
      <c r="T76" s="19" t="n">
        <v>0</v>
      </c>
      <c r="U76" s="15" t="n">
        <f aca="false">AVERAGE(M76:T76)</f>
        <v>0</v>
      </c>
      <c r="V76" s="19" t="n">
        <v>2</v>
      </c>
      <c r="W76" s="19" t="n">
        <v>1</v>
      </c>
      <c r="X76" s="19" t="n">
        <v>2</v>
      </c>
      <c r="Y76" s="19" t="n">
        <v>5</v>
      </c>
      <c r="Z76" s="19" t="n">
        <v>2</v>
      </c>
      <c r="AA76" s="19" t="n">
        <v>1</v>
      </c>
      <c r="AB76" s="19" t="n">
        <v>2</v>
      </c>
      <c r="AC76" s="19" t="n">
        <v>5</v>
      </c>
      <c r="AD76" s="19" t="n">
        <v>5</v>
      </c>
      <c r="AE76" s="19" t="n">
        <v>4</v>
      </c>
      <c r="AF76" s="19" t="n">
        <v>5</v>
      </c>
      <c r="AG76" s="19" t="n">
        <v>5</v>
      </c>
      <c r="AH76" s="19" t="n">
        <v>5</v>
      </c>
      <c r="AI76" s="19" t="n">
        <v>5</v>
      </c>
      <c r="AJ76" s="19" t="n">
        <v>5</v>
      </c>
      <c r="AK76" s="19" t="n">
        <v>5</v>
      </c>
      <c r="AL76" s="19" t="n">
        <v>5</v>
      </c>
      <c r="AM76" s="19" t="n">
        <v>5</v>
      </c>
      <c r="AN76" s="19" t="n">
        <v>5</v>
      </c>
      <c r="AO76" s="19" t="n">
        <v>8</v>
      </c>
      <c r="AP76" s="0" t="n">
        <v>30</v>
      </c>
      <c r="AQ76" s="16" t="n">
        <v>85.5</v>
      </c>
      <c r="AR76" s="16" t="n">
        <v>81</v>
      </c>
      <c r="AS76" s="16" t="n">
        <v>15.2</v>
      </c>
      <c r="AT76" s="0" t="n">
        <v>87.44</v>
      </c>
      <c r="AU76" s="0" t="n">
        <v>0</v>
      </c>
      <c r="AV76" s="0" t="n">
        <v>0.94</v>
      </c>
      <c r="AW76" s="0" t="n">
        <v>1.97</v>
      </c>
      <c r="AX76" s="0" t="n">
        <v>9.65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2.71</v>
      </c>
      <c r="BF76" s="0" t="n">
        <v>0.6</v>
      </c>
      <c r="BG76" s="0" t="n">
        <v>2.17</v>
      </c>
      <c r="BH76" s="0" t="n">
        <v>5.97</v>
      </c>
      <c r="BI76" s="0" t="n">
        <v>2.65</v>
      </c>
      <c r="BJ76" s="0" t="n">
        <v>0</v>
      </c>
      <c r="BK76" s="0" t="n">
        <v>0</v>
      </c>
      <c r="BL76" s="0" t="n">
        <v>10.6</v>
      </c>
      <c r="BM76" s="0" t="n">
        <v>1</v>
      </c>
      <c r="BN76" s="0" t="n">
        <v>0</v>
      </c>
      <c r="BO76" s="16" t="n">
        <v>0</v>
      </c>
      <c r="BP76" s="16" t="n">
        <v>0</v>
      </c>
      <c r="BQ76" s="16" t="n">
        <v>4.17</v>
      </c>
      <c r="BR76" s="16" t="n">
        <v>2.54</v>
      </c>
      <c r="BS76" s="16" t="n">
        <v>0</v>
      </c>
      <c r="BT76" s="16" t="n">
        <v>0</v>
      </c>
      <c r="BU76" s="16" t="n">
        <v>0</v>
      </c>
      <c r="BV76" s="0" t="n">
        <v>0</v>
      </c>
    </row>
    <row r="77" customFormat="false" ht="13.8" hidden="false" customHeight="false" outlineLevel="0" collapsed="false">
      <c r="A77" s="0" t="n">
        <v>2</v>
      </c>
      <c r="B77" s="0" t="n">
        <v>44.7748117727584</v>
      </c>
      <c r="C77" s="0" t="n">
        <v>0.314852840520192</v>
      </c>
      <c r="D77" s="0" t="n">
        <v>8</v>
      </c>
      <c r="E77" s="0" t="n">
        <v>83</v>
      </c>
      <c r="F77" s="0" t="n">
        <v>1.76</v>
      </c>
      <c r="G77" s="0" t="n">
        <v>26.7949380165289</v>
      </c>
      <c r="H77" s="0" t="n">
        <v>0</v>
      </c>
      <c r="I77" s="0" t="n">
        <v>0</v>
      </c>
      <c r="J77" s="19" t="n">
        <v>1</v>
      </c>
      <c r="K77" s="19" t="n">
        <v>2</v>
      </c>
      <c r="L77" s="19" t="n">
        <v>0</v>
      </c>
      <c r="M77" s="19" t="n">
        <v>0</v>
      </c>
      <c r="N77" s="19" t="n">
        <v>0</v>
      </c>
      <c r="O77" s="19" t="n">
        <v>0</v>
      </c>
      <c r="P77" s="19" t="n">
        <v>0</v>
      </c>
      <c r="Q77" s="19" t="n">
        <v>0</v>
      </c>
      <c r="R77" s="19" t="n">
        <v>0</v>
      </c>
      <c r="S77" s="19" t="n">
        <v>0</v>
      </c>
      <c r="T77" s="19" t="n">
        <v>0</v>
      </c>
      <c r="U77" s="15" t="n">
        <f aca="false">AVERAGE(M77:T77)</f>
        <v>0</v>
      </c>
      <c r="V77" s="19" t="n">
        <v>2</v>
      </c>
      <c r="W77" s="19" t="n">
        <v>2</v>
      </c>
      <c r="X77" s="19" t="n">
        <v>3</v>
      </c>
      <c r="Y77" s="19" t="n">
        <v>5</v>
      </c>
      <c r="Z77" s="19" t="n">
        <v>2</v>
      </c>
      <c r="AA77" s="19" t="n">
        <v>3</v>
      </c>
      <c r="AB77" s="19" t="n">
        <v>5</v>
      </c>
      <c r="AC77" s="19" t="n">
        <v>3</v>
      </c>
      <c r="AD77" s="19" t="n">
        <v>4</v>
      </c>
      <c r="AE77" s="19" t="n">
        <v>5</v>
      </c>
      <c r="AF77" s="19" t="n">
        <v>5</v>
      </c>
      <c r="AG77" s="19" t="n">
        <v>5</v>
      </c>
      <c r="AH77" s="19" t="n">
        <v>5</v>
      </c>
      <c r="AI77" s="19" t="n">
        <v>5</v>
      </c>
      <c r="AJ77" s="19" t="n">
        <v>5</v>
      </c>
      <c r="AK77" s="19" t="n">
        <v>5</v>
      </c>
      <c r="AL77" s="19" t="n">
        <v>5</v>
      </c>
      <c r="AM77" s="19" t="n">
        <v>5</v>
      </c>
      <c r="AN77" s="19" t="n">
        <v>5</v>
      </c>
      <c r="AO77" s="19" t="n">
        <v>8</v>
      </c>
      <c r="AP77" s="0" t="n">
        <v>30</v>
      </c>
      <c r="AQ77" s="16" t="n">
        <v>85.5</v>
      </c>
      <c r="AR77" s="16" t="n">
        <v>81</v>
      </c>
      <c r="AS77" s="16" t="n">
        <v>15.2</v>
      </c>
      <c r="AT77" s="0" t="n">
        <v>87.44</v>
      </c>
      <c r="AU77" s="0" t="n">
        <v>0</v>
      </c>
      <c r="AV77" s="0" t="n">
        <v>0.94</v>
      </c>
      <c r="AW77" s="0" t="n">
        <v>1.97</v>
      </c>
      <c r="AX77" s="0" t="n">
        <v>9.65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2.71</v>
      </c>
      <c r="BF77" s="0" t="n">
        <v>0.6</v>
      </c>
      <c r="BG77" s="0" t="n">
        <v>2.17</v>
      </c>
      <c r="BH77" s="0" t="n">
        <v>5.97</v>
      </c>
      <c r="BI77" s="0" t="n">
        <v>2.65</v>
      </c>
      <c r="BJ77" s="0" t="n">
        <v>0</v>
      </c>
      <c r="BK77" s="0" t="n">
        <v>0</v>
      </c>
      <c r="BL77" s="0" t="n">
        <v>10.6</v>
      </c>
      <c r="BM77" s="0" t="n">
        <v>1</v>
      </c>
      <c r="BN77" s="0" t="n">
        <v>0</v>
      </c>
      <c r="BO77" s="16" t="n">
        <v>0</v>
      </c>
      <c r="BP77" s="16" t="n">
        <v>0</v>
      </c>
      <c r="BQ77" s="16" t="n">
        <v>4.17</v>
      </c>
      <c r="BR77" s="16" t="n">
        <v>2.54</v>
      </c>
      <c r="BS77" s="16" t="n">
        <v>0</v>
      </c>
      <c r="BT77" s="16" t="n">
        <v>0</v>
      </c>
      <c r="BU77" s="16" t="n">
        <v>0</v>
      </c>
      <c r="BV77" s="0" t="n">
        <v>0</v>
      </c>
    </row>
    <row r="78" customFormat="false" ht="13.8" hidden="false" customHeight="false" outlineLevel="0" collapsed="false">
      <c r="A78" s="0" t="n">
        <v>1</v>
      </c>
      <c r="B78" s="0" t="n">
        <v>36.5119780971937</v>
      </c>
      <c r="C78" s="0" t="n">
        <v>0.257357973990418</v>
      </c>
      <c r="D78" s="0" t="n">
        <v>8</v>
      </c>
      <c r="E78" s="0" t="n">
        <v>63</v>
      </c>
      <c r="F78" s="0" t="n">
        <v>1.65</v>
      </c>
      <c r="G78" s="0" t="n">
        <v>23.1404958677686</v>
      </c>
      <c r="H78" s="0" t="n">
        <v>0</v>
      </c>
      <c r="I78" s="0" t="n">
        <v>0</v>
      </c>
      <c r="J78" s="19" t="n">
        <v>1</v>
      </c>
      <c r="K78" s="19" t="n">
        <v>0</v>
      </c>
      <c r="L78" s="19" t="n">
        <v>0</v>
      </c>
      <c r="M78" s="19" t="n">
        <v>0</v>
      </c>
      <c r="N78" s="19" t="n">
        <v>0</v>
      </c>
      <c r="O78" s="19" t="n">
        <v>0</v>
      </c>
      <c r="P78" s="19" t="n">
        <v>0</v>
      </c>
      <c r="Q78" s="19" t="n">
        <v>0</v>
      </c>
      <c r="R78" s="19" t="n">
        <v>0</v>
      </c>
      <c r="S78" s="19" t="n">
        <v>0</v>
      </c>
      <c r="T78" s="19" t="n">
        <v>0</v>
      </c>
      <c r="U78" s="15" t="n">
        <f aca="false">AVERAGE(M78:T78)</f>
        <v>0</v>
      </c>
      <c r="V78" s="19" t="n">
        <v>2</v>
      </c>
      <c r="W78" s="19" t="n">
        <v>3</v>
      </c>
      <c r="X78" s="19" t="n">
        <v>4</v>
      </c>
      <c r="Y78" s="19" t="n">
        <v>1</v>
      </c>
      <c r="Z78" s="19" t="n">
        <v>1</v>
      </c>
      <c r="AA78" s="19" t="n">
        <v>1</v>
      </c>
      <c r="AB78" s="19" t="n">
        <v>1</v>
      </c>
      <c r="AC78" s="19" t="n">
        <v>3</v>
      </c>
      <c r="AD78" s="19" t="n">
        <v>2</v>
      </c>
      <c r="AE78" s="19" t="n">
        <v>2</v>
      </c>
      <c r="AF78" s="19" t="n">
        <v>3</v>
      </c>
      <c r="AG78" s="19" t="n">
        <v>3</v>
      </c>
      <c r="AH78" s="19" t="n">
        <v>2</v>
      </c>
      <c r="AI78" s="19" t="n">
        <v>3</v>
      </c>
      <c r="AJ78" s="19" t="n">
        <v>3</v>
      </c>
      <c r="AK78" s="19" t="n">
        <v>4</v>
      </c>
      <c r="AL78" s="19" t="n">
        <v>2</v>
      </c>
      <c r="AM78" s="19" t="n">
        <v>2</v>
      </c>
      <c r="AN78" s="19" t="n">
        <v>2</v>
      </c>
      <c r="AO78" s="19" t="n">
        <v>3</v>
      </c>
      <c r="AP78" s="0" t="n">
        <v>30</v>
      </c>
      <c r="AQ78" s="16" t="n">
        <v>85.5</v>
      </c>
      <c r="AR78" s="16" t="n">
        <v>81</v>
      </c>
      <c r="AS78" s="16" t="n">
        <v>15.2</v>
      </c>
      <c r="AT78" s="0" t="n">
        <v>87.44</v>
      </c>
      <c r="AU78" s="0" t="n">
        <v>0</v>
      </c>
      <c r="AV78" s="0" t="n">
        <v>0.94</v>
      </c>
      <c r="AW78" s="0" t="n">
        <v>1.97</v>
      </c>
      <c r="AX78" s="0" t="n">
        <v>9.65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2.71</v>
      </c>
      <c r="BF78" s="0" t="n">
        <v>0.6</v>
      </c>
      <c r="BG78" s="0" t="n">
        <v>2.17</v>
      </c>
      <c r="BH78" s="0" t="n">
        <v>5.97</v>
      </c>
      <c r="BI78" s="0" t="n">
        <v>2.65</v>
      </c>
      <c r="BJ78" s="0" t="n">
        <v>0</v>
      </c>
      <c r="BK78" s="0" t="n">
        <v>0</v>
      </c>
      <c r="BL78" s="0" t="n">
        <v>10.6</v>
      </c>
      <c r="BM78" s="0" t="n">
        <v>1</v>
      </c>
      <c r="BN78" s="0" t="n">
        <v>0</v>
      </c>
      <c r="BO78" s="16" t="n">
        <v>0</v>
      </c>
      <c r="BP78" s="16" t="n">
        <v>0</v>
      </c>
      <c r="BQ78" s="16" t="n">
        <v>4.17</v>
      </c>
      <c r="BR78" s="16" t="n">
        <v>2.54</v>
      </c>
      <c r="BS78" s="16" t="n">
        <v>0</v>
      </c>
      <c r="BT78" s="16" t="n">
        <v>0</v>
      </c>
      <c r="BU78" s="16" t="n">
        <v>0</v>
      </c>
      <c r="BV78" s="0" t="n">
        <v>0</v>
      </c>
    </row>
    <row r="79" customFormat="false" ht="13.8" hidden="false" customHeight="false" outlineLevel="0" collapsed="false">
      <c r="A79" s="0" t="n">
        <v>2</v>
      </c>
      <c r="B79" s="0" t="n">
        <v>21.3744010951403</v>
      </c>
      <c r="C79" s="0" t="n">
        <v>0.251882272416153</v>
      </c>
      <c r="D79" s="0" t="n">
        <v>8</v>
      </c>
      <c r="E79" s="0" t="n">
        <v>70</v>
      </c>
      <c r="F79" s="0" t="n">
        <v>1.74</v>
      </c>
      <c r="G79" s="0" t="n">
        <v>23.1206235962479</v>
      </c>
      <c r="H79" s="0" t="n">
        <v>0</v>
      </c>
      <c r="I79" s="0" t="n">
        <v>0</v>
      </c>
      <c r="J79" s="19" t="n">
        <v>0</v>
      </c>
      <c r="K79" s="19" t="n">
        <v>3</v>
      </c>
      <c r="L79" s="19" t="n">
        <v>0</v>
      </c>
      <c r="M79" s="19" t="n">
        <v>0</v>
      </c>
      <c r="N79" s="19" t="n">
        <v>0</v>
      </c>
      <c r="O79" s="19" t="n">
        <v>0</v>
      </c>
      <c r="P79" s="19" t="n">
        <v>0</v>
      </c>
      <c r="Q79" s="19" t="n">
        <v>0</v>
      </c>
      <c r="R79" s="19" t="n">
        <v>0</v>
      </c>
      <c r="S79" s="19" t="n">
        <v>0</v>
      </c>
      <c r="T79" s="19" t="n">
        <v>0</v>
      </c>
      <c r="U79" s="15" t="n">
        <f aca="false">AVERAGE(M79:T79)</f>
        <v>0</v>
      </c>
      <c r="V79" s="19" t="n">
        <v>1</v>
      </c>
      <c r="W79" s="19" t="n">
        <v>3</v>
      </c>
      <c r="X79" s="19" t="n">
        <v>5</v>
      </c>
      <c r="Y79" s="19" t="n">
        <v>5</v>
      </c>
      <c r="Z79" s="19" t="n">
        <v>3</v>
      </c>
      <c r="AA79" s="19" t="n">
        <v>5</v>
      </c>
      <c r="AB79" s="19" t="n">
        <v>3</v>
      </c>
      <c r="AC79" s="19" t="n">
        <v>4</v>
      </c>
      <c r="AD79" s="19" t="n">
        <v>4</v>
      </c>
      <c r="AE79" s="19" t="n">
        <v>4</v>
      </c>
      <c r="AF79" s="19" t="n">
        <v>4</v>
      </c>
      <c r="AG79" s="19" t="n">
        <v>5</v>
      </c>
      <c r="AH79" s="19" t="n">
        <v>3</v>
      </c>
      <c r="AI79" s="19" t="n">
        <v>4</v>
      </c>
      <c r="AJ79" s="19" t="n">
        <v>5</v>
      </c>
      <c r="AK79" s="19" t="n">
        <v>5</v>
      </c>
      <c r="AL79" s="19" t="n">
        <v>5</v>
      </c>
      <c r="AM79" s="19" t="n">
        <v>5</v>
      </c>
      <c r="AN79" s="19" t="n">
        <v>5</v>
      </c>
      <c r="AO79" s="19" t="n">
        <v>9</v>
      </c>
      <c r="AP79" s="0" t="n">
        <v>30</v>
      </c>
      <c r="AQ79" s="16" t="n">
        <v>85.5</v>
      </c>
      <c r="AR79" s="16" t="n">
        <v>81</v>
      </c>
      <c r="AS79" s="16" t="n">
        <v>15.2</v>
      </c>
      <c r="AT79" s="0" t="n">
        <v>87.44</v>
      </c>
      <c r="AU79" s="0" t="n">
        <v>0</v>
      </c>
      <c r="AV79" s="0" t="n">
        <v>0.94</v>
      </c>
      <c r="AW79" s="0" t="n">
        <v>1.97</v>
      </c>
      <c r="AX79" s="0" t="n">
        <v>9.65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2.71</v>
      </c>
      <c r="BF79" s="0" t="n">
        <v>0.6</v>
      </c>
      <c r="BG79" s="0" t="n">
        <v>2.17</v>
      </c>
      <c r="BH79" s="0" t="n">
        <v>5.97</v>
      </c>
      <c r="BI79" s="0" t="n">
        <v>2.65</v>
      </c>
      <c r="BJ79" s="0" t="n">
        <v>0</v>
      </c>
      <c r="BK79" s="0" t="n">
        <v>0</v>
      </c>
      <c r="BL79" s="0" t="n">
        <v>10.6</v>
      </c>
      <c r="BM79" s="0" t="n">
        <v>1</v>
      </c>
      <c r="BN79" s="0" t="n">
        <v>0</v>
      </c>
      <c r="BO79" s="16" t="n">
        <v>0</v>
      </c>
      <c r="BP79" s="16" t="n">
        <v>0</v>
      </c>
      <c r="BQ79" s="16" t="n">
        <v>4.17</v>
      </c>
      <c r="BR79" s="16" t="n">
        <v>2.54</v>
      </c>
      <c r="BS79" s="16" t="n">
        <v>0</v>
      </c>
      <c r="BT79" s="16" t="n">
        <v>0</v>
      </c>
      <c r="BU79" s="16" t="n">
        <v>0</v>
      </c>
      <c r="BV79" s="0" t="n">
        <v>0</v>
      </c>
    </row>
    <row r="80" customFormat="false" ht="13.8" hidden="false" customHeight="false" outlineLevel="0" collapsed="false">
      <c r="A80" s="0" t="n">
        <v>2</v>
      </c>
      <c r="B80" s="0" t="n">
        <v>27.2443531827515</v>
      </c>
      <c r="C80" s="0" t="n">
        <v>0.290212183436003</v>
      </c>
      <c r="D80" s="0" t="n">
        <v>4</v>
      </c>
      <c r="E80" s="0" t="n">
        <v>80</v>
      </c>
      <c r="F80" s="0" t="n">
        <v>1.78</v>
      </c>
      <c r="G80" s="0" t="n">
        <v>25.2493372048984</v>
      </c>
      <c r="H80" s="0" t="n">
        <v>0</v>
      </c>
      <c r="I80" s="0" t="n">
        <v>0</v>
      </c>
      <c r="J80" s="19" t="n">
        <v>0</v>
      </c>
      <c r="K80" s="19" t="n">
        <v>2</v>
      </c>
      <c r="L80" s="19" t="n">
        <v>0</v>
      </c>
      <c r="M80" s="19" t="n">
        <v>0</v>
      </c>
      <c r="N80" s="19" t="n">
        <v>0</v>
      </c>
      <c r="O80" s="19" t="n">
        <v>0</v>
      </c>
      <c r="P80" s="19" t="n">
        <v>0</v>
      </c>
      <c r="Q80" s="19" t="n">
        <v>0</v>
      </c>
      <c r="R80" s="19" t="n">
        <v>0</v>
      </c>
      <c r="S80" s="19" t="n">
        <v>0</v>
      </c>
      <c r="T80" s="19" t="n">
        <v>0</v>
      </c>
      <c r="U80" s="15" t="n">
        <f aca="false">AVERAGE(M80:T80)</f>
        <v>0</v>
      </c>
      <c r="V80" s="19" t="n">
        <v>2</v>
      </c>
      <c r="W80" s="19" t="n">
        <v>1</v>
      </c>
      <c r="X80" s="19" t="n">
        <v>4</v>
      </c>
      <c r="Y80" s="19" t="n">
        <v>4</v>
      </c>
      <c r="Z80" s="19" t="n">
        <v>3</v>
      </c>
      <c r="AA80" s="19" t="n">
        <v>3</v>
      </c>
      <c r="AB80" s="19" t="n">
        <v>3</v>
      </c>
      <c r="AC80" s="19" t="n">
        <v>5</v>
      </c>
      <c r="AD80" s="19" t="n">
        <v>5</v>
      </c>
      <c r="AE80" s="19" t="n">
        <v>5</v>
      </c>
      <c r="AF80" s="19" t="n">
        <v>4</v>
      </c>
      <c r="AG80" s="19" t="n">
        <v>4</v>
      </c>
      <c r="AH80" s="19" t="n">
        <v>3</v>
      </c>
      <c r="AI80" s="19" t="n">
        <v>3</v>
      </c>
      <c r="AJ80" s="19" t="n">
        <v>4</v>
      </c>
      <c r="AK80" s="19" t="n">
        <v>5</v>
      </c>
      <c r="AL80" s="19" t="n">
        <v>5</v>
      </c>
      <c r="AM80" s="19" t="n">
        <v>4</v>
      </c>
      <c r="AN80" s="19" t="n">
        <v>3</v>
      </c>
      <c r="AO80" s="19" t="n">
        <v>8</v>
      </c>
      <c r="AP80" s="0" t="n">
        <v>30</v>
      </c>
      <c r="AQ80" s="16" t="n">
        <v>85.5</v>
      </c>
      <c r="AR80" s="16" t="n">
        <v>81</v>
      </c>
      <c r="AS80" s="16" t="n">
        <v>15.2</v>
      </c>
      <c r="AT80" s="0" t="n">
        <v>87.44</v>
      </c>
      <c r="AU80" s="0" t="n">
        <v>0</v>
      </c>
      <c r="AV80" s="0" t="n">
        <v>0.94</v>
      </c>
      <c r="AW80" s="0" t="n">
        <v>1.97</v>
      </c>
      <c r="AX80" s="0" t="n">
        <v>9.65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2.71</v>
      </c>
      <c r="BF80" s="0" t="n">
        <v>0.6</v>
      </c>
      <c r="BG80" s="0" t="n">
        <v>2.17</v>
      </c>
      <c r="BH80" s="0" t="n">
        <v>5.97</v>
      </c>
      <c r="BI80" s="0" t="n">
        <v>2.65</v>
      </c>
      <c r="BJ80" s="0" t="n">
        <v>0</v>
      </c>
      <c r="BK80" s="0" t="n">
        <v>0</v>
      </c>
      <c r="BL80" s="0" t="n">
        <v>10.6</v>
      </c>
      <c r="BM80" s="0" t="n">
        <v>1</v>
      </c>
      <c r="BN80" s="0" t="n">
        <v>0</v>
      </c>
      <c r="BO80" s="16" t="n">
        <v>0</v>
      </c>
      <c r="BP80" s="16" t="n">
        <v>0</v>
      </c>
      <c r="BQ80" s="16" t="n">
        <v>4.17</v>
      </c>
      <c r="BR80" s="16" t="n">
        <v>2.54</v>
      </c>
      <c r="BS80" s="16" t="n">
        <v>0</v>
      </c>
      <c r="BT80" s="16" t="n">
        <v>0</v>
      </c>
      <c r="BU80" s="16" t="n">
        <v>0</v>
      </c>
      <c r="BV80" s="0" t="n">
        <v>0</v>
      </c>
    </row>
    <row r="81" customFormat="false" ht="13.8" hidden="false" customHeight="false" outlineLevel="0" collapsed="false">
      <c r="A81" s="0" t="n">
        <v>1</v>
      </c>
      <c r="B81" s="0" t="n">
        <v>40.9582477754962</v>
      </c>
      <c r="C81" s="0" t="n">
        <v>0.301163586584531</v>
      </c>
      <c r="D81" s="0" t="n">
        <v>8</v>
      </c>
      <c r="E81" s="0" t="n">
        <v>64</v>
      </c>
      <c r="F81" s="0" t="n">
        <v>1.55</v>
      </c>
      <c r="G81" s="0" t="n">
        <v>26.6389177939646</v>
      </c>
      <c r="H81" s="0" t="n">
        <v>0</v>
      </c>
      <c r="I81" s="0" t="n">
        <v>0</v>
      </c>
      <c r="J81" s="19" t="n">
        <v>0</v>
      </c>
      <c r="K81" s="19" t="n">
        <v>0</v>
      </c>
      <c r="L81" s="19" t="n">
        <v>0</v>
      </c>
      <c r="M81" s="19" t="n">
        <v>0</v>
      </c>
      <c r="N81" s="19" t="n">
        <v>0</v>
      </c>
      <c r="O81" s="19" t="n">
        <v>0</v>
      </c>
      <c r="P81" s="19" t="n">
        <v>0</v>
      </c>
      <c r="Q81" s="19" t="n">
        <v>0</v>
      </c>
      <c r="R81" s="19" t="n">
        <v>0</v>
      </c>
      <c r="S81" s="19" t="n">
        <v>0</v>
      </c>
      <c r="T81" s="19" t="n">
        <v>0</v>
      </c>
      <c r="U81" s="15" t="n">
        <f aca="false">AVERAGE(M81:T81)</f>
        <v>0</v>
      </c>
      <c r="V81" s="19" t="n">
        <v>1</v>
      </c>
      <c r="W81" s="19" t="n">
        <v>1</v>
      </c>
      <c r="X81" s="19" t="n">
        <v>1</v>
      </c>
      <c r="Y81" s="19" t="n">
        <v>2</v>
      </c>
      <c r="Z81" s="19" t="n">
        <v>2</v>
      </c>
      <c r="AA81" s="19" t="n">
        <v>1</v>
      </c>
      <c r="AB81" s="19" t="n">
        <v>1</v>
      </c>
      <c r="AC81" s="19" t="n">
        <v>1</v>
      </c>
      <c r="AD81" s="19" t="n">
        <v>3</v>
      </c>
      <c r="AE81" s="19" t="n">
        <v>3</v>
      </c>
      <c r="AF81" s="19" t="n">
        <v>4</v>
      </c>
      <c r="AG81" s="19" t="n">
        <v>5</v>
      </c>
      <c r="AH81" s="19" t="n">
        <v>3</v>
      </c>
      <c r="AI81" s="19" t="n">
        <v>5</v>
      </c>
      <c r="AJ81" s="19" t="n">
        <v>4</v>
      </c>
      <c r="AK81" s="19" t="n">
        <v>5</v>
      </c>
      <c r="AL81" s="19" t="n">
        <v>3</v>
      </c>
      <c r="AM81" s="19" t="n">
        <v>3</v>
      </c>
      <c r="AN81" s="19" t="n">
        <v>4</v>
      </c>
      <c r="AO81" s="19" t="n">
        <v>10</v>
      </c>
      <c r="AP81" s="0" t="n">
        <v>47</v>
      </c>
      <c r="AQ81" s="16" t="n">
        <v>90.2</v>
      </c>
      <c r="AR81" s="16" t="n">
        <v>80.4</v>
      </c>
      <c r="AS81" s="16" t="n">
        <v>15.2</v>
      </c>
      <c r="AT81" s="0" t="n">
        <v>86.39</v>
      </c>
      <c r="AU81" s="0" t="n">
        <v>0</v>
      </c>
      <c r="AV81" s="0" t="n">
        <v>0</v>
      </c>
      <c r="AW81" s="0" t="n">
        <v>0</v>
      </c>
      <c r="AX81" s="0" t="n">
        <v>13.61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16.36</v>
      </c>
      <c r="BG81" s="0" t="n">
        <v>23.57</v>
      </c>
      <c r="BH81" s="0" t="n">
        <v>29.14</v>
      </c>
      <c r="BI81" s="0" t="n">
        <v>0</v>
      </c>
      <c r="BJ81" s="0" t="n">
        <v>0</v>
      </c>
      <c r="BK81" s="0" t="n">
        <v>0</v>
      </c>
      <c r="BL81" s="0" t="n">
        <v>23.6</v>
      </c>
      <c r="BM81" s="0" t="n">
        <v>1</v>
      </c>
      <c r="BN81" s="0" t="n">
        <v>1</v>
      </c>
      <c r="BO81" s="16" t="n">
        <v>0.4</v>
      </c>
      <c r="BP81" s="16" t="n">
        <v>1</v>
      </c>
      <c r="BQ81" s="16" t="n">
        <v>4.96</v>
      </c>
      <c r="BR81" s="16" t="n">
        <v>2.6</v>
      </c>
      <c r="BS81" s="16" t="n">
        <v>0</v>
      </c>
      <c r="BT81" s="16" t="n">
        <v>0</v>
      </c>
      <c r="BU81" s="16" t="n">
        <v>0</v>
      </c>
      <c r="BV81" s="0" t="n">
        <v>0</v>
      </c>
    </row>
    <row r="82" customFormat="false" ht="13.8" hidden="false" customHeight="false" outlineLevel="0" collapsed="false">
      <c r="A82" s="0" t="n">
        <v>2</v>
      </c>
      <c r="B82" s="0" t="n">
        <v>39.6577686516085</v>
      </c>
      <c r="C82" s="0" t="n">
        <v>6.02053388090349</v>
      </c>
      <c r="D82" s="0" t="n">
        <v>4</v>
      </c>
      <c r="E82" s="0" t="n">
        <v>68</v>
      </c>
      <c r="F82" s="0" t="n">
        <v>1.67</v>
      </c>
      <c r="G82" s="0" t="n">
        <v>24.3823729785937</v>
      </c>
      <c r="H82" s="0" t="n">
        <v>0</v>
      </c>
      <c r="I82" s="0" t="n">
        <v>0</v>
      </c>
      <c r="J82" s="19" t="n">
        <v>1</v>
      </c>
      <c r="K82" s="19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19" t="n">
        <v>3</v>
      </c>
      <c r="R82" s="19" t="n">
        <v>0</v>
      </c>
      <c r="S82" s="19" t="n">
        <v>0</v>
      </c>
      <c r="T82" s="19" t="n">
        <v>2</v>
      </c>
      <c r="U82" s="15" t="n">
        <f aca="false">AVERAGE(M82:T82)</f>
        <v>0.625</v>
      </c>
      <c r="V82" s="19" t="n">
        <v>1</v>
      </c>
      <c r="W82" s="19" t="n">
        <v>1</v>
      </c>
      <c r="X82" s="19" t="n">
        <v>1</v>
      </c>
      <c r="Y82" s="19" t="n">
        <v>3</v>
      </c>
      <c r="Z82" s="19" t="n">
        <v>1</v>
      </c>
      <c r="AA82" s="19" t="n">
        <v>1</v>
      </c>
      <c r="AB82" s="19" t="n">
        <v>1</v>
      </c>
      <c r="AC82" s="19" t="n">
        <v>3</v>
      </c>
      <c r="AD82" s="19" t="n">
        <v>3</v>
      </c>
      <c r="AE82" s="19" t="n">
        <v>3</v>
      </c>
      <c r="AF82" s="19" t="n">
        <v>5</v>
      </c>
      <c r="AG82" s="19" t="n">
        <v>5</v>
      </c>
      <c r="AH82" s="19" t="n">
        <v>3</v>
      </c>
      <c r="AI82" s="19" t="n">
        <v>5</v>
      </c>
      <c r="AJ82" s="19" t="n">
        <v>5</v>
      </c>
      <c r="AK82" s="19" t="n">
        <v>5</v>
      </c>
      <c r="AL82" s="19" t="n">
        <v>3</v>
      </c>
      <c r="AM82" s="19" t="n">
        <v>3</v>
      </c>
      <c r="AN82" s="19" t="n">
        <v>5</v>
      </c>
      <c r="AO82" s="19"/>
      <c r="AP82" s="0" t="n">
        <v>24.5</v>
      </c>
      <c r="AQ82" s="16" t="n">
        <v>70</v>
      </c>
      <c r="AR82" s="16" t="n">
        <v>80.4</v>
      </c>
      <c r="AS82" s="16" t="n">
        <v>15.5</v>
      </c>
      <c r="AT82" s="0" t="n">
        <v>85.6</v>
      </c>
      <c r="AU82" s="0" t="n">
        <v>0</v>
      </c>
      <c r="AV82" s="0" t="n">
        <v>0</v>
      </c>
      <c r="AW82" s="0" t="n">
        <v>0</v>
      </c>
      <c r="AX82" s="0" t="n">
        <v>14.4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6.46</v>
      </c>
      <c r="BG82" s="0" t="n">
        <v>24.97</v>
      </c>
      <c r="BH82" s="0" t="n">
        <v>15</v>
      </c>
      <c r="BI82" s="0" t="n">
        <v>0</v>
      </c>
      <c r="BJ82" s="0" t="n">
        <v>0</v>
      </c>
      <c r="BK82" s="0" t="n">
        <v>0</v>
      </c>
      <c r="BL82" s="0" t="n">
        <v>3.6</v>
      </c>
      <c r="BM82" s="0" t="n">
        <v>1</v>
      </c>
      <c r="BN82" s="0" t="n">
        <v>1</v>
      </c>
      <c r="BO82" s="16" t="n">
        <v>0.63</v>
      </c>
      <c r="BP82" s="16" t="n">
        <v>1</v>
      </c>
      <c r="BQ82" s="16" t="n">
        <v>3.25</v>
      </c>
      <c r="BR82" s="16" t="n">
        <v>3.26</v>
      </c>
      <c r="BS82" s="16" t="n">
        <v>0</v>
      </c>
      <c r="BT82" s="16" t="n">
        <v>0</v>
      </c>
      <c r="BU82" s="16" t="n">
        <v>0</v>
      </c>
      <c r="BV82" s="0" t="n">
        <v>0</v>
      </c>
    </row>
    <row r="83" customFormat="false" ht="13.8" hidden="false" customHeight="false" outlineLevel="0" collapsed="false">
      <c r="A83" s="0" t="n">
        <v>2</v>
      </c>
      <c r="B83" s="0" t="n">
        <v>39.419575633128</v>
      </c>
      <c r="C83" s="0" t="n">
        <v>17.5578370978782</v>
      </c>
      <c r="D83" s="0" t="n">
        <v>8</v>
      </c>
      <c r="E83" s="0" t="n">
        <v>75</v>
      </c>
      <c r="F83" s="0" t="n">
        <v>1.7</v>
      </c>
      <c r="G83" s="0" t="n">
        <v>25.9515570934256</v>
      </c>
      <c r="H83" s="0" t="n">
        <v>0</v>
      </c>
      <c r="I83" s="0" t="n">
        <v>0</v>
      </c>
      <c r="J83" s="19" t="n">
        <v>1</v>
      </c>
      <c r="K83" s="19" t="n">
        <v>1</v>
      </c>
      <c r="L83" s="19" t="n">
        <v>0</v>
      </c>
      <c r="M83" s="19" t="n">
        <v>0</v>
      </c>
      <c r="N83" s="19" t="n">
        <v>0</v>
      </c>
      <c r="O83" s="19" t="n">
        <v>6</v>
      </c>
      <c r="P83" s="19" t="n">
        <v>0</v>
      </c>
      <c r="Q83" s="19"/>
      <c r="R83" s="19"/>
      <c r="S83" s="19" t="n">
        <v>0</v>
      </c>
      <c r="T83" s="19" t="n">
        <v>0</v>
      </c>
      <c r="U83" s="15" t="n">
        <f aca="false">AVERAGE(M83:T83)</f>
        <v>1</v>
      </c>
      <c r="V83" s="19" t="n">
        <v>4</v>
      </c>
      <c r="W83" s="19" t="n">
        <v>3</v>
      </c>
      <c r="X83" s="19" t="n">
        <v>3</v>
      </c>
      <c r="Y83" s="19" t="n">
        <v>5</v>
      </c>
      <c r="Z83" s="19" t="n">
        <v>3</v>
      </c>
      <c r="AA83" s="19" t="n">
        <v>3</v>
      </c>
      <c r="AB83" s="19" t="n">
        <v>2</v>
      </c>
      <c r="AC83" s="19" t="n">
        <v>1</v>
      </c>
      <c r="AD83" s="19" t="n">
        <v>1</v>
      </c>
      <c r="AE83" s="19" t="n">
        <v>1</v>
      </c>
      <c r="AF83" s="19" t="n">
        <v>3</v>
      </c>
      <c r="AG83" s="19" t="n">
        <v>5</v>
      </c>
      <c r="AH83" s="19" t="n">
        <v>3</v>
      </c>
      <c r="AI83" s="19" t="n">
        <v>2</v>
      </c>
      <c r="AJ83" s="19" t="n">
        <v>3</v>
      </c>
      <c r="AK83" s="19" t="n">
        <v>4</v>
      </c>
      <c r="AL83" s="19" t="n">
        <v>3</v>
      </c>
      <c r="AM83" s="19" t="n">
        <v>3</v>
      </c>
      <c r="AN83" s="19" t="n">
        <v>4</v>
      </c>
      <c r="AO83" s="19" t="n">
        <v>6</v>
      </c>
      <c r="AP83" s="0" t="n">
        <v>24.5</v>
      </c>
      <c r="AQ83" s="16" t="n">
        <v>70</v>
      </c>
      <c r="AR83" s="16" t="n">
        <v>80.4</v>
      </c>
      <c r="AS83" s="16" t="n">
        <v>15.5</v>
      </c>
      <c r="AT83" s="0" t="n">
        <v>85.6</v>
      </c>
      <c r="AU83" s="0" t="n">
        <v>0</v>
      </c>
      <c r="AV83" s="0" t="n">
        <v>0</v>
      </c>
      <c r="AW83" s="0" t="n">
        <v>0</v>
      </c>
      <c r="AX83" s="0" t="n">
        <v>14.4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6.46</v>
      </c>
      <c r="BG83" s="0" t="n">
        <v>24.97</v>
      </c>
      <c r="BH83" s="0" t="n">
        <v>15</v>
      </c>
      <c r="BI83" s="0" t="n">
        <v>0</v>
      </c>
      <c r="BJ83" s="0" t="n">
        <v>0</v>
      </c>
      <c r="BK83" s="0" t="n">
        <v>0</v>
      </c>
      <c r="BL83" s="0" t="n">
        <v>3.6</v>
      </c>
      <c r="BM83" s="0" t="n">
        <v>1</v>
      </c>
      <c r="BN83" s="0" t="n">
        <v>1</v>
      </c>
      <c r="BO83" s="16" t="n">
        <v>0.63</v>
      </c>
      <c r="BP83" s="16" t="n">
        <v>1</v>
      </c>
      <c r="BQ83" s="16" t="n">
        <v>3.25</v>
      </c>
      <c r="BR83" s="16" t="n">
        <v>3.26</v>
      </c>
      <c r="BS83" s="16" t="n">
        <v>0</v>
      </c>
      <c r="BT83" s="16" t="n">
        <v>0</v>
      </c>
      <c r="BU83" s="16" t="n">
        <v>0</v>
      </c>
      <c r="BV83" s="0" t="n">
        <v>0</v>
      </c>
    </row>
    <row r="84" customFormat="false" ht="13.8" hidden="false" customHeight="false" outlineLevel="0" collapsed="false">
      <c r="A84" s="0" t="n">
        <v>2</v>
      </c>
      <c r="B84" s="0" t="n">
        <v>58.1711156741958</v>
      </c>
      <c r="C84" s="0" t="n">
        <v>21.347022587269</v>
      </c>
      <c r="D84" s="0" t="n">
        <v>8</v>
      </c>
      <c r="E84" s="0" t="n">
        <v>68</v>
      </c>
      <c r="F84" s="0" t="n">
        <v>1.61</v>
      </c>
      <c r="G84" s="0" t="n">
        <v>26.2335558041742</v>
      </c>
      <c r="H84" s="0" t="n">
        <v>1</v>
      </c>
      <c r="I84" s="0" t="n">
        <v>1</v>
      </c>
      <c r="J84" s="19" t="n">
        <v>0</v>
      </c>
      <c r="K84" s="19" t="n">
        <v>0</v>
      </c>
      <c r="L84" s="19" t="n">
        <v>0</v>
      </c>
      <c r="M84" s="19"/>
      <c r="N84" s="19"/>
      <c r="O84" s="19"/>
      <c r="P84" s="19"/>
      <c r="Q84" s="19"/>
      <c r="R84" s="19"/>
      <c r="S84" s="19"/>
      <c r="T84" s="19"/>
      <c r="U84" s="15"/>
      <c r="V84" s="19" t="n">
        <v>3</v>
      </c>
      <c r="W84" s="19" t="n">
        <v>3</v>
      </c>
      <c r="X84" s="19" t="n">
        <v>4</v>
      </c>
      <c r="Y84" s="19" t="n">
        <v>4</v>
      </c>
      <c r="Z84" s="19" t="n">
        <v>1</v>
      </c>
      <c r="AA84" s="19" t="n">
        <v>1</v>
      </c>
      <c r="AB84" s="19" t="n">
        <v>3</v>
      </c>
      <c r="AC84" s="19" t="n">
        <v>1</v>
      </c>
      <c r="AD84" s="19" t="n">
        <v>1</v>
      </c>
      <c r="AE84" s="19" t="n">
        <v>1</v>
      </c>
      <c r="AF84" s="19" t="n">
        <v>1</v>
      </c>
      <c r="AG84" s="19" t="n">
        <v>4</v>
      </c>
      <c r="AH84" s="19" t="n">
        <v>1</v>
      </c>
      <c r="AI84" s="19" t="n">
        <v>1</v>
      </c>
      <c r="AJ84" s="19" t="n">
        <v>3</v>
      </c>
      <c r="AK84" s="19" t="n">
        <v>4</v>
      </c>
      <c r="AL84" s="19" t="n">
        <v>2</v>
      </c>
      <c r="AM84" s="19" t="n">
        <v>3</v>
      </c>
      <c r="AN84" s="19" t="n">
        <v>2</v>
      </c>
      <c r="AO84" s="19"/>
      <c r="AP84" s="0" t="n">
        <v>64</v>
      </c>
      <c r="AQ84" s="16" t="n">
        <v>74.3</v>
      </c>
      <c r="AR84" s="16" t="n">
        <v>81</v>
      </c>
      <c r="AS84" s="16" t="n">
        <v>58.5</v>
      </c>
      <c r="AT84" s="0" t="n">
        <v>49.17</v>
      </c>
      <c r="AU84" s="0" t="n">
        <v>0</v>
      </c>
      <c r="AV84" s="0" t="n">
        <v>34.45</v>
      </c>
      <c r="AW84" s="0" t="n">
        <v>16.22</v>
      </c>
      <c r="AX84" s="0" t="n">
        <v>0.16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2.52</v>
      </c>
      <c r="BH84" s="0" t="n">
        <v>9.18</v>
      </c>
      <c r="BI84" s="0" t="n">
        <v>0</v>
      </c>
      <c r="BJ84" s="0" t="n">
        <v>0</v>
      </c>
      <c r="BK84" s="0" t="n">
        <v>0</v>
      </c>
      <c r="BL84" s="0" t="n">
        <v>0.3</v>
      </c>
      <c r="BM84" s="0" t="n">
        <v>1</v>
      </c>
      <c r="BN84" s="0" t="n">
        <v>0</v>
      </c>
      <c r="BO84" s="16" t="n">
        <v>2.89</v>
      </c>
      <c r="BP84" s="16" t="n">
        <v>1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0" t="n">
        <v>0</v>
      </c>
    </row>
    <row r="85" customFormat="false" ht="13.8" hidden="false" customHeight="false" outlineLevel="0" collapsed="false">
      <c r="A85" s="0" t="n">
        <v>2</v>
      </c>
      <c r="B85" s="0" t="n">
        <v>30.321697467488</v>
      </c>
      <c r="C85" s="0" t="n">
        <v>0.238193018480493</v>
      </c>
      <c r="D85" s="0" t="n">
        <v>8</v>
      </c>
      <c r="E85" s="0" t="n">
        <v>65</v>
      </c>
      <c r="F85" s="0" t="n">
        <v>1.78</v>
      </c>
      <c r="G85" s="0" t="n">
        <v>20.5150864789799</v>
      </c>
      <c r="H85" s="0" t="n">
        <v>0</v>
      </c>
      <c r="I85" s="0" t="n">
        <v>0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/>
      <c r="R85" s="19"/>
      <c r="S85" s="19" t="n">
        <v>0</v>
      </c>
      <c r="T85" s="19" t="n">
        <v>0</v>
      </c>
      <c r="U85" s="15" t="n">
        <f aca="false">AVERAGE(M85:T85)</f>
        <v>0</v>
      </c>
      <c r="V85" s="19" t="n">
        <v>3</v>
      </c>
      <c r="W85" s="19" t="n">
        <v>1</v>
      </c>
      <c r="X85" s="19" t="n">
        <v>3</v>
      </c>
      <c r="Y85" s="19" t="n">
        <v>5</v>
      </c>
      <c r="Z85" s="19" t="n">
        <v>3</v>
      </c>
      <c r="AA85" s="19" t="n">
        <v>1</v>
      </c>
      <c r="AB85" s="19" t="n">
        <v>4</v>
      </c>
      <c r="AC85" s="19" t="n">
        <v>4</v>
      </c>
      <c r="AD85" s="19" t="n">
        <v>5</v>
      </c>
      <c r="AE85" s="19" t="n">
        <v>5</v>
      </c>
      <c r="AF85" s="19" t="n">
        <v>5</v>
      </c>
      <c r="AG85" s="19" t="n">
        <v>5</v>
      </c>
      <c r="AH85" s="19" t="n">
        <v>3</v>
      </c>
      <c r="AI85" s="19" t="n">
        <v>3</v>
      </c>
      <c r="AJ85" s="19" t="n">
        <v>3</v>
      </c>
      <c r="AK85" s="19" t="n">
        <v>5</v>
      </c>
      <c r="AL85" s="19" t="n">
        <v>5</v>
      </c>
      <c r="AM85" s="19" t="n">
        <v>4</v>
      </c>
      <c r="AN85" s="19" t="n">
        <v>4</v>
      </c>
      <c r="AO85" s="19" t="n">
        <v>10</v>
      </c>
      <c r="AP85" s="0" t="n">
        <v>64</v>
      </c>
      <c r="AQ85" s="16" t="n">
        <v>74.3</v>
      </c>
      <c r="AR85" s="16" t="n">
        <v>81</v>
      </c>
      <c r="AS85" s="16" t="n">
        <v>58.5</v>
      </c>
      <c r="AT85" s="0" t="n">
        <v>49.17</v>
      </c>
      <c r="AU85" s="0" t="n">
        <v>0</v>
      </c>
      <c r="AV85" s="0" t="n">
        <v>34.45</v>
      </c>
      <c r="AW85" s="0" t="n">
        <v>16.22</v>
      </c>
      <c r="AX85" s="0" t="n">
        <v>0.16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2.52</v>
      </c>
      <c r="BH85" s="0" t="n">
        <v>9.18</v>
      </c>
      <c r="BI85" s="0" t="n">
        <v>0</v>
      </c>
      <c r="BJ85" s="0" t="n">
        <v>0</v>
      </c>
      <c r="BK85" s="0" t="n">
        <v>0</v>
      </c>
      <c r="BL85" s="0" t="n">
        <v>0.3</v>
      </c>
      <c r="BM85" s="0" t="n">
        <v>1</v>
      </c>
      <c r="BN85" s="0" t="n">
        <v>0</v>
      </c>
      <c r="BO85" s="16" t="n">
        <v>2.89</v>
      </c>
      <c r="BP85" s="16" t="n">
        <v>1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0" t="n">
        <v>0</v>
      </c>
    </row>
    <row r="86" customFormat="false" ht="13.8" hidden="false" customHeight="false" outlineLevel="0" collapsed="false">
      <c r="A86" s="0" t="n">
        <v>2</v>
      </c>
      <c r="B86" s="0" t="n">
        <v>48.0027378507871</v>
      </c>
      <c r="C86" s="0" t="n">
        <v>22.6584531143053</v>
      </c>
      <c r="D86" s="0" t="n">
        <v>8</v>
      </c>
      <c r="E86" s="0" t="n">
        <v>78</v>
      </c>
      <c r="F86" s="0" t="n">
        <v>1.72</v>
      </c>
      <c r="G86" s="0" t="n">
        <v>26.3656030286641</v>
      </c>
      <c r="H86" s="0" t="n">
        <v>0</v>
      </c>
      <c r="I86" s="0" t="n">
        <v>0</v>
      </c>
      <c r="J86" s="19" t="n">
        <v>1</v>
      </c>
      <c r="K86" s="19" t="n">
        <v>0</v>
      </c>
      <c r="L86" s="19" t="n">
        <v>0</v>
      </c>
      <c r="M86" s="19" t="n">
        <v>5</v>
      </c>
      <c r="N86" s="19" t="n">
        <v>0</v>
      </c>
      <c r="O86" s="19" t="n">
        <v>0</v>
      </c>
      <c r="P86" s="19" t="n">
        <v>0</v>
      </c>
      <c r="Q86" s="19" t="n">
        <v>8</v>
      </c>
      <c r="R86" s="19" t="n">
        <v>8</v>
      </c>
      <c r="S86" s="19" t="n">
        <v>0</v>
      </c>
      <c r="T86" s="19" t="n">
        <v>8</v>
      </c>
      <c r="U86" s="15" t="n">
        <f aca="false">AVERAGE(M86:T86)</f>
        <v>3.625</v>
      </c>
      <c r="V86" s="19" t="n">
        <v>3</v>
      </c>
      <c r="W86" s="19" t="n">
        <v>2</v>
      </c>
      <c r="X86" s="19" t="n">
        <v>5</v>
      </c>
      <c r="Y86" s="19" t="n">
        <v>5</v>
      </c>
      <c r="Z86" s="19" t="n">
        <v>4</v>
      </c>
      <c r="AA86" s="19" t="n">
        <v>3</v>
      </c>
      <c r="AB86" s="19" t="n">
        <v>3</v>
      </c>
      <c r="AC86" s="19" t="n">
        <v>3</v>
      </c>
      <c r="AD86" s="19" t="n">
        <v>2</v>
      </c>
      <c r="AE86" s="19" t="n">
        <v>2</v>
      </c>
      <c r="AF86" s="19" t="n">
        <v>4</v>
      </c>
      <c r="AG86" s="19" t="n">
        <v>5</v>
      </c>
      <c r="AH86" s="19" t="n">
        <v>4</v>
      </c>
      <c r="AI86" s="19" t="n">
        <v>2</v>
      </c>
      <c r="AJ86" s="19" t="n">
        <v>5</v>
      </c>
      <c r="AK86" s="19" t="n">
        <v>4</v>
      </c>
      <c r="AL86" s="19" t="n">
        <v>4</v>
      </c>
      <c r="AM86" s="19" t="n">
        <v>4</v>
      </c>
      <c r="AN86" s="19" t="n">
        <v>4</v>
      </c>
      <c r="AO86" s="19" t="n">
        <v>4</v>
      </c>
      <c r="AP86" s="0" t="n">
        <v>46.5</v>
      </c>
      <c r="AQ86" s="16" t="n">
        <v>82.8</v>
      </c>
      <c r="AR86" s="16" t="n">
        <v>80.4</v>
      </c>
      <c r="AS86" s="16" t="n">
        <v>14.9</v>
      </c>
      <c r="AT86" s="0" t="n">
        <v>82.52</v>
      </c>
      <c r="AU86" s="0" t="n">
        <v>0</v>
      </c>
      <c r="AV86" s="0" t="n">
        <v>0</v>
      </c>
      <c r="AW86" s="0" t="n">
        <v>0</v>
      </c>
      <c r="AX86" s="0" t="n">
        <v>17.48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37.3</v>
      </c>
      <c r="BG86" s="0" t="n">
        <v>16.79</v>
      </c>
      <c r="BH86" s="0" t="n">
        <v>15.04</v>
      </c>
      <c r="BI86" s="0" t="n">
        <v>0</v>
      </c>
      <c r="BJ86" s="0" t="n">
        <v>0</v>
      </c>
      <c r="BK86" s="0" t="n">
        <v>0</v>
      </c>
      <c r="BL86" s="0" t="n">
        <v>18.9</v>
      </c>
      <c r="BM86" s="0" t="n">
        <v>1</v>
      </c>
      <c r="BN86" s="0" t="n">
        <v>1</v>
      </c>
      <c r="BO86" s="16" t="n">
        <v>1.15</v>
      </c>
      <c r="BP86" s="16" t="n">
        <v>1</v>
      </c>
      <c r="BQ86" s="16" t="n">
        <v>9.75</v>
      </c>
      <c r="BR86" s="16" t="n">
        <v>11.26</v>
      </c>
      <c r="BS86" s="16" t="n">
        <v>0</v>
      </c>
      <c r="BT86" s="16" t="n">
        <v>0</v>
      </c>
      <c r="BU86" s="16" t="n">
        <v>0</v>
      </c>
      <c r="BV86" s="0" t="n">
        <v>0</v>
      </c>
    </row>
    <row r="87" customFormat="false" ht="13.8" hidden="false" customHeight="false" outlineLevel="0" collapsed="false">
      <c r="A87" s="0" t="n">
        <v>2</v>
      </c>
      <c r="B87" s="0" t="n">
        <v>39.0746064339493</v>
      </c>
      <c r="C87" s="0" t="n">
        <v>0.199863107460643</v>
      </c>
      <c r="D87" s="0" t="n">
        <v>8</v>
      </c>
      <c r="E87" s="0" t="n">
        <v>80</v>
      </c>
      <c r="F87" s="0" t="n">
        <v>1.8</v>
      </c>
      <c r="G87" s="0" t="n">
        <v>24.6913580246914</v>
      </c>
      <c r="H87" s="0" t="n">
        <v>0</v>
      </c>
      <c r="I87" s="0" t="n">
        <v>0</v>
      </c>
      <c r="J87" s="19" t="n">
        <v>1</v>
      </c>
      <c r="K87" s="19" t="n">
        <v>2</v>
      </c>
      <c r="L87" s="19" t="n">
        <v>0</v>
      </c>
      <c r="M87" s="19" t="n">
        <v>0</v>
      </c>
      <c r="N87" s="19" t="n">
        <v>0</v>
      </c>
      <c r="O87" s="19" t="n">
        <v>0</v>
      </c>
      <c r="P87" s="19" t="n">
        <v>0</v>
      </c>
      <c r="Q87" s="19" t="n">
        <v>0</v>
      </c>
      <c r="R87" s="19" t="n">
        <v>0</v>
      </c>
      <c r="S87" s="19" t="n">
        <v>0</v>
      </c>
      <c r="T87" s="19" t="n">
        <v>0</v>
      </c>
      <c r="U87" s="15" t="n">
        <f aca="false">AVERAGE(M87:T87)</f>
        <v>0</v>
      </c>
      <c r="V87" s="19" t="n">
        <v>2</v>
      </c>
      <c r="W87" s="19" t="n">
        <v>2</v>
      </c>
      <c r="X87" s="19" t="n">
        <v>4</v>
      </c>
      <c r="Y87" s="19" t="n">
        <v>4</v>
      </c>
      <c r="Z87" s="19" t="n">
        <v>2</v>
      </c>
      <c r="AA87" s="19" t="n">
        <v>2</v>
      </c>
      <c r="AB87" s="19" t="n">
        <v>2</v>
      </c>
      <c r="AC87" s="19" t="n">
        <v>2</v>
      </c>
      <c r="AD87" s="19" t="n">
        <v>2</v>
      </c>
      <c r="AE87" s="19" t="n">
        <v>4</v>
      </c>
      <c r="AF87" s="19" t="n">
        <v>4</v>
      </c>
      <c r="AG87" s="19" t="n">
        <v>4</v>
      </c>
      <c r="AH87" s="19" t="n">
        <v>3</v>
      </c>
      <c r="AI87" s="19" t="n">
        <v>2</v>
      </c>
      <c r="AJ87" s="19" t="n">
        <v>2</v>
      </c>
      <c r="AK87" s="19" t="n">
        <v>5</v>
      </c>
      <c r="AL87" s="19" t="n">
        <v>4</v>
      </c>
      <c r="AM87" s="19" t="n">
        <v>4</v>
      </c>
      <c r="AN87" s="19" t="n">
        <v>4</v>
      </c>
      <c r="AO87" s="19" t="n">
        <v>10</v>
      </c>
      <c r="AP87" s="0" t="n">
        <v>32</v>
      </c>
      <c r="AQ87" s="16" t="n">
        <v>75</v>
      </c>
      <c r="AR87" s="16" t="n">
        <v>80.4</v>
      </c>
      <c r="AS87" s="16" t="n">
        <v>22.6</v>
      </c>
      <c r="AT87" s="0" t="n">
        <v>76.24</v>
      </c>
      <c r="AU87" s="0" t="n">
        <v>0</v>
      </c>
      <c r="AV87" s="0" t="n">
        <v>15.36</v>
      </c>
      <c r="AW87" s="0" t="n">
        <v>1.93</v>
      </c>
      <c r="AX87" s="0" t="n">
        <v>6.47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32.86</v>
      </c>
      <c r="BG87" s="0" t="n">
        <v>26.39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5.6</v>
      </c>
      <c r="BM87" s="0" t="n">
        <v>1</v>
      </c>
      <c r="BN87" s="0" t="n">
        <v>1</v>
      </c>
      <c r="BO87" s="16" t="n">
        <v>1.43</v>
      </c>
      <c r="BP87" s="16" t="n">
        <v>1</v>
      </c>
      <c r="BQ87" s="16" t="n">
        <v>1.7</v>
      </c>
      <c r="BR87" s="16" t="n">
        <v>1.7</v>
      </c>
      <c r="BS87" s="16" t="n">
        <v>0</v>
      </c>
      <c r="BT87" s="16" t="n">
        <v>0</v>
      </c>
      <c r="BU87" s="16" t="n">
        <v>0</v>
      </c>
      <c r="BV87" s="0" t="n">
        <v>0</v>
      </c>
    </row>
    <row r="88" customFormat="false" ht="13.8" hidden="false" customHeight="false" outlineLevel="0" collapsed="false">
      <c r="A88" s="0" t="n">
        <v>2</v>
      </c>
      <c r="B88" s="0" t="n">
        <v>23.5400410677618</v>
      </c>
      <c r="C88" s="0" t="n">
        <v>0.303901437371663</v>
      </c>
      <c r="D88" s="0" t="n">
        <v>8</v>
      </c>
      <c r="E88" s="0" t="n">
        <v>69</v>
      </c>
      <c r="F88" s="0" t="n">
        <v>1.73</v>
      </c>
      <c r="G88" s="0" t="n">
        <v>23.0545624644993</v>
      </c>
      <c r="H88" s="0" t="n">
        <v>0</v>
      </c>
      <c r="I88" s="0" t="n">
        <v>0</v>
      </c>
      <c r="J88" s="19" t="n">
        <v>1</v>
      </c>
      <c r="K88" s="19" t="n">
        <v>3</v>
      </c>
      <c r="L88" s="19" t="n">
        <v>0</v>
      </c>
      <c r="M88" s="19" t="n">
        <v>0</v>
      </c>
      <c r="N88" s="19" t="n">
        <v>0</v>
      </c>
      <c r="O88" s="19" t="n">
        <v>4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0</v>
      </c>
      <c r="U88" s="15" t="n">
        <f aca="false">AVERAGE(M88:T88)</f>
        <v>0.5</v>
      </c>
      <c r="V88" s="19" t="n">
        <v>3</v>
      </c>
      <c r="W88" s="19" t="n">
        <v>2</v>
      </c>
      <c r="X88" s="19" t="n">
        <v>3</v>
      </c>
      <c r="Y88" s="19" t="n">
        <v>5</v>
      </c>
      <c r="Z88" s="19" t="n">
        <v>2</v>
      </c>
      <c r="AA88" s="19" t="n">
        <v>1</v>
      </c>
      <c r="AB88" s="19" t="n">
        <v>2</v>
      </c>
      <c r="AC88" s="19" t="n">
        <v>3</v>
      </c>
      <c r="AD88" s="19" t="n">
        <v>5</v>
      </c>
      <c r="AE88" s="19" t="n">
        <v>5</v>
      </c>
      <c r="AF88" s="19" t="n">
        <v>5</v>
      </c>
      <c r="AG88" s="19" t="n">
        <v>5</v>
      </c>
      <c r="AH88" s="19" t="n">
        <v>5</v>
      </c>
      <c r="AI88" s="19" t="n">
        <v>5</v>
      </c>
      <c r="AJ88" s="19" t="n">
        <v>5</v>
      </c>
      <c r="AK88" s="19" t="n">
        <v>5</v>
      </c>
      <c r="AL88" s="19" t="n">
        <v>4</v>
      </c>
      <c r="AM88" s="19" t="n">
        <v>4</v>
      </c>
      <c r="AN88" s="19" t="n">
        <v>4</v>
      </c>
      <c r="AO88" s="19" t="n">
        <v>8</v>
      </c>
      <c r="AP88" s="0" t="n">
        <v>34.5</v>
      </c>
      <c r="AQ88" s="16" t="n">
        <v>88.3</v>
      </c>
      <c r="AR88" s="16" t="n">
        <v>80.4</v>
      </c>
      <c r="AS88" s="16" t="n">
        <v>22.8</v>
      </c>
      <c r="AT88" s="0" t="n">
        <v>73.89</v>
      </c>
      <c r="AU88" s="0" t="n">
        <v>0</v>
      </c>
      <c r="AV88" s="0" t="n">
        <v>14.94</v>
      </c>
      <c r="AW88" s="0" t="n">
        <v>0.5</v>
      </c>
      <c r="AX88" s="0" t="n">
        <v>10.66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46.29</v>
      </c>
      <c r="BG88" s="0" t="n">
        <v>23.15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2.8</v>
      </c>
      <c r="BM88" s="0" t="n">
        <v>1</v>
      </c>
      <c r="BN88" s="0" t="n">
        <v>1</v>
      </c>
      <c r="BO88" s="16" t="n">
        <v>3.05</v>
      </c>
      <c r="BP88" s="16" t="n">
        <v>1</v>
      </c>
      <c r="BQ88" s="16" t="n">
        <v>4.5</v>
      </c>
      <c r="BR88" s="16" t="n">
        <v>1.2</v>
      </c>
      <c r="BS88" s="16" t="n">
        <v>0</v>
      </c>
      <c r="BT88" s="16" t="n">
        <v>0</v>
      </c>
      <c r="BU88" s="16" t="n">
        <v>0</v>
      </c>
      <c r="BV88" s="0" t="n">
        <v>0</v>
      </c>
    </row>
    <row r="89" customFormat="false" ht="13.8" hidden="false" customHeight="false" outlineLevel="0" collapsed="false">
      <c r="A89" s="0" t="n">
        <v>2</v>
      </c>
      <c r="B89" s="0" t="n">
        <v>18.8966461327858</v>
      </c>
      <c r="C89" s="0" t="n">
        <v>0.180698151950719</v>
      </c>
      <c r="D89" s="0" t="n">
        <v>8</v>
      </c>
      <c r="E89" s="0" t="n">
        <v>58</v>
      </c>
      <c r="F89" s="0" t="n">
        <v>1.75</v>
      </c>
      <c r="G89" s="0" t="n">
        <v>18.9387755102041</v>
      </c>
      <c r="H89" s="0" t="n">
        <v>0</v>
      </c>
      <c r="I89" s="0" t="n">
        <v>0</v>
      </c>
      <c r="J89" s="19" t="n">
        <v>1</v>
      </c>
      <c r="K89" s="19" t="n">
        <v>1</v>
      </c>
      <c r="L89" s="19" t="n">
        <v>0</v>
      </c>
      <c r="M89" s="19" t="n">
        <v>0</v>
      </c>
      <c r="N89" s="19"/>
      <c r="O89" s="19" t="n">
        <v>0</v>
      </c>
      <c r="P89" s="19" t="n">
        <v>0</v>
      </c>
      <c r="Q89" s="19"/>
      <c r="R89" s="19"/>
      <c r="S89" s="19" t="n">
        <v>0</v>
      </c>
      <c r="T89" s="19" t="n">
        <v>0</v>
      </c>
      <c r="U89" s="15" t="n">
        <f aca="false">AVERAGE(M89:T89)</f>
        <v>0</v>
      </c>
      <c r="V89" s="19" t="n">
        <v>3</v>
      </c>
      <c r="W89" s="19" t="n">
        <v>3</v>
      </c>
      <c r="X89" s="19" t="n">
        <v>3</v>
      </c>
      <c r="Y89" s="19" t="n">
        <v>4</v>
      </c>
      <c r="Z89" s="19" t="n">
        <v>2</v>
      </c>
      <c r="AA89" s="19" t="n">
        <v>3</v>
      </c>
      <c r="AB89" s="19" t="n">
        <v>3</v>
      </c>
      <c r="AC89" s="19" t="n">
        <v>4</v>
      </c>
      <c r="AD89" s="19" t="n">
        <v>4</v>
      </c>
      <c r="AE89" s="19" t="n">
        <v>4</v>
      </c>
      <c r="AF89" s="19" t="n">
        <v>4</v>
      </c>
      <c r="AG89" s="19" t="n">
        <v>3</v>
      </c>
      <c r="AH89" s="19" t="n">
        <v>3</v>
      </c>
      <c r="AI89" s="19" t="n">
        <v>4</v>
      </c>
      <c r="AJ89" s="19" t="n">
        <v>4</v>
      </c>
      <c r="AK89" s="19" t="n">
        <v>4</v>
      </c>
      <c r="AL89" s="19" t="n">
        <v>3</v>
      </c>
      <c r="AM89" s="19" t="n">
        <v>4</v>
      </c>
      <c r="AN89" s="19" t="n">
        <v>4</v>
      </c>
      <c r="AO89" s="19" t="n">
        <v>9</v>
      </c>
      <c r="AP89" s="0" t="n">
        <v>34.5</v>
      </c>
      <c r="AQ89" s="16" t="n">
        <v>88.3</v>
      </c>
      <c r="AR89" s="16" t="n">
        <v>80.4</v>
      </c>
      <c r="AS89" s="16" t="n">
        <v>22.8</v>
      </c>
      <c r="AT89" s="0" t="n">
        <v>73.89</v>
      </c>
      <c r="AU89" s="0" t="n">
        <v>0</v>
      </c>
      <c r="AV89" s="0" t="n">
        <v>14.94</v>
      </c>
      <c r="AW89" s="0" t="n">
        <v>0.5</v>
      </c>
      <c r="AX89" s="0" t="n">
        <v>10.66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46.29</v>
      </c>
      <c r="BG89" s="0" t="n">
        <v>23.15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2.8</v>
      </c>
      <c r="BM89" s="0" t="n">
        <v>1</v>
      </c>
      <c r="BN89" s="0" t="n">
        <v>1</v>
      </c>
      <c r="BO89" s="16" t="n">
        <v>3.05</v>
      </c>
      <c r="BP89" s="16" t="n">
        <v>1</v>
      </c>
      <c r="BQ89" s="16" t="n">
        <v>4.5</v>
      </c>
      <c r="BR89" s="16" t="n">
        <v>1.2</v>
      </c>
      <c r="BS89" s="16" t="n">
        <v>0</v>
      </c>
      <c r="BT89" s="16" t="n">
        <v>0</v>
      </c>
      <c r="BU89" s="16" t="n">
        <v>0</v>
      </c>
      <c r="BV89" s="0" t="n">
        <v>0</v>
      </c>
    </row>
    <row r="90" customFormat="false" ht="13.8" hidden="false" customHeight="false" outlineLevel="0" collapsed="false">
      <c r="A90" s="0" t="n">
        <v>2</v>
      </c>
      <c r="B90" s="0" t="n">
        <v>29.2922655715263</v>
      </c>
      <c r="C90" s="0" t="n">
        <v>0.227241615331964</v>
      </c>
      <c r="D90" s="0" t="n">
        <v>8</v>
      </c>
      <c r="E90" s="0" t="n">
        <v>71</v>
      </c>
      <c r="F90" s="0" t="n">
        <v>1.75</v>
      </c>
      <c r="G90" s="0" t="n">
        <v>23.1836734693878</v>
      </c>
      <c r="H90" s="0" t="n">
        <v>0</v>
      </c>
      <c r="I90" s="0" t="n">
        <v>0</v>
      </c>
      <c r="J90" s="19" t="n">
        <v>1</v>
      </c>
      <c r="K90" s="19" t="n">
        <v>1</v>
      </c>
      <c r="L90" s="19" t="n">
        <v>0</v>
      </c>
      <c r="M90" s="19" t="n">
        <v>0</v>
      </c>
      <c r="N90" s="19" t="n">
        <v>0</v>
      </c>
      <c r="O90" s="19" t="n">
        <v>0</v>
      </c>
      <c r="P90" s="19" t="n">
        <v>0</v>
      </c>
      <c r="Q90" s="19" t="n">
        <v>0</v>
      </c>
      <c r="R90" s="19" t="n">
        <v>0</v>
      </c>
      <c r="S90" s="19" t="n">
        <v>0</v>
      </c>
      <c r="T90" s="19" t="n">
        <v>0</v>
      </c>
      <c r="U90" s="15" t="n">
        <f aca="false">AVERAGE(M90:T90)</f>
        <v>0</v>
      </c>
      <c r="V90" s="19" t="n">
        <v>2</v>
      </c>
      <c r="W90" s="19" t="n">
        <v>1</v>
      </c>
      <c r="X90" s="19" t="n">
        <v>3</v>
      </c>
      <c r="Y90" s="19" t="n">
        <v>2</v>
      </c>
      <c r="Z90" s="19" t="n">
        <v>2</v>
      </c>
      <c r="AA90" s="19" t="n">
        <v>1</v>
      </c>
      <c r="AB90" s="19" t="n">
        <v>1</v>
      </c>
      <c r="AC90" s="19" t="n">
        <v>1</v>
      </c>
      <c r="AD90" s="19" t="n">
        <v>3</v>
      </c>
      <c r="AE90" s="19" t="n">
        <v>5</v>
      </c>
      <c r="AF90" s="19" t="n">
        <v>5</v>
      </c>
      <c r="AG90" s="19" t="n">
        <v>5</v>
      </c>
      <c r="AH90" s="19" t="n">
        <v>1</v>
      </c>
      <c r="AI90" s="19" t="n">
        <v>4</v>
      </c>
      <c r="AJ90" s="19" t="n">
        <v>5</v>
      </c>
      <c r="AK90" s="19" t="n">
        <v>4</v>
      </c>
      <c r="AL90" s="19" t="n">
        <v>4</v>
      </c>
      <c r="AM90" s="19" t="n">
        <v>4</v>
      </c>
      <c r="AN90" s="19" t="n">
        <v>3</v>
      </c>
      <c r="AO90" s="19" t="n">
        <v>10</v>
      </c>
      <c r="AP90" s="0" t="n">
        <v>32</v>
      </c>
      <c r="AQ90" s="16" t="n">
        <v>75</v>
      </c>
      <c r="AR90" s="16" t="n">
        <v>80.4</v>
      </c>
      <c r="AS90" s="16" t="n">
        <v>22.6</v>
      </c>
      <c r="AT90" s="0" t="n">
        <v>76.24</v>
      </c>
      <c r="AU90" s="0" t="n">
        <v>0</v>
      </c>
      <c r="AV90" s="0" t="n">
        <v>15.36</v>
      </c>
      <c r="AW90" s="0" t="n">
        <v>1.93</v>
      </c>
      <c r="AX90" s="0" t="n">
        <v>6.47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32.86</v>
      </c>
      <c r="BG90" s="0" t="n">
        <v>26.39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5.6</v>
      </c>
      <c r="BM90" s="0" t="n">
        <v>1</v>
      </c>
      <c r="BN90" s="0" t="n">
        <v>1</v>
      </c>
      <c r="BO90" s="16" t="n">
        <v>1.43</v>
      </c>
      <c r="BP90" s="16" t="n">
        <v>1</v>
      </c>
      <c r="BQ90" s="16" t="n">
        <v>1.7</v>
      </c>
      <c r="BR90" s="16" t="n">
        <v>1.7</v>
      </c>
      <c r="BS90" s="16" t="n">
        <v>0</v>
      </c>
      <c r="BT90" s="16" t="n">
        <v>0</v>
      </c>
      <c r="BU90" s="16" t="n">
        <v>0</v>
      </c>
      <c r="BV90" s="0" t="n">
        <v>0</v>
      </c>
    </row>
    <row r="91" customFormat="false" ht="13.8" hidden="false" customHeight="false" outlineLevel="0" collapsed="false">
      <c r="A91" s="0" t="n">
        <v>2</v>
      </c>
      <c r="B91" s="0" t="n">
        <v>43.1813826146475</v>
      </c>
      <c r="C91" s="0" t="n">
        <v>22.2012320328542</v>
      </c>
      <c r="E91" s="0" t="n">
        <v>72</v>
      </c>
      <c r="F91" s="0" t="n">
        <v>1.81</v>
      </c>
      <c r="G91" s="0" t="n">
        <v>21.9773511187082</v>
      </c>
      <c r="H91" s="0" t="n">
        <v>0</v>
      </c>
      <c r="I91" s="0" t="n">
        <v>0</v>
      </c>
      <c r="J91" s="19" t="n">
        <v>0</v>
      </c>
      <c r="K91" s="19" t="n">
        <v>0</v>
      </c>
      <c r="L91" s="19" t="n">
        <v>0</v>
      </c>
      <c r="M91" s="19" t="n">
        <v>0</v>
      </c>
      <c r="N91" s="19" t="n">
        <v>0</v>
      </c>
      <c r="O91" s="19" t="n">
        <v>0</v>
      </c>
      <c r="P91" s="19" t="n">
        <v>0</v>
      </c>
      <c r="Q91" s="19" t="n">
        <v>0</v>
      </c>
      <c r="R91" s="19" t="n">
        <v>0</v>
      </c>
      <c r="S91" s="19" t="n">
        <v>0</v>
      </c>
      <c r="T91" s="19" t="n">
        <v>0</v>
      </c>
      <c r="U91" s="15" t="n">
        <f aca="false">AVERAGE(M91:T91)</f>
        <v>0</v>
      </c>
      <c r="V91" s="19" t="n">
        <v>1</v>
      </c>
      <c r="W91" s="19" t="n">
        <v>2</v>
      </c>
      <c r="X91" s="19" t="n">
        <v>2</v>
      </c>
      <c r="Y91" s="19" t="n">
        <v>5</v>
      </c>
      <c r="Z91" s="19" t="n">
        <v>5</v>
      </c>
      <c r="AA91" s="19" t="n">
        <v>5</v>
      </c>
      <c r="AB91" s="19" t="n">
        <v>4</v>
      </c>
      <c r="AC91" s="19" t="n">
        <v>5</v>
      </c>
      <c r="AD91" s="19" t="n">
        <v>4</v>
      </c>
      <c r="AE91" s="19" t="n">
        <v>4</v>
      </c>
      <c r="AF91" s="19" t="n">
        <v>4</v>
      </c>
      <c r="AG91" s="19" t="n">
        <v>5</v>
      </c>
      <c r="AH91" s="19" t="n">
        <v>4</v>
      </c>
      <c r="AI91" s="19" t="n">
        <v>4</v>
      </c>
      <c r="AJ91" s="19" t="n">
        <v>3</v>
      </c>
      <c r="AK91" s="19" t="n">
        <v>4</v>
      </c>
      <c r="AL91" s="19" t="n">
        <v>4</v>
      </c>
      <c r="AM91" s="19" t="n">
        <v>4</v>
      </c>
      <c r="AN91" s="19" t="n">
        <v>4</v>
      </c>
      <c r="AO91" s="19" t="n">
        <v>10</v>
      </c>
      <c r="AP91" s="19"/>
      <c r="AQ91" s="19"/>
      <c r="AR91" s="19"/>
      <c r="AS91" s="19"/>
      <c r="AT91" s="19"/>
      <c r="AU91" s="0" t="n">
        <v>0</v>
      </c>
      <c r="AV91" s="19"/>
      <c r="AW91" s="19"/>
      <c r="AX91" s="19"/>
      <c r="AY91" s="19"/>
      <c r="AZ91" s="19"/>
      <c r="BA91" s="0" t="n">
        <v>0</v>
      </c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0"/>
      <c r="BO91" s="0"/>
      <c r="BP91" s="15"/>
      <c r="BR91" s="0"/>
      <c r="BT91" s="0"/>
      <c r="BU91" s="15"/>
      <c r="BV91" s="15"/>
    </row>
    <row r="92" customFormat="false" ht="13.8" hidden="false" customHeight="false" outlineLevel="0" collapsed="false">
      <c r="A92" s="0" t="n">
        <v>2</v>
      </c>
      <c r="B92" s="0" t="n">
        <v>23.2936344969199</v>
      </c>
      <c r="C92" s="0" t="n">
        <v>0.295687885010267</v>
      </c>
      <c r="D92" s="0" t="n">
        <v>8</v>
      </c>
      <c r="E92" s="0" t="n">
        <v>70</v>
      </c>
      <c r="F92" s="0" t="n">
        <v>1.83</v>
      </c>
      <c r="G92" s="0" t="n">
        <v>20.9023858580429</v>
      </c>
      <c r="H92" s="0" t="n">
        <v>0</v>
      </c>
      <c r="I92" s="0" t="n">
        <v>0</v>
      </c>
      <c r="J92" s="19" t="n">
        <v>0</v>
      </c>
      <c r="K92" s="19" t="n">
        <v>1</v>
      </c>
      <c r="L92" s="19" t="n">
        <v>1</v>
      </c>
      <c r="M92" s="19" t="n">
        <v>0</v>
      </c>
      <c r="N92" s="19" t="n">
        <v>0</v>
      </c>
      <c r="O92" s="19" t="n">
        <v>0</v>
      </c>
      <c r="P92" s="19" t="n">
        <v>0</v>
      </c>
      <c r="Q92" s="19" t="n">
        <v>0</v>
      </c>
      <c r="R92" s="19" t="n">
        <v>0</v>
      </c>
      <c r="S92" s="19" t="n">
        <v>0</v>
      </c>
      <c r="T92" s="19" t="n">
        <v>0</v>
      </c>
      <c r="U92" s="15" t="n">
        <f aca="false">AVERAGE(M92:T92)</f>
        <v>0</v>
      </c>
      <c r="V92" s="19" t="n">
        <v>2</v>
      </c>
      <c r="W92" s="19" t="n">
        <v>2</v>
      </c>
      <c r="X92" s="19" t="n">
        <v>3</v>
      </c>
      <c r="Y92" s="19" t="n">
        <v>5</v>
      </c>
      <c r="Z92" s="19" t="n">
        <v>1</v>
      </c>
      <c r="AA92" s="19" t="n">
        <v>2</v>
      </c>
      <c r="AB92" s="19" t="n">
        <v>3</v>
      </c>
      <c r="AC92" s="19" t="n">
        <v>2</v>
      </c>
      <c r="AD92" s="19" t="n">
        <v>1</v>
      </c>
      <c r="AE92" s="19" t="n">
        <v>4</v>
      </c>
      <c r="AF92" s="19" t="n">
        <v>4</v>
      </c>
      <c r="AG92" s="19" t="n">
        <v>5</v>
      </c>
      <c r="AH92" s="19" t="n">
        <v>1</v>
      </c>
      <c r="AI92" s="19" t="n">
        <v>3</v>
      </c>
      <c r="AJ92" s="19" t="n">
        <v>2</v>
      </c>
      <c r="AK92" s="19" t="n">
        <v>5</v>
      </c>
      <c r="AL92" s="19" t="n">
        <v>2</v>
      </c>
      <c r="AM92" s="19" t="n">
        <v>2</v>
      </c>
      <c r="AN92" s="19" t="n">
        <v>4</v>
      </c>
      <c r="AO92" s="19" t="n">
        <v>7</v>
      </c>
      <c r="AP92" s="0" t="n">
        <v>19.5</v>
      </c>
      <c r="AQ92" s="16" t="n">
        <v>74.3</v>
      </c>
      <c r="AR92" s="16" t="n">
        <v>80.4</v>
      </c>
      <c r="AS92" s="16" t="n">
        <v>7.8</v>
      </c>
      <c r="AT92" s="0" t="n">
        <v>89.52</v>
      </c>
      <c r="AU92" s="0" t="n">
        <v>8.69</v>
      </c>
      <c r="AV92" s="0" t="n">
        <v>1.79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18.73</v>
      </c>
      <c r="BG92" s="0" t="n">
        <v>9.35</v>
      </c>
      <c r="BH92" s="0" t="n">
        <v>0</v>
      </c>
      <c r="BI92" s="0" t="n">
        <v>0</v>
      </c>
      <c r="BJ92" s="0" t="n">
        <v>0</v>
      </c>
      <c r="BK92" s="0"/>
      <c r="BL92" s="0" t="n">
        <v>3.92</v>
      </c>
      <c r="BM92" s="0" t="n">
        <v>1</v>
      </c>
      <c r="BN92" s="0" t="n">
        <v>1</v>
      </c>
      <c r="BO92" s="16" t="n">
        <v>2.24</v>
      </c>
      <c r="BP92" s="16" t="n">
        <v>1</v>
      </c>
      <c r="BQ92" s="16" t="n">
        <v>5.49</v>
      </c>
      <c r="BR92" s="16" t="n">
        <v>7.22</v>
      </c>
      <c r="BS92" s="16" t="n">
        <v>0</v>
      </c>
      <c r="BT92" s="16" t="n">
        <v>0</v>
      </c>
      <c r="BU92" s="16" t="n">
        <v>0</v>
      </c>
      <c r="BV92" s="0" t="n">
        <v>0</v>
      </c>
    </row>
    <row r="93" customFormat="false" ht="13.8" hidden="false" customHeight="false" outlineLevel="0" collapsed="false">
      <c r="A93" s="0" t="n">
        <v>2</v>
      </c>
      <c r="B93" s="0" t="n">
        <v>18.3600273785079</v>
      </c>
      <c r="C93" s="0" t="n">
        <v>0.254620123203285</v>
      </c>
      <c r="D93" s="0" t="n">
        <v>8</v>
      </c>
      <c r="E93" s="0" t="n">
        <v>53</v>
      </c>
      <c r="F93" s="0" t="n">
        <v>1.64</v>
      </c>
      <c r="G93" s="0" t="n">
        <v>19.7055324211779</v>
      </c>
      <c r="H93" s="0" t="n">
        <v>0</v>
      </c>
      <c r="I93" s="0" t="n">
        <v>0</v>
      </c>
      <c r="J93" s="19" t="n">
        <v>1</v>
      </c>
      <c r="K93" s="19" t="n">
        <v>1</v>
      </c>
      <c r="L93" s="19" t="n">
        <v>1</v>
      </c>
      <c r="M93" s="19" t="n">
        <v>0</v>
      </c>
      <c r="N93" s="19" t="n">
        <v>0</v>
      </c>
      <c r="O93" s="19" t="n">
        <v>0</v>
      </c>
      <c r="P93" s="19" t="n">
        <v>0</v>
      </c>
      <c r="Q93" s="19" t="n">
        <v>0</v>
      </c>
      <c r="R93" s="19" t="n">
        <v>0</v>
      </c>
      <c r="S93" s="19" t="n">
        <v>0</v>
      </c>
      <c r="T93" s="19" t="n">
        <v>0</v>
      </c>
      <c r="U93" s="15" t="n">
        <f aca="false">AVERAGE(M93:T93)</f>
        <v>0</v>
      </c>
      <c r="V93" s="19" t="n">
        <v>1</v>
      </c>
      <c r="W93" s="19" t="n">
        <v>2</v>
      </c>
      <c r="X93" s="19" t="n">
        <v>2</v>
      </c>
      <c r="Y93" s="19" t="n">
        <v>3</v>
      </c>
      <c r="Z93" s="19" t="n">
        <v>2</v>
      </c>
      <c r="AA93" s="19" t="n">
        <v>2</v>
      </c>
      <c r="AB93" s="19" t="n">
        <v>1</v>
      </c>
      <c r="AC93" s="19" t="n">
        <v>2</v>
      </c>
      <c r="AD93" s="19" t="n">
        <v>3</v>
      </c>
      <c r="AE93" s="19" t="n">
        <v>4</v>
      </c>
      <c r="AF93" s="19" t="n">
        <v>5</v>
      </c>
      <c r="AG93" s="19" t="n">
        <v>5</v>
      </c>
      <c r="AH93" s="19" t="n">
        <v>3</v>
      </c>
      <c r="AI93" s="19" t="n">
        <v>4</v>
      </c>
      <c r="AJ93" s="19" t="n">
        <v>4</v>
      </c>
      <c r="AK93" s="19" t="n">
        <v>5</v>
      </c>
      <c r="AL93" s="19" t="n">
        <v>3</v>
      </c>
      <c r="AM93" s="19" t="n">
        <v>4</v>
      </c>
      <c r="AN93" s="19" t="n">
        <v>4</v>
      </c>
      <c r="AO93" s="19" t="n">
        <v>7</v>
      </c>
      <c r="AP93" s="0" t="n">
        <v>34.5</v>
      </c>
      <c r="AQ93" s="16" t="n">
        <v>88.3</v>
      </c>
      <c r="AR93" s="16" t="n">
        <v>80.4</v>
      </c>
      <c r="AS93" s="16" t="n">
        <v>22.8</v>
      </c>
      <c r="AT93" s="0" t="n">
        <v>73.89</v>
      </c>
      <c r="AU93" s="0" t="n">
        <v>0</v>
      </c>
      <c r="AV93" s="0" t="n">
        <v>14.94</v>
      </c>
      <c r="AW93" s="0" t="n">
        <v>0.5</v>
      </c>
      <c r="AX93" s="0" t="n">
        <v>10.66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46.29</v>
      </c>
      <c r="BG93" s="0" t="n">
        <v>23.15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2.8</v>
      </c>
      <c r="BM93" s="0" t="n">
        <v>1</v>
      </c>
      <c r="BN93" s="0" t="n">
        <v>1</v>
      </c>
      <c r="BO93" s="16" t="n">
        <v>3.05</v>
      </c>
      <c r="BP93" s="16" t="n">
        <v>1</v>
      </c>
      <c r="BQ93" s="16" t="n">
        <v>4.5</v>
      </c>
      <c r="BR93" s="16" t="n">
        <v>1.2</v>
      </c>
      <c r="BS93" s="16" t="n">
        <v>0</v>
      </c>
      <c r="BT93" s="16" t="n">
        <v>0</v>
      </c>
      <c r="BU93" s="16" t="n">
        <v>0</v>
      </c>
      <c r="BV93" s="0" t="n">
        <v>0</v>
      </c>
    </row>
    <row r="94" customFormat="false" ht="13.8" hidden="false" customHeight="false" outlineLevel="0" collapsed="false">
      <c r="A94" s="0" t="n">
        <v>1</v>
      </c>
      <c r="B94" s="0" t="n">
        <v>42.8446269678303</v>
      </c>
      <c r="C94" s="0" t="n">
        <v>8.95824777549624</v>
      </c>
      <c r="D94" s="0" t="n">
        <v>8</v>
      </c>
      <c r="E94" s="0" t="n">
        <v>62</v>
      </c>
      <c r="F94" s="0" t="n">
        <v>1.67</v>
      </c>
      <c r="G94" s="0" t="n">
        <v>22.2309871275413</v>
      </c>
      <c r="H94" s="0" t="n">
        <v>0</v>
      </c>
      <c r="I94" s="0" t="n">
        <v>0</v>
      </c>
      <c r="J94" s="19" t="n">
        <v>0</v>
      </c>
      <c r="K94" s="19" t="n">
        <v>3</v>
      </c>
      <c r="L94" s="19" t="n">
        <v>0</v>
      </c>
      <c r="M94" s="19" t="n">
        <v>0</v>
      </c>
      <c r="N94" s="19" t="n">
        <v>6</v>
      </c>
      <c r="O94" s="19" t="n">
        <v>8</v>
      </c>
      <c r="P94" s="19" t="n">
        <v>6</v>
      </c>
      <c r="Q94" s="19" t="n">
        <v>9</v>
      </c>
      <c r="R94" s="19" t="n">
        <v>7</v>
      </c>
      <c r="S94" s="19"/>
      <c r="T94" s="19"/>
      <c r="U94" s="15" t="n">
        <f aca="false">AVERAGE(M94:T94)</f>
        <v>6</v>
      </c>
      <c r="V94" s="19" t="n">
        <v>3</v>
      </c>
      <c r="W94" s="19" t="n">
        <v>3</v>
      </c>
      <c r="X94" s="19" t="n">
        <v>3</v>
      </c>
      <c r="Y94" s="19" t="n">
        <v>5</v>
      </c>
      <c r="Z94" s="19" t="n">
        <v>1</v>
      </c>
      <c r="AA94" s="19" t="n">
        <v>3</v>
      </c>
      <c r="AB94" s="19" t="n">
        <v>1</v>
      </c>
      <c r="AC94" s="19" t="n">
        <v>5</v>
      </c>
      <c r="AD94" s="19" t="n">
        <v>5</v>
      </c>
      <c r="AE94" s="19" t="n">
        <v>5</v>
      </c>
      <c r="AF94" s="19" t="n">
        <v>5</v>
      </c>
      <c r="AG94" s="19" t="n">
        <v>5</v>
      </c>
      <c r="AH94" s="19" t="n">
        <v>5</v>
      </c>
      <c r="AI94" s="19" t="n">
        <v>5</v>
      </c>
      <c r="AJ94" s="19" t="n">
        <v>4</v>
      </c>
      <c r="AK94" s="19" t="n">
        <v>4</v>
      </c>
      <c r="AL94" s="19" t="n">
        <v>5</v>
      </c>
      <c r="AM94" s="19" t="n">
        <v>4</v>
      </c>
      <c r="AN94" s="19" t="n">
        <v>5</v>
      </c>
      <c r="AO94" s="19" t="n">
        <v>6</v>
      </c>
      <c r="AP94" s="0" t="n">
        <v>37</v>
      </c>
      <c r="AQ94" s="16" t="n">
        <v>95.1</v>
      </c>
      <c r="AR94" s="16" t="n">
        <v>80.4</v>
      </c>
      <c r="AS94" s="16" t="n">
        <v>15.9</v>
      </c>
      <c r="AT94" s="0" t="n">
        <v>82.71</v>
      </c>
      <c r="AU94" s="17" t="n">
        <v>0</v>
      </c>
      <c r="AV94" s="0" t="n">
        <v>10.32</v>
      </c>
      <c r="AW94" s="0" t="n">
        <v>0.39</v>
      </c>
      <c r="AX94" s="0" t="n">
        <v>10.32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1.9</v>
      </c>
      <c r="BF94" s="0" t="n">
        <v>26.26</v>
      </c>
      <c r="BG94" s="0" t="n">
        <v>6.04</v>
      </c>
      <c r="BH94" s="0" t="n">
        <v>2.19</v>
      </c>
      <c r="BI94" s="0" t="n">
        <v>0</v>
      </c>
      <c r="BJ94" s="0" t="n">
        <v>0</v>
      </c>
      <c r="BK94" s="0" t="n">
        <v>0</v>
      </c>
      <c r="BL94" s="0" t="n">
        <v>14.7</v>
      </c>
      <c r="BM94" s="0" t="n">
        <v>1</v>
      </c>
      <c r="BN94" s="0" t="n">
        <v>1</v>
      </c>
      <c r="BO94" s="0" t="n">
        <v>0</v>
      </c>
      <c r="BP94" s="19" t="n">
        <v>0</v>
      </c>
      <c r="BQ94" s="16" t="n">
        <v>5.11</v>
      </c>
      <c r="BR94" s="0" t="n">
        <v>4.81</v>
      </c>
      <c r="BS94" s="0" t="n">
        <v>0</v>
      </c>
      <c r="BT94" s="0" t="n">
        <v>0</v>
      </c>
      <c r="BU94" s="0" t="n">
        <v>0</v>
      </c>
      <c r="BV94" s="0" t="n">
        <v>0</v>
      </c>
    </row>
    <row r="95" customFormat="false" ht="13.8" hidden="false" customHeight="false" outlineLevel="0" collapsed="false">
      <c r="A95" s="0" t="n">
        <v>2</v>
      </c>
      <c r="B95" s="0" t="n">
        <v>29.8507871321013</v>
      </c>
      <c r="C95" s="0" t="n">
        <v>6.08350444900753</v>
      </c>
      <c r="D95" s="0" t="n">
        <v>8</v>
      </c>
      <c r="E95" s="0" t="n">
        <v>83</v>
      </c>
      <c r="F95" s="0" t="n">
        <v>1.8</v>
      </c>
      <c r="G95" s="0" t="n">
        <v>25.6172839506173</v>
      </c>
      <c r="H95" s="0" t="n">
        <v>0</v>
      </c>
      <c r="I95" s="0" t="n">
        <v>0</v>
      </c>
      <c r="J95" s="19" t="n">
        <v>1</v>
      </c>
      <c r="K95" s="19" t="n">
        <v>2</v>
      </c>
      <c r="L95" s="19" t="n">
        <v>1</v>
      </c>
      <c r="M95" s="19" t="n">
        <v>3</v>
      </c>
      <c r="N95" s="19" t="n">
        <v>0</v>
      </c>
      <c r="O95" s="19" t="n">
        <v>0</v>
      </c>
      <c r="P95" s="19" t="n">
        <v>0</v>
      </c>
      <c r="Q95" s="19" t="n">
        <v>0</v>
      </c>
      <c r="R95" s="19" t="n">
        <v>0</v>
      </c>
      <c r="S95" s="19" t="n">
        <v>0</v>
      </c>
      <c r="T95" s="19" t="n">
        <v>5</v>
      </c>
      <c r="U95" s="15" t="n">
        <f aca="false">AVERAGE(M95:T95)</f>
        <v>1</v>
      </c>
      <c r="V95" s="19" t="n">
        <v>3</v>
      </c>
      <c r="W95" s="19" t="n">
        <v>2</v>
      </c>
      <c r="X95" s="19" t="n">
        <v>3</v>
      </c>
      <c r="Y95" s="19" t="n">
        <v>3</v>
      </c>
      <c r="Z95" s="19" t="n">
        <v>1</v>
      </c>
      <c r="AA95" s="19" t="n">
        <v>1</v>
      </c>
      <c r="AB95" s="19" t="n">
        <v>1</v>
      </c>
      <c r="AC95" s="19" t="n">
        <v>3</v>
      </c>
      <c r="AD95" s="19" t="n">
        <v>2</v>
      </c>
      <c r="AE95" s="19" t="n">
        <v>1</v>
      </c>
      <c r="AF95" s="19" t="n">
        <v>3</v>
      </c>
      <c r="AG95" s="19" t="n">
        <v>4</v>
      </c>
      <c r="AH95" s="19" t="n">
        <v>2</v>
      </c>
      <c r="AI95" s="19" t="n">
        <v>3</v>
      </c>
      <c r="AJ95" s="19" t="n">
        <v>3</v>
      </c>
      <c r="AK95" s="19" t="n">
        <v>5</v>
      </c>
      <c r="AL95" s="19" t="n">
        <v>2</v>
      </c>
      <c r="AM95" s="19" t="n">
        <v>3</v>
      </c>
      <c r="AN95" s="19" t="n">
        <v>3</v>
      </c>
      <c r="AO95" s="19" t="n">
        <v>9</v>
      </c>
      <c r="AP95" s="0" t="n">
        <v>75</v>
      </c>
      <c r="AQ95" s="16" t="n">
        <v>87.9</v>
      </c>
      <c r="AR95" s="16" t="n">
        <v>80.4</v>
      </c>
      <c r="AS95" s="16" t="n">
        <v>45.2</v>
      </c>
      <c r="AT95" s="0" t="n">
        <v>50.83</v>
      </c>
      <c r="AU95" s="0" t="n">
        <v>0.05</v>
      </c>
      <c r="AV95" s="0" t="n">
        <v>46.44</v>
      </c>
      <c r="AW95" s="0" t="n">
        <v>2.67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25.21</v>
      </c>
      <c r="BG95" s="0" t="n">
        <v>43.57</v>
      </c>
      <c r="BH95" s="0" t="n">
        <v>6.27</v>
      </c>
      <c r="BI95" s="0" t="n">
        <v>0</v>
      </c>
      <c r="BJ95" s="0" t="n">
        <v>0</v>
      </c>
      <c r="BK95" s="0" t="n">
        <v>0</v>
      </c>
      <c r="BL95" s="0" t="n">
        <v>17.8</v>
      </c>
      <c r="BM95" s="0" t="n">
        <v>1</v>
      </c>
      <c r="BN95" s="0" t="n">
        <v>1</v>
      </c>
      <c r="BO95" s="16" t="n">
        <v>3.43</v>
      </c>
      <c r="BP95" s="16" t="n">
        <v>1</v>
      </c>
      <c r="BQ95" s="16" t="n">
        <v>6.39</v>
      </c>
      <c r="BR95" s="16" t="n">
        <v>3.31</v>
      </c>
      <c r="BS95" s="16" t="n">
        <v>0</v>
      </c>
      <c r="BT95" s="16" t="n">
        <v>0</v>
      </c>
      <c r="BU95" s="16" t="n">
        <v>0</v>
      </c>
      <c r="BV95" s="0" t="n">
        <v>0</v>
      </c>
    </row>
    <row r="96" customFormat="false" ht="13.8" hidden="false" customHeight="false" outlineLevel="0" collapsed="false">
      <c r="A96" s="0" t="n">
        <v>2</v>
      </c>
      <c r="B96" s="0" t="n">
        <v>40.7118412046543</v>
      </c>
      <c r="C96" s="0" t="n">
        <v>0.0657084188911704</v>
      </c>
      <c r="D96" s="0" t="n">
        <v>8</v>
      </c>
      <c r="E96" s="0" t="n">
        <v>70</v>
      </c>
      <c r="F96" s="0" t="n">
        <v>1.64</v>
      </c>
      <c r="G96" s="0" t="n">
        <v>26.0261748958953</v>
      </c>
      <c r="H96" s="0" t="n">
        <v>0</v>
      </c>
      <c r="I96" s="0" t="n">
        <v>0</v>
      </c>
      <c r="J96" s="19" t="n">
        <v>0</v>
      </c>
      <c r="K96" s="19" t="n">
        <v>2</v>
      </c>
      <c r="L96" s="19" t="n">
        <v>1</v>
      </c>
      <c r="M96" s="19" t="n">
        <v>0</v>
      </c>
      <c r="N96" s="19" t="n">
        <v>0</v>
      </c>
      <c r="O96" s="19" t="n">
        <v>0</v>
      </c>
      <c r="P96" s="19" t="n">
        <v>0</v>
      </c>
      <c r="Q96" s="19" t="n">
        <v>0</v>
      </c>
      <c r="R96" s="19" t="n">
        <v>0</v>
      </c>
      <c r="S96" s="19" t="n">
        <v>0</v>
      </c>
      <c r="T96" s="19" t="n">
        <v>0</v>
      </c>
      <c r="U96" s="15" t="n">
        <f aca="false">AVERAGE(M96:T96)</f>
        <v>0</v>
      </c>
      <c r="V96" s="19" t="n">
        <v>3</v>
      </c>
      <c r="W96" s="19" t="n">
        <v>2</v>
      </c>
      <c r="X96" s="19" t="n">
        <v>3</v>
      </c>
      <c r="Y96" s="19" t="n">
        <v>4</v>
      </c>
      <c r="Z96" s="19" t="n">
        <v>3</v>
      </c>
      <c r="AA96" s="19" t="n">
        <v>2</v>
      </c>
      <c r="AB96" s="19" t="n">
        <v>3</v>
      </c>
      <c r="AC96" s="19" t="n">
        <v>3</v>
      </c>
      <c r="AD96" s="19" t="n">
        <v>4</v>
      </c>
      <c r="AE96" s="19" t="n">
        <v>4</v>
      </c>
      <c r="AF96" s="19" t="n">
        <v>4</v>
      </c>
      <c r="AG96" s="19" t="n">
        <v>4</v>
      </c>
      <c r="AH96" s="19" t="n">
        <v>4</v>
      </c>
      <c r="AI96" s="19" t="n">
        <v>4</v>
      </c>
      <c r="AJ96" s="19" t="n">
        <v>5</v>
      </c>
      <c r="AK96" s="19" t="n">
        <v>5</v>
      </c>
      <c r="AL96" s="19" t="n">
        <v>3</v>
      </c>
      <c r="AM96" s="19" t="n">
        <v>5</v>
      </c>
      <c r="AN96" s="19" t="n">
        <v>4</v>
      </c>
      <c r="AO96" s="19" t="n">
        <v>8</v>
      </c>
      <c r="AP96" s="0" t="n">
        <v>37</v>
      </c>
      <c r="AQ96" s="16" t="n">
        <v>95.1</v>
      </c>
      <c r="AR96" s="16" t="n">
        <v>80.4</v>
      </c>
      <c r="AS96" s="16" t="n">
        <v>15.9</v>
      </c>
      <c r="AT96" s="0" t="n">
        <v>82.71</v>
      </c>
      <c r="AU96" s="0" t="n">
        <v>0</v>
      </c>
      <c r="AV96" s="0" t="n">
        <v>10.32</v>
      </c>
      <c r="AW96" s="0" t="n">
        <v>0.39</v>
      </c>
      <c r="AX96" s="0" t="n">
        <v>10.32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1.9</v>
      </c>
      <c r="BF96" s="0" t="n">
        <v>26.26</v>
      </c>
      <c r="BG96" s="0" t="n">
        <v>6.04</v>
      </c>
      <c r="BH96" s="0" t="n">
        <v>2.19</v>
      </c>
      <c r="BI96" s="0" t="n">
        <v>0</v>
      </c>
      <c r="BJ96" s="0" t="n">
        <v>0</v>
      </c>
      <c r="BK96" s="0" t="n">
        <v>0</v>
      </c>
      <c r="BL96" s="0" t="n">
        <v>14.7</v>
      </c>
      <c r="BM96" s="0" t="n">
        <v>1</v>
      </c>
      <c r="BN96" s="0" t="n">
        <v>1</v>
      </c>
      <c r="BO96" s="0" t="n">
        <v>0</v>
      </c>
      <c r="BP96" s="19" t="n">
        <v>0</v>
      </c>
      <c r="BQ96" s="16" t="n">
        <v>5.11</v>
      </c>
      <c r="BR96" s="0" t="n">
        <v>4.81</v>
      </c>
      <c r="BS96" s="0" t="n">
        <v>0</v>
      </c>
      <c r="BT96" s="0" t="n">
        <v>0</v>
      </c>
      <c r="BU96" s="0" t="n">
        <v>0</v>
      </c>
      <c r="BV96" s="0" t="n">
        <v>0</v>
      </c>
    </row>
    <row r="97" customFormat="false" ht="13.8" hidden="false" customHeight="false" outlineLevel="0" collapsed="false">
      <c r="A97" s="0" t="n">
        <v>1</v>
      </c>
      <c r="B97" s="0" t="n">
        <v>24.9390828199863</v>
      </c>
      <c r="C97" s="0" t="n">
        <v>0.265571526351814</v>
      </c>
      <c r="D97" s="0" t="n">
        <v>8</v>
      </c>
      <c r="E97" s="0" t="n">
        <v>68</v>
      </c>
      <c r="F97" s="0" t="n">
        <v>1.56</v>
      </c>
      <c r="G97" s="0" t="n">
        <v>27.9421433267587</v>
      </c>
      <c r="H97" s="0" t="n">
        <v>0</v>
      </c>
      <c r="I97" s="0" t="n">
        <v>0</v>
      </c>
      <c r="J97" s="19" t="n">
        <v>0</v>
      </c>
      <c r="K97" s="19" t="n">
        <v>2</v>
      </c>
      <c r="L97" s="19" t="n">
        <v>0</v>
      </c>
      <c r="M97" s="19" t="n">
        <v>0</v>
      </c>
      <c r="N97" s="19" t="n">
        <v>0</v>
      </c>
      <c r="O97" s="19" t="n">
        <v>0</v>
      </c>
      <c r="P97" s="19" t="n">
        <v>0</v>
      </c>
      <c r="Q97" s="19" t="n">
        <v>0</v>
      </c>
      <c r="R97" s="19" t="n">
        <v>0</v>
      </c>
      <c r="S97" s="19" t="n">
        <v>0</v>
      </c>
      <c r="T97" s="19" t="n">
        <v>0</v>
      </c>
      <c r="U97" s="15" t="n">
        <f aca="false">AVERAGE(M97:T97)</f>
        <v>0</v>
      </c>
      <c r="V97" s="19" t="n">
        <v>2</v>
      </c>
      <c r="W97" s="19" t="n">
        <v>2</v>
      </c>
      <c r="X97" s="19" t="n">
        <v>2</v>
      </c>
      <c r="Y97" s="19" t="n">
        <v>3</v>
      </c>
      <c r="Z97" s="19" t="n">
        <v>1</v>
      </c>
      <c r="AA97" s="19" t="n">
        <v>1</v>
      </c>
      <c r="AB97" s="19" t="n">
        <v>3</v>
      </c>
      <c r="AC97" s="19" t="n">
        <v>3</v>
      </c>
      <c r="AD97" s="19" t="n">
        <v>4</v>
      </c>
      <c r="AE97" s="19" t="n">
        <v>5</v>
      </c>
      <c r="AF97" s="19" t="n">
        <v>4</v>
      </c>
      <c r="AG97" s="19" t="n">
        <v>4</v>
      </c>
      <c r="AH97" s="19" t="n">
        <v>4</v>
      </c>
      <c r="AI97" s="19" t="n">
        <v>5</v>
      </c>
      <c r="AJ97" s="19" t="n">
        <v>3</v>
      </c>
      <c r="AK97" s="19" t="n">
        <v>5</v>
      </c>
      <c r="AL97" s="19" t="n">
        <v>4</v>
      </c>
      <c r="AM97" s="19" t="n">
        <v>5</v>
      </c>
      <c r="AN97" s="19" t="n">
        <v>5</v>
      </c>
      <c r="AO97" s="19" t="n">
        <v>8</v>
      </c>
      <c r="AP97" s="0" t="n">
        <v>37</v>
      </c>
      <c r="AQ97" s="16" t="n">
        <v>95.1</v>
      </c>
      <c r="AR97" s="16" t="n">
        <v>80.4</v>
      </c>
      <c r="AS97" s="16" t="n">
        <v>15.9</v>
      </c>
      <c r="AT97" s="0" t="n">
        <v>82.71</v>
      </c>
      <c r="AU97" s="0" t="n">
        <v>0</v>
      </c>
      <c r="AV97" s="0" t="n">
        <v>10.32</v>
      </c>
      <c r="AW97" s="0" t="n">
        <v>0.39</v>
      </c>
      <c r="AX97" s="0" t="n">
        <v>10.32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1.9</v>
      </c>
      <c r="BF97" s="0" t="n">
        <v>26.26</v>
      </c>
      <c r="BG97" s="0" t="n">
        <v>6.04</v>
      </c>
      <c r="BH97" s="0" t="n">
        <v>2.19</v>
      </c>
      <c r="BI97" s="0" t="n">
        <v>0</v>
      </c>
      <c r="BJ97" s="0" t="n">
        <v>0</v>
      </c>
      <c r="BK97" s="0" t="n">
        <v>0</v>
      </c>
      <c r="BL97" s="0" t="n">
        <v>14.7</v>
      </c>
      <c r="BM97" s="0" t="n">
        <v>1</v>
      </c>
      <c r="BN97" s="0" t="n">
        <v>1</v>
      </c>
      <c r="BO97" s="0" t="n">
        <v>0</v>
      </c>
      <c r="BP97" s="19" t="n">
        <v>0</v>
      </c>
      <c r="BQ97" s="16" t="n">
        <v>5.11</v>
      </c>
      <c r="BR97" s="0" t="n">
        <v>4.81</v>
      </c>
      <c r="BS97" s="0" t="n">
        <v>0</v>
      </c>
      <c r="BT97" s="0" t="n">
        <v>0</v>
      </c>
      <c r="BU97" s="0" t="n">
        <v>0</v>
      </c>
      <c r="BV97" s="0" t="n">
        <v>0</v>
      </c>
    </row>
    <row r="98" customFormat="false" ht="13.8" hidden="false" customHeight="false" outlineLevel="0" collapsed="false">
      <c r="A98" s="0" t="n">
        <v>2</v>
      </c>
      <c r="B98" s="0" t="n">
        <v>53.3935660506502</v>
      </c>
      <c r="C98" s="0" t="n">
        <v>20.2819986310746</v>
      </c>
      <c r="D98" s="0" t="n">
        <v>8</v>
      </c>
      <c r="E98" s="0" t="n">
        <v>78</v>
      </c>
      <c r="F98" s="0" t="n">
        <v>1.82</v>
      </c>
      <c r="G98" s="0" t="n">
        <v>23.5478806907378</v>
      </c>
      <c r="H98" s="0" t="n">
        <v>0</v>
      </c>
      <c r="I98" s="0" t="n">
        <v>0</v>
      </c>
      <c r="J98" s="19" t="n">
        <v>0</v>
      </c>
      <c r="K98" s="19" t="n">
        <v>1</v>
      </c>
      <c r="L98" s="19" t="n">
        <v>1</v>
      </c>
      <c r="M98" s="19"/>
      <c r="N98" s="19"/>
      <c r="O98" s="19"/>
      <c r="P98" s="19"/>
      <c r="Q98" s="19"/>
      <c r="R98" s="19"/>
      <c r="S98" s="19"/>
      <c r="T98" s="19"/>
      <c r="U98" s="15"/>
      <c r="V98" s="19" t="n">
        <v>3</v>
      </c>
      <c r="W98" s="19" t="n">
        <v>3</v>
      </c>
      <c r="X98" s="19" t="n">
        <v>5</v>
      </c>
      <c r="Y98" s="19" t="n">
        <v>5</v>
      </c>
      <c r="Z98" s="19" t="n">
        <v>3</v>
      </c>
      <c r="AA98" s="19" t="n">
        <v>4</v>
      </c>
      <c r="AB98" s="19" t="n">
        <v>3</v>
      </c>
      <c r="AC98" s="19" t="n">
        <v>3</v>
      </c>
      <c r="AD98" s="19" t="n">
        <v>2</v>
      </c>
      <c r="AE98" s="19" t="n">
        <v>3</v>
      </c>
      <c r="AF98" s="19" t="n">
        <v>5</v>
      </c>
      <c r="AG98" s="19" t="n">
        <v>5</v>
      </c>
      <c r="AH98" s="19" t="n">
        <v>3</v>
      </c>
      <c r="AI98" s="19" t="n">
        <v>4</v>
      </c>
      <c r="AJ98" s="19" t="n">
        <v>5</v>
      </c>
      <c r="AK98" s="19" t="n">
        <v>3</v>
      </c>
      <c r="AL98" s="19" t="n">
        <v>4</v>
      </c>
      <c r="AM98" s="19" t="n">
        <v>3</v>
      </c>
      <c r="AN98" s="19" t="n">
        <v>4</v>
      </c>
      <c r="AO98" s="19" t="n">
        <v>8</v>
      </c>
      <c r="AP98" s="0" t="n">
        <v>37</v>
      </c>
      <c r="AQ98" s="16" t="n">
        <v>95.1</v>
      </c>
      <c r="AR98" s="16" t="n">
        <v>80.4</v>
      </c>
      <c r="AS98" s="16" t="n">
        <v>15.9</v>
      </c>
      <c r="AT98" s="0" t="n">
        <v>82.71</v>
      </c>
      <c r="AU98" s="17" t="n">
        <v>0</v>
      </c>
      <c r="AV98" s="0" t="n">
        <v>10.32</v>
      </c>
      <c r="AW98" s="0" t="n">
        <v>0.39</v>
      </c>
      <c r="AX98" s="0" t="n">
        <v>10.32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1.9</v>
      </c>
      <c r="BF98" s="0" t="n">
        <v>26.26</v>
      </c>
      <c r="BG98" s="0" t="n">
        <v>6.04</v>
      </c>
      <c r="BH98" s="0" t="n">
        <v>2.19</v>
      </c>
      <c r="BI98" s="0" t="n">
        <v>0</v>
      </c>
      <c r="BJ98" s="0" t="n">
        <v>0</v>
      </c>
      <c r="BK98" s="0" t="n">
        <v>0</v>
      </c>
      <c r="BL98" s="0" t="n">
        <v>14.7</v>
      </c>
      <c r="BM98" s="0" t="n">
        <v>1</v>
      </c>
      <c r="BN98" s="0" t="n">
        <v>1</v>
      </c>
      <c r="BO98" s="0" t="n">
        <v>0</v>
      </c>
      <c r="BP98" s="19" t="n">
        <v>0</v>
      </c>
      <c r="BQ98" s="16" t="n">
        <v>5.11</v>
      </c>
      <c r="BR98" s="0" t="n">
        <v>4.81</v>
      </c>
      <c r="BS98" s="0" t="n">
        <v>0</v>
      </c>
      <c r="BT98" s="0" t="n">
        <v>0</v>
      </c>
      <c r="BU98" s="0" t="n">
        <v>0</v>
      </c>
      <c r="BV98" s="0" t="n">
        <v>0</v>
      </c>
    </row>
    <row r="99" customFormat="false" ht="13.8" hidden="false" customHeight="false" outlineLevel="0" collapsed="false">
      <c r="A99" s="0" t="n">
        <v>1</v>
      </c>
      <c r="B99" s="0" t="n">
        <v>23.9561943874059</v>
      </c>
      <c r="C99" s="0" t="n">
        <v>0.243668720054757</v>
      </c>
      <c r="D99" s="0" t="n">
        <v>4</v>
      </c>
      <c r="E99" s="0" t="n">
        <v>59</v>
      </c>
      <c r="F99" s="0" t="n">
        <v>1.58</v>
      </c>
      <c r="G99" s="0" t="n">
        <v>23.6340330075308</v>
      </c>
      <c r="H99" s="0" t="n">
        <v>0</v>
      </c>
      <c r="I99" s="0" t="n">
        <v>0</v>
      </c>
      <c r="J99" s="19" t="n">
        <v>0</v>
      </c>
      <c r="K99" s="19" t="n">
        <v>1</v>
      </c>
      <c r="L99" s="19" t="n">
        <v>0</v>
      </c>
      <c r="M99" s="19" t="n">
        <v>0</v>
      </c>
      <c r="N99" s="19" t="n">
        <v>0</v>
      </c>
      <c r="O99" s="19" t="n">
        <v>0</v>
      </c>
      <c r="P99" s="19" t="n">
        <v>0</v>
      </c>
      <c r="Q99" s="19" t="n">
        <v>0</v>
      </c>
      <c r="R99" s="19" t="n">
        <v>0</v>
      </c>
      <c r="S99" s="19" t="n">
        <v>0</v>
      </c>
      <c r="T99" s="19" t="n">
        <v>0</v>
      </c>
      <c r="U99" s="15" t="n">
        <f aca="false">AVERAGE(M99:T99)</f>
        <v>0</v>
      </c>
      <c r="V99" s="19" t="n">
        <v>3</v>
      </c>
      <c r="W99" s="19" t="n">
        <v>3</v>
      </c>
      <c r="X99" s="19" t="n">
        <v>3</v>
      </c>
      <c r="Y99" s="19" t="n">
        <v>5</v>
      </c>
      <c r="Z99" s="19" t="n">
        <v>1</v>
      </c>
      <c r="AA99" s="19" t="n">
        <v>1</v>
      </c>
      <c r="AB99" s="19" t="n">
        <v>3</v>
      </c>
      <c r="AC99" s="19" t="n">
        <v>5</v>
      </c>
      <c r="AD99" s="19" t="n">
        <v>3</v>
      </c>
      <c r="AE99" s="19" t="n">
        <v>4</v>
      </c>
      <c r="AF99" s="19" t="n">
        <v>5</v>
      </c>
      <c r="AG99" s="19" t="n">
        <v>5</v>
      </c>
      <c r="AH99" s="19" t="n">
        <v>4</v>
      </c>
      <c r="AI99" s="19" t="n">
        <v>5</v>
      </c>
      <c r="AJ99" s="19" t="n">
        <v>3</v>
      </c>
      <c r="AK99" s="19" t="n">
        <v>5</v>
      </c>
      <c r="AL99" s="19" t="n">
        <v>5</v>
      </c>
      <c r="AM99" s="19" t="n">
        <v>5</v>
      </c>
      <c r="AN99" s="19" t="n">
        <v>5</v>
      </c>
      <c r="AO99" s="19" t="n">
        <v>8</v>
      </c>
      <c r="AP99" s="0" t="n">
        <v>37</v>
      </c>
      <c r="AQ99" s="16" t="n">
        <v>95.1</v>
      </c>
      <c r="AR99" s="16" t="n">
        <v>80.4</v>
      </c>
      <c r="AS99" s="16" t="n">
        <v>15.9</v>
      </c>
      <c r="AT99" s="0" t="n">
        <v>82.71</v>
      </c>
      <c r="AU99" s="17" t="n">
        <v>0</v>
      </c>
      <c r="AV99" s="0" t="n">
        <v>10.32</v>
      </c>
      <c r="AW99" s="0" t="n">
        <v>0.39</v>
      </c>
      <c r="AX99" s="0" t="n">
        <v>10.32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1.9</v>
      </c>
      <c r="BF99" s="0" t="n">
        <v>26.26</v>
      </c>
      <c r="BG99" s="0" t="n">
        <v>6.04</v>
      </c>
      <c r="BH99" s="0" t="n">
        <v>2.19</v>
      </c>
      <c r="BI99" s="0" t="n">
        <v>0</v>
      </c>
      <c r="BJ99" s="0" t="n">
        <v>0</v>
      </c>
      <c r="BK99" s="0" t="n">
        <v>0</v>
      </c>
      <c r="BL99" s="0" t="n">
        <v>14.7</v>
      </c>
      <c r="BM99" s="0" t="n">
        <v>1</v>
      </c>
      <c r="BN99" s="0" t="n">
        <v>1</v>
      </c>
      <c r="BO99" s="0" t="n">
        <v>0</v>
      </c>
      <c r="BP99" s="19" t="n">
        <v>0</v>
      </c>
      <c r="BQ99" s="16" t="n">
        <v>5.11</v>
      </c>
      <c r="BR99" s="0" t="n">
        <v>4.81</v>
      </c>
      <c r="BS99" s="0" t="n">
        <v>0</v>
      </c>
      <c r="BT99" s="0" t="n">
        <v>0</v>
      </c>
      <c r="BU99" s="0" t="n">
        <v>0</v>
      </c>
      <c r="BV99" s="0" t="n">
        <v>0</v>
      </c>
    </row>
    <row r="100" customFormat="false" ht="13.8" hidden="false" customHeight="false" outlineLevel="0" collapsed="false">
      <c r="A100" s="0" t="n">
        <v>1</v>
      </c>
      <c r="B100" s="0" t="n">
        <v>46.5379876796715</v>
      </c>
      <c r="C100" s="0" t="n">
        <v>22.7186858316222</v>
      </c>
      <c r="D100" s="0" t="n">
        <v>8</v>
      </c>
      <c r="E100" s="0" t="n">
        <v>75</v>
      </c>
      <c r="F100" s="0" t="n">
        <v>1.61</v>
      </c>
      <c r="G100" s="0" t="n">
        <v>28.9340689016627</v>
      </c>
      <c r="H100" s="0" t="n">
        <v>0</v>
      </c>
      <c r="I100" s="0" t="n">
        <v>0</v>
      </c>
      <c r="J100" s="19" t="n">
        <v>0</v>
      </c>
      <c r="K100" s="19" t="n">
        <v>0</v>
      </c>
      <c r="L100" s="19" t="n">
        <v>0</v>
      </c>
      <c r="M100" s="19" t="n">
        <v>0</v>
      </c>
      <c r="N100" s="19" t="n">
        <v>0</v>
      </c>
      <c r="O100" s="19" t="n">
        <v>0</v>
      </c>
      <c r="P100" s="19" t="n">
        <v>0</v>
      </c>
      <c r="Q100" s="19" t="n">
        <v>0</v>
      </c>
      <c r="R100" s="19" t="n">
        <v>0</v>
      </c>
      <c r="S100" s="19" t="n">
        <v>0</v>
      </c>
      <c r="T100" s="19" t="n">
        <v>0</v>
      </c>
      <c r="U100" s="15" t="n">
        <f aca="false">AVERAGE(M100:T100)</f>
        <v>0</v>
      </c>
      <c r="V100" s="19" t="n">
        <v>3</v>
      </c>
      <c r="W100" s="19" t="n">
        <v>3</v>
      </c>
      <c r="X100" s="19" t="n">
        <v>4</v>
      </c>
      <c r="Y100" s="19" t="n">
        <v>5</v>
      </c>
      <c r="Z100" s="19" t="n">
        <v>3</v>
      </c>
      <c r="AA100" s="19" t="n">
        <v>4</v>
      </c>
      <c r="AB100" s="19" t="n">
        <v>3</v>
      </c>
      <c r="AC100" s="19" t="n">
        <v>4</v>
      </c>
      <c r="AD100" s="19" t="n">
        <v>4</v>
      </c>
      <c r="AE100" s="19" t="n">
        <v>3</v>
      </c>
      <c r="AF100" s="19" t="n">
        <v>4</v>
      </c>
      <c r="AG100" s="19" t="n">
        <v>5</v>
      </c>
      <c r="AH100" s="19" t="n">
        <v>3</v>
      </c>
      <c r="AI100" s="19" t="n">
        <v>3</v>
      </c>
      <c r="AJ100" s="19" t="n">
        <v>4</v>
      </c>
      <c r="AK100" s="19" t="n">
        <v>4</v>
      </c>
      <c r="AL100" s="19" t="n">
        <v>2</v>
      </c>
      <c r="AM100" s="19" t="n">
        <v>3</v>
      </c>
      <c r="AN100" s="19" t="n">
        <v>3</v>
      </c>
      <c r="AO100" s="19" t="n">
        <v>10</v>
      </c>
      <c r="AP100" s="0" t="n">
        <v>37</v>
      </c>
      <c r="AQ100" s="16" t="n">
        <v>95.1</v>
      </c>
      <c r="AR100" s="16" t="n">
        <v>80.4</v>
      </c>
      <c r="AS100" s="16" t="n">
        <v>15.9</v>
      </c>
      <c r="AT100" s="0" t="n">
        <v>82.71</v>
      </c>
      <c r="AU100" s="17" t="n">
        <v>0</v>
      </c>
      <c r="AV100" s="0" t="n">
        <v>10.32</v>
      </c>
      <c r="AW100" s="0" t="n">
        <v>0.39</v>
      </c>
      <c r="AX100" s="0" t="n">
        <v>10.32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1.9</v>
      </c>
      <c r="BF100" s="0" t="n">
        <v>26.26</v>
      </c>
      <c r="BG100" s="0" t="n">
        <v>6.04</v>
      </c>
      <c r="BH100" s="0" t="n">
        <v>2.19</v>
      </c>
      <c r="BI100" s="0" t="n">
        <v>0</v>
      </c>
      <c r="BJ100" s="0" t="n">
        <v>0</v>
      </c>
      <c r="BK100" s="0" t="n">
        <v>0</v>
      </c>
      <c r="BL100" s="0" t="n">
        <v>14.7</v>
      </c>
      <c r="BM100" s="0" t="n">
        <v>1</v>
      </c>
      <c r="BN100" s="0" t="n">
        <v>1</v>
      </c>
      <c r="BO100" s="0" t="n">
        <v>0</v>
      </c>
      <c r="BP100" s="19" t="n">
        <v>0</v>
      </c>
      <c r="BQ100" s="16" t="n">
        <v>5.11</v>
      </c>
      <c r="BR100" s="0" t="n">
        <v>4.81</v>
      </c>
      <c r="BS100" s="0" t="n">
        <v>0</v>
      </c>
      <c r="BT100" s="0" t="n">
        <v>0</v>
      </c>
      <c r="BU100" s="0" t="n">
        <v>0</v>
      </c>
      <c r="BV100" s="0" t="n">
        <v>0</v>
      </c>
    </row>
    <row r="101" customFormat="false" ht="13.8" hidden="false" customHeight="false" outlineLevel="0" collapsed="false">
      <c r="A101" s="0" t="n">
        <v>1</v>
      </c>
      <c r="B101" s="0" t="n">
        <v>34.8062970568104</v>
      </c>
      <c r="C101" s="0" t="n">
        <v>0.199863107460643</v>
      </c>
      <c r="D101" s="0" t="n">
        <v>8</v>
      </c>
      <c r="E101" s="0" t="n">
        <v>65</v>
      </c>
      <c r="F101" s="0" t="n">
        <v>1.59</v>
      </c>
      <c r="G101" s="0" t="n">
        <v>25.711008267078</v>
      </c>
      <c r="H101" s="0" t="n">
        <v>0</v>
      </c>
      <c r="I101" s="0" t="n">
        <v>0</v>
      </c>
      <c r="J101" s="19" t="n">
        <v>0</v>
      </c>
      <c r="K101" s="19" t="n">
        <v>0</v>
      </c>
      <c r="L101" s="19" t="n">
        <v>0</v>
      </c>
      <c r="M101" s="19" t="n">
        <v>0</v>
      </c>
      <c r="N101" s="19" t="n">
        <v>0</v>
      </c>
      <c r="O101" s="19" t="n">
        <v>0</v>
      </c>
      <c r="P101" s="19" t="n">
        <v>0</v>
      </c>
      <c r="Q101" s="19" t="n">
        <v>0</v>
      </c>
      <c r="R101" s="19" t="n">
        <v>0</v>
      </c>
      <c r="S101" s="19" t="n">
        <v>0</v>
      </c>
      <c r="T101" s="19" t="n">
        <v>0</v>
      </c>
      <c r="U101" s="15" t="n">
        <f aca="false">AVERAGE(M101:T101)</f>
        <v>0</v>
      </c>
      <c r="V101" s="19" t="n">
        <v>2</v>
      </c>
      <c r="W101" s="19" t="n">
        <v>2</v>
      </c>
      <c r="X101" s="19" t="n">
        <v>3</v>
      </c>
      <c r="Y101" s="19" t="n">
        <v>5</v>
      </c>
      <c r="Z101" s="19" t="n">
        <v>1</v>
      </c>
      <c r="AA101" s="19" t="n">
        <v>1</v>
      </c>
      <c r="AB101" s="19" t="n">
        <v>1</v>
      </c>
      <c r="AC101" s="19" t="n">
        <v>2</v>
      </c>
      <c r="AD101" s="19" t="n">
        <v>3</v>
      </c>
      <c r="AE101" s="19" t="n">
        <v>4</v>
      </c>
      <c r="AF101" s="19" t="n">
        <v>4</v>
      </c>
      <c r="AG101" s="19" t="n">
        <v>4</v>
      </c>
      <c r="AH101" s="19"/>
      <c r="AI101" s="19" t="n">
        <v>4</v>
      </c>
      <c r="AJ101" s="19" t="n">
        <v>5</v>
      </c>
      <c r="AK101" s="19" t="n">
        <v>5</v>
      </c>
      <c r="AL101" s="19" t="n">
        <v>4</v>
      </c>
      <c r="AM101" s="19" t="n">
        <v>4</v>
      </c>
      <c r="AN101" s="19" t="n">
        <v>4</v>
      </c>
      <c r="AO101" s="19" t="n">
        <v>10</v>
      </c>
      <c r="AP101" s="0" t="n">
        <v>37</v>
      </c>
      <c r="AQ101" s="16" t="n">
        <v>95.1</v>
      </c>
      <c r="AR101" s="16" t="n">
        <v>80.4</v>
      </c>
      <c r="AS101" s="16" t="n">
        <v>15.9</v>
      </c>
      <c r="AT101" s="0" t="n">
        <v>82.71</v>
      </c>
      <c r="AU101" s="0" t="n">
        <v>0</v>
      </c>
      <c r="AV101" s="0" t="n">
        <v>10.32</v>
      </c>
      <c r="AW101" s="0" t="n">
        <v>0.39</v>
      </c>
      <c r="AX101" s="0" t="n">
        <v>10.32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1.9</v>
      </c>
      <c r="BF101" s="0" t="n">
        <v>26.26</v>
      </c>
      <c r="BG101" s="0" t="n">
        <v>6.04</v>
      </c>
      <c r="BH101" s="0" t="n">
        <v>2.19</v>
      </c>
      <c r="BI101" s="0" t="n">
        <v>0</v>
      </c>
      <c r="BJ101" s="0" t="n">
        <v>0</v>
      </c>
      <c r="BK101" s="0" t="n">
        <v>0</v>
      </c>
      <c r="BL101" s="0" t="n">
        <v>14.7</v>
      </c>
      <c r="BM101" s="0" t="n">
        <v>1</v>
      </c>
      <c r="BN101" s="0" t="n">
        <v>1</v>
      </c>
      <c r="BO101" s="0" t="n">
        <v>0</v>
      </c>
      <c r="BP101" s="19" t="n">
        <v>0</v>
      </c>
      <c r="BQ101" s="16" t="n">
        <v>5.11</v>
      </c>
      <c r="BR101" s="0" t="n">
        <v>4.81</v>
      </c>
      <c r="BS101" s="0" t="n">
        <v>0</v>
      </c>
      <c r="BT101" s="0" t="n">
        <v>0</v>
      </c>
      <c r="BU101" s="0" t="n">
        <v>0</v>
      </c>
      <c r="BV101" s="0" t="n">
        <v>0</v>
      </c>
    </row>
    <row r="102" customFormat="false" ht="13.8" hidden="false" customHeight="false" outlineLevel="0" collapsed="false">
      <c r="A102" s="0" t="n">
        <v>2</v>
      </c>
      <c r="B102" s="0" t="n">
        <v>29.9794661190965</v>
      </c>
      <c r="C102" s="0" t="n">
        <v>0.246406570841889</v>
      </c>
      <c r="D102" s="0" t="n">
        <v>8</v>
      </c>
      <c r="E102" s="0" t="n">
        <v>74</v>
      </c>
      <c r="F102" s="0" t="n">
        <v>1.74</v>
      </c>
      <c r="G102" s="0" t="n">
        <v>24.441802087462</v>
      </c>
      <c r="H102" s="0" t="n">
        <v>0</v>
      </c>
      <c r="I102" s="0" t="n">
        <v>0</v>
      </c>
      <c r="J102" s="19" t="n">
        <v>0</v>
      </c>
      <c r="K102" s="19" t="n">
        <v>3</v>
      </c>
      <c r="L102" s="19" t="n">
        <v>0</v>
      </c>
      <c r="M102" s="19" t="n">
        <v>0</v>
      </c>
      <c r="N102" s="19" t="n">
        <v>0</v>
      </c>
      <c r="O102" s="19" t="n">
        <v>0</v>
      </c>
      <c r="P102" s="19" t="n">
        <v>0</v>
      </c>
      <c r="Q102" s="19" t="n">
        <v>0</v>
      </c>
      <c r="R102" s="19" t="n">
        <v>0</v>
      </c>
      <c r="S102" s="19" t="n">
        <v>0</v>
      </c>
      <c r="T102" s="19" t="n">
        <v>0</v>
      </c>
      <c r="U102" s="15" t="n">
        <f aca="false">AVERAGE(M102:T102)</f>
        <v>0</v>
      </c>
      <c r="V102" s="19" t="n">
        <v>3</v>
      </c>
      <c r="W102" s="19" t="n">
        <v>3</v>
      </c>
      <c r="X102" s="19" t="n">
        <v>3</v>
      </c>
      <c r="Y102" s="19" t="n">
        <v>5</v>
      </c>
      <c r="Z102" s="19" t="n">
        <v>1</v>
      </c>
      <c r="AA102" s="19" t="n">
        <v>1</v>
      </c>
      <c r="AB102" s="19" t="n">
        <v>1</v>
      </c>
      <c r="AC102" s="19" t="n">
        <v>4</v>
      </c>
      <c r="AD102" s="19" t="n">
        <v>1</v>
      </c>
      <c r="AE102" s="19" t="n">
        <v>4</v>
      </c>
      <c r="AF102" s="19" t="n">
        <v>4</v>
      </c>
      <c r="AG102" s="19" t="n">
        <v>5</v>
      </c>
      <c r="AH102" s="19" t="n">
        <v>1</v>
      </c>
      <c r="AI102" s="19" t="n">
        <v>5</v>
      </c>
      <c r="AJ102" s="19" t="n">
        <v>5</v>
      </c>
      <c r="AK102" s="19" t="n">
        <v>5</v>
      </c>
      <c r="AL102" s="19" t="n">
        <v>3</v>
      </c>
      <c r="AM102" s="19" t="n">
        <v>5</v>
      </c>
      <c r="AN102" s="19" t="n">
        <v>4</v>
      </c>
      <c r="AO102" s="19" t="n">
        <v>8</v>
      </c>
      <c r="AP102" s="0" t="n">
        <v>37</v>
      </c>
      <c r="AQ102" s="16" t="n">
        <v>95.1</v>
      </c>
      <c r="AR102" s="16" t="n">
        <v>80.4</v>
      </c>
      <c r="AS102" s="16" t="n">
        <v>15.9</v>
      </c>
      <c r="AT102" s="0" t="n">
        <v>82.71</v>
      </c>
      <c r="AU102" s="17" t="n">
        <v>0</v>
      </c>
      <c r="AV102" s="0" t="n">
        <v>10.32</v>
      </c>
      <c r="AW102" s="0" t="n">
        <v>0.39</v>
      </c>
      <c r="AX102" s="0" t="n">
        <v>10.32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1.9</v>
      </c>
      <c r="BF102" s="0" t="n">
        <v>26.26</v>
      </c>
      <c r="BG102" s="0" t="n">
        <v>6.04</v>
      </c>
      <c r="BH102" s="0" t="n">
        <v>2.19</v>
      </c>
      <c r="BI102" s="0" t="n">
        <v>0</v>
      </c>
      <c r="BJ102" s="0" t="n">
        <v>0</v>
      </c>
      <c r="BK102" s="0" t="n">
        <v>0</v>
      </c>
      <c r="BL102" s="0" t="n">
        <v>14.7</v>
      </c>
      <c r="BM102" s="0" t="n">
        <v>1</v>
      </c>
      <c r="BN102" s="0" t="n">
        <v>1</v>
      </c>
      <c r="BO102" s="0" t="n">
        <v>0</v>
      </c>
      <c r="BP102" s="19" t="n">
        <v>0</v>
      </c>
      <c r="BQ102" s="16" t="n">
        <v>5.11</v>
      </c>
      <c r="BR102" s="0" t="n">
        <v>4.81</v>
      </c>
      <c r="BS102" s="0" t="n">
        <v>0</v>
      </c>
      <c r="BT102" s="0" t="n">
        <v>0</v>
      </c>
      <c r="BU102" s="0" t="n">
        <v>0</v>
      </c>
      <c r="BV102" s="0" t="n">
        <v>0</v>
      </c>
    </row>
    <row r="103" customFormat="false" ht="13.8" hidden="false" customHeight="false" outlineLevel="0" collapsed="false">
      <c r="A103" s="0" t="n">
        <v>1</v>
      </c>
      <c r="B103" s="0" t="n">
        <v>37.3963039014374</v>
      </c>
      <c r="C103" s="0" t="n">
        <v>7.11841204654346</v>
      </c>
      <c r="D103" s="0" t="n">
        <v>8</v>
      </c>
      <c r="E103" s="0" t="n">
        <v>58</v>
      </c>
      <c r="F103" s="0" t="n">
        <v>1.6</v>
      </c>
      <c r="G103" s="0" t="n">
        <v>22.65625</v>
      </c>
      <c r="H103" s="0" t="n">
        <v>0</v>
      </c>
      <c r="I103" s="0" t="n">
        <v>0</v>
      </c>
      <c r="J103" s="19" t="n">
        <v>1</v>
      </c>
      <c r="K103" s="19" t="n">
        <v>2</v>
      </c>
      <c r="L103" s="19" t="n">
        <v>0</v>
      </c>
      <c r="M103" s="19" t="n">
        <v>7</v>
      </c>
      <c r="N103" s="19" t="n">
        <v>5</v>
      </c>
      <c r="O103" s="19" t="n">
        <v>0</v>
      </c>
      <c r="P103" s="19" t="n">
        <v>0</v>
      </c>
      <c r="Q103" s="19" t="n">
        <v>0</v>
      </c>
      <c r="R103" s="19" t="n">
        <v>0</v>
      </c>
      <c r="S103" s="19" t="n">
        <v>0</v>
      </c>
      <c r="T103" s="19" t="n">
        <v>0</v>
      </c>
      <c r="U103" s="15" t="n">
        <f aca="false">AVERAGE(M103:T103)</f>
        <v>1.5</v>
      </c>
      <c r="V103" s="19" t="n">
        <v>2</v>
      </c>
      <c r="W103" s="19" t="n">
        <v>2</v>
      </c>
      <c r="X103" s="19" t="n">
        <v>5</v>
      </c>
      <c r="Y103" s="19" t="n">
        <v>5</v>
      </c>
      <c r="Z103" s="19" t="n">
        <v>3</v>
      </c>
      <c r="AA103" s="19" t="n">
        <v>5</v>
      </c>
      <c r="AB103" s="19" t="n">
        <v>3</v>
      </c>
      <c r="AC103" s="19" t="n">
        <v>5</v>
      </c>
      <c r="AD103" s="19" t="n">
        <v>2</v>
      </c>
      <c r="AE103" s="19" t="n">
        <v>3</v>
      </c>
      <c r="AF103" s="19" t="n">
        <v>3</v>
      </c>
      <c r="AG103" s="19" t="n">
        <v>5</v>
      </c>
      <c r="AH103" s="19" t="n">
        <v>2</v>
      </c>
      <c r="AI103" s="19" t="n">
        <v>3</v>
      </c>
      <c r="AJ103" s="19" t="n">
        <v>4</v>
      </c>
      <c r="AK103" s="19" t="n">
        <v>5</v>
      </c>
      <c r="AL103" s="19"/>
      <c r="AM103" s="19"/>
      <c r="AN103" s="19"/>
      <c r="AO103" s="19" t="n">
        <v>7</v>
      </c>
      <c r="AP103" s="0" t="n">
        <v>19.5</v>
      </c>
      <c r="AQ103" s="16" t="n">
        <v>74.3</v>
      </c>
      <c r="AR103" s="16" t="n">
        <v>80.4</v>
      </c>
      <c r="AS103" s="16" t="n">
        <v>7.8</v>
      </c>
      <c r="AT103" s="0" t="n">
        <v>89.52</v>
      </c>
      <c r="AU103" s="0" t="n">
        <v>8.69</v>
      </c>
      <c r="AV103" s="0" t="n">
        <v>1.79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18.73</v>
      </c>
      <c r="BG103" s="0" t="n">
        <v>9.35</v>
      </c>
      <c r="BH103" s="0" t="n">
        <v>0</v>
      </c>
      <c r="BI103" s="0" t="n">
        <v>0</v>
      </c>
      <c r="BJ103" s="0" t="n">
        <v>0</v>
      </c>
      <c r="BK103" s="0"/>
      <c r="BL103" s="0" t="n">
        <v>3.92</v>
      </c>
      <c r="BM103" s="0" t="n">
        <v>1</v>
      </c>
      <c r="BN103" s="0" t="n">
        <v>1</v>
      </c>
      <c r="BO103" s="16" t="n">
        <v>2.24</v>
      </c>
      <c r="BP103" s="16" t="n">
        <v>1</v>
      </c>
      <c r="BQ103" s="16" t="n">
        <v>5.49</v>
      </c>
      <c r="BR103" s="16" t="n">
        <v>7.22</v>
      </c>
      <c r="BS103" s="16" t="n">
        <v>0</v>
      </c>
      <c r="BT103" s="16" t="n">
        <v>0</v>
      </c>
      <c r="BU103" s="16" t="n">
        <v>0</v>
      </c>
      <c r="BV103" s="0" t="n">
        <v>0</v>
      </c>
    </row>
    <row r="104" customFormat="false" ht="13.8" hidden="false" customHeight="false" outlineLevel="0" collapsed="false">
      <c r="A104" s="0" t="n">
        <v>1</v>
      </c>
      <c r="B104" s="0" t="n">
        <v>35.27446954141</v>
      </c>
      <c r="C104" s="0" t="n">
        <v>0.219028062970568</v>
      </c>
      <c r="D104" s="0" t="n">
        <v>8</v>
      </c>
      <c r="E104" s="0" t="n">
        <v>64</v>
      </c>
      <c r="F104" s="0" t="n">
        <v>1.7</v>
      </c>
      <c r="G104" s="0" t="n">
        <v>22.1453287197232</v>
      </c>
      <c r="H104" s="0" t="n">
        <v>0</v>
      </c>
      <c r="I104" s="0" t="n">
        <v>0</v>
      </c>
      <c r="J104" s="19" t="n">
        <v>1</v>
      </c>
      <c r="K104" s="19" t="n">
        <v>0</v>
      </c>
      <c r="L104" s="19" t="n">
        <v>0</v>
      </c>
      <c r="M104" s="19"/>
      <c r="N104" s="19" t="n">
        <v>0</v>
      </c>
      <c r="O104" s="19" t="n">
        <v>0</v>
      </c>
      <c r="P104" s="19" t="n">
        <v>0</v>
      </c>
      <c r="Q104" s="19" t="n">
        <v>0</v>
      </c>
      <c r="R104" s="19" t="n">
        <v>0</v>
      </c>
      <c r="S104" s="19" t="n">
        <v>0</v>
      </c>
      <c r="T104" s="19"/>
      <c r="U104" s="15" t="n">
        <f aca="false">AVERAGE(M104:T104)</f>
        <v>0</v>
      </c>
      <c r="V104" s="19" t="n">
        <v>1</v>
      </c>
      <c r="W104" s="19" t="n">
        <v>1</v>
      </c>
      <c r="X104" s="19" t="n">
        <v>4</v>
      </c>
      <c r="Y104" s="19" t="n">
        <v>5</v>
      </c>
      <c r="Z104" s="19" t="n">
        <v>1</v>
      </c>
      <c r="AA104" s="19" t="n">
        <v>1</v>
      </c>
      <c r="AB104" s="19" t="n">
        <v>3</v>
      </c>
      <c r="AC104" s="19" t="n">
        <v>3</v>
      </c>
      <c r="AD104" s="19" t="n">
        <v>4</v>
      </c>
      <c r="AE104" s="19" t="n">
        <v>4</v>
      </c>
      <c r="AF104" s="19" t="n">
        <v>5</v>
      </c>
      <c r="AG104" s="19" t="n">
        <v>5</v>
      </c>
      <c r="AH104" s="19" t="n">
        <v>4</v>
      </c>
      <c r="AI104" s="19" t="n">
        <v>4</v>
      </c>
      <c r="AJ104" s="19" t="n">
        <v>5</v>
      </c>
      <c r="AK104" s="19" t="n">
        <v>4</v>
      </c>
      <c r="AL104" s="19" t="n">
        <v>5</v>
      </c>
      <c r="AM104" s="19" t="n">
        <v>4</v>
      </c>
      <c r="AN104" s="19" t="n">
        <v>5</v>
      </c>
      <c r="AO104" s="19" t="n">
        <v>10</v>
      </c>
      <c r="AP104" s="0" t="n">
        <v>21.5</v>
      </c>
      <c r="AQ104" s="16" t="n">
        <v>54.9</v>
      </c>
      <c r="AR104" s="16" t="n">
        <v>80.4</v>
      </c>
      <c r="AS104" s="16" t="n">
        <v>17.9</v>
      </c>
      <c r="AT104" s="0" t="n">
        <v>90.61</v>
      </c>
      <c r="AU104" s="17" t="n">
        <v>0</v>
      </c>
      <c r="AV104" s="0" t="n">
        <v>0</v>
      </c>
      <c r="AW104" s="0" t="n">
        <v>2.45</v>
      </c>
      <c r="AX104" s="0" t="n">
        <v>6.94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12.16</v>
      </c>
      <c r="BF104" s="0" t="n">
        <v>24.45</v>
      </c>
      <c r="BG104" s="0" t="n">
        <v>4.8</v>
      </c>
      <c r="BH104" s="0" t="n">
        <v>5.11</v>
      </c>
      <c r="BI104" s="0" t="n">
        <v>0</v>
      </c>
      <c r="BJ104" s="0" t="n">
        <v>0</v>
      </c>
      <c r="BK104" s="0" t="n">
        <v>0</v>
      </c>
      <c r="BL104" s="0" t="n">
        <v>2.9</v>
      </c>
      <c r="BM104" s="0" t="n">
        <v>1</v>
      </c>
      <c r="BN104" s="0" t="n">
        <v>1</v>
      </c>
      <c r="BO104" s="16" t="n">
        <v>0</v>
      </c>
      <c r="BP104" s="16" t="n">
        <v>0</v>
      </c>
      <c r="BQ104" s="16" t="n">
        <v>0.67</v>
      </c>
      <c r="BR104" s="16" t="n">
        <v>0.65</v>
      </c>
      <c r="BS104" s="16" t="n">
        <v>0</v>
      </c>
      <c r="BT104" s="16" t="n">
        <v>0</v>
      </c>
      <c r="BU104" s="16" t="n">
        <v>0</v>
      </c>
      <c r="BV104" s="0" t="n">
        <v>0</v>
      </c>
    </row>
    <row r="105" customFormat="false" ht="13.8" hidden="false" customHeight="false" outlineLevel="0" collapsed="false">
      <c r="A105" s="0" t="n">
        <v>1</v>
      </c>
      <c r="B105" s="0" t="n">
        <v>29.9712525667351</v>
      </c>
      <c r="C105" s="0" t="n">
        <v>0.246406570841889</v>
      </c>
      <c r="D105" s="0" t="n">
        <v>8</v>
      </c>
      <c r="E105" s="0" t="n">
        <v>55</v>
      </c>
      <c r="F105" s="0" t="n">
        <v>1.52</v>
      </c>
      <c r="G105" s="0" t="n">
        <v>23.8054016620499</v>
      </c>
      <c r="H105" s="0" t="n">
        <v>0</v>
      </c>
      <c r="I105" s="0" t="n">
        <v>0</v>
      </c>
      <c r="J105" s="19" t="n">
        <v>0</v>
      </c>
      <c r="K105" s="19" t="n">
        <v>0</v>
      </c>
      <c r="L105" s="19" t="n">
        <v>1</v>
      </c>
      <c r="M105" s="19" t="n">
        <v>0</v>
      </c>
      <c r="N105" s="19" t="n">
        <v>0</v>
      </c>
      <c r="O105" s="19" t="n">
        <v>0</v>
      </c>
      <c r="P105" s="19" t="n">
        <v>0</v>
      </c>
      <c r="Q105" s="19" t="n">
        <v>0</v>
      </c>
      <c r="R105" s="19" t="n">
        <v>0</v>
      </c>
      <c r="S105" s="19" t="n">
        <v>0</v>
      </c>
      <c r="T105" s="19" t="n">
        <v>0</v>
      </c>
      <c r="U105" s="15" t="n">
        <f aca="false">AVERAGE(M105:T105)</f>
        <v>0</v>
      </c>
      <c r="V105" s="19" t="n">
        <v>1</v>
      </c>
      <c r="W105" s="19" t="n">
        <v>2</v>
      </c>
      <c r="X105" s="19" t="n">
        <v>3</v>
      </c>
      <c r="Y105" s="19" t="n">
        <v>5</v>
      </c>
      <c r="Z105" s="19" t="n">
        <v>2</v>
      </c>
      <c r="AA105" s="19" t="n">
        <v>1</v>
      </c>
      <c r="AB105" s="19" t="n">
        <v>3</v>
      </c>
      <c r="AC105" s="19" t="n">
        <v>5</v>
      </c>
      <c r="AD105" s="19" t="n">
        <v>5</v>
      </c>
      <c r="AE105" s="19" t="n">
        <v>5</v>
      </c>
      <c r="AF105" s="19" t="n">
        <v>5</v>
      </c>
      <c r="AG105" s="19" t="n">
        <v>5</v>
      </c>
      <c r="AH105" s="19" t="n">
        <v>5</v>
      </c>
      <c r="AI105" s="19" t="n">
        <v>5</v>
      </c>
      <c r="AJ105" s="19" t="n">
        <v>5</v>
      </c>
      <c r="AK105" s="19" t="n">
        <v>5</v>
      </c>
      <c r="AL105" s="19" t="n">
        <v>5</v>
      </c>
      <c r="AM105" s="19" t="n">
        <v>5</v>
      </c>
      <c r="AN105" s="19" t="n">
        <v>5</v>
      </c>
      <c r="AO105" s="19" t="n">
        <v>7</v>
      </c>
      <c r="AP105" s="0" t="n">
        <v>21.5</v>
      </c>
      <c r="AQ105" s="16" t="n">
        <v>54.9</v>
      </c>
      <c r="AR105" s="16" t="n">
        <v>80.4</v>
      </c>
      <c r="AS105" s="16" t="n">
        <v>17.9</v>
      </c>
      <c r="AT105" s="0" t="n">
        <v>90.61</v>
      </c>
      <c r="AU105" s="17" t="n">
        <v>0</v>
      </c>
      <c r="AV105" s="0" t="n">
        <v>0</v>
      </c>
      <c r="AW105" s="0" t="n">
        <v>2.45</v>
      </c>
      <c r="AX105" s="0" t="n">
        <v>6.94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12.16</v>
      </c>
      <c r="BF105" s="0" t="n">
        <v>24.45</v>
      </c>
      <c r="BG105" s="0" t="n">
        <v>4.8</v>
      </c>
      <c r="BH105" s="0" t="n">
        <v>5.11</v>
      </c>
      <c r="BI105" s="0" t="n">
        <v>0</v>
      </c>
      <c r="BJ105" s="0" t="n">
        <v>0</v>
      </c>
      <c r="BK105" s="0" t="n">
        <v>0</v>
      </c>
      <c r="BL105" s="0" t="n">
        <v>2.9</v>
      </c>
      <c r="BM105" s="0" t="n">
        <v>1</v>
      </c>
      <c r="BN105" s="0" t="n">
        <v>1</v>
      </c>
      <c r="BO105" s="16" t="n">
        <v>0</v>
      </c>
      <c r="BP105" s="16" t="n">
        <v>0</v>
      </c>
      <c r="BQ105" s="16" t="n">
        <v>0.67</v>
      </c>
      <c r="BR105" s="16" t="n">
        <v>0.65</v>
      </c>
      <c r="BS105" s="16" t="n">
        <v>0</v>
      </c>
      <c r="BT105" s="16" t="n">
        <v>0</v>
      </c>
      <c r="BU105" s="16" t="n">
        <v>0</v>
      </c>
      <c r="BV105" s="0" t="n">
        <v>0</v>
      </c>
    </row>
    <row r="106" customFormat="false" ht="13.8" hidden="false" customHeight="false" outlineLevel="0" collapsed="false">
      <c r="A106" s="0" t="n">
        <v>1</v>
      </c>
      <c r="B106" s="0" t="n">
        <v>24.6461327857632</v>
      </c>
      <c r="C106" s="0" t="n">
        <v>0.262833675564682</v>
      </c>
      <c r="D106" s="0" t="n">
        <v>8</v>
      </c>
      <c r="E106" s="0" t="n">
        <v>69</v>
      </c>
      <c r="F106" s="0" t="n">
        <v>1.6</v>
      </c>
      <c r="G106" s="0" t="n">
        <v>26.953125</v>
      </c>
      <c r="H106" s="0" t="n">
        <v>0</v>
      </c>
      <c r="I106" s="0" t="n">
        <v>0</v>
      </c>
      <c r="J106" s="19" t="n">
        <v>0</v>
      </c>
      <c r="K106" s="19" t="n">
        <v>0</v>
      </c>
      <c r="L106" s="19" t="n">
        <v>0</v>
      </c>
      <c r="M106" s="19" t="n">
        <v>0</v>
      </c>
      <c r="N106" s="19" t="n">
        <v>0</v>
      </c>
      <c r="O106" s="19" t="n">
        <v>0</v>
      </c>
      <c r="P106" s="19" t="n">
        <v>0</v>
      </c>
      <c r="Q106" s="19" t="n">
        <v>0</v>
      </c>
      <c r="R106" s="19" t="n">
        <v>0</v>
      </c>
      <c r="S106" s="19" t="n">
        <v>0</v>
      </c>
      <c r="T106" s="19" t="n">
        <v>0</v>
      </c>
      <c r="U106" s="15" t="n">
        <f aca="false">AVERAGE(M106:T106)</f>
        <v>0</v>
      </c>
      <c r="V106" s="19" t="n">
        <v>1</v>
      </c>
      <c r="W106" s="19" t="n">
        <v>1</v>
      </c>
      <c r="X106" s="19" t="n">
        <v>2</v>
      </c>
      <c r="Y106" s="19" t="n">
        <v>5</v>
      </c>
      <c r="Z106" s="19" t="n">
        <v>2</v>
      </c>
      <c r="AA106" s="19" t="n">
        <v>2</v>
      </c>
      <c r="AB106" s="19" t="n">
        <v>3</v>
      </c>
      <c r="AC106" s="19" t="n">
        <v>4</v>
      </c>
      <c r="AD106" s="19" t="n">
        <v>5</v>
      </c>
      <c r="AE106" s="19" t="n">
        <v>5</v>
      </c>
      <c r="AF106" s="19" t="n">
        <v>5</v>
      </c>
      <c r="AG106" s="19" t="n">
        <v>5</v>
      </c>
      <c r="AH106" s="19" t="n">
        <v>4</v>
      </c>
      <c r="AI106" s="19" t="n">
        <v>4</v>
      </c>
      <c r="AJ106" s="19" t="n">
        <v>4</v>
      </c>
      <c r="AK106" s="19" t="n">
        <v>4</v>
      </c>
      <c r="AL106" s="19" t="n">
        <v>5</v>
      </c>
      <c r="AM106" s="19" t="n">
        <v>5</v>
      </c>
      <c r="AN106" s="19" t="n">
        <v>5</v>
      </c>
      <c r="AO106" s="19" t="n">
        <v>8</v>
      </c>
      <c r="AP106" s="0" t="n">
        <v>21.5</v>
      </c>
      <c r="AQ106" s="16" t="n">
        <v>54.9</v>
      </c>
      <c r="AR106" s="16" t="n">
        <v>80.4</v>
      </c>
      <c r="AS106" s="16" t="n">
        <v>17.9</v>
      </c>
      <c r="AT106" s="0" t="n">
        <v>90.61</v>
      </c>
      <c r="AU106" s="17" t="n">
        <v>0</v>
      </c>
      <c r="AV106" s="0" t="n">
        <v>0</v>
      </c>
      <c r="AW106" s="0" t="n">
        <v>2.45</v>
      </c>
      <c r="AX106" s="0" t="n">
        <v>6.94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12.16</v>
      </c>
      <c r="BF106" s="0" t="n">
        <v>24.45</v>
      </c>
      <c r="BG106" s="0" t="n">
        <v>4.8</v>
      </c>
      <c r="BH106" s="0" t="n">
        <v>5.11</v>
      </c>
      <c r="BI106" s="0" t="n">
        <v>0</v>
      </c>
      <c r="BJ106" s="0" t="n">
        <v>0</v>
      </c>
      <c r="BK106" s="0" t="n">
        <v>0</v>
      </c>
      <c r="BL106" s="0" t="n">
        <v>2.9</v>
      </c>
      <c r="BM106" s="0" t="n">
        <v>1</v>
      </c>
      <c r="BN106" s="0" t="n">
        <v>1</v>
      </c>
      <c r="BO106" s="16" t="n">
        <v>0</v>
      </c>
      <c r="BP106" s="16" t="n">
        <v>0</v>
      </c>
      <c r="BQ106" s="16" t="n">
        <v>0.67</v>
      </c>
      <c r="BR106" s="16" t="n">
        <v>0.65</v>
      </c>
      <c r="BS106" s="16" t="n">
        <v>0</v>
      </c>
      <c r="BT106" s="16" t="n">
        <v>0</v>
      </c>
      <c r="BU106" s="16" t="n">
        <v>0</v>
      </c>
      <c r="BV106" s="0" t="n">
        <v>0</v>
      </c>
    </row>
    <row r="107" customFormat="false" ht="13.8" hidden="false" customHeight="false" outlineLevel="0" collapsed="false">
      <c r="A107" s="0" t="n">
        <v>2</v>
      </c>
      <c r="B107" s="0" t="n">
        <v>23.1786447638604</v>
      </c>
      <c r="C107" s="0" t="n">
        <v>0.249144421629021</v>
      </c>
      <c r="D107" s="0" t="n">
        <v>4</v>
      </c>
      <c r="E107" s="0" t="n">
        <v>70</v>
      </c>
      <c r="F107" s="0" t="n">
        <v>1.84</v>
      </c>
      <c r="G107" s="0" t="n">
        <v>20.6758034026465</v>
      </c>
      <c r="H107" s="0" t="n">
        <v>0</v>
      </c>
      <c r="I107" s="0" t="n">
        <v>0</v>
      </c>
      <c r="J107" s="19" t="n">
        <v>0</v>
      </c>
      <c r="K107" s="19" t="n">
        <v>1</v>
      </c>
      <c r="L107" s="19" t="n">
        <v>0</v>
      </c>
      <c r="M107" s="19" t="n">
        <v>0</v>
      </c>
      <c r="N107" s="19" t="n">
        <v>0</v>
      </c>
      <c r="O107" s="19" t="n">
        <v>0</v>
      </c>
      <c r="P107" s="19" t="n">
        <v>0</v>
      </c>
      <c r="Q107" s="19" t="n">
        <v>0</v>
      </c>
      <c r="R107" s="19" t="n">
        <v>0</v>
      </c>
      <c r="S107" s="19" t="n">
        <v>0</v>
      </c>
      <c r="T107" s="19" t="n">
        <v>0</v>
      </c>
      <c r="U107" s="15" t="n">
        <f aca="false">AVERAGE(M107:T107)</f>
        <v>0</v>
      </c>
      <c r="V107" s="19" t="n">
        <v>1</v>
      </c>
      <c r="W107" s="19" t="n">
        <v>2</v>
      </c>
      <c r="X107" s="19" t="n">
        <v>4</v>
      </c>
      <c r="Y107" s="19" t="n">
        <v>5</v>
      </c>
      <c r="Z107" s="19" t="n">
        <v>2</v>
      </c>
      <c r="AA107" s="19" t="n">
        <v>3</v>
      </c>
      <c r="AB107" s="19" t="n">
        <v>2</v>
      </c>
      <c r="AC107" s="19" t="n">
        <v>3</v>
      </c>
      <c r="AD107" s="19" t="n">
        <v>4</v>
      </c>
      <c r="AE107" s="19" t="n">
        <v>3</v>
      </c>
      <c r="AF107" s="19" t="n">
        <v>4</v>
      </c>
      <c r="AG107" s="19" t="n">
        <v>4</v>
      </c>
      <c r="AH107" s="19" t="n">
        <v>1</v>
      </c>
      <c r="AI107" s="19" t="n">
        <v>4</v>
      </c>
      <c r="AJ107" s="19" t="n">
        <v>5</v>
      </c>
      <c r="AK107" s="19" t="n">
        <v>4</v>
      </c>
      <c r="AL107" s="19" t="n">
        <v>4</v>
      </c>
      <c r="AM107" s="19" t="n">
        <v>4</v>
      </c>
      <c r="AN107" s="19" t="n">
        <v>4</v>
      </c>
      <c r="AO107" s="19" t="n">
        <v>9</v>
      </c>
      <c r="AP107" s="0" t="n">
        <v>33</v>
      </c>
      <c r="AQ107" s="16" t="n">
        <v>71.2</v>
      </c>
      <c r="AR107" s="16" t="n">
        <v>80.4</v>
      </c>
      <c r="AS107" s="16" t="n">
        <v>16.3</v>
      </c>
      <c r="AT107" s="0" t="n">
        <v>83.24</v>
      </c>
      <c r="AU107" s="17" t="n">
        <v>0</v>
      </c>
      <c r="AV107" s="0" t="n">
        <v>0</v>
      </c>
      <c r="AW107" s="0" t="n">
        <v>0</v>
      </c>
      <c r="AX107" s="0" t="n">
        <v>14.14</v>
      </c>
      <c r="AY107" s="0" t="n">
        <v>0</v>
      </c>
      <c r="AZ107" s="0" t="n">
        <v>2.63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2.63</v>
      </c>
      <c r="BF107" s="0" t="n">
        <v>10.16</v>
      </c>
      <c r="BG107" s="0" t="n">
        <v>20.83</v>
      </c>
      <c r="BH107" s="0" t="n">
        <v>24.81</v>
      </c>
      <c r="BI107" s="0" t="n">
        <v>0</v>
      </c>
      <c r="BJ107" s="0" t="n">
        <v>11.2</v>
      </c>
      <c r="BK107" s="0" t="n">
        <v>1</v>
      </c>
      <c r="BL107" s="0" t="n">
        <v>0</v>
      </c>
      <c r="BM107" s="0" t="n">
        <v>0</v>
      </c>
      <c r="BN107" s="0" t="n">
        <v>0</v>
      </c>
      <c r="BO107" s="16" t="n">
        <v>2.71</v>
      </c>
      <c r="BP107" s="16" t="n">
        <v>1</v>
      </c>
      <c r="BQ107" s="16" t="n">
        <v>2.63</v>
      </c>
      <c r="BR107" s="16" t="n">
        <v>2.6</v>
      </c>
      <c r="BS107" s="16" t="n">
        <v>0</v>
      </c>
      <c r="BT107" s="16" t="n">
        <v>0</v>
      </c>
      <c r="BU107" s="16" t="n">
        <v>0</v>
      </c>
      <c r="BV107" s="0" t="n">
        <v>0</v>
      </c>
    </row>
    <row r="108" customFormat="false" ht="13.8" hidden="false" customHeight="false" outlineLevel="0" collapsed="false">
      <c r="A108" s="0" t="n">
        <v>2</v>
      </c>
      <c r="B108" s="0" t="n">
        <v>33.8069815195072</v>
      </c>
      <c r="C108" s="0" t="n">
        <v>0.0958247775496236</v>
      </c>
      <c r="D108" s="0" t="n">
        <v>8</v>
      </c>
      <c r="E108" s="0" t="n">
        <v>70</v>
      </c>
      <c r="F108" s="0" t="n">
        <v>1.67</v>
      </c>
      <c r="G108" s="0" t="n">
        <v>25.0995015956112</v>
      </c>
      <c r="H108" s="0" t="n">
        <v>0</v>
      </c>
      <c r="I108" s="0" t="n">
        <v>0</v>
      </c>
      <c r="J108" s="19" t="n">
        <v>1</v>
      </c>
      <c r="K108" s="19" t="n">
        <v>2</v>
      </c>
      <c r="L108" s="19" t="n">
        <v>0</v>
      </c>
      <c r="M108" s="19" t="n">
        <v>0</v>
      </c>
      <c r="N108" s="19" t="n">
        <v>0</v>
      </c>
      <c r="O108" s="19" t="n">
        <v>0</v>
      </c>
      <c r="P108" s="19" t="n">
        <v>0</v>
      </c>
      <c r="Q108" s="19" t="n">
        <v>0</v>
      </c>
      <c r="R108" s="19" t="n">
        <v>0</v>
      </c>
      <c r="S108" s="19" t="n">
        <v>0</v>
      </c>
      <c r="T108" s="19" t="n">
        <v>0</v>
      </c>
      <c r="U108" s="15" t="n">
        <f aca="false">AVERAGE(M108:T108)</f>
        <v>0</v>
      </c>
      <c r="V108" s="19" t="n">
        <v>3</v>
      </c>
      <c r="W108" s="19" t="n">
        <v>2</v>
      </c>
      <c r="X108" s="19" t="n">
        <v>4</v>
      </c>
      <c r="Y108" s="19" t="n">
        <v>5</v>
      </c>
      <c r="Z108" s="19" t="n">
        <v>2</v>
      </c>
      <c r="AA108" s="19" t="n">
        <v>2</v>
      </c>
      <c r="AB108" s="19" t="n">
        <v>3</v>
      </c>
      <c r="AC108" s="19" t="n">
        <v>3</v>
      </c>
      <c r="AD108" s="19" t="n">
        <v>2</v>
      </c>
      <c r="AE108" s="19" t="n">
        <v>4</v>
      </c>
      <c r="AF108" s="19" t="n">
        <v>4</v>
      </c>
      <c r="AG108" s="19" t="n">
        <v>4</v>
      </c>
      <c r="AH108" s="19" t="n">
        <v>2</v>
      </c>
      <c r="AI108" s="19" t="n">
        <v>3</v>
      </c>
      <c r="AJ108" s="19" t="n">
        <v>3</v>
      </c>
      <c r="AK108" s="19" t="n">
        <v>5</v>
      </c>
      <c r="AL108" s="19" t="n">
        <v>3</v>
      </c>
      <c r="AM108" s="19" t="n">
        <v>3</v>
      </c>
      <c r="AN108" s="19" t="n">
        <v>3</v>
      </c>
      <c r="AO108" s="19" t="n">
        <v>9</v>
      </c>
      <c r="AP108" s="0" t="n">
        <v>30</v>
      </c>
      <c r="AQ108" s="16" t="n">
        <v>86.6</v>
      </c>
      <c r="AR108" s="16" t="n">
        <v>80.4</v>
      </c>
      <c r="AS108" s="16" t="n">
        <v>20.4</v>
      </c>
      <c r="AT108" s="0" t="n">
        <v>82.62</v>
      </c>
      <c r="AU108" s="17" t="n">
        <v>0</v>
      </c>
      <c r="AV108" s="0" t="n">
        <v>15.49</v>
      </c>
      <c r="AW108" s="0" t="n">
        <v>1.49</v>
      </c>
      <c r="AX108" s="0" t="n">
        <v>0.4</v>
      </c>
      <c r="AY108" s="0" t="n">
        <v>0</v>
      </c>
      <c r="AZ108" s="0" t="n">
        <v>0</v>
      </c>
      <c r="BB108" s="0" t="n">
        <v>0</v>
      </c>
      <c r="BC108" s="0" t="n">
        <v>0</v>
      </c>
      <c r="BD108" s="0" t="n">
        <v>0</v>
      </c>
      <c r="BE108" s="0" t="n">
        <v>6.38</v>
      </c>
      <c r="BF108" s="0" t="n">
        <v>56.11</v>
      </c>
      <c r="BG108" s="0" t="n">
        <v>8.46</v>
      </c>
      <c r="BH108" s="0" t="n">
        <v>1.21</v>
      </c>
      <c r="BI108" s="0" t="n">
        <v>0</v>
      </c>
      <c r="BJ108" s="0" t="n">
        <v>0</v>
      </c>
      <c r="BK108" s="0" t="n">
        <v>0</v>
      </c>
      <c r="BL108" s="0" t="n">
        <v>0.5</v>
      </c>
      <c r="BM108" s="0" t="n">
        <v>0</v>
      </c>
      <c r="BN108" s="0" t="n">
        <v>1</v>
      </c>
      <c r="BO108" s="16" t="n">
        <v>0.62</v>
      </c>
      <c r="BP108" s="16" t="n">
        <v>1</v>
      </c>
      <c r="BQ108" s="16" t="n">
        <v>0</v>
      </c>
      <c r="BR108" s="16" t="n">
        <v>0</v>
      </c>
      <c r="BS108" s="16" t="n">
        <v>5.97</v>
      </c>
      <c r="BT108" s="16" t="n">
        <v>0</v>
      </c>
      <c r="BU108" s="16" t="n">
        <v>0</v>
      </c>
      <c r="BV108" s="0" t="n">
        <v>2</v>
      </c>
    </row>
    <row r="109" customFormat="false" ht="13.8" hidden="false" customHeight="false" outlineLevel="0" collapsed="false">
      <c r="A109" s="0" t="n">
        <v>2</v>
      </c>
      <c r="B109" s="0" t="n">
        <v>45.2320328542094</v>
      </c>
      <c r="C109" s="0" t="n">
        <v>22.6611909650924</v>
      </c>
      <c r="D109" s="0" t="n">
        <v>8</v>
      </c>
      <c r="E109" s="0" t="n">
        <v>78</v>
      </c>
      <c r="F109" s="0" t="n">
        <v>1.72</v>
      </c>
      <c r="G109" s="0" t="n">
        <v>26.3656030286641</v>
      </c>
      <c r="H109" s="0" t="n">
        <v>0</v>
      </c>
      <c r="I109" s="0" t="n">
        <v>0</v>
      </c>
      <c r="J109" s="19" t="n">
        <v>1</v>
      </c>
      <c r="K109" s="19" t="n">
        <v>2</v>
      </c>
      <c r="L109" s="19" t="n">
        <v>0</v>
      </c>
      <c r="M109" s="19" t="n">
        <v>0</v>
      </c>
      <c r="N109" s="19" t="n">
        <v>0</v>
      </c>
      <c r="O109" s="19" t="n">
        <v>0</v>
      </c>
      <c r="P109" s="19" t="n">
        <v>2</v>
      </c>
      <c r="Q109" s="19" t="n">
        <v>2</v>
      </c>
      <c r="R109" s="19" t="n">
        <v>2</v>
      </c>
      <c r="S109" s="19" t="n">
        <v>0</v>
      </c>
      <c r="T109" s="19" t="n">
        <v>0</v>
      </c>
      <c r="U109" s="15" t="n">
        <f aca="false">AVERAGE(M109:T109)</f>
        <v>0.75</v>
      </c>
      <c r="V109" s="19" t="n">
        <v>3</v>
      </c>
      <c r="W109" s="19" t="n">
        <v>2</v>
      </c>
      <c r="X109" s="19" t="n">
        <v>3</v>
      </c>
      <c r="Y109" s="19" t="n">
        <v>4</v>
      </c>
      <c r="Z109" s="19" t="n">
        <v>1</v>
      </c>
      <c r="AA109" s="19" t="n">
        <v>1</v>
      </c>
      <c r="AB109" s="19" t="n">
        <v>4</v>
      </c>
      <c r="AC109" s="19" t="n">
        <v>1</v>
      </c>
      <c r="AD109" s="19" t="n">
        <v>1</v>
      </c>
      <c r="AE109" s="19" t="n">
        <v>2</v>
      </c>
      <c r="AF109" s="19" t="n">
        <v>3</v>
      </c>
      <c r="AG109" s="19" t="n">
        <v>5</v>
      </c>
      <c r="AH109" s="19" t="n">
        <v>2</v>
      </c>
      <c r="AI109" s="19" t="n">
        <v>4</v>
      </c>
      <c r="AJ109" s="19" t="n">
        <v>5</v>
      </c>
      <c r="AK109" s="19" t="n">
        <v>4</v>
      </c>
      <c r="AL109" s="19" t="n">
        <v>4</v>
      </c>
      <c r="AM109" s="19" t="n">
        <v>4</v>
      </c>
      <c r="AN109" s="19" t="n">
        <v>4</v>
      </c>
      <c r="AO109" s="19" t="n">
        <v>9</v>
      </c>
      <c r="AP109" s="0" t="n">
        <v>17.5</v>
      </c>
      <c r="AQ109" s="16" t="n">
        <v>81.9</v>
      </c>
      <c r="AR109" s="16" t="n">
        <v>80.4</v>
      </c>
      <c r="AS109" s="16" t="n">
        <v>12.5</v>
      </c>
      <c r="AT109" s="0" t="n">
        <v>85.79</v>
      </c>
      <c r="AU109" s="0"/>
      <c r="AV109" s="0" t="n">
        <v>10.02</v>
      </c>
      <c r="AW109" s="0" t="n">
        <v>0</v>
      </c>
      <c r="AX109" s="0" t="n">
        <v>0</v>
      </c>
      <c r="AY109" s="0" t="n">
        <v>0</v>
      </c>
      <c r="AZ109" s="0" t="n">
        <v>4.19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53.51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16" t="n">
        <v>3.38</v>
      </c>
      <c r="BP109" s="16" t="n">
        <v>1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0" t="n">
        <v>0</v>
      </c>
    </row>
    <row r="110" customFormat="false" ht="13.8" hidden="false" customHeight="false" outlineLevel="0" collapsed="false">
      <c r="A110" s="0" t="n">
        <v>2</v>
      </c>
      <c r="B110" s="0" t="n">
        <v>21.8261464750171</v>
      </c>
      <c r="C110" s="0" t="n">
        <v>0.26009582477755</v>
      </c>
      <c r="D110" s="0" t="n">
        <v>4</v>
      </c>
      <c r="H110" s="0" t="n">
        <v>0</v>
      </c>
      <c r="I110" s="0" t="n">
        <v>0</v>
      </c>
      <c r="J110" s="19" t="n">
        <v>0</v>
      </c>
      <c r="K110" s="19" t="n">
        <v>0</v>
      </c>
      <c r="L110" s="19" t="n">
        <v>1</v>
      </c>
      <c r="M110" s="19" t="n">
        <v>0</v>
      </c>
      <c r="N110" s="19" t="n">
        <v>0</v>
      </c>
      <c r="O110" s="19" t="n">
        <v>0</v>
      </c>
      <c r="P110" s="19" t="n">
        <v>0</v>
      </c>
      <c r="Q110" s="19" t="n">
        <v>0</v>
      </c>
      <c r="R110" s="19" t="n">
        <v>0</v>
      </c>
      <c r="S110" s="19" t="n">
        <v>0</v>
      </c>
      <c r="T110" s="19" t="n">
        <v>0</v>
      </c>
      <c r="U110" s="15" t="n">
        <f aca="false">AVERAGE(M110:T110)</f>
        <v>0</v>
      </c>
      <c r="V110" s="19" t="n">
        <v>2</v>
      </c>
      <c r="W110" s="19" t="n">
        <v>2</v>
      </c>
      <c r="X110" s="19" t="n">
        <v>3</v>
      </c>
      <c r="Y110" s="19" t="n">
        <v>5</v>
      </c>
      <c r="Z110" s="19" t="n">
        <v>3</v>
      </c>
      <c r="AA110" s="19"/>
      <c r="AB110" s="19" t="n">
        <v>5</v>
      </c>
      <c r="AC110" s="19" t="n">
        <v>5</v>
      </c>
      <c r="AD110" s="19" t="n">
        <v>5</v>
      </c>
      <c r="AE110" s="19" t="n">
        <v>5</v>
      </c>
      <c r="AF110" s="19" t="n">
        <v>5</v>
      </c>
      <c r="AG110" s="19" t="n">
        <v>5</v>
      </c>
      <c r="AH110" s="19"/>
      <c r="AI110" s="19" t="n">
        <v>5</v>
      </c>
      <c r="AJ110" s="19" t="n">
        <v>5</v>
      </c>
      <c r="AK110" s="19" t="n">
        <v>5</v>
      </c>
      <c r="AL110" s="19" t="n">
        <v>5</v>
      </c>
      <c r="AM110" s="19" t="n">
        <v>5</v>
      </c>
      <c r="AN110" s="19" t="n">
        <v>5</v>
      </c>
      <c r="AO110" s="19" t="n">
        <v>10</v>
      </c>
      <c r="AP110" s="0" t="n">
        <v>33.5</v>
      </c>
      <c r="AQ110" s="16" t="n">
        <v>91.5</v>
      </c>
      <c r="AR110" s="16" t="n">
        <v>80.4</v>
      </c>
      <c r="AS110" s="16" t="n">
        <v>20</v>
      </c>
      <c r="AT110" s="0" t="n">
        <v>84.58</v>
      </c>
      <c r="AU110" s="17" t="n">
        <v>0</v>
      </c>
      <c r="AV110" s="0" t="n">
        <v>15.42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13.79</v>
      </c>
      <c r="BG110" s="0" t="n">
        <v>2.67</v>
      </c>
      <c r="BH110" s="0" t="n">
        <v>11.54</v>
      </c>
      <c r="BI110" s="0" t="n">
        <v>0</v>
      </c>
      <c r="BJ110" s="0" t="n">
        <v>12.3</v>
      </c>
      <c r="BK110" s="0" t="n">
        <v>2</v>
      </c>
      <c r="BL110" s="0" t="n">
        <v>0</v>
      </c>
      <c r="BM110" s="0" t="n">
        <v>1</v>
      </c>
      <c r="BN110" s="0" t="n">
        <v>0</v>
      </c>
      <c r="BO110" s="16" t="n">
        <v>0.25</v>
      </c>
      <c r="BP110" s="16" t="n">
        <v>1</v>
      </c>
      <c r="BQ110" s="16" t="n">
        <v>0.55</v>
      </c>
      <c r="BR110" s="16" t="n">
        <v>0.55</v>
      </c>
      <c r="BS110" s="16" t="n">
        <v>0</v>
      </c>
      <c r="BT110" s="16" t="n">
        <v>0</v>
      </c>
      <c r="BU110" s="16" t="n">
        <v>0</v>
      </c>
      <c r="BV110" s="0" t="n">
        <v>0</v>
      </c>
    </row>
    <row r="111" customFormat="false" ht="13.8" hidden="false" customHeight="false" outlineLevel="0" collapsed="false">
      <c r="A111" s="0" t="n">
        <v>1</v>
      </c>
      <c r="B111" s="0" t="n">
        <v>29.3086926762491</v>
      </c>
      <c r="C111" s="0" t="n">
        <v>0.298425735797399</v>
      </c>
      <c r="D111" s="0" t="n">
        <v>8</v>
      </c>
      <c r="E111" s="0" t="n">
        <v>70</v>
      </c>
      <c r="F111" s="0" t="n">
        <v>1.69</v>
      </c>
      <c r="G111" s="0" t="n">
        <v>24.5089457652043</v>
      </c>
      <c r="H111" s="0" t="n">
        <v>0</v>
      </c>
      <c r="I111" s="0" t="n">
        <v>0</v>
      </c>
      <c r="J111" s="19" t="n">
        <v>0</v>
      </c>
      <c r="K111" s="19" t="n">
        <v>1</v>
      </c>
      <c r="L111" s="19" t="n">
        <v>1</v>
      </c>
      <c r="M111" s="19" t="n">
        <v>0</v>
      </c>
      <c r="N111" s="19" t="n">
        <v>0</v>
      </c>
      <c r="O111" s="19" t="n">
        <v>0</v>
      </c>
      <c r="P111" s="19" t="n">
        <v>0</v>
      </c>
      <c r="Q111" s="19" t="n">
        <v>0</v>
      </c>
      <c r="R111" s="19" t="n">
        <v>0</v>
      </c>
      <c r="S111" s="19" t="n">
        <v>0</v>
      </c>
      <c r="T111" s="19" t="n">
        <v>0</v>
      </c>
      <c r="U111" s="15" t="n">
        <f aca="false">AVERAGE(M111:T111)</f>
        <v>0</v>
      </c>
      <c r="V111" s="19" t="n">
        <v>2</v>
      </c>
      <c r="W111" s="19" t="n">
        <v>2</v>
      </c>
      <c r="X111" s="19" t="n">
        <v>3</v>
      </c>
      <c r="Y111" s="19" t="n">
        <v>5</v>
      </c>
      <c r="Z111" s="19" t="n">
        <v>2</v>
      </c>
      <c r="AA111" s="19" t="n">
        <v>2</v>
      </c>
      <c r="AB111" s="19" t="n">
        <v>3</v>
      </c>
      <c r="AC111" s="19" t="n">
        <v>3</v>
      </c>
      <c r="AD111" s="19" t="n">
        <v>4</v>
      </c>
      <c r="AE111" s="19" t="n">
        <v>4</v>
      </c>
      <c r="AF111" s="19" t="n">
        <v>4</v>
      </c>
      <c r="AG111" s="19" t="n">
        <v>5</v>
      </c>
      <c r="AH111" s="19" t="n">
        <v>4</v>
      </c>
      <c r="AI111" s="19" t="n">
        <v>5</v>
      </c>
      <c r="AJ111" s="19" t="n">
        <v>5</v>
      </c>
      <c r="AK111" s="19" t="n">
        <v>5</v>
      </c>
      <c r="AL111" s="19" t="n">
        <v>4</v>
      </c>
      <c r="AM111" s="19" t="n">
        <v>4</v>
      </c>
      <c r="AN111" s="19" t="n">
        <v>5</v>
      </c>
      <c r="AO111" s="19" t="n">
        <v>10</v>
      </c>
      <c r="AP111" s="0" t="n">
        <v>27</v>
      </c>
      <c r="AQ111" s="16" t="n">
        <v>54.4</v>
      </c>
      <c r="AR111" s="16" t="n">
        <v>80.4</v>
      </c>
      <c r="AS111" s="16" t="n">
        <v>18.1</v>
      </c>
      <c r="AT111" s="0" t="n">
        <v>81.88</v>
      </c>
      <c r="AU111" s="17" t="n">
        <v>0</v>
      </c>
      <c r="AV111" s="0" t="n">
        <v>9.83</v>
      </c>
      <c r="AW111" s="0" t="n">
        <v>0</v>
      </c>
      <c r="AX111" s="0" t="n">
        <v>2.14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2.32</v>
      </c>
      <c r="BG111" s="0" t="n">
        <v>19.66</v>
      </c>
      <c r="BH111" s="0" t="n">
        <v>3.64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1</v>
      </c>
      <c r="BN111" s="0" t="n">
        <v>0</v>
      </c>
      <c r="BO111" s="16" t="n">
        <v>2.1</v>
      </c>
      <c r="BP111" s="16" t="n">
        <v>1</v>
      </c>
      <c r="BQ111" s="16" t="n">
        <v>6.35</v>
      </c>
      <c r="BR111" s="16" t="n">
        <v>14.8</v>
      </c>
      <c r="BS111" s="16" t="n">
        <v>0</v>
      </c>
      <c r="BT111" s="16" t="n">
        <v>0</v>
      </c>
      <c r="BU111" s="16" t="n">
        <v>0</v>
      </c>
      <c r="BV111" s="0" t="n">
        <v>0</v>
      </c>
    </row>
    <row r="112" customFormat="false" ht="13.8" hidden="false" customHeight="false" outlineLevel="0" collapsed="false">
      <c r="A112" s="0" t="n">
        <v>2</v>
      </c>
      <c r="B112" s="0" t="n">
        <v>40.9582477754962</v>
      </c>
      <c r="C112" s="0" t="n">
        <v>0.281998631074606</v>
      </c>
      <c r="D112" s="0" t="n">
        <v>8</v>
      </c>
      <c r="E112" s="0" t="n">
        <v>67</v>
      </c>
      <c r="F112" s="0" t="n">
        <v>1.76</v>
      </c>
      <c r="G112" s="0" t="n">
        <v>21.6296487603306</v>
      </c>
      <c r="H112" s="0" t="n">
        <v>0</v>
      </c>
      <c r="I112" s="0" t="n">
        <v>0</v>
      </c>
      <c r="J112" s="19" t="n">
        <v>0</v>
      </c>
      <c r="K112" s="19" t="n">
        <v>2</v>
      </c>
      <c r="L112" s="19" t="n">
        <v>0</v>
      </c>
      <c r="M112" s="19" t="n">
        <v>0</v>
      </c>
      <c r="N112" s="19" t="n">
        <v>0</v>
      </c>
      <c r="O112" s="19" t="n">
        <v>0</v>
      </c>
      <c r="P112" s="19" t="n">
        <v>0</v>
      </c>
      <c r="Q112" s="19" t="n">
        <v>0</v>
      </c>
      <c r="R112" s="19" t="n">
        <v>0</v>
      </c>
      <c r="S112" s="19" t="n">
        <v>0</v>
      </c>
      <c r="T112" s="19" t="n">
        <v>0</v>
      </c>
      <c r="U112" s="15" t="n">
        <f aca="false">AVERAGE(M112:T112)</f>
        <v>0</v>
      </c>
      <c r="V112" s="19" t="n">
        <v>1</v>
      </c>
      <c r="W112" s="19" t="n">
        <v>2</v>
      </c>
      <c r="X112" s="19" t="n">
        <v>3</v>
      </c>
      <c r="Y112" s="19" t="n">
        <v>5</v>
      </c>
      <c r="Z112" s="19" t="n">
        <v>2</v>
      </c>
      <c r="AA112" s="19" t="n">
        <v>1</v>
      </c>
      <c r="AB112" s="19" t="n">
        <v>1</v>
      </c>
      <c r="AC112" s="19" t="n">
        <v>3</v>
      </c>
      <c r="AD112" s="19" t="n">
        <v>4</v>
      </c>
      <c r="AE112" s="19" t="n">
        <v>2</v>
      </c>
      <c r="AF112" s="19" t="n">
        <v>5</v>
      </c>
      <c r="AG112" s="19" t="n">
        <v>5</v>
      </c>
      <c r="AH112" s="19" t="n">
        <v>5</v>
      </c>
      <c r="AI112" s="19" t="n">
        <v>5</v>
      </c>
      <c r="AJ112" s="19" t="n">
        <v>5</v>
      </c>
      <c r="AK112" s="19" t="n">
        <v>5</v>
      </c>
      <c r="AL112" s="19" t="n">
        <v>5</v>
      </c>
      <c r="AM112" s="19" t="n">
        <v>5</v>
      </c>
      <c r="AN112" s="19" t="n">
        <v>4</v>
      </c>
      <c r="AO112" s="19" t="n">
        <v>10</v>
      </c>
      <c r="AP112" s="0" t="n">
        <v>30</v>
      </c>
      <c r="AQ112" s="16" t="n">
        <v>86.6</v>
      </c>
      <c r="AR112" s="16" t="n">
        <v>80.4</v>
      </c>
      <c r="AS112" s="16" t="n">
        <v>20.4</v>
      </c>
      <c r="AT112" s="0" t="n">
        <v>82.62</v>
      </c>
      <c r="AU112" s="17" t="n">
        <v>0</v>
      </c>
      <c r="AV112" s="0" t="n">
        <v>15.49</v>
      </c>
      <c r="AW112" s="0" t="n">
        <v>1.49</v>
      </c>
      <c r="AX112" s="0" t="n">
        <v>0.4</v>
      </c>
      <c r="AY112" s="0" t="n">
        <v>0</v>
      </c>
      <c r="AZ112" s="0" t="n">
        <v>0</v>
      </c>
      <c r="BB112" s="0" t="n">
        <v>0</v>
      </c>
      <c r="BC112" s="0" t="n">
        <v>0</v>
      </c>
      <c r="BD112" s="0" t="n">
        <v>0</v>
      </c>
      <c r="BE112" s="0" t="n">
        <v>6.38</v>
      </c>
      <c r="BF112" s="0" t="n">
        <v>56.11</v>
      </c>
      <c r="BG112" s="0" t="n">
        <v>8.46</v>
      </c>
      <c r="BH112" s="0" t="n">
        <v>1.21</v>
      </c>
      <c r="BI112" s="0" t="n">
        <v>0</v>
      </c>
      <c r="BJ112" s="0" t="n">
        <v>0</v>
      </c>
      <c r="BK112" s="0" t="n">
        <v>0</v>
      </c>
      <c r="BL112" s="0" t="n">
        <v>0.5</v>
      </c>
      <c r="BM112" s="0" t="n">
        <v>0</v>
      </c>
      <c r="BN112" s="0" t="n">
        <v>1</v>
      </c>
      <c r="BO112" s="16" t="n">
        <v>0.62</v>
      </c>
      <c r="BP112" s="16" t="n">
        <v>1</v>
      </c>
      <c r="BQ112" s="16" t="n">
        <v>0</v>
      </c>
      <c r="BR112" s="16" t="n">
        <v>0</v>
      </c>
      <c r="BS112" s="16" t="n">
        <v>5.97</v>
      </c>
      <c r="BT112" s="16" t="n">
        <v>0</v>
      </c>
      <c r="BU112" s="16" t="n">
        <v>0</v>
      </c>
      <c r="BV112" s="0" t="n">
        <v>2</v>
      </c>
    </row>
    <row r="113" customFormat="false" ht="13.8" hidden="false" customHeight="false" outlineLevel="0" collapsed="false">
      <c r="A113" s="0" t="n">
        <v>2</v>
      </c>
      <c r="B113" s="0" t="n">
        <v>40.3039014373717</v>
      </c>
      <c r="C113" s="0" t="n">
        <v>15.9069130732375</v>
      </c>
      <c r="D113" s="0" t="n">
        <v>8</v>
      </c>
      <c r="E113" s="0" t="n">
        <v>68</v>
      </c>
      <c r="F113" s="0" t="n">
        <v>1.67</v>
      </c>
      <c r="G113" s="0" t="n">
        <v>24.3823729785937</v>
      </c>
      <c r="H113" s="0" t="n">
        <v>0</v>
      </c>
      <c r="I113" s="0" t="n">
        <v>0</v>
      </c>
      <c r="J113" s="19" t="n">
        <v>1</v>
      </c>
      <c r="K113" s="19" t="n">
        <v>0</v>
      </c>
      <c r="L113" s="19" t="n">
        <v>0</v>
      </c>
      <c r="M113" s="19" t="n">
        <v>0</v>
      </c>
      <c r="N113" s="19" t="n">
        <v>0</v>
      </c>
      <c r="O113" s="19" t="n">
        <v>0</v>
      </c>
      <c r="P113" s="19" t="n">
        <v>0</v>
      </c>
      <c r="Q113" s="19" t="n">
        <v>0</v>
      </c>
      <c r="R113" s="19" t="n">
        <v>0</v>
      </c>
      <c r="S113" s="19" t="n">
        <v>0</v>
      </c>
      <c r="T113" s="19" t="n">
        <v>0</v>
      </c>
      <c r="U113" s="15" t="n">
        <f aca="false">AVERAGE(M113:T113)</f>
        <v>0</v>
      </c>
      <c r="V113" s="19" t="n">
        <v>3</v>
      </c>
      <c r="W113" s="19" t="n">
        <v>3</v>
      </c>
      <c r="X113" s="19" t="n">
        <v>5</v>
      </c>
      <c r="Y113" s="19" t="n">
        <v>5</v>
      </c>
      <c r="Z113" s="19" t="n">
        <v>1</v>
      </c>
      <c r="AA113" s="19" t="n">
        <v>1</v>
      </c>
      <c r="AB113" s="19" t="n">
        <v>1</v>
      </c>
      <c r="AC113" s="19" t="n">
        <v>2</v>
      </c>
      <c r="AD113" s="19" t="n">
        <v>1</v>
      </c>
      <c r="AE113" s="19" t="n">
        <v>3</v>
      </c>
      <c r="AF113" s="19" t="n">
        <v>4</v>
      </c>
      <c r="AG113" s="19" t="n">
        <v>4</v>
      </c>
      <c r="AH113" s="19" t="n">
        <v>4</v>
      </c>
      <c r="AI113" s="19" t="n">
        <v>5</v>
      </c>
      <c r="AJ113" s="19" t="n">
        <v>2</v>
      </c>
      <c r="AK113" s="19" t="n">
        <v>5</v>
      </c>
      <c r="AL113" s="19" t="n">
        <v>5</v>
      </c>
      <c r="AM113" s="19" t="n">
        <v>5</v>
      </c>
      <c r="AN113" s="19" t="n">
        <v>5</v>
      </c>
      <c r="AO113" s="19" t="n">
        <v>9</v>
      </c>
      <c r="AP113" s="0" t="n">
        <v>42.5</v>
      </c>
      <c r="AQ113" s="16" t="n">
        <v>81.7</v>
      </c>
      <c r="AR113" s="16" t="n">
        <v>80.4</v>
      </c>
      <c r="AS113" s="16" t="n">
        <v>18.4</v>
      </c>
      <c r="AT113" s="0" t="n">
        <v>80.68</v>
      </c>
      <c r="AU113" s="17" t="n">
        <v>0</v>
      </c>
      <c r="AV113" s="0" t="n">
        <v>8.41</v>
      </c>
      <c r="AW113" s="0" t="n">
        <v>1.93</v>
      </c>
      <c r="AX113" s="0" t="n">
        <v>8.98</v>
      </c>
      <c r="AY113" s="0" t="n">
        <v>0</v>
      </c>
      <c r="AZ113" s="0" t="n">
        <v>0</v>
      </c>
      <c r="BB113" s="0" t="n">
        <v>0</v>
      </c>
      <c r="BC113" s="0" t="n">
        <v>0</v>
      </c>
      <c r="BD113" s="0" t="n">
        <v>0</v>
      </c>
      <c r="BE113" s="0" t="n">
        <v>0.07</v>
      </c>
      <c r="BF113" s="0" t="n">
        <v>26.86</v>
      </c>
      <c r="BG113" s="0" t="n">
        <v>25.47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17.9</v>
      </c>
      <c r="BM113" s="0" t="n">
        <v>1</v>
      </c>
      <c r="BN113" s="0" t="n">
        <v>0</v>
      </c>
      <c r="BO113" s="16" t="n">
        <v>0</v>
      </c>
      <c r="BP113" s="16" t="n">
        <v>0</v>
      </c>
      <c r="BQ113" s="16" t="n">
        <v>4.29</v>
      </c>
      <c r="BR113" s="16" t="n">
        <v>2.66</v>
      </c>
      <c r="BS113" s="16" t="n">
        <v>0</v>
      </c>
      <c r="BT113" s="16" t="n">
        <v>0</v>
      </c>
      <c r="BU113" s="16" t="n">
        <v>0</v>
      </c>
      <c r="BV113" s="0" t="n">
        <v>0</v>
      </c>
    </row>
    <row r="114" customFormat="false" ht="13.8" hidden="false" customHeight="false" outlineLevel="0" collapsed="false">
      <c r="A114" s="0" t="n">
        <v>2</v>
      </c>
      <c r="B114" s="0" t="n">
        <v>42.6173853524983</v>
      </c>
      <c r="C114" s="0" t="n">
        <v>0.249144421629021</v>
      </c>
      <c r="D114" s="0" t="n">
        <v>8</v>
      </c>
      <c r="E114" s="0" t="n">
        <v>67</v>
      </c>
      <c r="F114" s="0" t="n">
        <v>1.7</v>
      </c>
      <c r="G114" s="0" t="n">
        <v>23.1833910034602</v>
      </c>
      <c r="H114" s="0" t="n">
        <v>0</v>
      </c>
      <c r="I114" s="0" t="n">
        <v>0</v>
      </c>
      <c r="J114" s="19" t="n">
        <v>1</v>
      </c>
      <c r="K114" s="19" t="n">
        <v>2</v>
      </c>
      <c r="L114" s="19" t="n">
        <v>1</v>
      </c>
      <c r="M114" s="19" t="n">
        <v>0</v>
      </c>
      <c r="N114" s="19" t="n">
        <v>0</v>
      </c>
      <c r="O114" s="19" t="n">
        <v>0</v>
      </c>
      <c r="P114" s="19" t="n">
        <v>0</v>
      </c>
      <c r="Q114" s="19" t="n">
        <v>0</v>
      </c>
      <c r="R114" s="19" t="n">
        <v>0</v>
      </c>
      <c r="S114" s="19" t="n">
        <v>0</v>
      </c>
      <c r="T114" s="19" t="n">
        <v>0</v>
      </c>
      <c r="U114" s="15" t="n">
        <f aca="false">AVERAGE(M114:T114)</f>
        <v>0</v>
      </c>
      <c r="V114" s="19" t="n">
        <v>2</v>
      </c>
      <c r="W114" s="19" t="n">
        <v>2</v>
      </c>
      <c r="X114" s="19" t="n">
        <v>3</v>
      </c>
      <c r="Y114" s="19" t="n">
        <v>5</v>
      </c>
      <c r="Z114" s="19" t="n">
        <v>2</v>
      </c>
      <c r="AA114" s="19" t="n">
        <v>2</v>
      </c>
      <c r="AB114" s="19" t="n">
        <v>5</v>
      </c>
      <c r="AC114" s="19" t="n">
        <v>3</v>
      </c>
      <c r="AD114" s="19" t="n">
        <v>2</v>
      </c>
      <c r="AE114" s="19" t="n">
        <v>4</v>
      </c>
      <c r="AF114" s="19" t="n">
        <v>4</v>
      </c>
      <c r="AG114" s="19" t="n">
        <v>5</v>
      </c>
      <c r="AH114" s="19" t="n">
        <v>1</v>
      </c>
      <c r="AI114" s="19" t="n">
        <v>5</v>
      </c>
      <c r="AJ114" s="19" t="n">
        <v>5</v>
      </c>
      <c r="AK114" s="19" t="n">
        <v>5</v>
      </c>
      <c r="AL114" s="19" t="n">
        <v>4</v>
      </c>
      <c r="AM114" s="19" t="n">
        <v>5</v>
      </c>
      <c r="AN114" s="19" t="n">
        <v>4</v>
      </c>
      <c r="AO114" s="19" t="n">
        <v>10</v>
      </c>
      <c r="AP114" s="0" t="n">
        <v>30</v>
      </c>
      <c r="AQ114" s="16" t="n">
        <v>86.6</v>
      </c>
      <c r="AR114" s="16" t="n">
        <v>80.4</v>
      </c>
      <c r="AS114" s="16" t="n">
        <v>20.4</v>
      </c>
      <c r="AT114" s="0" t="n">
        <v>82.62</v>
      </c>
      <c r="AU114" s="17" t="n">
        <v>0</v>
      </c>
      <c r="AV114" s="0" t="n">
        <v>15.49</v>
      </c>
      <c r="AW114" s="0" t="n">
        <v>1.49</v>
      </c>
      <c r="AX114" s="0" t="n">
        <v>0.4</v>
      </c>
      <c r="AY114" s="0" t="n">
        <v>0</v>
      </c>
      <c r="AZ114" s="0" t="n">
        <v>0</v>
      </c>
      <c r="BB114" s="0" t="n">
        <v>0</v>
      </c>
      <c r="BC114" s="0" t="n">
        <v>0</v>
      </c>
      <c r="BD114" s="0" t="n">
        <v>0</v>
      </c>
      <c r="BE114" s="0" t="n">
        <v>6.38</v>
      </c>
      <c r="BF114" s="0" t="n">
        <v>56.11</v>
      </c>
      <c r="BG114" s="0" t="n">
        <v>8.46</v>
      </c>
      <c r="BH114" s="0" t="n">
        <v>1.21</v>
      </c>
      <c r="BI114" s="0" t="n">
        <v>0</v>
      </c>
      <c r="BJ114" s="0" t="n">
        <v>0</v>
      </c>
      <c r="BK114" s="0" t="n">
        <v>0</v>
      </c>
      <c r="BL114" s="0" t="n">
        <v>0.5</v>
      </c>
      <c r="BM114" s="0" t="n">
        <v>0</v>
      </c>
      <c r="BN114" s="0" t="n">
        <v>1</v>
      </c>
      <c r="BO114" s="16" t="n">
        <v>0.62</v>
      </c>
      <c r="BP114" s="16" t="n">
        <v>1</v>
      </c>
      <c r="BQ114" s="16" t="n">
        <v>0</v>
      </c>
      <c r="BR114" s="16" t="n">
        <v>0</v>
      </c>
      <c r="BS114" s="16" t="n">
        <v>5.97</v>
      </c>
      <c r="BT114" s="16" t="n">
        <v>0</v>
      </c>
      <c r="BU114" s="16" t="n">
        <v>0</v>
      </c>
      <c r="BV114" s="0" t="n">
        <v>2</v>
      </c>
    </row>
    <row r="115" customFormat="false" ht="13.8" hidden="false" customHeight="false" outlineLevel="0" collapsed="false">
      <c r="A115" s="0" t="n">
        <v>1</v>
      </c>
      <c r="B115" s="0" t="n">
        <v>27.2416153319644</v>
      </c>
      <c r="C115" s="0" t="n">
        <v>0.314852840520192</v>
      </c>
      <c r="D115" s="0" t="n">
        <v>8</v>
      </c>
      <c r="E115" s="0" t="n">
        <v>55</v>
      </c>
      <c r="F115" s="0" t="n">
        <v>1.56</v>
      </c>
      <c r="G115" s="0" t="n">
        <v>22.6002629848784</v>
      </c>
      <c r="H115" s="0" t="n">
        <v>0</v>
      </c>
      <c r="I115" s="0" t="n">
        <v>0</v>
      </c>
      <c r="J115" s="19" t="n">
        <v>0</v>
      </c>
      <c r="K115" s="19" t="n">
        <v>0</v>
      </c>
      <c r="L115" s="19" t="n">
        <v>1</v>
      </c>
      <c r="M115" s="19" t="n">
        <v>0</v>
      </c>
      <c r="N115" s="19" t="n">
        <v>0</v>
      </c>
      <c r="O115" s="19" t="n">
        <v>0</v>
      </c>
      <c r="P115" s="19" t="n">
        <v>0</v>
      </c>
      <c r="Q115" s="19" t="n">
        <v>0</v>
      </c>
      <c r="R115" s="19" t="n">
        <v>0</v>
      </c>
      <c r="S115" s="19" t="n">
        <v>0</v>
      </c>
      <c r="T115" s="19" t="n">
        <v>0</v>
      </c>
      <c r="U115" s="15" t="n">
        <f aca="false">AVERAGE(M115:T115)</f>
        <v>0</v>
      </c>
      <c r="V115" s="19" t="n">
        <v>2</v>
      </c>
      <c r="W115" s="19" t="n">
        <v>1</v>
      </c>
      <c r="X115" s="19" t="n">
        <v>3</v>
      </c>
      <c r="Y115" s="19" t="n">
        <v>5</v>
      </c>
      <c r="Z115" s="19" t="n">
        <v>2</v>
      </c>
      <c r="AA115" s="19" t="n">
        <v>2</v>
      </c>
      <c r="AB115" s="19" t="n">
        <v>3</v>
      </c>
      <c r="AC115" s="19" t="n">
        <v>5</v>
      </c>
      <c r="AD115" s="19" t="n">
        <v>5</v>
      </c>
      <c r="AE115" s="19" t="n">
        <v>5</v>
      </c>
      <c r="AF115" s="19" t="n">
        <v>5</v>
      </c>
      <c r="AG115" s="19" t="n">
        <v>5</v>
      </c>
      <c r="AH115" s="19" t="n">
        <v>5</v>
      </c>
      <c r="AI115" s="19" t="n">
        <v>5</v>
      </c>
      <c r="AJ115" s="19" t="n">
        <v>5</v>
      </c>
      <c r="AK115" s="19" t="n">
        <v>5</v>
      </c>
      <c r="AL115" s="19" t="n">
        <v>5</v>
      </c>
      <c r="AM115" s="19" t="n">
        <v>5</v>
      </c>
      <c r="AN115" s="19" t="n">
        <v>5</v>
      </c>
      <c r="AO115" s="19" t="n">
        <v>10</v>
      </c>
      <c r="AP115" s="0" t="n">
        <v>30</v>
      </c>
      <c r="AQ115" s="16" t="n">
        <v>86.6</v>
      </c>
      <c r="AR115" s="16" t="n">
        <v>80.4</v>
      </c>
      <c r="AS115" s="16" t="n">
        <v>20.4</v>
      </c>
      <c r="AT115" s="0" t="n">
        <v>82.62</v>
      </c>
      <c r="AU115" s="17" t="n">
        <v>0</v>
      </c>
      <c r="AV115" s="0" t="n">
        <v>15.49</v>
      </c>
      <c r="AW115" s="0" t="n">
        <v>1.49</v>
      </c>
      <c r="AX115" s="0" t="n">
        <v>0.4</v>
      </c>
      <c r="AY115" s="0" t="n">
        <v>0</v>
      </c>
      <c r="AZ115" s="0" t="n">
        <v>0</v>
      </c>
      <c r="BB115" s="0" t="n">
        <v>0</v>
      </c>
      <c r="BC115" s="0" t="n">
        <v>0</v>
      </c>
      <c r="BD115" s="0" t="n">
        <v>0</v>
      </c>
      <c r="BE115" s="0" t="n">
        <v>6.38</v>
      </c>
      <c r="BF115" s="0" t="n">
        <v>56.11</v>
      </c>
      <c r="BG115" s="0" t="n">
        <v>8.46</v>
      </c>
      <c r="BH115" s="0" t="n">
        <v>1.21</v>
      </c>
      <c r="BI115" s="0" t="n">
        <v>0</v>
      </c>
      <c r="BJ115" s="0" t="n">
        <v>0</v>
      </c>
      <c r="BK115" s="0" t="n">
        <v>0</v>
      </c>
      <c r="BL115" s="0" t="n">
        <v>0.5</v>
      </c>
      <c r="BM115" s="0" t="n">
        <v>0</v>
      </c>
      <c r="BN115" s="0" t="n">
        <v>1</v>
      </c>
      <c r="BO115" s="16" t="n">
        <v>0.62</v>
      </c>
      <c r="BP115" s="16" t="n">
        <v>1</v>
      </c>
      <c r="BQ115" s="16" t="n">
        <v>0</v>
      </c>
      <c r="BR115" s="16" t="n">
        <v>0</v>
      </c>
      <c r="BS115" s="16" t="n">
        <v>5.97</v>
      </c>
      <c r="BT115" s="16" t="n">
        <v>0</v>
      </c>
      <c r="BU115" s="16" t="n">
        <v>0</v>
      </c>
      <c r="BV115" s="0" t="n">
        <v>2</v>
      </c>
    </row>
    <row r="116" customFormat="false" ht="13.8" hidden="false" customHeight="false" outlineLevel="0" collapsed="false">
      <c r="A116" s="0" t="n">
        <v>2</v>
      </c>
      <c r="B116" s="0" t="n">
        <v>24.0793976728268</v>
      </c>
      <c r="C116" s="0" t="n">
        <v>0.26009582477755</v>
      </c>
      <c r="D116" s="0" t="n">
        <v>8</v>
      </c>
      <c r="E116" s="0" t="n">
        <v>84</v>
      </c>
      <c r="F116" s="0" t="n">
        <v>1.8</v>
      </c>
      <c r="G116" s="0" t="n">
        <v>25.9259259259259</v>
      </c>
      <c r="H116" s="0" t="n">
        <v>0</v>
      </c>
      <c r="I116" s="0" t="n">
        <v>0</v>
      </c>
      <c r="J116" s="19" t="n">
        <v>0</v>
      </c>
      <c r="K116" s="19" t="n">
        <v>2</v>
      </c>
      <c r="L116" s="19" t="n">
        <v>0</v>
      </c>
      <c r="M116" s="19" t="n">
        <v>0</v>
      </c>
      <c r="N116" s="19" t="n">
        <v>0</v>
      </c>
      <c r="O116" s="19" t="n">
        <v>0</v>
      </c>
      <c r="P116" s="19" t="n">
        <v>0</v>
      </c>
      <c r="Q116" s="19" t="n">
        <v>0</v>
      </c>
      <c r="R116" s="19" t="n">
        <v>0</v>
      </c>
      <c r="S116" s="19" t="n">
        <v>0</v>
      </c>
      <c r="T116" s="19" t="n">
        <v>0</v>
      </c>
      <c r="U116" s="15" t="n">
        <f aca="false">AVERAGE(M116:T116)</f>
        <v>0</v>
      </c>
      <c r="V116" s="19" t="n">
        <v>1</v>
      </c>
      <c r="W116" s="19" t="n">
        <v>1</v>
      </c>
      <c r="X116" s="19" t="n">
        <v>1</v>
      </c>
      <c r="Y116" s="19" t="n">
        <v>5</v>
      </c>
      <c r="Z116" s="19" t="n">
        <v>2</v>
      </c>
      <c r="AA116" s="19" t="n">
        <v>1</v>
      </c>
      <c r="AB116" s="19" t="n">
        <v>3</v>
      </c>
      <c r="AC116" s="19" t="n">
        <v>3</v>
      </c>
      <c r="AD116" s="19" t="n">
        <v>5</v>
      </c>
      <c r="AE116" s="19" t="n">
        <v>5</v>
      </c>
      <c r="AF116" s="19" t="n">
        <v>5</v>
      </c>
      <c r="AG116" s="19" t="n">
        <v>5</v>
      </c>
      <c r="AH116" s="19" t="n">
        <v>5</v>
      </c>
      <c r="AI116" s="19" t="n">
        <v>5</v>
      </c>
      <c r="AJ116" s="19" t="n">
        <v>5</v>
      </c>
      <c r="AK116" s="19" t="n">
        <v>5</v>
      </c>
      <c r="AL116" s="19" t="n">
        <v>5</v>
      </c>
      <c r="AM116" s="19" t="n">
        <v>5</v>
      </c>
      <c r="AN116" s="19" t="n">
        <v>5</v>
      </c>
      <c r="AO116" s="19" t="n">
        <v>10</v>
      </c>
      <c r="AP116" s="0" t="n">
        <v>30</v>
      </c>
      <c r="AQ116" s="16" t="n">
        <v>86.6</v>
      </c>
      <c r="AR116" s="16" t="n">
        <v>80.4</v>
      </c>
      <c r="AS116" s="16" t="n">
        <v>20.4</v>
      </c>
      <c r="AT116" s="0" t="n">
        <v>82.62</v>
      </c>
      <c r="AU116" s="17" t="n">
        <v>0</v>
      </c>
      <c r="AV116" s="0" t="n">
        <v>15.49</v>
      </c>
      <c r="AW116" s="0" t="n">
        <v>1.49</v>
      </c>
      <c r="AX116" s="0" t="n">
        <v>0.4</v>
      </c>
      <c r="AY116" s="0" t="n">
        <v>0</v>
      </c>
      <c r="AZ116" s="0" t="n">
        <v>0</v>
      </c>
      <c r="BB116" s="0" t="n">
        <v>0</v>
      </c>
      <c r="BC116" s="0" t="n">
        <v>0</v>
      </c>
      <c r="BD116" s="0" t="n">
        <v>0</v>
      </c>
      <c r="BE116" s="0" t="n">
        <v>6.38</v>
      </c>
      <c r="BF116" s="0" t="n">
        <v>56.11</v>
      </c>
      <c r="BG116" s="0" t="n">
        <v>8.46</v>
      </c>
      <c r="BH116" s="0" t="n">
        <v>1.21</v>
      </c>
      <c r="BI116" s="0" t="n">
        <v>0</v>
      </c>
      <c r="BJ116" s="0" t="n">
        <v>0</v>
      </c>
      <c r="BK116" s="0" t="n">
        <v>0</v>
      </c>
      <c r="BL116" s="0" t="n">
        <v>0.5</v>
      </c>
      <c r="BM116" s="0" t="n">
        <v>0</v>
      </c>
      <c r="BN116" s="0" t="n">
        <v>1</v>
      </c>
      <c r="BO116" s="16" t="n">
        <v>0.62</v>
      </c>
      <c r="BP116" s="16" t="n">
        <v>1</v>
      </c>
      <c r="BQ116" s="16" t="n">
        <v>0</v>
      </c>
      <c r="BR116" s="16" t="n">
        <v>0</v>
      </c>
      <c r="BS116" s="16" t="n">
        <v>5.97</v>
      </c>
      <c r="BT116" s="16" t="n">
        <v>0</v>
      </c>
      <c r="BU116" s="16" t="n">
        <v>0</v>
      </c>
      <c r="BV116" s="0" t="n">
        <v>2</v>
      </c>
    </row>
    <row r="117" customFormat="false" ht="13.8" hidden="false" customHeight="false" outlineLevel="0" collapsed="false">
      <c r="A117" s="0" t="n">
        <v>2</v>
      </c>
      <c r="B117" s="0" t="n">
        <v>25.4647501711157</v>
      </c>
      <c r="C117" s="0" t="n">
        <v>0.276522929500342</v>
      </c>
      <c r="D117" s="0" t="n">
        <v>8</v>
      </c>
      <c r="E117" s="0" t="n">
        <v>96</v>
      </c>
      <c r="F117" s="0" t="n">
        <v>1.77</v>
      </c>
      <c r="G117" s="0" t="n">
        <v>30.6425356698267</v>
      </c>
      <c r="H117" s="0" t="n">
        <v>0</v>
      </c>
      <c r="I117" s="0" t="n">
        <v>0</v>
      </c>
      <c r="J117" s="19" t="n">
        <v>0</v>
      </c>
      <c r="K117" s="19" t="n">
        <v>1</v>
      </c>
      <c r="L117" s="19" t="n">
        <v>0</v>
      </c>
      <c r="M117" s="19" t="n">
        <v>0</v>
      </c>
      <c r="N117" s="19" t="n">
        <v>0</v>
      </c>
      <c r="O117" s="19" t="n">
        <v>0</v>
      </c>
      <c r="P117" s="19" t="n">
        <v>0</v>
      </c>
      <c r="Q117" s="19" t="n">
        <v>0</v>
      </c>
      <c r="R117" s="19" t="n">
        <v>0</v>
      </c>
      <c r="S117" s="19" t="n">
        <v>0</v>
      </c>
      <c r="T117" s="19" t="n">
        <v>0</v>
      </c>
      <c r="U117" s="15" t="n">
        <f aca="false">AVERAGE(M117:T117)</f>
        <v>0</v>
      </c>
      <c r="V117" s="19" t="n">
        <v>1</v>
      </c>
      <c r="W117" s="19" t="n">
        <v>1</v>
      </c>
      <c r="X117" s="19" t="n">
        <v>2</v>
      </c>
      <c r="Y117" s="19" t="n">
        <v>5</v>
      </c>
      <c r="Z117" s="19" t="n">
        <v>3</v>
      </c>
      <c r="AA117" s="19" t="n">
        <v>1</v>
      </c>
      <c r="AB117" s="19" t="n">
        <v>3</v>
      </c>
      <c r="AC117" s="19" t="n">
        <v>5</v>
      </c>
      <c r="AD117" s="19" t="n">
        <v>5</v>
      </c>
      <c r="AE117" s="19" t="n">
        <v>5</v>
      </c>
      <c r="AF117" s="19" t="n">
        <v>5</v>
      </c>
      <c r="AG117" s="19" t="n">
        <v>5</v>
      </c>
      <c r="AH117" s="19" t="n">
        <v>5</v>
      </c>
      <c r="AI117" s="19" t="n">
        <v>5</v>
      </c>
      <c r="AJ117" s="19" t="n">
        <v>5</v>
      </c>
      <c r="AK117" s="19" t="n">
        <v>5</v>
      </c>
      <c r="AL117" s="19" t="n">
        <v>5</v>
      </c>
      <c r="AM117" s="19" t="n">
        <v>5</v>
      </c>
      <c r="AN117" s="19" t="n">
        <v>5</v>
      </c>
      <c r="AO117" s="19" t="n">
        <v>8</v>
      </c>
      <c r="AP117" s="0" t="n">
        <v>30.5</v>
      </c>
      <c r="AQ117" s="16" t="n">
        <v>84.8</v>
      </c>
      <c r="AR117" s="16" t="n">
        <v>80.4</v>
      </c>
      <c r="AS117" s="16" t="n">
        <v>23.9</v>
      </c>
      <c r="AT117" s="0" t="n">
        <v>79.32</v>
      </c>
      <c r="AU117" s="17" t="n">
        <v>0</v>
      </c>
      <c r="AV117" s="0" t="n">
        <v>18.78</v>
      </c>
      <c r="AW117" s="0" t="n">
        <v>1.49</v>
      </c>
      <c r="AX117" s="0" t="n">
        <v>0.4</v>
      </c>
      <c r="AY117" s="0" t="n">
        <v>0</v>
      </c>
      <c r="AZ117" s="0" t="n">
        <v>0</v>
      </c>
      <c r="BB117" s="0" t="n">
        <v>0</v>
      </c>
      <c r="BC117" s="0" t="n">
        <v>0</v>
      </c>
      <c r="BD117" s="0" t="n">
        <v>0</v>
      </c>
      <c r="BE117" s="0" t="n">
        <v>6.38</v>
      </c>
      <c r="BF117" s="0" t="n">
        <v>49.21</v>
      </c>
      <c r="BG117" s="0" t="n">
        <v>12.84</v>
      </c>
      <c r="BH117" s="0" t="n">
        <v>1.21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1</v>
      </c>
      <c r="BO117" s="16" t="n">
        <v>0.62</v>
      </c>
      <c r="BP117" s="16" t="n">
        <v>1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3.21</v>
      </c>
      <c r="BV117" s="0" t="n">
        <v>0</v>
      </c>
    </row>
    <row r="118" customFormat="false" ht="13.8" hidden="false" customHeight="false" outlineLevel="0" collapsed="false">
      <c r="A118" s="0" t="n">
        <v>1</v>
      </c>
      <c r="B118" s="0" t="n">
        <v>46.2943189596167</v>
      </c>
      <c r="C118" s="0" t="n">
        <v>6.11635865845311</v>
      </c>
      <c r="D118" s="0" t="n">
        <v>8</v>
      </c>
      <c r="E118" s="0" t="n">
        <v>74</v>
      </c>
      <c r="F118" s="0" t="n">
        <v>1.67</v>
      </c>
      <c r="G118" s="0" t="n">
        <v>26.5337588296461</v>
      </c>
      <c r="H118" s="0" t="n">
        <v>0</v>
      </c>
      <c r="I118" s="0" t="n">
        <v>0</v>
      </c>
      <c r="J118" s="19" t="n">
        <v>1</v>
      </c>
      <c r="K118" s="19" t="n">
        <v>2</v>
      </c>
      <c r="L118" s="19" t="n">
        <v>0</v>
      </c>
      <c r="M118" s="19" t="n">
        <v>0</v>
      </c>
      <c r="O118" s="19" t="n">
        <v>0</v>
      </c>
      <c r="P118" s="19" t="n">
        <v>0</v>
      </c>
      <c r="Q118" s="19" t="n">
        <v>0</v>
      </c>
      <c r="R118" s="19" t="n">
        <v>0</v>
      </c>
      <c r="S118" s="19" t="n">
        <v>0</v>
      </c>
      <c r="T118" s="19" t="n">
        <v>0</v>
      </c>
      <c r="U118" s="15" t="n">
        <f aca="false">AVERAGE(M118:T118)</f>
        <v>0</v>
      </c>
      <c r="V118" s="19" t="n">
        <v>1</v>
      </c>
      <c r="W118" s="19" t="n">
        <v>1</v>
      </c>
      <c r="X118" s="19" t="n">
        <v>3</v>
      </c>
      <c r="Y118" s="19" t="n">
        <v>5</v>
      </c>
      <c r="Z118" s="19" t="n">
        <v>3</v>
      </c>
      <c r="AA118" s="19" t="n">
        <v>3</v>
      </c>
      <c r="AB118" s="19" t="n">
        <v>4</v>
      </c>
      <c r="AC118" s="19"/>
      <c r="AD118" s="19"/>
      <c r="AE118" s="19"/>
      <c r="AF118" s="19" t="n">
        <v>3</v>
      </c>
      <c r="AG118" s="19" t="n">
        <v>4</v>
      </c>
      <c r="AH118" s="19" t="n">
        <v>4</v>
      </c>
      <c r="AI118" s="19" t="n">
        <v>3</v>
      </c>
      <c r="AJ118" s="19" t="n">
        <v>3</v>
      </c>
      <c r="AK118" s="19" t="n">
        <v>4</v>
      </c>
      <c r="AL118" s="19" t="n">
        <v>4</v>
      </c>
      <c r="AM118" s="19" t="n">
        <v>4</v>
      </c>
      <c r="AN118" s="19" t="n">
        <v>4</v>
      </c>
      <c r="AO118" s="19" t="n">
        <v>8</v>
      </c>
      <c r="AP118" s="0" t="n">
        <v>70.5</v>
      </c>
      <c r="AQ118" s="16" t="n">
        <v>88.2</v>
      </c>
      <c r="AR118" s="16" t="n">
        <v>80.4</v>
      </c>
      <c r="AS118" s="16" t="n">
        <v>36.3</v>
      </c>
      <c r="AT118" s="0" t="n">
        <v>72.69</v>
      </c>
      <c r="AU118" s="17" t="n">
        <v>0</v>
      </c>
      <c r="AV118" s="0" t="n">
        <v>10.32</v>
      </c>
      <c r="AW118" s="0" t="n">
        <v>16.99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36.66</v>
      </c>
      <c r="BG118" s="0" t="n">
        <v>7.54</v>
      </c>
      <c r="BH118" s="0" t="n">
        <v>10.32</v>
      </c>
      <c r="BI118" s="0" t="n">
        <v>0</v>
      </c>
      <c r="BJ118" s="0" t="n">
        <v>0</v>
      </c>
      <c r="BK118" s="0" t="n">
        <v>0</v>
      </c>
      <c r="BL118" s="0" t="n">
        <v>21.2</v>
      </c>
      <c r="BM118" s="0" t="n">
        <v>1</v>
      </c>
      <c r="BN118" s="0" t="n">
        <v>0</v>
      </c>
      <c r="BO118" s="16" t="n">
        <v>11.58</v>
      </c>
      <c r="BP118" s="16" t="n">
        <v>1</v>
      </c>
      <c r="BQ118" s="16" t="n">
        <v>0.27</v>
      </c>
      <c r="BR118" s="16" t="n">
        <v>0.27</v>
      </c>
      <c r="BS118" s="16" t="n">
        <v>0</v>
      </c>
      <c r="BT118" s="16" t="n">
        <v>0</v>
      </c>
      <c r="BU118" s="16" t="n">
        <v>0</v>
      </c>
      <c r="BV118" s="0" t="n">
        <v>0</v>
      </c>
    </row>
    <row r="119" customFormat="false" ht="13.8" hidden="false" customHeight="false" outlineLevel="0" collapsed="false">
      <c r="A119" s="0" t="n">
        <v>2</v>
      </c>
      <c r="B119" s="0" t="n">
        <v>18.9158110882957</v>
      </c>
      <c r="C119" s="0" t="n">
        <v>0.353182751540041</v>
      </c>
      <c r="D119" s="0" t="n">
        <v>8</v>
      </c>
      <c r="E119" s="0" t="n">
        <v>80</v>
      </c>
      <c r="F119" s="0" t="n">
        <v>1.75</v>
      </c>
      <c r="G119" s="0" t="n">
        <v>26.1224489795918</v>
      </c>
      <c r="H119" s="0" t="n">
        <v>0</v>
      </c>
      <c r="I119" s="0" t="n">
        <v>0</v>
      </c>
      <c r="J119" s="19" t="n">
        <v>0</v>
      </c>
      <c r="K119" s="19" t="n">
        <v>1</v>
      </c>
      <c r="L119" s="19" t="n">
        <v>1</v>
      </c>
      <c r="M119" s="19" t="n">
        <v>0</v>
      </c>
      <c r="N119" s="19" t="n">
        <v>0</v>
      </c>
      <c r="O119" s="19" t="n">
        <v>0</v>
      </c>
      <c r="P119" s="19" t="n">
        <v>0</v>
      </c>
      <c r="Q119" s="19" t="n">
        <v>0</v>
      </c>
      <c r="R119" s="19" t="n">
        <v>0</v>
      </c>
      <c r="S119" s="19" t="n">
        <v>0</v>
      </c>
      <c r="T119" s="19" t="n">
        <v>0</v>
      </c>
      <c r="U119" s="15" t="n">
        <f aca="false">AVERAGE(M119:T119)</f>
        <v>0</v>
      </c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 t="n">
        <v>4</v>
      </c>
      <c r="AM119" s="19" t="n">
        <v>5</v>
      </c>
      <c r="AN119" s="19" t="n">
        <v>5</v>
      </c>
      <c r="AO119" s="19" t="n">
        <v>9</v>
      </c>
      <c r="AP119" s="0" t="n">
        <v>16.5</v>
      </c>
      <c r="AQ119" s="16" t="n">
        <v>35.3</v>
      </c>
      <c r="AR119" s="16" t="n">
        <v>80.4</v>
      </c>
      <c r="AS119" s="16" t="n">
        <v>9.7</v>
      </c>
      <c r="AT119" s="0" t="n">
        <v>86.56</v>
      </c>
      <c r="AU119" s="0" t="n">
        <v>12.61</v>
      </c>
      <c r="AV119" s="0" t="n">
        <v>0</v>
      </c>
      <c r="AW119" s="0" t="n">
        <v>0</v>
      </c>
      <c r="AX119" s="0" t="n">
        <v>0.83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2.22</v>
      </c>
      <c r="BG119" s="0" t="n">
        <v>20.83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0.3</v>
      </c>
      <c r="BM119" s="0" t="n">
        <v>1</v>
      </c>
      <c r="BN119" s="0" t="n">
        <v>0</v>
      </c>
      <c r="BO119" s="16" t="n">
        <v>0.28</v>
      </c>
      <c r="BP119" s="16" t="n">
        <v>1</v>
      </c>
      <c r="BQ119" s="16" t="n">
        <v>5.99</v>
      </c>
      <c r="BR119" s="16" t="n">
        <v>5.34</v>
      </c>
      <c r="BS119" s="16" t="n">
        <v>0</v>
      </c>
      <c r="BT119" s="16" t="n">
        <v>0</v>
      </c>
      <c r="BU119" s="16" t="n">
        <v>0</v>
      </c>
      <c r="BV119" s="0" t="n">
        <v>0</v>
      </c>
    </row>
    <row r="120" customFormat="false" ht="13.8" hidden="false" customHeight="false" outlineLevel="0" collapsed="false">
      <c r="A120" s="0" t="n">
        <v>1</v>
      </c>
      <c r="B120" s="0" t="n">
        <v>36.0547570157426</v>
      </c>
      <c r="C120" s="0" t="n">
        <v>0.295687885010267</v>
      </c>
      <c r="D120" s="0" t="n">
        <v>8</v>
      </c>
      <c r="E120" s="0" t="n">
        <v>57</v>
      </c>
      <c r="F120" s="0" t="n">
        <v>1.61</v>
      </c>
      <c r="G120" s="0" t="n">
        <v>21.9898923652637</v>
      </c>
      <c r="H120" s="0" t="n">
        <v>0</v>
      </c>
      <c r="I120" s="0" t="n">
        <v>0</v>
      </c>
      <c r="J120" s="19" t="n">
        <v>0</v>
      </c>
      <c r="K120" s="19" t="n">
        <v>0</v>
      </c>
      <c r="L120" s="19" t="n">
        <v>0</v>
      </c>
      <c r="M120" s="19" t="n">
        <v>0</v>
      </c>
      <c r="N120" s="19" t="n">
        <v>0</v>
      </c>
      <c r="O120" s="19" t="n">
        <v>6</v>
      </c>
      <c r="P120" s="19" t="n">
        <v>0</v>
      </c>
      <c r="Q120" s="19" t="n">
        <v>6</v>
      </c>
      <c r="R120" s="19" t="n">
        <v>0</v>
      </c>
      <c r="S120" s="19" t="n">
        <v>0</v>
      </c>
      <c r="T120" s="19" t="n">
        <v>5</v>
      </c>
      <c r="U120" s="15" t="n">
        <f aca="false">AVERAGE(M120:T120)</f>
        <v>2.125</v>
      </c>
      <c r="V120" s="19" t="n">
        <v>2</v>
      </c>
      <c r="W120" s="19" t="n">
        <v>1</v>
      </c>
      <c r="X120" s="19" t="n">
        <v>3</v>
      </c>
      <c r="Y120" s="19" t="n">
        <v>5</v>
      </c>
      <c r="Z120" s="19" t="n">
        <v>1</v>
      </c>
      <c r="AA120" s="19" t="n">
        <v>1</v>
      </c>
      <c r="AB120" s="19" t="n">
        <v>3</v>
      </c>
      <c r="AC120" s="19" t="n">
        <v>3</v>
      </c>
      <c r="AD120" s="19" t="n">
        <v>5</v>
      </c>
      <c r="AE120" s="19" t="n">
        <v>5</v>
      </c>
      <c r="AF120" s="19" t="n">
        <v>4</v>
      </c>
      <c r="AG120" s="19" t="n">
        <v>5</v>
      </c>
      <c r="AH120" s="19" t="n">
        <v>4</v>
      </c>
      <c r="AI120" s="19" t="n">
        <v>5</v>
      </c>
      <c r="AJ120" s="19" t="n">
        <v>5</v>
      </c>
      <c r="AK120" s="19" t="n">
        <v>5</v>
      </c>
      <c r="AL120" s="19" t="n">
        <v>4</v>
      </c>
      <c r="AM120" s="19" t="n">
        <v>4</v>
      </c>
      <c r="AN120" s="19" t="n">
        <v>5</v>
      </c>
      <c r="AO120" s="19" t="n">
        <v>9</v>
      </c>
      <c r="AP120" s="0" t="n">
        <v>35</v>
      </c>
      <c r="AQ120" s="16" t="n">
        <v>78.8</v>
      </c>
      <c r="AR120" s="16" t="n">
        <v>80.4</v>
      </c>
      <c r="AS120" s="16" t="n">
        <v>17.2</v>
      </c>
      <c r="AT120" s="0" t="n">
        <v>72.07</v>
      </c>
      <c r="AU120" s="0" t="n">
        <v>11.09</v>
      </c>
      <c r="AV120" s="0" t="n">
        <v>1.12</v>
      </c>
      <c r="AW120" s="0" t="n">
        <v>0</v>
      </c>
      <c r="AX120" s="0" t="n">
        <v>15.71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1.66</v>
      </c>
      <c r="BG120" s="0" t="n">
        <v>34.99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11.2</v>
      </c>
      <c r="BM120" s="0" t="n">
        <v>1</v>
      </c>
      <c r="BN120" s="0" t="n">
        <v>0</v>
      </c>
      <c r="BO120" s="16" t="n">
        <v>0</v>
      </c>
      <c r="BP120" s="16" t="n">
        <v>0</v>
      </c>
      <c r="BQ120" s="16" t="n">
        <v>6.16</v>
      </c>
      <c r="BR120" s="16" t="n">
        <v>7.21</v>
      </c>
      <c r="BS120" s="16" t="n">
        <v>0</v>
      </c>
      <c r="BT120" s="16" t="n">
        <v>0</v>
      </c>
      <c r="BU120" s="16" t="n">
        <v>0</v>
      </c>
      <c r="BV120" s="0" t="n">
        <v>0</v>
      </c>
    </row>
    <row r="121" customFormat="false" ht="13.8" hidden="false" customHeight="false" outlineLevel="0" collapsed="false">
      <c r="A121" s="0" t="n">
        <v>2</v>
      </c>
      <c r="B121" s="0" t="n">
        <v>33.2183436002738</v>
      </c>
      <c r="C121" s="0" t="n">
        <v>0.295687885010267</v>
      </c>
      <c r="D121" s="0" t="n">
        <v>8</v>
      </c>
      <c r="E121" s="0" t="n">
        <v>78</v>
      </c>
      <c r="F121" s="0" t="n">
        <v>1.78</v>
      </c>
      <c r="G121" s="0" t="n">
        <v>24.6181037747759</v>
      </c>
      <c r="H121" s="0" t="n">
        <v>0</v>
      </c>
      <c r="I121" s="0" t="n">
        <v>0</v>
      </c>
      <c r="J121" s="19" t="n">
        <v>0</v>
      </c>
      <c r="K121" s="19" t="n">
        <v>0</v>
      </c>
      <c r="L121" s="19" t="n">
        <v>0</v>
      </c>
      <c r="M121" s="19" t="n">
        <v>0</v>
      </c>
      <c r="N121" s="19" t="n">
        <v>0</v>
      </c>
      <c r="O121" s="19" t="n">
        <v>0</v>
      </c>
      <c r="P121" s="19" t="n">
        <v>0</v>
      </c>
      <c r="Q121" s="19" t="n">
        <v>4</v>
      </c>
      <c r="R121" s="19" t="n">
        <v>0</v>
      </c>
      <c r="S121" s="19" t="n">
        <v>0</v>
      </c>
      <c r="T121" s="19" t="n">
        <v>0</v>
      </c>
      <c r="U121" s="15" t="n">
        <f aca="false">AVERAGE(M121:T121)</f>
        <v>0.5</v>
      </c>
      <c r="V121" s="19" t="n">
        <v>1</v>
      </c>
      <c r="W121" s="19" t="n">
        <v>2</v>
      </c>
      <c r="X121" s="19" t="n">
        <v>2</v>
      </c>
      <c r="Y121" s="19" t="n">
        <v>5</v>
      </c>
      <c r="Z121" s="19" t="n">
        <v>3</v>
      </c>
      <c r="AA121" s="19" t="n">
        <v>1</v>
      </c>
      <c r="AB121" s="19" t="n">
        <v>3</v>
      </c>
      <c r="AC121" s="19" t="n">
        <v>3</v>
      </c>
      <c r="AD121" s="19" t="n">
        <v>3</v>
      </c>
      <c r="AE121" s="19" t="n">
        <v>4</v>
      </c>
      <c r="AF121" s="19" t="n">
        <v>5</v>
      </c>
      <c r="AG121" s="19" t="n">
        <v>5</v>
      </c>
      <c r="AH121" s="19" t="n">
        <v>4</v>
      </c>
      <c r="AI121" s="19" t="n">
        <v>4</v>
      </c>
      <c r="AJ121" s="19" t="n">
        <v>5</v>
      </c>
      <c r="AK121" s="19" t="n">
        <v>5</v>
      </c>
      <c r="AL121" s="19" t="n">
        <v>4</v>
      </c>
      <c r="AM121" s="19" t="n">
        <v>5</v>
      </c>
      <c r="AN121" s="19" t="n">
        <v>4</v>
      </c>
      <c r="AO121" s="19" t="n">
        <v>9</v>
      </c>
      <c r="AP121" s="0" t="n">
        <v>35</v>
      </c>
      <c r="AQ121" s="16" t="n">
        <v>78.8</v>
      </c>
      <c r="AR121" s="16" t="n">
        <v>80.4</v>
      </c>
      <c r="AS121" s="16" t="n">
        <v>17.2</v>
      </c>
      <c r="AT121" s="0" t="n">
        <v>72.07</v>
      </c>
      <c r="AU121" s="0" t="n">
        <v>11.09</v>
      </c>
      <c r="AV121" s="0" t="n">
        <v>1.12</v>
      </c>
      <c r="AW121" s="0" t="n">
        <v>0</v>
      </c>
      <c r="AX121" s="0" t="n">
        <v>15.71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1.66</v>
      </c>
      <c r="BG121" s="0" t="n">
        <v>34.99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11.2</v>
      </c>
      <c r="BM121" s="0" t="n">
        <v>1</v>
      </c>
      <c r="BN121" s="0" t="n">
        <v>0</v>
      </c>
      <c r="BO121" s="16" t="n">
        <v>0</v>
      </c>
      <c r="BP121" s="16" t="n">
        <v>0</v>
      </c>
      <c r="BQ121" s="16" t="n">
        <v>6.16</v>
      </c>
      <c r="BR121" s="16" t="n">
        <v>7.21</v>
      </c>
      <c r="BS121" s="16" t="n">
        <v>0</v>
      </c>
      <c r="BT121" s="16" t="n">
        <v>0</v>
      </c>
      <c r="BU121" s="16" t="n">
        <v>0</v>
      </c>
      <c r="BV121" s="0" t="n">
        <v>0</v>
      </c>
    </row>
    <row r="122" customFormat="false" ht="13.8" hidden="false" customHeight="false" outlineLevel="0" collapsed="false">
      <c r="A122" s="0" t="n">
        <v>2</v>
      </c>
      <c r="B122" s="0" t="n">
        <v>23.2498288843258</v>
      </c>
      <c r="C122" s="0" t="n">
        <v>0.32580424366872</v>
      </c>
      <c r="D122" s="0" t="n">
        <v>8</v>
      </c>
      <c r="E122" s="0" t="n">
        <v>55</v>
      </c>
      <c r="F122" s="0" t="n">
        <v>1.66</v>
      </c>
      <c r="G122" s="0" t="n">
        <v>19.9593554942662</v>
      </c>
      <c r="H122" s="0" t="n">
        <v>0</v>
      </c>
      <c r="I122" s="0" t="n">
        <v>0</v>
      </c>
      <c r="J122" s="19" t="n">
        <v>0</v>
      </c>
      <c r="K122" s="19" t="n">
        <v>0</v>
      </c>
      <c r="L122" s="19" t="n">
        <v>1</v>
      </c>
      <c r="M122" s="19" t="n">
        <v>0</v>
      </c>
      <c r="N122" s="19" t="n">
        <v>0</v>
      </c>
      <c r="O122" s="19" t="n">
        <v>0</v>
      </c>
      <c r="P122" s="19" t="n">
        <v>0</v>
      </c>
      <c r="Q122" s="19" t="n">
        <v>0</v>
      </c>
      <c r="R122" s="19" t="n">
        <v>0</v>
      </c>
      <c r="S122" s="19" t="n">
        <v>0</v>
      </c>
      <c r="T122" s="19" t="n">
        <v>0</v>
      </c>
      <c r="U122" s="15" t="n">
        <f aca="false">AVERAGE(M122:T122)</f>
        <v>0</v>
      </c>
      <c r="V122" s="19" t="n">
        <v>2</v>
      </c>
      <c r="W122" s="19" t="n">
        <v>2</v>
      </c>
      <c r="X122" s="19" t="n">
        <v>5</v>
      </c>
      <c r="Y122" s="19" t="n">
        <v>5</v>
      </c>
      <c r="Z122" s="19" t="n">
        <v>3</v>
      </c>
      <c r="AA122" s="19" t="n">
        <v>1</v>
      </c>
      <c r="AB122" s="19" t="n">
        <v>3</v>
      </c>
      <c r="AC122" s="19" t="n">
        <v>5</v>
      </c>
      <c r="AD122" s="19" t="n">
        <v>5</v>
      </c>
      <c r="AE122" s="19" t="n">
        <v>5</v>
      </c>
      <c r="AF122" s="19" t="n">
        <v>5</v>
      </c>
      <c r="AG122" s="19" t="n">
        <v>5</v>
      </c>
      <c r="AH122" s="19" t="n">
        <v>5</v>
      </c>
      <c r="AI122" s="19" t="n">
        <v>5</v>
      </c>
      <c r="AJ122" s="19" t="n">
        <v>4</v>
      </c>
      <c r="AK122" s="19" t="n">
        <v>5</v>
      </c>
      <c r="AL122" s="19" t="n">
        <v>5</v>
      </c>
      <c r="AM122" s="19" t="n">
        <v>5</v>
      </c>
      <c r="AN122" s="19" t="n">
        <v>5</v>
      </c>
      <c r="AO122" s="19" t="n">
        <v>10</v>
      </c>
      <c r="AP122" s="0" t="n">
        <v>35</v>
      </c>
      <c r="AQ122" s="16" t="n">
        <v>78.8</v>
      </c>
      <c r="AR122" s="16" t="n">
        <v>80.4</v>
      </c>
      <c r="AS122" s="16" t="n">
        <v>17.2</v>
      </c>
      <c r="AT122" s="0" t="n">
        <v>72.07</v>
      </c>
      <c r="AU122" s="0" t="n">
        <v>11.09</v>
      </c>
      <c r="AV122" s="0" t="n">
        <v>1.12</v>
      </c>
      <c r="AW122" s="0" t="n">
        <v>0</v>
      </c>
      <c r="AX122" s="0" t="n">
        <v>15.71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1.66</v>
      </c>
      <c r="BG122" s="0" t="n">
        <v>34.99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11.2</v>
      </c>
      <c r="BM122" s="0" t="n">
        <v>1</v>
      </c>
      <c r="BN122" s="0" t="n">
        <v>0</v>
      </c>
      <c r="BO122" s="16" t="n">
        <v>0</v>
      </c>
      <c r="BP122" s="16" t="n">
        <v>0</v>
      </c>
      <c r="BQ122" s="16" t="n">
        <v>6.16</v>
      </c>
      <c r="BR122" s="16" t="n">
        <v>7.21</v>
      </c>
      <c r="BS122" s="16" t="n">
        <v>0</v>
      </c>
      <c r="BT122" s="16" t="n">
        <v>0</v>
      </c>
      <c r="BU122" s="16" t="n">
        <v>0</v>
      </c>
      <c r="BV122" s="0" t="n">
        <v>0</v>
      </c>
    </row>
    <row r="123" customFormat="false" ht="13.8" hidden="false" customHeight="false" outlineLevel="0" collapsed="false">
      <c r="A123" s="0" t="n">
        <v>2</v>
      </c>
      <c r="B123" s="0" t="n">
        <v>34.0424366872005</v>
      </c>
      <c r="C123" s="0" t="n">
        <v>0.249144421629021</v>
      </c>
      <c r="D123" s="0" t="n">
        <v>8</v>
      </c>
      <c r="E123" s="0" t="n">
        <v>74</v>
      </c>
      <c r="F123" s="0" t="n">
        <v>1.82</v>
      </c>
      <c r="G123" s="0" t="n">
        <v>22.3402970655718</v>
      </c>
      <c r="H123" s="0" t="n">
        <v>0</v>
      </c>
      <c r="I123" s="0" t="n">
        <v>0</v>
      </c>
      <c r="J123" s="19" t="n">
        <v>0</v>
      </c>
      <c r="K123" s="19" t="n">
        <v>3</v>
      </c>
      <c r="L123" s="19" t="n">
        <v>1</v>
      </c>
      <c r="M123" s="19" t="n">
        <v>0</v>
      </c>
      <c r="N123" s="19" t="n">
        <v>0</v>
      </c>
      <c r="O123" s="19" t="n">
        <v>0</v>
      </c>
      <c r="P123" s="19" t="n">
        <v>0</v>
      </c>
      <c r="Q123" s="19" t="n">
        <v>0</v>
      </c>
      <c r="R123" s="19" t="n">
        <v>0</v>
      </c>
      <c r="S123" s="19" t="n">
        <v>0</v>
      </c>
      <c r="T123" s="19" t="n">
        <v>0</v>
      </c>
      <c r="U123" s="15" t="n">
        <f aca="false">AVERAGE(M123:T123)</f>
        <v>0</v>
      </c>
      <c r="V123" s="19" t="n">
        <v>1</v>
      </c>
      <c r="W123" s="19" t="n">
        <v>5</v>
      </c>
      <c r="X123" s="19" t="n">
        <v>3</v>
      </c>
      <c r="Y123" s="19" t="n">
        <v>5</v>
      </c>
      <c r="Z123" s="19" t="n">
        <v>1</v>
      </c>
      <c r="AA123" s="19" t="n">
        <v>1</v>
      </c>
      <c r="AB123" s="19" t="n">
        <v>1</v>
      </c>
      <c r="AC123" s="19" t="n">
        <v>3</v>
      </c>
      <c r="AD123" s="19" t="n">
        <v>4</v>
      </c>
      <c r="AE123" s="19" t="n">
        <v>4</v>
      </c>
      <c r="AF123" s="19" t="n">
        <v>4</v>
      </c>
      <c r="AG123" s="19" t="n">
        <v>5</v>
      </c>
      <c r="AH123" s="19" t="n">
        <v>4</v>
      </c>
      <c r="AI123" s="19" t="n">
        <v>4</v>
      </c>
      <c r="AJ123" s="19" t="n">
        <v>5</v>
      </c>
      <c r="AK123" s="19" t="n">
        <v>5</v>
      </c>
      <c r="AL123" s="19" t="n">
        <v>5</v>
      </c>
      <c r="AM123" s="19" t="n">
        <v>5</v>
      </c>
      <c r="AN123" s="19" t="n">
        <v>4</v>
      </c>
      <c r="AO123" s="19" t="n">
        <v>7</v>
      </c>
      <c r="AP123" s="0" t="n">
        <v>35</v>
      </c>
      <c r="AQ123" s="16" t="n">
        <v>78.8</v>
      </c>
      <c r="AR123" s="16" t="n">
        <v>80.4</v>
      </c>
      <c r="AS123" s="16" t="n">
        <v>17.2</v>
      </c>
      <c r="AT123" s="0" t="n">
        <v>72.07</v>
      </c>
      <c r="AU123" s="0" t="n">
        <v>11.09</v>
      </c>
      <c r="AV123" s="0" t="n">
        <v>1.12</v>
      </c>
      <c r="AW123" s="0" t="n">
        <v>0</v>
      </c>
      <c r="AX123" s="0" t="n">
        <v>15.71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1.66</v>
      </c>
      <c r="BG123" s="0" t="n">
        <v>34.99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11.2</v>
      </c>
      <c r="BM123" s="0" t="n">
        <v>1</v>
      </c>
      <c r="BN123" s="0" t="n">
        <v>0</v>
      </c>
      <c r="BO123" s="16" t="n">
        <v>0</v>
      </c>
      <c r="BP123" s="16" t="n">
        <v>0</v>
      </c>
      <c r="BQ123" s="16" t="n">
        <v>6.16</v>
      </c>
      <c r="BR123" s="16" t="n">
        <v>7.21</v>
      </c>
      <c r="BS123" s="16" t="n">
        <v>0</v>
      </c>
      <c r="BT123" s="16" t="n">
        <v>0</v>
      </c>
      <c r="BU123" s="16" t="n">
        <v>0</v>
      </c>
      <c r="BV123" s="0" t="n">
        <v>0</v>
      </c>
    </row>
    <row r="124" customFormat="false" ht="13.8" hidden="false" customHeight="false" outlineLevel="0" collapsed="false">
      <c r="A124" s="0" t="n">
        <v>2</v>
      </c>
      <c r="B124" s="0" t="n">
        <v>31.3210130047912</v>
      </c>
      <c r="C124" s="0" t="n">
        <v>0.219028062970568</v>
      </c>
      <c r="D124" s="0" t="n">
        <v>8</v>
      </c>
      <c r="E124" s="0" t="n">
        <v>126</v>
      </c>
      <c r="F124" s="0" t="n">
        <v>1.78</v>
      </c>
      <c r="G124" s="0" t="n">
        <v>39.7677060977149</v>
      </c>
      <c r="H124" s="0" t="n">
        <v>0</v>
      </c>
      <c r="I124" s="0" t="n">
        <v>0</v>
      </c>
      <c r="J124" s="19" t="n">
        <v>0</v>
      </c>
      <c r="K124" s="19" t="n">
        <v>0</v>
      </c>
      <c r="L124" s="19" t="n">
        <v>0</v>
      </c>
      <c r="M124" s="19" t="n">
        <v>0</v>
      </c>
      <c r="N124" s="19" t="n">
        <v>0</v>
      </c>
      <c r="O124" s="19" t="n">
        <v>0</v>
      </c>
      <c r="P124" s="19" t="n">
        <v>0</v>
      </c>
      <c r="Q124" s="19" t="n">
        <v>0</v>
      </c>
      <c r="R124" s="19" t="n">
        <v>0</v>
      </c>
      <c r="S124" s="19" t="n">
        <v>0</v>
      </c>
      <c r="T124" s="19" t="n">
        <v>0</v>
      </c>
      <c r="U124" s="15" t="n">
        <f aca="false">AVERAGE(M124:T124)</f>
        <v>0</v>
      </c>
      <c r="V124" s="19" t="n">
        <v>1</v>
      </c>
      <c r="W124" s="19" t="n">
        <v>1</v>
      </c>
      <c r="X124" s="19" t="n">
        <v>2</v>
      </c>
      <c r="Y124" s="19" t="n">
        <v>5</v>
      </c>
      <c r="Z124" s="19" t="n">
        <v>2</v>
      </c>
      <c r="AA124" s="19" t="n">
        <v>5</v>
      </c>
      <c r="AB124" s="19"/>
      <c r="AC124" s="19" t="n">
        <v>4</v>
      </c>
      <c r="AD124" s="19" t="n">
        <v>5</v>
      </c>
      <c r="AE124" s="19" t="n">
        <v>4</v>
      </c>
      <c r="AF124" s="19" t="n">
        <v>4</v>
      </c>
      <c r="AG124" s="19" t="n">
        <v>4</v>
      </c>
      <c r="AH124" s="19" t="n">
        <v>4</v>
      </c>
      <c r="AI124" s="19" t="n">
        <v>5</v>
      </c>
      <c r="AJ124" s="19" t="n">
        <v>5</v>
      </c>
      <c r="AK124" s="19" t="n">
        <v>5</v>
      </c>
      <c r="AL124" s="19" t="n">
        <v>5</v>
      </c>
      <c r="AM124" s="19" t="n">
        <v>5</v>
      </c>
      <c r="AN124" s="19" t="n">
        <v>4</v>
      </c>
      <c r="AO124" s="19" t="n">
        <v>9</v>
      </c>
      <c r="AP124" s="0" t="n">
        <v>35</v>
      </c>
      <c r="AQ124" s="16" t="n">
        <v>78.8</v>
      </c>
      <c r="AR124" s="16" t="n">
        <v>80.4</v>
      </c>
      <c r="AS124" s="16" t="n">
        <v>17.2</v>
      </c>
      <c r="AT124" s="0" t="n">
        <v>72.07</v>
      </c>
      <c r="AU124" s="0" t="n">
        <v>11.09</v>
      </c>
      <c r="AV124" s="0" t="n">
        <v>1.12</v>
      </c>
      <c r="AW124" s="0" t="n">
        <v>0</v>
      </c>
      <c r="AX124" s="0" t="n">
        <v>15.71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1.66</v>
      </c>
      <c r="BG124" s="0" t="n">
        <v>34.99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11.2</v>
      </c>
      <c r="BM124" s="0" t="n">
        <v>1</v>
      </c>
      <c r="BN124" s="0" t="n">
        <v>0</v>
      </c>
      <c r="BO124" s="16" t="n">
        <v>0</v>
      </c>
      <c r="BP124" s="16" t="n">
        <v>0</v>
      </c>
      <c r="BQ124" s="16" t="n">
        <v>6.16</v>
      </c>
      <c r="BR124" s="16" t="n">
        <v>7.21</v>
      </c>
      <c r="BS124" s="16" t="n">
        <v>0</v>
      </c>
      <c r="BT124" s="16" t="n">
        <v>0</v>
      </c>
      <c r="BU124" s="16" t="n">
        <v>0</v>
      </c>
      <c r="BV124" s="0" t="n">
        <v>0</v>
      </c>
    </row>
    <row r="125" customFormat="false" ht="13.8" hidden="false" customHeight="false" outlineLevel="0" collapsed="false">
      <c r="A125" s="0" t="n">
        <v>2</v>
      </c>
      <c r="B125" s="0" t="n">
        <v>42.3682409308693</v>
      </c>
      <c r="C125" s="0" t="n">
        <v>22.4339493497604</v>
      </c>
      <c r="D125" s="0" t="n">
        <v>8</v>
      </c>
      <c r="E125" s="0" t="n">
        <v>64</v>
      </c>
      <c r="F125" s="0" t="n">
        <v>1.73</v>
      </c>
      <c r="G125" s="0" t="n">
        <v>21.3839419960573</v>
      </c>
      <c r="H125" s="0" t="n">
        <v>0</v>
      </c>
      <c r="I125" s="0" t="n">
        <v>0</v>
      </c>
      <c r="J125" s="19" t="n">
        <v>1</v>
      </c>
      <c r="K125" s="19" t="n">
        <v>0</v>
      </c>
      <c r="L125" s="19" t="n">
        <v>0</v>
      </c>
      <c r="M125" s="19" t="n">
        <v>0</v>
      </c>
      <c r="N125" s="19" t="n">
        <v>0</v>
      </c>
      <c r="O125" s="19" t="n">
        <v>0</v>
      </c>
      <c r="P125" s="19" t="n">
        <v>8</v>
      </c>
      <c r="Q125" s="19" t="n">
        <v>10</v>
      </c>
      <c r="R125" s="19" t="n">
        <v>0</v>
      </c>
      <c r="S125" s="19" t="n">
        <v>0</v>
      </c>
      <c r="T125" s="19" t="n">
        <v>5</v>
      </c>
      <c r="U125" s="15" t="n">
        <f aca="false">AVERAGE(M125:T125)</f>
        <v>2.875</v>
      </c>
      <c r="V125" s="19" t="n">
        <v>4</v>
      </c>
      <c r="W125" s="19" t="n">
        <v>3</v>
      </c>
      <c r="X125" s="19" t="n">
        <v>3</v>
      </c>
      <c r="Y125" s="19" t="n">
        <v>3</v>
      </c>
      <c r="Z125" s="19" t="n">
        <v>2</v>
      </c>
      <c r="AA125" s="19" t="n">
        <v>2</v>
      </c>
      <c r="AB125" s="19" t="n">
        <v>1</v>
      </c>
      <c r="AC125" s="19" t="n">
        <v>1</v>
      </c>
      <c r="AD125" s="19" t="n">
        <v>1</v>
      </c>
      <c r="AE125" s="19" t="n">
        <v>1</v>
      </c>
      <c r="AF125" s="19" t="n">
        <v>1</v>
      </c>
      <c r="AG125" s="19" t="n">
        <v>4</v>
      </c>
      <c r="AH125" s="19" t="n">
        <v>1</v>
      </c>
      <c r="AI125" s="19" t="n">
        <v>1</v>
      </c>
      <c r="AJ125" s="19" t="n">
        <v>3</v>
      </c>
      <c r="AK125" s="19" t="n">
        <v>4</v>
      </c>
      <c r="AL125" s="19" t="n">
        <v>1</v>
      </c>
      <c r="AM125" s="19" t="n">
        <v>2</v>
      </c>
      <c r="AN125" s="19" t="n">
        <v>1</v>
      </c>
      <c r="AO125" s="19" t="n">
        <v>2</v>
      </c>
      <c r="AP125" s="15" t="n">
        <v>28.5</v>
      </c>
      <c r="AQ125" s="17" t="n">
        <v>69.3</v>
      </c>
      <c r="AR125" s="17" t="n">
        <v>114</v>
      </c>
      <c r="AS125" s="17" t="n">
        <v>19.5</v>
      </c>
      <c r="AT125" s="17" t="n">
        <v>79.15</v>
      </c>
      <c r="AU125" s="17" t="n">
        <v>0</v>
      </c>
      <c r="AV125" s="17" t="n">
        <v>3.87</v>
      </c>
      <c r="AW125" s="17" t="n">
        <v>2.86</v>
      </c>
      <c r="AX125" s="17" t="n">
        <v>14.12</v>
      </c>
      <c r="AY125" s="17" t="n">
        <v>0</v>
      </c>
      <c r="AZ125" s="17" t="n">
        <v>0</v>
      </c>
      <c r="BA125" s="17" t="n">
        <v>0</v>
      </c>
      <c r="BB125" s="17" t="n">
        <v>0</v>
      </c>
      <c r="BC125" s="17" t="n">
        <v>0</v>
      </c>
      <c r="BD125" s="17" t="n">
        <v>0</v>
      </c>
      <c r="BE125" s="17" t="n">
        <v>0.82</v>
      </c>
      <c r="BF125" s="17" t="n">
        <v>11.71</v>
      </c>
      <c r="BG125" s="17" t="n">
        <v>15.43</v>
      </c>
      <c r="BH125" s="17" t="n">
        <v>4.91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0</v>
      </c>
      <c r="BN125" s="15" t="n">
        <v>0</v>
      </c>
      <c r="BO125" s="15" t="n">
        <v>0</v>
      </c>
      <c r="BP125" s="15" t="n">
        <v>0</v>
      </c>
      <c r="BQ125" s="15" t="n">
        <v>8.7</v>
      </c>
      <c r="BR125" s="15" t="n">
        <v>15.43</v>
      </c>
      <c r="BS125" s="15" t="n">
        <v>0</v>
      </c>
      <c r="BT125" s="15" t="n">
        <v>0</v>
      </c>
      <c r="BU125" s="15" t="n">
        <v>0</v>
      </c>
      <c r="BV125" s="15" t="n">
        <v>0</v>
      </c>
    </row>
    <row r="126" customFormat="false" ht="13.8" hidden="false" customHeight="false" outlineLevel="0" collapsed="false">
      <c r="A126" s="0" t="n">
        <v>2</v>
      </c>
      <c r="B126" s="0" t="n">
        <v>45.1498973305955</v>
      </c>
      <c r="C126" s="0" t="n">
        <v>21.6235455167693</v>
      </c>
      <c r="D126" s="0" t="n">
        <v>4</v>
      </c>
      <c r="E126" s="0" t="n">
        <v>100</v>
      </c>
      <c r="F126" s="0" t="n">
        <v>1.81</v>
      </c>
      <c r="G126" s="0" t="n">
        <v>30.5240987759836</v>
      </c>
      <c r="H126" s="0" t="n">
        <v>0</v>
      </c>
      <c r="I126" s="0" t="n">
        <v>0</v>
      </c>
      <c r="J126" s="19" t="n">
        <v>1</v>
      </c>
      <c r="K126" s="19" t="n">
        <v>0</v>
      </c>
      <c r="L126" s="19" t="n">
        <v>1</v>
      </c>
      <c r="M126" s="19" t="n">
        <v>0</v>
      </c>
      <c r="N126" s="19" t="n">
        <v>0</v>
      </c>
      <c r="O126" s="19" t="n">
        <v>0</v>
      </c>
      <c r="P126" s="19" t="n">
        <v>0</v>
      </c>
      <c r="Q126" s="19" t="n">
        <v>0</v>
      </c>
      <c r="R126" s="19" t="n">
        <v>0</v>
      </c>
      <c r="S126" s="19" t="n">
        <v>0</v>
      </c>
      <c r="T126" s="19" t="n">
        <v>3</v>
      </c>
      <c r="U126" s="15" t="n">
        <f aca="false">AVERAGE(M126:T126)</f>
        <v>0.375</v>
      </c>
      <c r="V126" s="19" t="n">
        <v>4</v>
      </c>
      <c r="W126" s="19" t="n">
        <v>4</v>
      </c>
      <c r="X126" s="19" t="n">
        <v>4</v>
      </c>
      <c r="Y126" s="19" t="n">
        <v>3</v>
      </c>
      <c r="Z126" s="19" t="n">
        <v>2</v>
      </c>
      <c r="AA126" s="19" t="n">
        <v>2</v>
      </c>
      <c r="AB126" s="19" t="n">
        <v>2</v>
      </c>
      <c r="AC126" s="19" t="n">
        <v>2</v>
      </c>
      <c r="AD126" s="19" t="n">
        <v>1</v>
      </c>
      <c r="AE126" s="19" t="n">
        <v>1</v>
      </c>
      <c r="AF126" s="19" t="n">
        <v>4</v>
      </c>
      <c r="AG126" s="19" t="n">
        <v>5</v>
      </c>
      <c r="AH126" s="19" t="n">
        <v>1</v>
      </c>
      <c r="AI126" s="19" t="n">
        <v>2</v>
      </c>
      <c r="AJ126" s="19" t="n">
        <v>4</v>
      </c>
      <c r="AK126" s="19" t="n">
        <v>4</v>
      </c>
      <c r="AL126" s="19" t="n">
        <v>1</v>
      </c>
      <c r="AM126" s="19" t="n">
        <v>3</v>
      </c>
      <c r="AN126" s="19" t="n">
        <v>4</v>
      </c>
      <c r="AO126" s="19" t="n">
        <v>9</v>
      </c>
      <c r="AP126" s="15" t="n">
        <v>28.5</v>
      </c>
      <c r="AQ126" s="17" t="n">
        <v>69.3</v>
      </c>
      <c r="AR126" s="17" t="n">
        <v>114</v>
      </c>
      <c r="AS126" s="17" t="n">
        <v>19.5</v>
      </c>
      <c r="AT126" s="17" t="n">
        <v>79.15</v>
      </c>
      <c r="AU126" s="17" t="n">
        <v>0</v>
      </c>
      <c r="AV126" s="17" t="n">
        <v>3.87</v>
      </c>
      <c r="AW126" s="17" t="n">
        <v>2.86</v>
      </c>
      <c r="AX126" s="17" t="n">
        <v>14.12</v>
      </c>
      <c r="AY126" s="17" t="n">
        <v>0</v>
      </c>
      <c r="AZ126" s="17" t="n">
        <v>0</v>
      </c>
      <c r="BA126" s="17" t="n">
        <v>0</v>
      </c>
      <c r="BB126" s="17" t="n">
        <v>0</v>
      </c>
      <c r="BC126" s="17" t="n">
        <v>0</v>
      </c>
      <c r="BD126" s="17" t="n">
        <v>0</v>
      </c>
      <c r="BE126" s="17" t="n">
        <v>0.82</v>
      </c>
      <c r="BF126" s="17" t="n">
        <v>11.71</v>
      </c>
      <c r="BG126" s="17" t="n">
        <v>15.43</v>
      </c>
      <c r="BH126" s="17" t="n">
        <v>4.91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0</v>
      </c>
      <c r="BN126" s="15" t="n">
        <v>0</v>
      </c>
      <c r="BO126" s="15" t="n">
        <v>0</v>
      </c>
      <c r="BP126" s="15" t="n">
        <v>0</v>
      </c>
      <c r="BQ126" s="15" t="n">
        <v>8.7</v>
      </c>
      <c r="BR126" s="15" t="n">
        <v>15.43</v>
      </c>
      <c r="BS126" s="15" t="n">
        <v>0</v>
      </c>
      <c r="BT126" s="15" t="n">
        <v>0</v>
      </c>
      <c r="BU126" s="15" t="n">
        <v>0</v>
      </c>
      <c r="BV126" s="15" t="n">
        <v>0</v>
      </c>
    </row>
    <row r="127" customFormat="false" ht="13.8" hidden="false" customHeight="false" outlineLevel="0" collapsed="false">
      <c r="A127" s="0" t="n">
        <v>2</v>
      </c>
      <c r="B127" s="0" t="n">
        <v>50.0342231348392</v>
      </c>
      <c r="C127" s="0" t="n">
        <v>22.8501026694045</v>
      </c>
      <c r="D127" s="0" t="n">
        <v>4</v>
      </c>
      <c r="E127" s="0" t="n">
        <v>80</v>
      </c>
      <c r="F127" s="0" t="n">
        <v>1.75</v>
      </c>
      <c r="G127" s="0" t="n">
        <v>26.1224489795918</v>
      </c>
      <c r="H127" s="0" t="n">
        <v>0</v>
      </c>
      <c r="I127" s="0" t="n">
        <v>0</v>
      </c>
      <c r="J127" s="19" t="n">
        <v>1</v>
      </c>
      <c r="K127" s="19" t="n">
        <v>0</v>
      </c>
      <c r="L127" s="19" t="n">
        <v>1</v>
      </c>
      <c r="M127" s="19" t="n">
        <v>0</v>
      </c>
      <c r="N127" s="19" t="n">
        <v>7</v>
      </c>
      <c r="O127" s="19" t="n">
        <v>0</v>
      </c>
      <c r="P127" s="19" t="n">
        <v>0</v>
      </c>
      <c r="Q127" s="19" t="n">
        <v>9</v>
      </c>
      <c r="R127" s="19" t="n">
        <v>7</v>
      </c>
      <c r="S127" s="19" t="n">
        <v>0</v>
      </c>
      <c r="T127" s="19" t="n">
        <v>0</v>
      </c>
      <c r="U127" s="15" t="n">
        <f aca="false">AVERAGE(M127:T127)</f>
        <v>2.875</v>
      </c>
      <c r="V127" s="19" t="n">
        <v>4</v>
      </c>
      <c r="W127" s="19" t="n">
        <v>3</v>
      </c>
      <c r="X127" s="19" t="n">
        <v>5</v>
      </c>
      <c r="Y127" s="19" t="n">
        <v>4</v>
      </c>
      <c r="Z127" s="19" t="n">
        <v>3</v>
      </c>
      <c r="AA127" s="19" t="n">
        <v>3</v>
      </c>
      <c r="AB127" s="19" t="n">
        <v>3</v>
      </c>
      <c r="AC127" s="19" t="n">
        <v>3</v>
      </c>
      <c r="AD127" s="19" t="n">
        <v>1</v>
      </c>
      <c r="AE127" s="19" t="n">
        <v>1</v>
      </c>
      <c r="AF127" s="19" t="n">
        <v>3</v>
      </c>
      <c r="AG127" s="19" t="n">
        <v>5</v>
      </c>
      <c r="AH127" s="19" t="n">
        <v>1</v>
      </c>
      <c r="AI127" s="19" t="n">
        <v>1</v>
      </c>
      <c r="AJ127" s="19" t="n">
        <v>4</v>
      </c>
      <c r="AK127" s="19" t="n">
        <v>4</v>
      </c>
      <c r="AL127" s="19" t="n">
        <v>2</v>
      </c>
      <c r="AM127" s="19" t="n">
        <v>4</v>
      </c>
      <c r="AN127" s="19" t="n">
        <v>1</v>
      </c>
      <c r="AO127" s="19" t="n">
        <v>5</v>
      </c>
      <c r="AP127" s="15" t="n">
        <v>28.5</v>
      </c>
      <c r="AQ127" s="17" t="n">
        <v>69.3</v>
      </c>
      <c r="AR127" s="17" t="n">
        <v>114</v>
      </c>
      <c r="AS127" s="17" t="n">
        <v>19.5</v>
      </c>
      <c r="AT127" s="17" t="n">
        <v>79.15</v>
      </c>
      <c r="AU127" s="17" t="n">
        <v>0</v>
      </c>
      <c r="AV127" s="17" t="n">
        <v>3.87</v>
      </c>
      <c r="AW127" s="17" t="n">
        <v>2.86</v>
      </c>
      <c r="AX127" s="17" t="n">
        <v>14.12</v>
      </c>
      <c r="AY127" s="17" t="n">
        <v>0</v>
      </c>
      <c r="AZ127" s="17" t="n">
        <v>0</v>
      </c>
      <c r="BA127" s="17" t="n">
        <v>0</v>
      </c>
      <c r="BB127" s="17" t="n">
        <v>0</v>
      </c>
      <c r="BC127" s="17" t="n">
        <v>0</v>
      </c>
      <c r="BD127" s="17" t="n">
        <v>0</v>
      </c>
      <c r="BE127" s="17" t="n">
        <v>0.82</v>
      </c>
      <c r="BF127" s="17" t="n">
        <v>11.71</v>
      </c>
      <c r="BG127" s="17" t="n">
        <v>15.43</v>
      </c>
      <c r="BH127" s="17" t="n">
        <v>4.91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0</v>
      </c>
      <c r="BN127" s="15" t="n">
        <v>0</v>
      </c>
      <c r="BO127" s="15" t="n">
        <v>0</v>
      </c>
      <c r="BP127" s="15" t="n">
        <v>0</v>
      </c>
      <c r="BQ127" s="15" t="n">
        <v>8.7</v>
      </c>
      <c r="BR127" s="15" t="n">
        <v>15.43</v>
      </c>
      <c r="BS127" s="15" t="n">
        <v>0</v>
      </c>
      <c r="BT127" s="15" t="n">
        <v>0</v>
      </c>
      <c r="BU127" s="15" t="n">
        <v>0</v>
      </c>
      <c r="BV127" s="15" t="n">
        <v>0</v>
      </c>
    </row>
    <row r="128" customFormat="false" ht="13.8" hidden="false" customHeight="false" outlineLevel="0" collapsed="false">
      <c r="A128" s="0" t="n">
        <v>2</v>
      </c>
      <c r="B128" s="0" t="n">
        <v>49.968514715948</v>
      </c>
      <c r="C128" s="0" t="n">
        <v>21.9520876112252</v>
      </c>
      <c r="D128" s="0" t="n">
        <v>8</v>
      </c>
      <c r="J128" s="19"/>
      <c r="K128" s="19"/>
      <c r="L128" s="19"/>
      <c r="M128" s="19" t="n">
        <v>0</v>
      </c>
      <c r="N128" s="19" t="n">
        <v>0</v>
      </c>
      <c r="O128" s="19" t="n">
        <v>0</v>
      </c>
      <c r="P128" s="19" t="n">
        <v>0</v>
      </c>
      <c r="Q128" s="19" t="n">
        <v>0</v>
      </c>
      <c r="R128" s="19" t="n">
        <v>0</v>
      </c>
      <c r="S128" s="19" t="n">
        <v>0</v>
      </c>
      <c r="T128" s="19" t="n">
        <v>0</v>
      </c>
      <c r="U128" s="15" t="n">
        <f aca="false">AVERAGE(M128:T128)</f>
        <v>0</v>
      </c>
      <c r="V128" s="19" t="n">
        <v>1</v>
      </c>
      <c r="W128" s="19" t="n">
        <v>1</v>
      </c>
      <c r="X128" s="19" t="n">
        <v>3</v>
      </c>
      <c r="Y128" s="19" t="n">
        <v>5</v>
      </c>
      <c r="Z128" s="19" t="n">
        <v>2</v>
      </c>
      <c r="AA128" s="19" t="n">
        <v>1</v>
      </c>
      <c r="AB128" s="19" t="n">
        <v>5</v>
      </c>
      <c r="AC128" s="19" t="n">
        <v>1</v>
      </c>
      <c r="AD128" s="19" t="n">
        <v>1</v>
      </c>
      <c r="AE128" s="19" t="n">
        <v>5</v>
      </c>
      <c r="AF128" s="19" t="n">
        <v>5</v>
      </c>
      <c r="AG128" s="19" t="n">
        <v>5</v>
      </c>
      <c r="AH128" s="19" t="n">
        <v>3</v>
      </c>
      <c r="AI128" s="19" t="n">
        <v>5</v>
      </c>
      <c r="AJ128" s="19" t="n">
        <v>3</v>
      </c>
      <c r="AK128" s="19" t="n">
        <v>5</v>
      </c>
      <c r="AL128" s="19" t="n">
        <v>5</v>
      </c>
      <c r="AM128" s="19" t="n">
        <v>5</v>
      </c>
      <c r="AN128" s="19" t="n">
        <v>5</v>
      </c>
      <c r="AO128" s="19" t="n">
        <v>7</v>
      </c>
      <c r="AP128" s="15" t="n">
        <v>28.5</v>
      </c>
      <c r="AQ128" s="17" t="n">
        <v>69.3</v>
      </c>
      <c r="AR128" s="17" t="n">
        <v>114</v>
      </c>
      <c r="AS128" s="17" t="n">
        <v>19.5</v>
      </c>
      <c r="AT128" s="17" t="n">
        <v>79.15</v>
      </c>
      <c r="AU128" s="17" t="n">
        <v>0</v>
      </c>
      <c r="AV128" s="17" t="n">
        <v>3.87</v>
      </c>
      <c r="AW128" s="17" t="n">
        <v>2.86</v>
      </c>
      <c r="AX128" s="17" t="n">
        <v>14.12</v>
      </c>
      <c r="AY128" s="17" t="n">
        <v>0</v>
      </c>
      <c r="AZ128" s="17" t="n">
        <v>0</v>
      </c>
      <c r="BA128" s="17" t="n">
        <v>0</v>
      </c>
      <c r="BB128" s="17" t="n">
        <v>0</v>
      </c>
      <c r="BC128" s="17" t="n">
        <v>0</v>
      </c>
      <c r="BD128" s="17" t="n">
        <v>0</v>
      </c>
      <c r="BE128" s="17" t="n">
        <v>0.82</v>
      </c>
      <c r="BF128" s="17" t="n">
        <v>11.71</v>
      </c>
      <c r="BG128" s="17" t="n">
        <v>15.43</v>
      </c>
      <c r="BH128" s="17" t="n">
        <v>4.91</v>
      </c>
      <c r="BI128" s="17" t="n">
        <v>0</v>
      </c>
      <c r="BJ128" s="17" t="n">
        <v>0</v>
      </c>
      <c r="BK128" s="17" t="n">
        <v>0</v>
      </c>
      <c r="BL128" s="17" t="n">
        <v>0</v>
      </c>
      <c r="BM128" s="17" t="n">
        <v>0</v>
      </c>
      <c r="BN128" s="15" t="n">
        <v>0</v>
      </c>
      <c r="BO128" s="15" t="n">
        <v>0</v>
      </c>
      <c r="BP128" s="15" t="n">
        <v>0</v>
      </c>
      <c r="BQ128" s="15" t="n">
        <v>8.7</v>
      </c>
      <c r="BR128" s="15" t="n">
        <v>15.43</v>
      </c>
      <c r="BS128" s="15" t="n">
        <v>0</v>
      </c>
      <c r="BT128" s="15" t="n">
        <v>0</v>
      </c>
      <c r="BU128" s="15" t="n">
        <v>0</v>
      </c>
      <c r="BV128" s="15" t="n">
        <v>0</v>
      </c>
    </row>
    <row r="129" customFormat="false" ht="13.8" hidden="false" customHeight="false" outlineLevel="0" collapsed="false">
      <c r="A129" s="0" t="n">
        <v>1</v>
      </c>
      <c r="B129" s="0" t="n">
        <v>48.3422313483915</v>
      </c>
      <c r="C129" s="0" t="n">
        <v>19.9206023271732</v>
      </c>
      <c r="D129" s="0" t="n">
        <v>8</v>
      </c>
      <c r="E129" s="0" t="n">
        <v>55</v>
      </c>
      <c r="F129" s="0" t="n">
        <v>1.61</v>
      </c>
      <c r="G129" s="0" t="n">
        <v>21.2183171945527</v>
      </c>
      <c r="H129" s="0" t="n">
        <v>1</v>
      </c>
      <c r="I129" s="0" t="n">
        <v>1</v>
      </c>
      <c r="J129" s="19" t="n">
        <v>1</v>
      </c>
      <c r="K129" s="19" t="n">
        <v>0</v>
      </c>
      <c r="L129" s="19" t="n">
        <v>1</v>
      </c>
      <c r="M129" s="19" t="n">
        <v>8</v>
      </c>
      <c r="N129" s="19"/>
      <c r="O129" s="19" t="n">
        <v>0</v>
      </c>
      <c r="P129" s="19" t="n">
        <v>0</v>
      </c>
      <c r="Q129" s="19" t="n">
        <v>7</v>
      </c>
      <c r="R129" s="19" t="n">
        <v>7</v>
      </c>
      <c r="S129" s="19" t="n">
        <v>0</v>
      </c>
      <c r="T129" s="19" t="n">
        <v>9</v>
      </c>
      <c r="U129" s="15" t="n">
        <f aca="false">AVERAGE(M129:T129)</f>
        <v>4.42857142857143</v>
      </c>
      <c r="V129" s="19" t="n">
        <v>4</v>
      </c>
      <c r="W129" s="19" t="n">
        <v>3</v>
      </c>
      <c r="X129" s="19" t="n">
        <v>4</v>
      </c>
      <c r="Y129" s="19" t="n">
        <v>4</v>
      </c>
      <c r="Z129" s="19" t="n">
        <v>3</v>
      </c>
      <c r="AA129" s="19" t="n">
        <v>3</v>
      </c>
      <c r="AB129" s="19" t="n">
        <v>2</v>
      </c>
      <c r="AC129" s="19" t="n">
        <v>3</v>
      </c>
      <c r="AD129" s="19" t="n">
        <v>1</v>
      </c>
      <c r="AE129" s="19" t="n">
        <v>1</v>
      </c>
      <c r="AF129" s="19" t="n">
        <v>3</v>
      </c>
      <c r="AG129" s="19" t="n">
        <v>2</v>
      </c>
      <c r="AH129" s="19" t="n">
        <v>3</v>
      </c>
      <c r="AI129" s="19" t="n">
        <v>4</v>
      </c>
      <c r="AJ129" s="19" t="n">
        <v>4</v>
      </c>
      <c r="AK129" s="19" t="n">
        <v>4</v>
      </c>
      <c r="AL129" s="19" t="n">
        <v>1</v>
      </c>
      <c r="AM129" s="19" t="n">
        <v>4</v>
      </c>
      <c r="AN129" s="19" t="n">
        <v>5</v>
      </c>
      <c r="AO129" s="19" t="n">
        <v>6</v>
      </c>
      <c r="AP129" s="15" t="n">
        <v>28.5</v>
      </c>
      <c r="AQ129" s="17" t="n">
        <v>69.3</v>
      </c>
      <c r="AR129" s="17" t="n">
        <v>114</v>
      </c>
      <c r="AS129" s="17" t="n">
        <v>19.5</v>
      </c>
      <c r="AT129" s="17" t="n">
        <v>79.15</v>
      </c>
      <c r="AU129" s="17" t="n">
        <v>0</v>
      </c>
      <c r="AV129" s="17" t="n">
        <v>3.87</v>
      </c>
      <c r="AW129" s="17" t="n">
        <v>2.86</v>
      </c>
      <c r="AX129" s="17" t="n">
        <v>14.12</v>
      </c>
      <c r="AY129" s="17" t="n">
        <v>0</v>
      </c>
      <c r="AZ129" s="17" t="n">
        <v>0</v>
      </c>
      <c r="BA129" s="17" t="n">
        <v>0</v>
      </c>
      <c r="BB129" s="17" t="n">
        <v>0</v>
      </c>
      <c r="BC129" s="17" t="n">
        <v>0</v>
      </c>
      <c r="BD129" s="17" t="n">
        <v>0</v>
      </c>
      <c r="BE129" s="17" t="n">
        <v>0.82</v>
      </c>
      <c r="BF129" s="17" t="n">
        <v>11.71</v>
      </c>
      <c r="BG129" s="17" t="n">
        <v>15.43</v>
      </c>
      <c r="BH129" s="17" t="n">
        <v>4.91</v>
      </c>
      <c r="BI129" s="17" t="n">
        <v>0</v>
      </c>
      <c r="BJ129" s="17" t="n">
        <v>0</v>
      </c>
      <c r="BK129" s="17" t="n">
        <v>0</v>
      </c>
      <c r="BL129" s="17" t="n">
        <v>0</v>
      </c>
      <c r="BM129" s="17" t="n">
        <v>0</v>
      </c>
      <c r="BN129" s="15" t="n">
        <v>0</v>
      </c>
      <c r="BO129" s="15" t="n">
        <v>0</v>
      </c>
      <c r="BP129" s="15" t="n">
        <v>0</v>
      </c>
      <c r="BQ129" s="15" t="n">
        <v>8.7</v>
      </c>
      <c r="BR129" s="15" t="n">
        <v>15.43</v>
      </c>
      <c r="BS129" s="15" t="n">
        <v>0</v>
      </c>
      <c r="BT129" s="15" t="n">
        <v>0</v>
      </c>
      <c r="BU129" s="15" t="n">
        <v>0</v>
      </c>
      <c r="BV129" s="15" t="n">
        <v>0</v>
      </c>
    </row>
    <row r="130" customFormat="false" ht="13.8" hidden="false" customHeight="false" outlineLevel="0" collapsed="false">
      <c r="A130" s="0" t="n">
        <v>2</v>
      </c>
      <c r="B130" s="0" t="n">
        <v>55.0609171800137</v>
      </c>
      <c r="C130" s="0" t="n">
        <v>17.1170431211499</v>
      </c>
      <c r="D130" s="0" t="n">
        <v>8</v>
      </c>
      <c r="E130" s="0" t="n">
        <v>68</v>
      </c>
      <c r="F130" s="0" t="n">
        <v>1.76</v>
      </c>
      <c r="G130" s="0" t="n">
        <v>21.952479338843</v>
      </c>
      <c r="H130" s="0" t="n">
        <v>1</v>
      </c>
      <c r="I130" s="0" t="n">
        <v>0</v>
      </c>
      <c r="J130" s="19" t="n">
        <v>1</v>
      </c>
      <c r="K130" s="19" t="n">
        <v>2</v>
      </c>
      <c r="L130" s="19" t="n">
        <v>1</v>
      </c>
      <c r="M130" s="19"/>
      <c r="N130" s="19" t="n">
        <v>0</v>
      </c>
      <c r="O130" s="19"/>
      <c r="P130" s="19"/>
      <c r="Q130" s="19" t="n">
        <v>5</v>
      </c>
      <c r="R130" s="19"/>
      <c r="S130" s="19" t="n">
        <v>0</v>
      </c>
      <c r="T130" s="19" t="n">
        <v>3</v>
      </c>
      <c r="U130" s="15" t="n">
        <f aca="false">AVERAGE(M130:T130)</f>
        <v>2</v>
      </c>
      <c r="V130" s="19" t="n">
        <v>3</v>
      </c>
      <c r="W130" s="19" t="n">
        <v>5</v>
      </c>
      <c r="X130" s="19" t="n">
        <v>5</v>
      </c>
      <c r="Y130" s="19" t="n">
        <v>5</v>
      </c>
      <c r="Z130" s="19" t="n">
        <v>5</v>
      </c>
      <c r="AA130" s="19" t="n">
        <v>5</v>
      </c>
      <c r="AB130" s="19" t="n">
        <v>5</v>
      </c>
      <c r="AC130" s="19" t="n">
        <v>5</v>
      </c>
      <c r="AD130" s="19" t="n">
        <v>2</v>
      </c>
      <c r="AE130" s="19" t="n">
        <v>4</v>
      </c>
      <c r="AF130" s="19" t="n">
        <v>4</v>
      </c>
      <c r="AG130" s="19" t="n">
        <v>5</v>
      </c>
      <c r="AH130" s="19" t="n">
        <v>2</v>
      </c>
      <c r="AI130" s="19" t="n">
        <v>4</v>
      </c>
      <c r="AJ130" s="19" t="n">
        <v>5</v>
      </c>
      <c r="AK130" s="19" t="n">
        <v>5</v>
      </c>
      <c r="AL130" s="19" t="n">
        <v>4</v>
      </c>
      <c r="AM130" s="19" t="n">
        <v>5</v>
      </c>
      <c r="AN130" s="19" t="n">
        <v>3</v>
      </c>
      <c r="AO130" s="19" t="n">
        <v>8</v>
      </c>
      <c r="AP130" s="15" t="n">
        <v>28.5</v>
      </c>
      <c r="AQ130" s="17" t="n">
        <v>69.3</v>
      </c>
      <c r="AR130" s="17" t="n">
        <v>114</v>
      </c>
      <c r="AS130" s="17" t="n">
        <v>19.5</v>
      </c>
      <c r="AT130" s="17" t="n">
        <v>79.15</v>
      </c>
      <c r="AU130" s="17" t="n">
        <v>0</v>
      </c>
      <c r="AV130" s="17" t="n">
        <v>3.87</v>
      </c>
      <c r="AW130" s="17" t="n">
        <v>2.86</v>
      </c>
      <c r="AX130" s="17" t="n">
        <v>14.12</v>
      </c>
      <c r="AY130" s="17" t="n">
        <v>0</v>
      </c>
      <c r="AZ130" s="17" t="n">
        <v>0</v>
      </c>
      <c r="BA130" s="17" t="n">
        <v>0</v>
      </c>
      <c r="BB130" s="17" t="n">
        <v>0</v>
      </c>
      <c r="BC130" s="17" t="n">
        <v>0</v>
      </c>
      <c r="BD130" s="17" t="n">
        <v>0</v>
      </c>
      <c r="BE130" s="17" t="n">
        <v>0.82</v>
      </c>
      <c r="BF130" s="17" t="n">
        <v>11.71</v>
      </c>
      <c r="BG130" s="17" t="n">
        <v>15.43</v>
      </c>
      <c r="BH130" s="17" t="n">
        <v>4.91</v>
      </c>
      <c r="BI130" s="17" t="n">
        <v>0</v>
      </c>
      <c r="BJ130" s="17" t="n">
        <v>0</v>
      </c>
      <c r="BK130" s="17" t="n">
        <v>0</v>
      </c>
      <c r="BL130" s="17" t="n">
        <v>0</v>
      </c>
      <c r="BM130" s="17" t="n">
        <v>0</v>
      </c>
      <c r="BN130" s="15" t="n">
        <v>0</v>
      </c>
      <c r="BO130" s="15" t="n">
        <v>0</v>
      </c>
      <c r="BP130" s="15" t="n">
        <v>0</v>
      </c>
      <c r="BQ130" s="15" t="n">
        <v>8.7</v>
      </c>
      <c r="BR130" s="15" t="n">
        <v>15.43</v>
      </c>
      <c r="BS130" s="15" t="n">
        <v>0</v>
      </c>
      <c r="BT130" s="15" t="n">
        <v>0</v>
      </c>
      <c r="BU130" s="15" t="n">
        <v>0</v>
      </c>
      <c r="BV130" s="15" t="n">
        <v>0</v>
      </c>
    </row>
    <row r="131" customFormat="false" ht="13.8" hidden="false" customHeight="false" outlineLevel="0" collapsed="false">
      <c r="A131" s="0" t="n">
        <v>1</v>
      </c>
      <c r="B131" s="0" t="n">
        <v>41.2156057494867</v>
      </c>
      <c r="C131" s="0" t="n">
        <v>0.303901437371663</v>
      </c>
      <c r="D131" s="0" t="n">
        <v>8</v>
      </c>
      <c r="E131" s="0" t="n">
        <v>58</v>
      </c>
      <c r="F131" s="0" t="n">
        <v>1.62</v>
      </c>
      <c r="G131" s="0" t="n">
        <v>22.1002895900015</v>
      </c>
      <c r="H131" s="0" t="n">
        <v>0</v>
      </c>
      <c r="I131" s="0" t="n">
        <v>0</v>
      </c>
      <c r="J131" s="19" t="n">
        <v>0</v>
      </c>
      <c r="K131" s="19" t="n">
        <v>2</v>
      </c>
      <c r="L131" s="19" t="n">
        <v>1</v>
      </c>
      <c r="M131" s="19" t="n">
        <v>0</v>
      </c>
      <c r="N131" s="19" t="n">
        <v>0</v>
      </c>
      <c r="O131" s="19" t="n">
        <v>0</v>
      </c>
      <c r="P131" s="19" t="n">
        <v>0</v>
      </c>
      <c r="Q131" s="19" t="n">
        <v>0</v>
      </c>
      <c r="R131" s="19" t="n">
        <v>0</v>
      </c>
      <c r="S131" s="19" t="n">
        <v>0</v>
      </c>
      <c r="T131" s="19" t="n">
        <v>0</v>
      </c>
      <c r="U131" s="15" t="n">
        <f aca="false">AVERAGE(M131:T131)</f>
        <v>0</v>
      </c>
      <c r="V131" s="19" t="n">
        <v>2</v>
      </c>
      <c r="W131" s="19" t="n">
        <v>2</v>
      </c>
      <c r="X131" s="19" t="n">
        <v>2</v>
      </c>
      <c r="Y131" s="19" t="n">
        <v>5</v>
      </c>
      <c r="Z131" s="19" t="n">
        <v>2</v>
      </c>
      <c r="AA131" s="19" t="n">
        <v>2</v>
      </c>
      <c r="AB131" s="19" t="n">
        <v>3</v>
      </c>
      <c r="AC131" s="19" t="n">
        <v>3</v>
      </c>
      <c r="AD131" s="19" t="n">
        <v>5</v>
      </c>
      <c r="AE131" s="19" t="n">
        <v>3</v>
      </c>
      <c r="AF131" s="19" t="n">
        <v>5</v>
      </c>
      <c r="AG131" s="19" t="n">
        <v>5</v>
      </c>
      <c r="AH131" s="19" t="n">
        <v>4</v>
      </c>
      <c r="AI131" s="19" t="n">
        <v>5</v>
      </c>
      <c r="AJ131" s="19" t="n">
        <v>5</v>
      </c>
      <c r="AK131" s="19" t="n">
        <v>5</v>
      </c>
      <c r="AL131" s="19" t="n">
        <v>4</v>
      </c>
      <c r="AM131" s="19" t="n">
        <v>5</v>
      </c>
      <c r="AN131" s="19" t="n">
        <v>5</v>
      </c>
      <c r="AO131" s="19" t="n">
        <v>10</v>
      </c>
      <c r="AP131" s="0" t="n">
        <v>70.5</v>
      </c>
      <c r="AQ131" s="16" t="n">
        <v>88.2</v>
      </c>
      <c r="AR131" s="16" t="n">
        <v>80.4</v>
      </c>
      <c r="AS131" s="16" t="n">
        <v>36.3</v>
      </c>
      <c r="AT131" s="0" t="n">
        <v>72.69</v>
      </c>
      <c r="AU131" s="17" t="n">
        <v>0</v>
      </c>
      <c r="AV131" s="0" t="n">
        <v>10.32</v>
      </c>
      <c r="AW131" s="0" t="n">
        <v>16.99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36.66</v>
      </c>
      <c r="BG131" s="0" t="n">
        <v>7.54</v>
      </c>
      <c r="BH131" s="0" t="n">
        <v>10.32</v>
      </c>
      <c r="BI131" s="0" t="n">
        <v>0</v>
      </c>
      <c r="BJ131" s="0" t="n">
        <v>0</v>
      </c>
      <c r="BK131" s="0" t="n">
        <v>0</v>
      </c>
      <c r="BL131" s="0" t="n">
        <v>21.2</v>
      </c>
      <c r="BM131" s="0" t="n">
        <v>1</v>
      </c>
      <c r="BN131" s="0" t="n">
        <v>0</v>
      </c>
      <c r="BO131" s="16" t="n">
        <v>11.58</v>
      </c>
      <c r="BP131" s="16" t="n">
        <v>1</v>
      </c>
      <c r="BQ131" s="16" t="n">
        <v>0.27</v>
      </c>
      <c r="BR131" s="16" t="n">
        <v>0.27</v>
      </c>
      <c r="BS131" s="16" t="n">
        <v>0</v>
      </c>
      <c r="BT131" s="16" t="n">
        <v>0</v>
      </c>
      <c r="BU131" s="16" t="n">
        <v>0</v>
      </c>
      <c r="BV131" s="0" t="n">
        <v>0</v>
      </c>
    </row>
    <row r="132" customFormat="false" ht="13.8" hidden="false" customHeight="false" outlineLevel="0" collapsed="false">
      <c r="A132" s="0" t="n">
        <v>2</v>
      </c>
      <c r="B132" s="0" t="n">
        <v>0.323066392881588</v>
      </c>
      <c r="C132" s="0" t="n">
        <v>0.323066392881588</v>
      </c>
      <c r="D132" s="0" t="n">
        <v>8</v>
      </c>
      <c r="E132" s="0" t="n">
        <v>98</v>
      </c>
      <c r="F132" s="0" t="n">
        <v>1.83</v>
      </c>
      <c r="G132" s="0" t="n">
        <v>29.2633402012601</v>
      </c>
      <c r="H132" s="0" t="n">
        <v>0</v>
      </c>
      <c r="I132" s="0" t="n">
        <v>0</v>
      </c>
      <c r="J132" s="19" t="n">
        <v>0</v>
      </c>
      <c r="K132" s="19" t="n">
        <v>0</v>
      </c>
      <c r="L132" s="19" t="n">
        <v>1</v>
      </c>
      <c r="M132" s="19" t="n">
        <v>0</v>
      </c>
      <c r="N132" s="19" t="n">
        <v>0</v>
      </c>
      <c r="O132" s="19" t="n">
        <v>0</v>
      </c>
      <c r="P132" s="19" t="n">
        <v>0</v>
      </c>
      <c r="Q132" s="19" t="n">
        <v>0</v>
      </c>
      <c r="R132" s="19" t="n">
        <v>0</v>
      </c>
      <c r="S132" s="19" t="n">
        <v>0</v>
      </c>
      <c r="T132" s="19" t="n">
        <v>0</v>
      </c>
      <c r="U132" s="15" t="n">
        <f aca="false">AVERAGE(M132:T132)</f>
        <v>0</v>
      </c>
      <c r="V132" s="19" t="n">
        <v>1</v>
      </c>
      <c r="W132" s="19" t="n">
        <v>2</v>
      </c>
      <c r="X132" s="19" t="n">
        <v>2</v>
      </c>
      <c r="Y132" s="19" t="n">
        <v>3</v>
      </c>
      <c r="Z132" s="19" t="n">
        <v>2</v>
      </c>
      <c r="AA132" s="19" t="n">
        <v>1</v>
      </c>
      <c r="AB132" s="19" t="n">
        <v>5</v>
      </c>
      <c r="AC132" s="19" t="n">
        <v>3</v>
      </c>
      <c r="AD132" s="19" t="n">
        <v>4</v>
      </c>
      <c r="AE132" s="19" t="n">
        <v>4</v>
      </c>
      <c r="AF132" s="19" t="n">
        <v>5</v>
      </c>
      <c r="AG132" s="19" t="n">
        <v>5</v>
      </c>
      <c r="AH132" s="19" t="n">
        <v>3</v>
      </c>
      <c r="AI132" s="19" t="n">
        <v>4</v>
      </c>
      <c r="AJ132" s="19" t="n">
        <v>4</v>
      </c>
      <c r="AK132" s="19" t="n">
        <v>4</v>
      </c>
      <c r="AL132" s="19" t="n">
        <v>4</v>
      </c>
      <c r="AM132" s="19" t="n">
        <v>4</v>
      </c>
      <c r="AN132" s="19" t="n">
        <v>4</v>
      </c>
      <c r="AO132" s="19" t="n">
        <v>10</v>
      </c>
      <c r="AP132" s="0" t="n">
        <v>70.5</v>
      </c>
      <c r="AQ132" s="16" t="n">
        <v>88.2</v>
      </c>
      <c r="AR132" s="16" t="n">
        <v>80.4</v>
      </c>
      <c r="AS132" s="16" t="n">
        <v>36.3</v>
      </c>
      <c r="AT132" s="0" t="n">
        <v>72.69</v>
      </c>
      <c r="AU132" s="17" t="n">
        <v>0</v>
      </c>
      <c r="AV132" s="0" t="n">
        <v>10.32</v>
      </c>
      <c r="AW132" s="0" t="n">
        <v>16.99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36.66</v>
      </c>
      <c r="BG132" s="0" t="n">
        <v>7.54</v>
      </c>
      <c r="BH132" s="0" t="n">
        <v>10.32</v>
      </c>
      <c r="BI132" s="0" t="n">
        <v>0</v>
      </c>
      <c r="BJ132" s="0" t="n">
        <v>0</v>
      </c>
      <c r="BK132" s="0" t="n">
        <v>0</v>
      </c>
      <c r="BL132" s="0" t="n">
        <v>21.2</v>
      </c>
      <c r="BM132" s="0" t="n">
        <v>1</v>
      </c>
      <c r="BN132" s="0" t="n">
        <v>0</v>
      </c>
      <c r="BO132" s="16" t="n">
        <v>11.58</v>
      </c>
      <c r="BP132" s="16" t="n">
        <v>1</v>
      </c>
      <c r="BQ132" s="16" t="n">
        <v>0.27</v>
      </c>
      <c r="BR132" s="16" t="n">
        <v>0.27</v>
      </c>
      <c r="BS132" s="16" t="n">
        <v>0</v>
      </c>
      <c r="BT132" s="16" t="n">
        <v>0</v>
      </c>
      <c r="BU132" s="16" t="n">
        <v>0</v>
      </c>
      <c r="BV132" s="0" t="n">
        <v>0</v>
      </c>
    </row>
    <row r="133" customFormat="false" ht="13.8" hidden="false" customHeight="false" outlineLevel="0" collapsed="false">
      <c r="A133" s="0" t="n">
        <v>2</v>
      </c>
      <c r="B133" s="0" t="n">
        <v>20.0766598220397</v>
      </c>
      <c r="C133" s="0" t="n">
        <v>0.180698151950719</v>
      </c>
      <c r="D133" s="0" t="n">
        <v>8</v>
      </c>
      <c r="E133" s="0" t="n">
        <v>76</v>
      </c>
      <c r="F133" s="0" t="n">
        <v>1.82</v>
      </c>
      <c r="G133" s="0" t="n">
        <v>22.9440888781548</v>
      </c>
      <c r="H133" s="0" t="n">
        <v>0</v>
      </c>
      <c r="I133" s="0" t="n">
        <v>0</v>
      </c>
      <c r="J133" s="19" t="n">
        <v>1</v>
      </c>
      <c r="K133" s="19" t="n">
        <v>1</v>
      </c>
      <c r="L133" s="19" t="n">
        <v>0</v>
      </c>
      <c r="M133" s="19" t="n">
        <v>8</v>
      </c>
      <c r="N133" s="19" t="n">
        <v>0</v>
      </c>
      <c r="O133" s="19" t="n">
        <v>0</v>
      </c>
      <c r="P133" s="19" t="n">
        <v>0</v>
      </c>
      <c r="Q133" s="19" t="n">
        <v>6</v>
      </c>
      <c r="R133" s="19" t="n">
        <v>6</v>
      </c>
      <c r="S133" s="19" t="n">
        <v>0</v>
      </c>
      <c r="T133" s="19" t="n">
        <v>6</v>
      </c>
      <c r="U133" s="15" t="n">
        <f aca="false">AVERAGE(M133:T133)</f>
        <v>3.25</v>
      </c>
      <c r="V133" s="19" t="n">
        <v>2</v>
      </c>
      <c r="W133" s="19" t="n">
        <v>2</v>
      </c>
      <c r="X133" s="19" t="n">
        <v>3</v>
      </c>
      <c r="Y133" s="19" t="n">
        <v>5</v>
      </c>
      <c r="Z133" s="19" t="n">
        <v>2</v>
      </c>
      <c r="AA133" s="19" t="n">
        <v>2</v>
      </c>
      <c r="AB133" s="19" t="n">
        <v>4</v>
      </c>
      <c r="AC133" s="19" t="n">
        <v>3</v>
      </c>
      <c r="AD133" s="19" t="n">
        <v>5</v>
      </c>
      <c r="AE133" s="19" t="n">
        <v>4</v>
      </c>
      <c r="AF133" s="19" t="n">
        <v>5</v>
      </c>
      <c r="AG133" s="19" t="n">
        <v>5</v>
      </c>
      <c r="AH133" s="19" t="n">
        <v>3</v>
      </c>
      <c r="AI133" s="19" t="n">
        <v>5</v>
      </c>
      <c r="AJ133" s="19" t="n">
        <v>4</v>
      </c>
      <c r="AK133" s="19" t="n">
        <v>5</v>
      </c>
      <c r="AL133" s="19" t="n">
        <v>4</v>
      </c>
      <c r="AM133" s="19" t="n">
        <v>4</v>
      </c>
      <c r="AN133" s="19" t="n">
        <v>4</v>
      </c>
      <c r="AO133" s="19" t="n">
        <v>9</v>
      </c>
      <c r="AP133" s="0" t="n">
        <v>70.5</v>
      </c>
      <c r="AQ133" s="16" t="n">
        <v>88.2</v>
      </c>
      <c r="AR133" s="16" t="n">
        <v>80.4</v>
      </c>
      <c r="AS133" s="16" t="n">
        <v>36.3</v>
      </c>
      <c r="AT133" s="0" t="n">
        <v>72.69</v>
      </c>
      <c r="AU133" s="17" t="n">
        <v>0</v>
      </c>
      <c r="AV133" s="0" t="n">
        <v>10.32</v>
      </c>
      <c r="AW133" s="0" t="n">
        <v>16.99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36.66</v>
      </c>
      <c r="BG133" s="0" t="n">
        <v>7.54</v>
      </c>
      <c r="BH133" s="0" t="n">
        <v>10.32</v>
      </c>
      <c r="BI133" s="0" t="n">
        <v>0</v>
      </c>
      <c r="BJ133" s="0" t="n">
        <v>0</v>
      </c>
      <c r="BK133" s="0" t="n">
        <v>0</v>
      </c>
      <c r="BL133" s="0" t="n">
        <v>21.2</v>
      </c>
      <c r="BM133" s="0" t="n">
        <v>1</v>
      </c>
      <c r="BN133" s="0" t="n">
        <v>0</v>
      </c>
      <c r="BO133" s="16" t="n">
        <v>11.58</v>
      </c>
      <c r="BP133" s="16" t="n">
        <v>1</v>
      </c>
      <c r="BQ133" s="16" t="n">
        <v>0.27</v>
      </c>
      <c r="BR133" s="16" t="n">
        <v>0.27</v>
      </c>
      <c r="BS133" s="16" t="n">
        <v>0</v>
      </c>
      <c r="BT133" s="16" t="n">
        <v>0</v>
      </c>
      <c r="BU133" s="16" t="n">
        <v>0</v>
      </c>
      <c r="BV133" s="0" t="n">
        <v>0</v>
      </c>
    </row>
    <row r="134" customFormat="false" ht="13.8" hidden="false" customHeight="false" outlineLevel="0" collapsed="false">
      <c r="A134" s="0" t="n">
        <v>2</v>
      </c>
      <c r="B134" s="0" t="n">
        <v>49.1170431211499</v>
      </c>
      <c r="C134" s="0" t="n">
        <v>21.3552361396304</v>
      </c>
      <c r="D134" s="0" t="n">
        <v>8</v>
      </c>
      <c r="E134" s="0" t="n">
        <v>77</v>
      </c>
      <c r="F134" s="0" t="n">
        <v>1.8</v>
      </c>
      <c r="G134" s="0" t="n">
        <v>23.7654320987654</v>
      </c>
      <c r="H134" s="0" t="n">
        <v>0</v>
      </c>
      <c r="I134" s="0" t="n">
        <v>0</v>
      </c>
      <c r="J134" s="19" t="n">
        <v>0</v>
      </c>
      <c r="K134" s="19" t="n">
        <v>2</v>
      </c>
      <c r="L134" s="19" t="n">
        <v>0</v>
      </c>
      <c r="M134" s="19" t="n">
        <v>9</v>
      </c>
      <c r="N134" s="19" t="n">
        <v>8</v>
      </c>
      <c r="O134" s="19" t="n">
        <v>1</v>
      </c>
      <c r="P134" s="19" t="n">
        <v>0</v>
      </c>
      <c r="Q134" s="19" t="n">
        <v>0</v>
      </c>
      <c r="R134" s="19" t="n">
        <v>0</v>
      </c>
      <c r="S134" s="19" t="n">
        <v>0</v>
      </c>
      <c r="T134" s="19" t="n">
        <v>0</v>
      </c>
      <c r="U134" s="15" t="n">
        <f aca="false">AVERAGE(M134:T134)</f>
        <v>2.25</v>
      </c>
      <c r="V134" s="19" t="n">
        <v>3</v>
      </c>
      <c r="W134" s="19" t="n">
        <v>1</v>
      </c>
      <c r="X134" s="19" t="n">
        <v>4</v>
      </c>
      <c r="Y134" s="19" t="n">
        <v>5</v>
      </c>
      <c r="Z134" s="19" t="n">
        <v>3</v>
      </c>
      <c r="AA134" s="19" t="n">
        <v>3</v>
      </c>
      <c r="AB134" s="19" t="n">
        <v>4</v>
      </c>
      <c r="AC134" s="19" t="n">
        <v>3</v>
      </c>
      <c r="AD134" s="19" t="n">
        <v>4</v>
      </c>
      <c r="AE134" s="19" t="n">
        <v>4</v>
      </c>
      <c r="AF134" s="19" t="n">
        <v>4</v>
      </c>
      <c r="AG134" s="19" t="n">
        <v>5</v>
      </c>
      <c r="AH134" s="19" t="n">
        <v>3</v>
      </c>
      <c r="AI134" s="19" t="n">
        <v>4</v>
      </c>
      <c r="AJ134" s="19" t="n">
        <v>4</v>
      </c>
      <c r="AK134" s="19" t="n">
        <v>4</v>
      </c>
      <c r="AL134" s="19" t="n">
        <v>3</v>
      </c>
      <c r="AM134" s="19" t="n">
        <v>4</v>
      </c>
      <c r="AN134" s="19" t="n">
        <v>4</v>
      </c>
      <c r="AO134" s="19" t="n">
        <v>6</v>
      </c>
      <c r="AP134" s="0" t="n">
        <v>70.5</v>
      </c>
      <c r="AQ134" s="16" t="n">
        <v>88.2</v>
      </c>
      <c r="AR134" s="16" t="n">
        <v>80.4</v>
      </c>
      <c r="AS134" s="16" t="n">
        <v>36.3</v>
      </c>
      <c r="AT134" s="0" t="n">
        <v>72.69</v>
      </c>
      <c r="AU134" s="17" t="n">
        <v>0</v>
      </c>
      <c r="AV134" s="0" t="n">
        <v>10.32</v>
      </c>
      <c r="AW134" s="0" t="n">
        <v>16.99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36.66</v>
      </c>
      <c r="BG134" s="0" t="n">
        <v>7.54</v>
      </c>
      <c r="BH134" s="0" t="n">
        <v>10.32</v>
      </c>
      <c r="BI134" s="0" t="n">
        <v>0</v>
      </c>
      <c r="BJ134" s="0" t="n">
        <v>0</v>
      </c>
      <c r="BK134" s="0" t="n">
        <v>0</v>
      </c>
      <c r="BL134" s="0" t="n">
        <v>21.2</v>
      </c>
      <c r="BM134" s="0" t="n">
        <v>1</v>
      </c>
      <c r="BN134" s="0" t="n">
        <v>0</v>
      </c>
      <c r="BO134" s="16" t="n">
        <v>11.58</v>
      </c>
      <c r="BP134" s="16" t="n">
        <v>1</v>
      </c>
      <c r="BQ134" s="16" t="n">
        <v>0.27</v>
      </c>
      <c r="BR134" s="16" t="n">
        <v>0.27</v>
      </c>
      <c r="BS134" s="16" t="n">
        <v>0</v>
      </c>
      <c r="BT134" s="16" t="n">
        <v>0</v>
      </c>
      <c r="BU134" s="16" t="n">
        <v>0</v>
      </c>
      <c r="BV134" s="0" t="n">
        <v>0</v>
      </c>
    </row>
    <row r="135" customFormat="false" ht="13.8" hidden="false" customHeight="false" outlineLevel="0" collapsed="false">
      <c r="A135" s="0" t="n">
        <v>2</v>
      </c>
      <c r="B135" s="0" t="n">
        <v>24.8733744010951</v>
      </c>
      <c r="C135" s="0" t="n">
        <v>0.199863107460643</v>
      </c>
      <c r="D135" s="0" t="n">
        <v>8</v>
      </c>
      <c r="E135" s="0" t="n">
        <v>90</v>
      </c>
      <c r="F135" s="0" t="n">
        <v>1.89</v>
      </c>
      <c r="G135" s="0" t="n">
        <v>25.1952632905014</v>
      </c>
      <c r="H135" s="0" t="n">
        <v>0</v>
      </c>
      <c r="I135" s="0" t="n">
        <v>0</v>
      </c>
      <c r="J135" s="19" t="n">
        <v>1</v>
      </c>
      <c r="K135" s="19" t="n">
        <v>3</v>
      </c>
      <c r="L135" s="19" t="n">
        <v>0</v>
      </c>
      <c r="M135" s="19" t="n">
        <v>2</v>
      </c>
      <c r="N135" s="19" t="n">
        <v>2</v>
      </c>
      <c r="O135" s="19" t="n">
        <v>0</v>
      </c>
      <c r="P135" s="19" t="n">
        <v>0</v>
      </c>
      <c r="Q135" s="19" t="n">
        <v>3</v>
      </c>
      <c r="R135" s="19" t="n">
        <v>3</v>
      </c>
      <c r="S135" s="19" t="n">
        <v>0</v>
      </c>
      <c r="T135" s="19" t="n">
        <v>2</v>
      </c>
      <c r="U135" s="15" t="n">
        <f aca="false">AVERAGE(M135:T135)</f>
        <v>1.5</v>
      </c>
      <c r="V135" s="19" t="n">
        <v>1</v>
      </c>
      <c r="W135" s="19" t="n">
        <v>1</v>
      </c>
      <c r="X135" s="19" t="n">
        <v>3</v>
      </c>
      <c r="Y135" s="19" t="n">
        <v>5</v>
      </c>
      <c r="Z135" s="19" t="n">
        <v>2</v>
      </c>
      <c r="AA135" s="19" t="n">
        <v>1</v>
      </c>
      <c r="AB135" s="19" t="n">
        <v>1</v>
      </c>
      <c r="AC135" s="19" t="n">
        <v>3</v>
      </c>
      <c r="AD135" s="19" t="n">
        <v>2</v>
      </c>
      <c r="AE135" s="19" t="n">
        <v>5</v>
      </c>
      <c r="AF135" s="19" t="n">
        <v>5</v>
      </c>
      <c r="AG135" s="19" t="n">
        <v>5</v>
      </c>
      <c r="AH135" s="19" t="n">
        <v>3</v>
      </c>
      <c r="AI135" s="19" t="n">
        <v>5</v>
      </c>
      <c r="AJ135" s="19" t="n">
        <v>4</v>
      </c>
      <c r="AK135" s="19" t="n">
        <v>5</v>
      </c>
      <c r="AL135" s="19" t="n">
        <v>1</v>
      </c>
      <c r="AM135" s="19" t="n">
        <v>4</v>
      </c>
      <c r="AN135" s="19" t="n">
        <v>4</v>
      </c>
      <c r="AO135" s="19" t="n">
        <v>10</v>
      </c>
      <c r="AP135" s="0" t="n">
        <v>70.5</v>
      </c>
      <c r="AQ135" s="16" t="n">
        <v>88.2</v>
      </c>
      <c r="AR135" s="16" t="n">
        <v>80.4</v>
      </c>
      <c r="AS135" s="16" t="n">
        <v>36.3</v>
      </c>
      <c r="AT135" s="0" t="n">
        <v>72.69</v>
      </c>
      <c r="AU135" s="17" t="n">
        <v>0</v>
      </c>
      <c r="AV135" s="0" t="n">
        <v>10.32</v>
      </c>
      <c r="AW135" s="0" t="n">
        <v>16.99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36.66</v>
      </c>
      <c r="BG135" s="0" t="n">
        <v>7.54</v>
      </c>
      <c r="BH135" s="0" t="n">
        <v>10.32</v>
      </c>
      <c r="BI135" s="0" t="n">
        <v>0</v>
      </c>
      <c r="BJ135" s="0" t="n">
        <v>0</v>
      </c>
      <c r="BK135" s="0" t="n">
        <v>0</v>
      </c>
      <c r="BL135" s="0" t="n">
        <v>21.2</v>
      </c>
      <c r="BM135" s="0" t="n">
        <v>1</v>
      </c>
      <c r="BN135" s="0" t="n">
        <v>0</v>
      </c>
      <c r="BO135" s="16" t="n">
        <v>11.58</v>
      </c>
      <c r="BP135" s="16" t="n">
        <v>1</v>
      </c>
      <c r="BQ135" s="16" t="n">
        <v>0.27</v>
      </c>
      <c r="BR135" s="16" t="n">
        <v>0.27</v>
      </c>
      <c r="BS135" s="16" t="n">
        <v>0</v>
      </c>
      <c r="BT135" s="16" t="n">
        <v>0</v>
      </c>
      <c r="BU135" s="16" t="n">
        <v>0</v>
      </c>
      <c r="BV135" s="0" t="n">
        <v>0</v>
      </c>
    </row>
    <row r="136" customFormat="false" ht="13.8" hidden="false" customHeight="false" outlineLevel="0" collapsed="false">
      <c r="A136" s="0" t="n">
        <v>2</v>
      </c>
      <c r="B136" s="0" t="n">
        <v>53.4976043805613</v>
      </c>
      <c r="C136" s="0" t="n">
        <v>19.0171115674196</v>
      </c>
      <c r="D136" s="0" t="n">
        <v>8</v>
      </c>
      <c r="E136" s="0" t="n">
        <v>66</v>
      </c>
      <c r="F136" s="0" t="n">
        <v>1.68</v>
      </c>
      <c r="G136" s="0" t="n">
        <v>23.3843537414966</v>
      </c>
      <c r="H136" s="0" t="n">
        <v>0</v>
      </c>
      <c r="I136" s="0" t="n">
        <v>0</v>
      </c>
      <c r="J136" s="19" t="n">
        <v>0</v>
      </c>
      <c r="K136" s="19" t="n">
        <v>1</v>
      </c>
      <c r="L136" s="19" t="n">
        <v>0</v>
      </c>
      <c r="M136" s="19" t="n">
        <v>3</v>
      </c>
      <c r="N136" s="19" t="n">
        <v>5</v>
      </c>
      <c r="O136" s="19" t="n">
        <v>0</v>
      </c>
      <c r="P136" s="19" t="n">
        <v>0</v>
      </c>
      <c r="Q136" s="19" t="n">
        <v>0</v>
      </c>
      <c r="R136" s="19" t="n">
        <v>0</v>
      </c>
      <c r="S136" s="19" t="n">
        <v>0</v>
      </c>
      <c r="T136" s="19" t="n">
        <v>0</v>
      </c>
      <c r="U136" s="15" t="n">
        <f aca="false">AVERAGE(M136:T136)</f>
        <v>1</v>
      </c>
      <c r="V136" s="19" t="n">
        <v>3</v>
      </c>
      <c r="W136" s="19" t="n">
        <v>3</v>
      </c>
      <c r="X136" s="19" t="n">
        <v>3</v>
      </c>
      <c r="Y136" s="19" t="n">
        <v>5</v>
      </c>
      <c r="Z136" s="19" t="n">
        <v>2</v>
      </c>
      <c r="AA136" s="19" t="n">
        <v>3</v>
      </c>
      <c r="AB136" s="19" t="n">
        <v>3</v>
      </c>
      <c r="AC136" s="19" t="n">
        <v>2</v>
      </c>
      <c r="AD136" s="19" t="n">
        <v>2</v>
      </c>
      <c r="AE136" s="19" t="n">
        <v>4</v>
      </c>
      <c r="AF136" s="19" t="n">
        <v>4</v>
      </c>
      <c r="AG136" s="19" t="n">
        <v>5</v>
      </c>
      <c r="AH136" s="19" t="n">
        <v>3</v>
      </c>
      <c r="AI136" s="19" t="n">
        <v>4</v>
      </c>
      <c r="AJ136" s="19" t="n">
        <v>4</v>
      </c>
      <c r="AK136" s="19" t="n">
        <v>5</v>
      </c>
      <c r="AL136" s="19" t="n">
        <v>1</v>
      </c>
      <c r="AM136" s="19" t="n">
        <v>4</v>
      </c>
      <c r="AN136" s="19" t="n">
        <v>4</v>
      </c>
      <c r="AO136" s="19" t="n">
        <v>10</v>
      </c>
      <c r="AP136" s="0" t="n">
        <v>70.5</v>
      </c>
      <c r="AQ136" s="16" t="n">
        <v>88.2</v>
      </c>
      <c r="AR136" s="16" t="n">
        <v>80.4</v>
      </c>
      <c r="AS136" s="16" t="n">
        <v>36.3</v>
      </c>
      <c r="AT136" s="0" t="n">
        <v>72.69</v>
      </c>
      <c r="AU136" s="17" t="n">
        <v>0</v>
      </c>
      <c r="AV136" s="0" t="n">
        <v>10.32</v>
      </c>
      <c r="AW136" s="0" t="n">
        <v>16.99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36.66</v>
      </c>
      <c r="BG136" s="0" t="n">
        <v>7.54</v>
      </c>
      <c r="BH136" s="0" t="n">
        <v>10.32</v>
      </c>
      <c r="BI136" s="0" t="n">
        <v>0</v>
      </c>
      <c r="BJ136" s="0" t="n">
        <v>0</v>
      </c>
      <c r="BK136" s="0" t="n">
        <v>0</v>
      </c>
      <c r="BL136" s="0" t="n">
        <v>21.2</v>
      </c>
      <c r="BM136" s="0" t="n">
        <v>1</v>
      </c>
      <c r="BN136" s="0" t="n">
        <v>0</v>
      </c>
      <c r="BO136" s="16" t="n">
        <v>11.58</v>
      </c>
      <c r="BP136" s="16" t="n">
        <v>1</v>
      </c>
      <c r="BQ136" s="16" t="n">
        <v>0.27</v>
      </c>
      <c r="BR136" s="16" t="n">
        <v>0.27</v>
      </c>
      <c r="BS136" s="16" t="n">
        <v>0</v>
      </c>
      <c r="BT136" s="16" t="n">
        <v>0</v>
      </c>
      <c r="BU136" s="16" t="n">
        <v>0</v>
      </c>
      <c r="BV136" s="0" t="n">
        <v>0</v>
      </c>
    </row>
    <row r="137" customFormat="false" ht="13.8" hidden="false" customHeight="false" outlineLevel="0" collapsed="false">
      <c r="A137" s="24" t="n">
        <v>2</v>
      </c>
      <c r="B137" s="0" t="n">
        <v>32.7857631759069</v>
      </c>
      <c r="C137" s="0" t="n">
        <v>0.295687885010267</v>
      </c>
      <c r="D137" s="0" t="n">
        <v>4</v>
      </c>
      <c r="E137" s="0" t="n">
        <v>80</v>
      </c>
      <c r="F137" s="0" t="n">
        <v>1.82</v>
      </c>
      <c r="G137" s="0" t="n">
        <v>24.1516725033209</v>
      </c>
      <c r="H137" s="0" t="n">
        <v>0</v>
      </c>
      <c r="I137" s="0" t="n">
        <v>0</v>
      </c>
      <c r="J137" s="19" t="n">
        <v>0</v>
      </c>
      <c r="K137" s="19" t="n">
        <v>2</v>
      </c>
      <c r="L137" s="19" t="n">
        <v>1</v>
      </c>
      <c r="M137" s="19" t="n">
        <v>0</v>
      </c>
      <c r="N137" s="19" t="n">
        <v>0</v>
      </c>
      <c r="O137" s="19" t="n">
        <v>0</v>
      </c>
      <c r="P137" s="19" t="n">
        <v>0</v>
      </c>
      <c r="Q137" s="19" t="n">
        <v>0</v>
      </c>
      <c r="R137" s="19" t="n">
        <v>0</v>
      </c>
      <c r="S137" s="19" t="n">
        <v>0</v>
      </c>
      <c r="T137" s="19" t="n">
        <v>0</v>
      </c>
      <c r="U137" s="15" t="n">
        <f aca="false">AVERAGE(M137:T137)</f>
        <v>0</v>
      </c>
      <c r="V137" s="19" t="n">
        <v>1</v>
      </c>
      <c r="W137" s="19" t="n">
        <v>1</v>
      </c>
      <c r="X137" s="19" t="n">
        <v>1</v>
      </c>
      <c r="Y137" s="19" t="n">
        <v>5</v>
      </c>
      <c r="Z137" s="19" t="n">
        <v>1</v>
      </c>
      <c r="AA137" s="19" t="n">
        <v>1</v>
      </c>
      <c r="AB137" s="19" t="n">
        <v>5</v>
      </c>
      <c r="AC137" s="19" t="n">
        <v>5</v>
      </c>
      <c r="AD137" s="19" t="n">
        <v>3</v>
      </c>
      <c r="AE137" s="19" t="n">
        <v>5</v>
      </c>
      <c r="AF137" s="19" t="n">
        <v>5</v>
      </c>
      <c r="AG137" s="19" t="n">
        <v>5</v>
      </c>
      <c r="AH137" s="19" t="n">
        <v>4</v>
      </c>
      <c r="AI137" s="19" t="n">
        <v>5</v>
      </c>
      <c r="AJ137" s="19" t="n">
        <v>5</v>
      </c>
      <c r="AK137" s="19" t="n">
        <v>5</v>
      </c>
      <c r="AL137" s="19" t="n">
        <v>5</v>
      </c>
      <c r="AM137" s="19" t="n">
        <v>5</v>
      </c>
      <c r="AN137" s="19" t="n">
        <v>5</v>
      </c>
      <c r="AO137" s="19" t="n">
        <v>10</v>
      </c>
      <c r="AP137" s="24" t="n">
        <v>70.5</v>
      </c>
      <c r="AQ137" s="27" t="n">
        <v>88.2</v>
      </c>
      <c r="AR137" s="27" t="n">
        <v>80.4</v>
      </c>
      <c r="AS137" s="27" t="n">
        <v>36.3</v>
      </c>
      <c r="AT137" s="24" t="n">
        <v>72.69</v>
      </c>
      <c r="AU137" s="29" t="n">
        <v>0</v>
      </c>
      <c r="AV137" s="24" t="n">
        <v>10.32</v>
      </c>
      <c r="AW137" s="24" t="n">
        <v>16.99</v>
      </c>
      <c r="AX137" s="24" t="n">
        <v>0</v>
      </c>
      <c r="AY137" s="24" t="n">
        <v>0</v>
      </c>
      <c r="AZ137" s="24" t="n">
        <v>0</v>
      </c>
      <c r="BA137" s="24" t="n">
        <v>0</v>
      </c>
      <c r="BB137" s="24" t="n">
        <v>0</v>
      </c>
      <c r="BC137" s="24" t="n">
        <v>0</v>
      </c>
      <c r="BD137" s="24" t="n">
        <v>0</v>
      </c>
      <c r="BE137" s="24" t="n">
        <v>0</v>
      </c>
      <c r="BF137" s="24" t="n">
        <v>36.66</v>
      </c>
      <c r="BG137" s="24" t="n">
        <v>7.54</v>
      </c>
      <c r="BH137" s="24" t="n">
        <v>10.32</v>
      </c>
      <c r="BI137" s="24" t="n">
        <v>0</v>
      </c>
      <c r="BJ137" s="24" t="n">
        <v>0</v>
      </c>
      <c r="BK137" s="24" t="n">
        <v>0</v>
      </c>
      <c r="BL137" s="24" t="n">
        <v>21.2</v>
      </c>
      <c r="BM137" s="24" t="n">
        <v>1</v>
      </c>
      <c r="BN137" s="24" t="n">
        <v>0</v>
      </c>
      <c r="BO137" s="27" t="n">
        <v>11.58</v>
      </c>
      <c r="BP137" s="27" t="n">
        <v>1</v>
      </c>
      <c r="BQ137" s="27" t="n">
        <v>0.27</v>
      </c>
      <c r="BR137" s="27" t="n">
        <v>0.27</v>
      </c>
      <c r="BS137" s="27" t="n">
        <v>0</v>
      </c>
      <c r="BT137" s="27" t="n">
        <v>0</v>
      </c>
      <c r="BU137" s="27" t="n">
        <v>0</v>
      </c>
      <c r="BV137" s="24" t="n">
        <v>0</v>
      </c>
    </row>
    <row r="138" customFormat="false" ht="13.8" hidden="false" customHeight="false" outlineLevel="0" collapsed="false">
      <c r="A138" s="0" t="n">
        <v>2</v>
      </c>
      <c r="B138" s="0" t="n">
        <v>35.8275154004107</v>
      </c>
      <c r="C138" s="0" t="n">
        <v>0.254620123203285</v>
      </c>
      <c r="D138" s="0" t="n">
        <v>8</v>
      </c>
      <c r="E138" s="0" t="n">
        <v>78</v>
      </c>
      <c r="F138" s="0" t="n">
        <v>1.74</v>
      </c>
      <c r="G138" s="0" t="n">
        <v>25.7629805786762</v>
      </c>
      <c r="H138" s="0" t="n">
        <v>0</v>
      </c>
      <c r="I138" s="0" t="n">
        <v>0</v>
      </c>
      <c r="J138" s="19" t="n">
        <v>0</v>
      </c>
      <c r="K138" s="19" t="n">
        <v>1</v>
      </c>
      <c r="L138" s="19" t="n">
        <v>1</v>
      </c>
      <c r="M138" s="19" t="n">
        <v>0</v>
      </c>
      <c r="N138" s="19" t="n">
        <v>0</v>
      </c>
      <c r="O138" s="19" t="n">
        <v>0</v>
      </c>
      <c r="P138" s="19" t="n">
        <v>0</v>
      </c>
      <c r="Q138" s="19" t="n">
        <v>0</v>
      </c>
      <c r="R138" s="19" t="n">
        <v>0</v>
      </c>
      <c r="S138" s="19" t="n">
        <v>0</v>
      </c>
      <c r="T138" s="19" t="n">
        <v>0</v>
      </c>
      <c r="U138" s="15" t="n">
        <f aca="false">AVERAGE(M138:T138)</f>
        <v>0</v>
      </c>
      <c r="V138" s="19" t="n">
        <v>2</v>
      </c>
      <c r="W138" s="19" t="n">
        <v>2</v>
      </c>
      <c r="X138" s="19" t="n">
        <v>3</v>
      </c>
      <c r="Y138" s="19" t="n">
        <v>5</v>
      </c>
      <c r="Z138" s="19" t="n">
        <v>3</v>
      </c>
      <c r="AA138" s="19" t="n">
        <v>2</v>
      </c>
      <c r="AB138" s="19" t="n">
        <v>4</v>
      </c>
      <c r="AC138" s="19" t="n">
        <v>4</v>
      </c>
      <c r="AD138" s="19" t="n">
        <v>4</v>
      </c>
      <c r="AE138" s="19" t="n">
        <v>4</v>
      </c>
      <c r="AF138" s="19" t="n">
        <v>4</v>
      </c>
      <c r="AG138" s="19" t="n">
        <v>5</v>
      </c>
      <c r="AH138" s="19" t="n">
        <v>4</v>
      </c>
      <c r="AI138" s="19" t="n">
        <v>4</v>
      </c>
      <c r="AJ138" s="19" t="n">
        <v>3</v>
      </c>
      <c r="AK138" s="19" t="n">
        <v>4</v>
      </c>
      <c r="AL138" s="19" t="n">
        <v>4</v>
      </c>
      <c r="AM138" s="19" t="n">
        <v>3</v>
      </c>
      <c r="AN138" s="19" t="n">
        <v>4</v>
      </c>
      <c r="AO138" s="19" t="n">
        <v>8</v>
      </c>
      <c r="AP138" s="0" t="n">
        <v>70.5</v>
      </c>
      <c r="AQ138" s="16" t="n">
        <v>88.2</v>
      </c>
      <c r="AR138" s="16" t="n">
        <v>80.4</v>
      </c>
      <c r="AS138" s="16" t="n">
        <v>36.3</v>
      </c>
      <c r="AT138" s="0" t="n">
        <v>72.69</v>
      </c>
      <c r="AU138" s="17" t="n">
        <v>0</v>
      </c>
      <c r="AV138" s="0" t="n">
        <v>10.32</v>
      </c>
      <c r="AW138" s="0" t="n">
        <v>16.99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36.66</v>
      </c>
      <c r="BG138" s="0" t="n">
        <v>7.54</v>
      </c>
      <c r="BH138" s="0" t="n">
        <v>10.32</v>
      </c>
      <c r="BI138" s="0" t="n">
        <v>0</v>
      </c>
      <c r="BJ138" s="0" t="n">
        <v>0</v>
      </c>
      <c r="BK138" s="0" t="n">
        <v>0</v>
      </c>
      <c r="BL138" s="0" t="n">
        <v>21.2</v>
      </c>
      <c r="BM138" s="0" t="n">
        <v>1</v>
      </c>
      <c r="BN138" s="0" t="n">
        <v>0</v>
      </c>
      <c r="BO138" s="16" t="n">
        <v>11.58</v>
      </c>
      <c r="BP138" s="16" t="n">
        <v>1</v>
      </c>
      <c r="BQ138" s="16" t="n">
        <v>0.27</v>
      </c>
      <c r="BR138" s="16" t="n">
        <v>0.27</v>
      </c>
      <c r="BS138" s="16" t="n">
        <v>0</v>
      </c>
      <c r="BT138" s="16" t="n">
        <v>0</v>
      </c>
      <c r="BU138" s="16" t="n">
        <v>0</v>
      </c>
      <c r="BV138" s="0" t="n">
        <v>0</v>
      </c>
    </row>
    <row r="139" customFormat="false" ht="13.8" hidden="false" customHeight="false" outlineLevel="0" collapsed="false">
      <c r="A139" s="24" t="n">
        <v>2</v>
      </c>
      <c r="B139" s="0" t="n">
        <v>26.4229979466119</v>
      </c>
      <c r="C139" s="0" t="n">
        <v>6.53524982888433</v>
      </c>
      <c r="D139" s="0" t="n">
        <v>8</v>
      </c>
      <c r="E139" s="0" t="n">
        <v>65</v>
      </c>
      <c r="F139" s="0" t="n">
        <v>1.91</v>
      </c>
      <c r="G139" s="0" t="n">
        <v>17.8174940379924</v>
      </c>
      <c r="H139" s="0" t="n">
        <v>0</v>
      </c>
      <c r="I139" s="0" t="n">
        <v>0</v>
      </c>
      <c r="J139" s="26" t="n">
        <v>0</v>
      </c>
      <c r="K139" s="26" t="n">
        <v>3</v>
      </c>
      <c r="L139" s="26" t="n">
        <v>1</v>
      </c>
      <c r="M139" s="26" t="n">
        <v>0</v>
      </c>
      <c r="N139" s="26" t="n">
        <v>0</v>
      </c>
      <c r="O139" s="26" t="n">
        <v>0</v>
      </c>
      <c r="P139" s="26" t="n">
        <v>0</v>
      </c>
      <c r="Q139" s="26" t="n">
        <v>0</v>
      </c>
      <c r="R139" s="26" t="n">
        <v>0</v>
      </c>
      <c r="S139" s="26" t="n">
        <v>0</v>
      </c>
      <c r="T139" s="26" t="n">
        <v>0</v>
      </c>
      <c r="U139" s="15" t="n">
        <f aca="false">AVERAGE(M139:T139)</f>
        <v>0</v>
      </c>
      <c r="V139" s="26" t="n">
        <v>2</v>
      </c>
      <c r="W139" s="26" t="n">
        <v>2</v>
      </c>
      <c r="X139" s="26" t="n">
        <v>5</v>
      </c>
      <c r="Y139" s="26" t="n">
        <v>5</v>
      </c>
      <c r="Z139" s="26" t="n">
        <v>4</v>
      </c>
      <c r="AA139" s="26" t="n">
        <v>4</v>
      </c>
      <c r="AB139" s="26" t="n">
        <v>4</v>
      </c>
      <c r="AC139" s="26" t="n">
        <v>4</v>
      </c>
      <c r="AD139" s="26" t="n">
        <v>5</v>
      </c>
      <c r="AE139" s="26" t="n">
        <v>4</v>
      </c>
      <c r="AF139" s="26" t="n">
        <v>4</v>
      </c>
      <c r="AG139" s="26" t="n">
        <v>5</v>
      </c>
      <c r="AH139" s="26" t="n">
        <v>5</v>
      </c>
      <c r="AI139" s="26" t="n">
        <v>5</v>
      </c>
      <c r="AJ139" s="26" t="n">
        <v>5</v>
      </c>
      <c r="AK139" s="26" t="n">
        <v>5</v>
      </c>
      <c r="AL139" s="26" t="n">
        <v>5</v>
      </c>
      <c r="AM139" s="26" t="n">
        <v>4</v>
      </c>
      <c r="AN139" s="26" t="n">
        <v>4</v>
      </c>
      <c r="AO139" s="26" t="n">
        <v>7</v>
      </c>
      <c r="AP139" s="24" t="n">
        <v>36.5</v>
      </c>
      <c r="AQ139" s="27" t="n">
        <v>88.3</v>
      </c>
      <c r="AR139" s="27" t="n">
        <v>80.4</v>
      </c>
      <c r="AS139" s="27" t="n">
        <v>28.2</v>
      </c>
      <c r="AT139" s="24" t="n">
        <v>73.82</v>
      </c>
      <c r="AU139" s="24" t="n">
        <v>0</v>
      </c>
      <c r="AV139" s="24" t="n">
        <v>25.61</v>
      </c>
      <c r="AW139" s="24" t="n">
        <v>0</v>
      </c>
      <c r="AX139" s="24" t="n">
        <v>0.57</v>
      </c>
      <c r="AY139" s="24" t="n">
        <v>0</v>
      </c>
      <c r="AZ139" s="24" t="n">
        <v>0</v>
      </c>
      <c r="BA139" s="24" t="n">
        <v>0</v>
      </c>
      <c r="BB139" s="24" t="n">
        <v>0</v>
      </c>
      <c r="BC139" s="24" t="n">
        <v>0</v>
      </c>
      <c r="BD139" s="24" t="n">
        <v>0</v>
      </c>
      <c r="BE139" s="24" t="n">
        <v>1.17</v>
      </c>
      <c r="BF139" s="24" t="n">
        <v>31.76</v>
      </c>
      <c r="BG139" s="24" t="n">
        <v>23.3</v>
      </c>
      <c r="BH139" s="24" t="n">
        <v>26.08</v>
      </c>
      <c r="BI139" s="24" t="n">
        <v>0</v>
      </c>
      <c r="BJ139" s="24" t="n">
        <v>0</v>
      </c>
      <c r="BK139" s="24" t="n">
        <v>0</v>
      </c>
      <c r="BL139" s="24" t="n">
        <v>2.1</v>
      </c>
      <c r="BM139" s="24" t="n">
        <v>1</v>
      </c>
      <c r="BN139" s="24" t="n">
        <v>0</v>
      </c>
      <c r="BO139" s="27" t="n">
        <v>1.9</v>
      </c>
      <c r="BP139" s="27" t="n">
        <v>1</v>
      </c>
      <c r="BQ139" s="27" t="n">
        <v>0.57</v>
      </c>
      <c r="BR139" s="27" t="n">
        <v>0.56</v>
      </c>
      <c r="BS139" s="27" t="n">
        <v>0</v>
      </c>
      <c r="BT139" s="27" t="n">
        <v>0</v>
      </c>
      <c r="BU139" s="27" t="n">
        <v>0</v>
      </c>
      <c r="BV139" s="24" t="n">
        <v>0</v>
      </c>
    </row>
    <row r="140" customFormat="false" ht="13.8" hidden="false" customHeight="false" outlineLevel="0" collapsed="false">
      <c r="A140" s="24" t="n">
        <v>2</v>
      </c>
      <c r="B140" s="0" t="n">
        <v>43.3100616016427</v>
      </c>
      <c r="C140" s="0" t="n">
        <v>10.7816563997262</v>
      </c>
      <c r="D140" s="0" t="n">
        <v>8</v>
      </c>
      <c r="E140" s="0" t="n">
        <v>73</v>
      </c>
      <c r="F140" s="0" t="n">
        <v>1.74</v>
      </c>
      <c r="G140" s="0" t="n">
        <v>24.1115074646585</v>
      </c>
      <c r="H140" s="0" t="n">
        <v>0</v>
      </c>
      <c r="I140" s="0" t="n">
        <v>0</v>
      </c>
      <c r="J140" s="26" t="n">
        <v>0</v>
      </c>
      <c r="K140" s="26" t="n">
        <v>1</v>
      </c>
      <c r="L140" s="26" t="n">
        <v>1</v>
      </c>
      <c r="M140" s="26"/>
      <c r="N140" s="26" t="n">
        <v>0</v>
      </c>
      <c r="O140" s="26"/>
      <c r="P140" s="26"/>
      <c r="Q140" s="26"/>
      <c r="R140" s="26"/>
      <c r="S140" s="26"/>
      <c r="T140" s="26"/>
      <c r="U140" s="15" t="n">
        <f aca="false">AVERAGE(M140:T140)</f>
        <v>0</v>
      </c>
      <c r="V140" s="26" t="n">
        <v>3</v>
      </c>
      <c r="W140" s="26" t="n">
        <v>3</v>
      </c>
      <c r="X140" s="26" t="n">
        <v>4</v>
      </c>
      <c r="Y140" s="26" t="n">
        <v>5</v>
      </c>
      <c r="Z140" s="26" t="n">
        <v>3</v>
      </c>
      <c r="AA140" s="26" t="n">
        <v>5</v>
      </c>
      <c r="AB140" s="26" t="n">
        <v>3</v>
      </c>
      <c r="AC140" s="26" t="n">
        <v>3</v>
      </c>
      <c r="AD140" s="26" t="n">
        <v>5</v>
      </c>
      <c r="AE140" s="26" t="n">
        <v>3</v>
      </c>
      <c r="AF140" s="26" t="n">
        <v>3</v>
      </c>
      <c r="AG140" s="26" t="n">
        <v>5</v>
      </c>
      <c r="AH140" s="26" t="n">
        <v>3</v>
      </c>
      <c r="AI140" s="26" t="n">
        <v>3</v>
      </c>
      <c r="AJ140" s="26" t="n">
        <v>3</v>
      </c>
      <c r="AK140" s="26" t="n">
        <v>5</v>
      </c>
      <c r="AL140" s="26" t="n">
        <v>5</v>
      </c>
      <c r="AM140" s="26" t="n">
        <v>5</v>
      </c>
      <c r="AN140" s="26" t="n">
        <v>4</v>
      </c>
      <c r="AO140" s="26" t="n">
        <v>10</v>
      </c>
      <c r="AP140" s="24" t="n">
        <v>36.5</v>
      </c>
      <c r="AQ140" s="27" t="n">
        <v>88.3</v>
      </c>
      <c r="AR140" s="27" t="n">
        <v>80.4</v>
      </c>
      <c r="AS140" s="27" t="n">
        <v>28.2</v>
      </c>
      <c r="AT140" s="24" t="n">
        <v>73.82</v>
      </c>
      <c r="AU140" s="24" t="n">
        <v>0</v>
      </c>
      <c r="AV140" s="24" t="n">
        <v>25.61</v>
      </c>
      <c r="AW140" s="24" t="n">
        <v>0</v>
      </c>
      <c r="AX140" s="24" t="n">
        <v>0.57</v>
      </c>
      <c r="AY140" s="24" t="n">
        <v>0</v>
      </c>
      <c r="AZ140" s="24" t="n">
        <v>0</v>
      </c>
      <c r="BA140" s="24" t="n">
        <v>0</v>
      </c>
      <c r="BB140" s="24" t="n">
        <v>0</v>
      </c>
      <c r="BC140" s="24" t="n">
        <v>0</v>
      </c>
      <c r="BD140" s="24" t="n">
        <v>0</v>
      </c>
      <c r="BE140" s="24" t="n">
        <v>1.17</v>
      </c>
      <c r="BF140" s="24" t="n">
        <v>31.76</v>
      </c>
      <c r="BG140" s="24" t="n">
        <v>23.3</v>
      </c>
      <c r="BH140" s="24" t="n">
        <v>26.08</v>
      </c>
      <c r="BI140" s="24" t="n">
        <v>0</v>
      </c>
      <c r="BJ140" s="24" t="n">
        <v>0</v>
      </c>
      <c r="BK140" s="24" t="n">
        <v>0</v>
      </c>
      <c r="BL140" s="24" t="n">
        <v>2.1</v>
      </c>
      <c r="BM140" s="24" t="n">
        <v>1</v>
      </c>
      <c r="BN140" s="24" t="n">
        <v>0</v>
      </c>
      <c r="BO140" s="27" t="n">
        <v>1.9</v>
      </c>
      <c r="BP140" s="27" t="n">
        <v>1</v>
      </c>
      <c r="BQ140" s="27" t="n">
        <v>0.57</v>
      </c>
      <c r="BR140" s="27" t="n">
        <v>0.56</v>
      </c>
      <c r="BS140" s="27" t="n">
        <v>0</v>
      </c>
      <c r="BT140" s="27" t="n">
        <v>0</v>
      </c>
      <c r="BU140" s="27" t="n">
        <v>0</v>
      </c>
      <c r="BV140" s="24" t="n">
        <v>0</v>
      </c>
    </row>
    <row r="141" customFormat="false" ht="13.8" hidden="false" customHeight="false" outlineLevel="0" collapsed="false">
      <c r="A141" s="0" t="n">
        <v>2</v>
      </c>
      <c r="B141" s="0" t="n">
        <v>24.6242299794661</v>
      </c>
      <c r="C141" s="0" t="n">
        <v>0.301163586584531</v>
      </c>
      <c r="D141" s="0" t="n">
        <v>8</v>
      </c>
      <c r="E141" s="0" t="n">
        <v>65</v>
      </c>
      <c r="F141" s="0" t="n">
        <v>1.72</v>
      </c>
      <c r="G141" s="0" t="n">
        <v>21.9713358572201</v>
      </c>
      <c r="H141" s="0" t="n">
        <v>0</v>
      </c>
      <c r="I141" s="0" t="n">
        <v>0</v>
      </c>
      <c r="J141" s="19" t="n">
        <v>0</v>
      </c>
      <c r="K141" s="19" t="n">
        <v>0</v>
      </c>
      <c r="L141" s="19" t="n">
        <v>1</v>
      </c>
      <c r="M141" s="19"/>
      <c r="N141" s="19"/>
      <c r="O141" s="19"/>
      <c r="P141" s="19"/>
      <c r="Q141" s="19"/>
      <c r="R141" s="19"/>
      <c r="S141" s="19"/>
      <c r="T141" s="19"/>
      <c r="U141" s="15"/>
      <c r="V141" s="19" t="n">
        <v>2</v>
      </c>
      <c r="W141" s="19" t="n">
        <v>2</v>
      </c>
      <c r="X141" s="19" t="n">
        <v>3</v>
      </c>
      <c r="Y141" s="19" t="n">
        <v>4</v>
      </c>
      <c r="Z141" s="19" t="n">
        <v>2</v>
      </c>
      <c r="AA141" s="19" t="n">
        <v>1</v>
      </c>
      <c r="AB141" s="19" t="n">
        <v>1</v>
      </c>
      <c r="AC141" s="19" t="n">
        <v>5</v>
      </c>
      <c r="AD141" s="19" t="n">
        <v>3</v>
      </c>
      <c r="AE141" s="19" t="n">
        <v>5</v>
      </c>
      <c r="AF141" s="19" t="n">
        <v>3</v>
      </c>
      <c r="AG141" s="19" t="n">
        <v>4</v>
      </c>
      <c r="AH141" s="19" t="n">
        <v>4</v>
      </c>
      <c r="AI141" s="19" t="n">
        <v>5</v>
      </c>
      <c r="AJ141" s="19" t="n">
        <v>4</v>
      </c>
      <c r="AK141" s="19" t="n">
        <v>5</v>
      </c>
      <c r="AL141" s="19" t="n">
        <v>4</v>
      </c>
      <c r="AM141" s="19" t="n">
        <v>4</v>
      </c>
      <c r="AN141" s="19" t="n">
        <v>4</v>
      </c>
      <c r="AO141" s="19" t="n">
        <v>8</v>
      </c>
      <c r="AP141" s="0" t="n">
        <v>30</v>
      </c>
      <c r="AQ141" s="16" t="n">
        <v>85.5</v>
      </c>
      <c r="AR141" s="16" t="n">
        <v>81</v>
      </c>
      <c r="AS141" s="16" t="n">
        <v>15.2</v>
      </c>
      <c r="AT141" s="0" t="n">
        <v>87.44</v>
      </c>
      <c r="AU141" s="0" t="n">
        <v>0</v>
      </c>
      <c r="AV141" s="0" t="n">
        <v>0.94</v>
      </c>
      <c r="AW141" s="0" t="n">
        <v>1.97</v>
      </c>
      <c r="AX141" s="0" t="n">
        <v>9.65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2.71</v>
      </c>
      <c r="BF141" s="0" t="n">
        <v>0.6</v>
      </c>
      <c r="BG141" s="0" t="n">
        <v>2.17</v>
      </c>
      <c r="BH141" s="0" t="n">
        <v>5.97</v>
      </c>
      <c r="BI141" s="0" t="n">
        <v>2.65</v>
      </c>
      <c r="BJ141" s="0" t="n">
        <v>0</v>
      </c>
      <c r="BK141" s="0" t="n">
        <v>0</v>
      </c>
      <c r="BL141" s="0" t="n">
        <v>10.6</v>
      </c>
      <c r="BM141" s="0" t="n">
        <v>1</v>
      </c>
      <c r="BN141" s="0" t="n">
        <v>0</v>
      </c>
      <c r="BO141" s="16" t="n">
        <v>0</v>
      </c>
      <c r="BP141" s="16" t="n">
        <v>0</v>
      </c>
      <c r="BQ141" s="16" t="n">
        <v>4.17</v>
      </c>
      <c r="BR141" s="16" t="n">
        <v>2.54</v>
      </c>
      <c r="BS141" s="16" t="n">
        <v>0</v>
      </c>
      <c r="BT141" s="16" t="n">
        <v>0</v>
      </c>
      <c r="BU141" s="16" t="n">
        <v>0</v>
      </c>
      <c r="BV141" s="0" t="n">
        <v>0</v>
      </c>
    </row>
    <row r="142" customFormat="false" ht="13.8" hidden="false" customHeight="false" outlineLevel="0" collapsed="false">
      <c r="A142" s="0" t="n">
        <v>2</v>
      </c>
      <c r="B142" s="0" t="n">
        <v>20.2573579739904</v>
      </c>
      <c r="C142" s="0" t="n">
        <v>0.213552361396304</v>
      </c>
      <c r="D142" s="0" t="n">
        <v>8</v>
      </c>
      <c r="E142" s="0" t="n">
        <v>70</v>
      </c>
      <c r="F142" s="0" t="n">
        <v>1.78</v>
      </c>
      <c r="G142" s="0" t="n">
        <v>22.0931700542861</v>
      </c>
      <c r="H142" s="0" t="n">
        <v>0</v>
      </c>
      <c r="I142" s="0" t="n">
        <v>0</v>
      </c>
      <c r="J142" s="19" t="n">
        <v>0</v>
      </c>
      <c r="K142" s="19" t="n">
        <v>2</v>
      </c>
      <c r="L142" s="19" t="n">
        <v>0</v>
      </c>
      <c r="M142" s="19"/>
      <c r="N142" s="19"/>
      <c r="O142" s="19"/>
      <c r="P142" s="19"/>
      <c r="Q142" s="19" t="n">
        <v>0</v>
      </c>
      <c r="R142" s="19" t="n">
        <v>0</v>
      </c>
      <c r="S142" s="19" t="n">
        <v>0</v>
      </c>
      <c r="T142" s="19" t="n">
        <v>0</v>
      </c>
      <c r="U142" s="15" t="n">
        <f aca="false">AVERAGE(M142:T142)</f>
        <v>0</v>
      </c>
      <c r="V142" s="19" t="n">
        <v>2</v>
      </c>
      <c r="W142" s="19" t="n">
        <v>3</v>
      </c>
      <c r="X142" s="19" t="n">
        <v>1</v>
      </c>
      <c r="Y142" s="19" t="n">
        <v>5</v>
      </c>
      <c r="Z142" s="19" t="n">
        <v>1</v>
      </c>
      <c r="AA142" s="19" t="n">
        <v>5</v>
      </c>
      <c r="AB142" s="19" t="n">
        <v>1</v>
      </c>
      <c r="AC142" s="19" t="n">
        <v>5</v>
      </c>
      <c r="AD142" s="19" t="n">
        <v>4</v>
      </c>
      <c r="AE142" s="19" t="n">
        <v>5</v>
      </c>
      <c r="AF142" s="19" t="n">
        <v>5</v>
      </c>
      <c r="AG142" s="19" t="n">
        <v>5</v>
      </c>
      <c r="AH142" s="19" t="n">
        <v>3</v>
      </c>
      <c r="AI142" s="19" t="n">
        <v>5</v>
      </c>
      <c r="AJ142" s="19" t="n">
        <v>5</v>
      </c>
      <c r="AK142" s="19" t="n">
        <v>5</v>
      </c>
      <c r="AL142" s="19" t="n">
        <v>4</v>
      </c>
      <c r="AM142" s="19" t="n">
        <v>5</v>
      </c>
      <c r="AN142" s="19" t="n">
        <v>4</v>
      </c>
      <c r="AO142" s="19" t="n">
        <v>7</v>
      </c>
      <c r="AP142" s="0" t="n">
        <v>30</v>
      </c>
      <c r="AQ142" s="16" t="n">
        <v>85.5</v>
      </c>
      <c r="AR142" s="16" t="n">
        <v>81</v>
      </c>
      <c r="AS142" s="16" t="n">
        <v>15.2</v>
      </c>
      <c r="AT142" s="0" t="n">
        <v>87.44</v>
      </c>
      <c r="AU142" s="0" t="n">
        <v>0</v>
      </c>
      <c r="AV142" s="0" t="n">
        <v>0.94</v>
      </c>
      <c r="AW142" s="0" t="n">
        <v>1.97</v>
      </c>
      <c r="AX142" s="0" t="n">
        <v>9.65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2.71</v>
      </c>
      <c r="BF142" s="0" t="n">
        <v>0.6</v>
      </c>
      <c r="BG142" s="0" t="n">
        <v>2.17</v>
      </c>
      <c r="BH142" s="0" t="n">
        <v>5.97</v>
      </c>
      <c r="BI142" s="0" t="n">
        <v>2.65</v>
      </c>
      <c r="BJ142" s="0" t="n">
        <v>0</v>
      </c>
      <c r="BK142" s="0" t="n">
        <v>0</v>
      </c>
      <c r="BL142" s="0" t="n">
        <v>10.6</v>
      </c>
      <c r="BM142" s="0" t="n">
        <v>1</v>
      </c>
      <c r="BN142" s="0" t="n">
        <v>0</v>
      </c>
      <c r="BO142" s="16" t="n">
        <v>0</v>
      </c>
      <c r="BP142" s="16" t="n">
        <v>0</v>
      </c>
      <c r="BQ142" s="16" t="n">
        <v>4.17</v>
      </c>
      <c r="BR142" s="16" t="n">
        <v>2.54</v>
      </c>
      <c r="BS142" s="16" t="n">
        <v>0</v>
      </c>
      <c r="BT142" s="16" t="n">
        <v>0</v>
      </c>
      <c r="BU142" s="16" t="n">
        <v>0</v>
      </c>
      <c r="BV142" s="0" t="n">
        <v>0</v>
      </c>
    </row>
    <row r="143" customFormat="false" ht="13.8" hidden="false" customHeight="false" outlineLevel="0" collapsed="false">
      <c r="A143" s="0" t="n">
        <v>2</v>
      </c>
      <c r="B143" s="0" t="n">
        <v>43.482546201232</v>
      </c>
      <c r="C143" s="0" t="n">
        <v>0.281998631074606</v>
      </c>
      <c r="D143" s="0" t="n">
        <v>8</v>
      </c>
      <c r="E143" s="0" t="n">
        <v>69</v>
      </c>
      <c r="F143" s="0" t="n">
        <v>1.75</v>
      </c>
      <c r="G143" s="0" t="n">
        <v>22.530612244898</v>
      </c>
      <c r="H143" s="0" t="n">
        <v>0</v>
      </c>
      <c r="I143" s="0" t="n">
        <v>0</v>
      </c>
      <c r="J143" s="19" t="n">
        <v>1</v>
      </c>
      <c r="K143" s="19" t="n">
        <v>0</v>
      </c>
      <c r="L143" s="19" t="n">
        <v>1</v>
      </c>
      <c r="M143" s="19"/>
      <c r="N143" s="19" t="n">
        <v>0</v>
      </c>
      <c r="O143" s="19" t="n">
        <v>0</v>
      </c>
      <c r="P143" s="19" t="n">
        <v>0</v>
      </c>
      <c r="Q143" s="19" t="n">
        <v>7</v>
      </c>
      <c r="R143" s="19" t="n">
        <v>7</v>
      </c>
      <c r="S143" s="19" t="n">
        <v>0</v>
      </c>
      <c r="T143" s="19" t="n">
        <v>0</v>
      </c>
      <c r="U143" s="15" t="n">
        <f aca="false">AVERAGE(M143:T143)</f>
        <v>2</v>
      </c>
      <c r="V143" s="19" t="n">
        <v>1</v>
      </c>
      <c r="W143" s="19" t="n">
        <v>1</v>
      </c>
      <c r="X143" s="19" t="n">
        <v>2</v>
      </c>
      <c r="Y143" s="19" t="n">
        <v>5</v>
      </c>
      <c r="Z143" s="19" t="n">
        <v>1</v>
      </c>
      <c r="AA143" s="19" t="n">
        <v>1</v>
      </c>
      <c r="AB143" s="19" t="n">
        <v>1</v>
      </c>
      <c r="AC143" s="19" t="n">
        <v>3</v>
      </c>
      <c r="AD143" s="19" t="n">
        <v>5</v>
      </c>
      <c r="AE143" s="19" t="n">
        <v>3</v>
      </c>
      <c r="AF143" s="19" t="n">
        <v>5</v>
      </c>
      <c r="AG143" s="19" t="n">
        <v>5</v>
      </c>
      <c r="AH143" s="19" t="n">
        <v>3</v>
      </c>
      <c r="AI143" s="19" t="n">
        <v>3</v>
      </c>
      <c r="AJ143" s="19" t="n">
        <v>3</v>
      </c>
      <c r="AK143" s="19" t="n">
        <v>5</v>
      </c>
      <c r="AL143" s="19" t="n">
        <v>2</v>
      </c>
      <c r="AM143" s="19" t="n">
        <v>3</v>
      </c>
      <c r="AN143" s="19" t="n">
        <v>4</v>
      </c>
      <c r="AO143" s="19" t="n">
        <v>8</v>
      </c>
      <c r="AP143" s="0" t="n">
        <v>30</v>
      </c>
      <c r="AQ143" s="16" t="n">
        <v>85.5</v>
      </c>
      <c r="AR143" s="16" t="n">
        <v>81</v>
      </c>
      <c r="AS143" s="16" t="n">
        <v>15.2</v>
      </c>
      <c r="AT143" s="0" t="n">
        <v>87.44</v>
      </c>
      <c r="AU143" s="0" t="n">
        <v>0</v>
      </c>
      <c r="AV143" s="0" t="n">
        <v>0.94</v>
      </c>
      <c r="AW143" s="0" t="n">
        <v>1.97</v>
      </c>
      <c r="AX143" s="0" t="n">
        <v>9.65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2.71</v>
      </c>
      <c r="BF143" s="0" t="n">
        <v>0.6</v>
      </c>
      <c r="BG143" s="0" t="n">
        <v>2.17</v>
      </c>
      <c r="BH143" s="0" t="n">
        <v>5.97</v>
      </c>
      <c r="BI143" s="0" t="n">
        <v>2.65</v>
      </c>
      <c r="BJ143" s="0" t="n">
        <v>0</v>
      </c>
      <c r="BK143" s="0" t="n">
        <v>0</v>
      </c>
      <c r="BL143" s="0" t="n">
        <v>10.6</v>
      </c>
      <c r="BM143" s="0" t="n">
        <v>1</v>
      </c>
      <c r="BN143" s="0" t="n">
        <v>0</v>
      </c>
      <c r="BO143" s="16" t="n">
        <v>0</v>
      </c>
      <c r="BP143" s="16" t="n">
        <v>0</v>
      </c>
      <c r="BQ143" s="16" t="n">
        <v>4.17</v>
      </c>
      <c r="BR143" s="16" t="n">
        <v>2.54</v>
      </c>
      <c r="BS143" s="16" t="n">
        <v>0</v>
      </c>
      <c r="BT143" s="16" t="n">
        <v>0</v>
      </c>
      <c r="BU143" s="16" t="n">
        <v>0</v>
      </c>
      <c r="BV143" s="0" t="n">
        <v>0</v>
      </c>
    </row>
    <row r="144" customFormat="false" ht="13.8" hidden="false" customHeight="false" outlineLevel="0" collapsed="false">
      <c r="A144" s="0" t="n">
        <v>2</v>
      </c>
      <c r="B144" s="0" t="n">
        <v>24.9472963723477</v>
      </c>
      <c r="C144" s="0" t="n">
        <v>0.292950034223135</v>
      </c>
      <c r="D144" s="0" t="n">
        <v>8</v>
      </c>
      <c r="E144" s="0" t="n">
        <v>64</v>
      </c>
      <c r="F144" s="0" t="n">
        <v>1.75</v>
      </c>
      <c r="G144" s="0" t="n">
        <v>20.8979591836735</v>
      </c>
      <c r="H144" s="0" t="n">
        <v>0</v>
      </c>
      <c r="I144" s="0" t="n">
        <v>0</v>
      </c>
      <c r="J144" s="19" t="n">
        <v>0</v>
      </c>
      <c r="K144" s="19" t="n">
        <v>2</v>
      </c>
      <c r="L144" s="19" t="n">
        <v>1</v>
      </c>
      <c r="M144" s="19" t="n">
        <v>0</v>
      </c>
      <c r="N144" s="19" t="n">
        <v>0</v>
      </c>
      <c r="O144" s="19" t="n">
        <v>0</v>
      </c>
      <c r="P144" s="19" t="n">
        <v>0</v>
      </c>
      <c r="Q144" s="19" t="n">
        <v>3</v>
      </c>
      <c r="R144" s="19" t="n">
        <v>0</v>
      </c>
      <c r="S144" s="19" t="n">
        <v>0</v>
      </c>
      <c r="T144" s="19" t="n">
        <v>0</v>
      </c>
      <c r="U144" s="15" t="n">
        <f aca="false">AVERAGE(M144:T144)</f>
        <v>0.375</v>
      </c>
      <c r="V144" s="19" t="n">
        <v>2</v>
      </c>
      <c r="W144" s="19" t="n">
        <v>2</v>
      </c>
      <c r="X144" s="19" t="n">
        <v>2</v>
      </c>
      <c r="Y144" s="19" t="n">
        <v>2</v>
      </c>
      <c r="Z144" s="19" t="n">
        <v>2</v>
      </c>
      <c r="AA144" s="19" t="n">
        <v>2</v>
      </c>
      <c r="AB144" s="19" t="n">
        <v>2</v>
      </c>
      <c r="AC144" s="19" t="n">
        <v>4</v>
      </c>
      <c r="AD144" s="19" t="n">
        <v>4</v>
      </c>
      <c r="AE144" s="19" t="n">
        <v>5</v>
      </c>
      <c r="AF144" s="19" t="n">
        <v>5</v>
      </c>
      <c r="AG144" s="19" t="n">
        <v>5</v>
      </c>
      <c r="AH144" s="19" t="n">
        <v>5</v>
      </c>
      <c r="AI144" s="19" t="n">
        <v>4</v>
      </c>
      <c r="AJ144" s="19" t="n">
        <v>4</v>
      </c>
      <c r="AK144" s="19" t="n">
        <v>5</v>
      </c>
      <c r="AL144" s="19" t="n">
        <v>5</v>
      </c>
      <c r="AM144" s="19" t="n">
        <v>4</v>
      </c>
      <c r="AN144" s="19" t="n">
        <v>5</v>
      </c>
      <c r="AO144" s="19" t="n">
        <v>7</v>
      </c>
      <c r="AP144" s="0" t="n">
        <v>30</v>
      </c>
      <c r="AQ144" s="16" t="n">
        <v>85.5</v>
      </c>
      <c r="AR144" s="16" t="n">
        <v>81</v>
      </c>
      <c r="AS144" s="16" t="n">
        <v>15.2</v>
      </c>
      <c r="AT144" s="0" t="n">
        <v>87.44</v>
      </c>
      <c r="AU144" s="0" t="n">
        <v>0</v>
      </c>
      <c r="AV144" s="0" t="n">
        <v>0.94</v>
      </c>
      <c r="AW144" s="0" t="n">
        <v>1.97</v>
      </c>
      <c r="AX144" s="0" t="n">
        <v>9.65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2.71</v>
      </c>
      <c r="BF144" s="0" t="n">
        <v>0.6</v>
      </c>
      <c r="BG144" s="0" t="n">
        <v>2.17</v>
      </c>
      <c r="BH144" s="0" t="n">
        <v>5.97</v>
      </c>
      <c r="BI144" s="0" t="n">
        <v>2.65</v>
      </c>
      <c r="BJ144" s="0" t="n">
        <v>0</v>
      </c>
      <c r="BK144" s="0" t="n">
        <v>0</v>
      </c>
      <c r="BL144" s="0" t="n">
        <v>10.6</v>
      </c>
      <c r="BM144" s="0" t="n">
        <v>1</v>
      </c>
      <c r="BN144" s="0" t="n">
        <v>0</v>
      </c>
      <c r="BO144" s="16" t="n">
        <v>0</v>
      </c>
      <c r="BP144" s="16" t="n">
        <v>0</v>
      </c>
      <c r="BQ144" s="16" t="n">
        <v>4.17</v>
      </c>
      <c r="BR144" s="16" t="n">
        <v>2.54</v>
      </c>
      <c r="BS144" s="16" t="n">
        <v>0</v>
      </c>
      <c r="BT144" s="16" t="n">
        <v>0</v>
      </c>
      <c r="BU144" s="16" t="n">
        <v>0</v>
      </c>
      <c r="BV144" s="0" t="n">
        <v>0</v>
      </c>
    </row>
    <row r="145" customFormat="false" ht="13.8" hidden="false" customHeight="false" outlineLevel="0" collapsed="false">
      <c r="A145" s="0" t="n">
        <v>2</v>
      </c>
      <c r="B145" s="0" t="n">
        <v>26.839151266256</v>
      </c>
      <c r="C145" s="0" t="n">
        <v>0.262833675564682</v>
      </c>
      <c r="D145" s="0" t="n">
        <v>8</v>
      </c>
      <c r="E145" s="0" t="n">
        <v>74</v>
      </c>
      <c r="F145" s="0" t="n">
        <v>1.82</v>
      </c>
      <c r="G145" s="0" t="n">
        <v>22.3402970655718</v>
      </c>
      <c r="H145" s="0" t="n">
        <v>0</v>
      </c>
      <c r="I145" s="0" t="n">
        <v>0</v>
      </c>
      <c r="J145" s="19" t="n">
        <v>0</v>
      </c>
      <c r="K145" s="19" t="n">
        <v>2</v>
      </c>
      <c r="L145" s="19" t="n">
        <v>1</v>
      </c>
      <c r="M145" s="19" t="n">
        <v>0</v>
      </c>
      <c r="N145" s="19" t="n">
        <v>0</v>
      </c>
      <c r="O145" s="19" t="n">
        <v>0</v>
      </c>
      <c r="P145" s="19" t="n">
        <v>0</v>
      </c>
      <c r="Q145" s="19" t="n">
        <v>0</v>
      </c>
      <c r="R145" s="19" t="n">
        <v>0</v>
      </c>
      <c r="S145" s="19" t="n">
        <v>0</v>
      </c>
      <c r="T145" s="19" t="n">
        <v>0</v>
      </c>
      <c r="U145" s="15" t="n">
        <f aca="false">AVERAGE(M145:T145)</f>
        <v>0</v>
      </c>
      <c r="V145" s="19" t="n">
        <v>1</v>
      </c>
      <c r="W145" s="19" t="n">
        <v>2</v>
      </c>
      <c r="X145" s="19" t="n">
        <v>1</v>
      </c>
      <c r="Y145" s="19" t="n">
        <v>5</v>
      </c>
      <c r="Z145" s="19" t="n">
        <v>1</v>
      </c>
      <c r="AA145" s="19" t="n">
        <v>1</v>
      </c>
      <c r="AB145" s="19" t="n">
        <v>5</v>
      </c>
      <c r="AC145" s="19" t="n">
        <v>5</v>
      </c>
      <c r="AD145" s="19" t="n">
        <v>5</v>
      </c>
      <c r="AE145" s="19" t="n">
        <v>5</v>
      </c>
      <c r="AF145" s="19" t="n">
        <v>5</v>
      </c>
      <c r="AG145" s="19" t="n">
        <v>5</v>
      </c>
      <c r="AH145" s="19" t="n">
        <v>5</v>
      </c>
      <c r="AI145" s="19" t="n">
        <v>5</v>
      </c>
      <c r="AJ145" s="19" t="n">
        <v>5</v>
      </c>
      <c r="AK145" s="19" t="n">
        <v>5</v>
      </c>
      <c r="AL145" s="19" t="n">
        <v>5</v>
      </c>
      <c r="AM145" s="19" t="n">
        <v>5</v>
      </c>
      <c r="AN145" s="19" t="n">
        <v>5</v>
      </c>
      <c r="AO145" s="19" t="n">
        <v>10</v>
      </c>
      <c r="AP145" s="0" t="n">
        <v>30</v>
      </c>
      <c r="AQ145" s="16" t="n">
        <v>85.5</v>
      </c>
      <c r="AR145" s="16" t="n">
        <v>81</v>
      </c>
      <c r="AS145" s="16" t="n">
        <v>15.2</v>
      </c>
      <c r="AT145" s="0" t="n">
        <v>87.44</v>
      </c>
      <c r="AU145" s="0" t="n">
        <v>0</v>
      </c>
      <c r="AV145" s="0" t="n">
        <v>0.94</v>
      </c>
      <c r="AW145" s="0" t="n">
        <v>1.97</v>
      </c>
      <c r="AX145" s="0" t="n">
        <v>9.65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2.71</v>
      </c>
      <c r="BF145" s="0" t="n">
        <v>0.6</v>
      </c>
      <c r="BG145" s="0" t="n">
        <v>2.17</v>
      </c>
      <c r="BH145" s="0" t="n">
        <v>5.97</v>
      </c>
      <c r="BI145" s="0" t="n">
        <v>2.65</v>
      </c>
      <c r="BJ145" s="0" t="n">
        <v>0</v>
      </c>
      <c r="BK145" s="0" t="n">
        <v>0</v>
      </c>
      <c r="BL145" s="0" t="n">
        <v>10.6</v>
      </c>
      <c r="BM145" s="0" t="n">
        <v>1</v>
      </c>
      <c r="BN145" s="0" t="n">
        <v>0</v>
      </c>
      <c r="BO145" s="16" t="n">
        <v>0</v>
      </c>
      <c r="BP145" s="16" t="n">
        <v>0</v>
      </c>
      <c r="BQ145" s="16" t="n">
        <v>4.17</v>
      </c>
      <c r="BR145" s="16" t="n">
        <v>2.54</v>
      </c>
      <c r="BS145" s="16" t="n">
        <v>0</v>
      </c>
      <c r="BT145" s="16" t="n">
        <v>0</v>
      </c>
      <c r="BU145" s="16" t="n">
        <v>0</v>
      </c>
      <c r="BV145" s="0" t="n">
        <v>0</v>
      </c>
    </row>
    <row r="146" customFormat="false" ht="13.8" hidden="false" customHeight="false" outlineLevel="0" collapsed="false">
      <c r="A146" s="0" t="n">
        <v>2</v>
      </c>
      <c r="B146" s="0" t="n">
        <v>40.0602327173169</v>
      </c>
      <c r="C146" s="0" t="n">
        <v>0.224503764544832</v>
      </c>
      <c r="D146" s="0" t="n">
        <v>8</v>
      </c>
      <c r="E146" s="0" t="n">
        <v>96</v>
      </c>
      <c r="F146" s="0" t="n">
        <v>1.85</v>
      </c>
      <c r="G146" s="0" t="n">
        <v>28.0496712929145</v>
      </c>
      <c r="H146" s="0" t="n">
        <v>0</v>
      </c>
      <c r="I146" s="0" t="n">
        <v>0</v>
      </c>
      <c r="J146" s="19" t="n">
        <v>0</v>
      </c>
      <c r="K146" s="19" t="n">
        <v>0</v>
      </c>
      <c r="L146" s="19" t="n">
        <v>0</v>
      </c>
      <c r="M146" s="19" t="n">
        <v>0</v>
      </c>
      <c r="N146" s="19" t="n">
        <v>0</v>
      </c>
      <c r="O146" s="19" t="n">
        <v>0</v>
      </c>
      <c r="P146" s="19" t="n">
        <v>0</v>
      </c>
      <c r="Q146" s="19" t="n">
        <v>0</v>
      </c>
      <c r="R146" s="19" t="n">
        <v>0</v>
      </c>
      <c r="S146" s="19" t="n">
        <v>0</v>
      </c>
      <c r="T146" s="19" t="n">
        <v>0</v>
      </c>
      <c r="U146" s="15" t="n">
        <f aca="false">AVERAGE(M146:T146)</f>
        <v>0</v>
      </c>
      <c r="V146" s="19" t="n">
        <v>2</v>
      </c>
      <c r="W146" s="19" t="n">
        <v>2</v>
      </c>
      <c r="X146" s="19" t="n">
        <v>3</v>
      </c>
      <c r="Y146" s="19" t="n">
        <v>4</v>
      </c>
      <c r="Z146" s="19" t="n">
        <v>2</v>
      </c>
      <c r="AA146" s="19" t="n">
        <v>3</v>
      </c>
      <c r="AB146" s="19" t="n">
        <v>3</v>
      </c>
      <c r="AC146" s="19" t="n">
        <v>2</v>
      </c>
      <c r="AD146" s="19" t="n">
        <v>3</v>
      </c>
      <c r="AE146" s="19" t="n">
        <v>4</v>
      </c>
      <c r="AF146" s="19" t="n">
        <v>3</v>
      </c>
      <c r="AG146" s="19" t="n">
        <v>4</v>
      </c>
      <c r="AH146" s="19" t="n">
        <v>2</v>
      </c>
      <c r="AI146" s="19" t="n">
        <v>3</v>
      </c>
      <c r="AJ146" s="19" t="n">
        <v>5</v>
      </c>
      <c r="AK146" s="19" t="n">
        <v>5</v>
      </c>
      <c r="AL146" s="19" t="n">
        <v>4</v>
      </c>
      <c r="AM146" s="19" t="n">
        <v>4</v>
      </c>
      <c r="AN146" s="19" t="n">
        <v>4</v>
      </c>
      <c r="AO146" s="19" t="n">
        <v>8</v>
      </c>
      <c r="AP146" s="0" t="n">
        <v>22.5</v>
      </c>
      <c r="AQ146" s="16" t="n">
        <v>60.3</v>
      </c>
      <c r="AR146" s="16" t="n">
        <v>81</v>
      </c>
      <c r="AS146" s="16" t="n">
        <v>13.3</v>
      </c>
      <c r="AT146" s="0" t="n">
        <v>92.98</v>
      </c>
      <c r="AU146" s="0" t="n">
        <v>0</v>
      </c>
      <c r="AV146" s="0" t="n">
        <v>0</v>
      </c>
      <c r="AW146" s="0" t="n">
        <v>0</v>
      </c>
      <c r="AX146" s="0" t="n">
        <v>7.02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0.72</v>
      </c>
      <c r="BG146" s="0" t="n">
        <v>23.12</v>
      </c>
      <c r="BH146" s="0" t="n">
        <v>24.81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1</v>
      </c>
      <c r="BN146" s="0" t="n">
        <v>0</v>
      </c>
      <c r="BO146" s="16" t="n">
        <v>1.26</v>
      </c>
      <c r="BP146" s="16" t="n">
        <v>1</v>
      </c>
      <c r="BQ146" s="16" t="n">
        <v>6.24</v>
      </c>
      <c r="BR146" s="16" t="n">
        <v>6.99</v>
      </c>
      <c r="BS146" s="16" t="n">
        <v>0</v>
      </c>
      <c r="BT146" s="16" t="n">
        <v>0</v>
      </c>
      <c r="BU146" s="16" t="n">
        <v>0</v>
      </c>
      <c r="BV146" s="0" t="n">
        <v>0</v>
      </c>
    </row>
    <row r="147" customFormat="false" ht="13.8" hidden="false" customHeight="false" outlineLevel="0" collapsed="false">
      <c r="A147" s="0" t="n">
        <v>1</v>
      </c>
      <c r="B147" s="0" t="n">
        <v>46.403832991102</v>
      </c>
      <c r="C147" s="0" t="n">
        <v>7.1211498973306</v>
      </c>
      <c r="D147" s="0" t="n">
        <v>4</v>
      </c>
      <c r="E147" s="0" t="n">
        <v>64</v>
      </c>
      <c r="F147" s="0" t="n">
        <v>1.62</v>
      </c>
      <c r="G147" s="0" t="n">
        <v>24.3865264441396</v>
      </c>
      <c r="H147" s="0" t="n">
        <v>0</v>
      </c>
      <c r="I147" s="0" t="n">
        <v>0</v>
      </c>
      <c r="J147" s="19" t="n">
        <v>0</v>
      </c>
      <c r="K147" s="19" t="n">
        <v>0</v>
      </c>
      <c r="L147" s="19" t="n">
        <v>0</v>
      </c>
      <c r="M147" s="19"/>
      <c r="N147" s="19"/>
      <c r="O147" s="19"/>
      <c r="P147" s="19"/>
      <c r="Q147" s="19"/>
      <c r="R147" s="19"/>
      <c r="S147" s="19"/>
      <c r="T147" s="19"/>
      <c r="U147" s="15"/>
      <c r="V147" s="19" t="n">
        <v>3</v>
      </c>
      <c r="W147" s="19" t="n">
        <v>1</v>
      </c>
      <c r="X147" s="19" t="n">
        <v>3</v>
      </c>
      <c r="Y147" s="19" t="n">
        <v>5</v>
      </c>
      <c r="Z147" s="19" t="n">
        <v>2</v>
      </c>
      <c r="AA147" s="19" t="n">
        <v>2</v>
      </c>
      <c r="AB147" s="19" t="n">
        <v>5</v>
      </c>
      <c r="AC147" s="19" t="n">
        <v>3</v>
      </c>
      <c r="AD147" s="19" t="n">
        <v>3</v>
      </c>
      <c r="AE147" s="19" t="n">
        <v>3</v>
      </c>
      <c r="AF147" s="19" t="n">
        <v>5</v>
      </c>
      <c r="AG147" s="19" t="n">
        <v>5</v>
      </c>
      <c r="AH147" s="19" t="n">
        <v>5</v>
      </c>
      <c r="AI147" s="19" t="n">
        <v>5</v>
      </c>
      <c r="AJ147" s="19" t="n">
        <v>3</v>
      </c>
      <c r="AK147" s="19" t="n">
        <v>5</v>
      </c>
      <c r="AL147" s="19" t="n">
        <v>5</v>
      </c>
      <c r="AM147" s="19" t="n">
        <v>5</v>
      </c>
      <c r="AN147" s="19" t="n">
        <v>5</v>
      </c>
      <c r="AO147" s="19" t="n">
        <v>10</v>
      </c>
      <c r="AP147" s="0" t="n">
        <v>40</v>
      </c>
      <c r="AQ147" s="16" t="n">
        <v>84.9</v>
      </c>
      <c r="AR147" s="16" t="n">
        <v>81</v>
      </c>
      <c r="AS147" s="16" t="n">
        <v>13.2</v>
      </c>
      <c r="AT147" s="0" t="n">
        <v>93.04</v>
      </c>
      <c r="AU147" s="0" t="n">
        <v>0</v>
      </c>
      <c r="AV147" s="0" t="n">
        <v>0</v>
      </c>
      <c r="AW147" s="0" t="n">
        <v>3.59</v>
      </c>
      <c r="AX147" s="0" t="n">
        <v>3.38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1.7</v>
      </c>
      <c r="BF147" s="0" t="n">
        <v>3.97</v>
      </c>
      <c r="BG147" s="0" t="n">
        <v>39.76</v>
      </c>
      <c r="BH147" s="0" t="n">
        <v>0.13</v>
      </c>
      <c r="BI147" s="0" t="n">
        <v>0</v>
      </c>
      <c r="BJ147" s="0" t="n">
        <v>0</v>
      </c>
      <c r="BK147" s="0" t="n">
        <v>0</v>
      </c>
      <c r="BL147" s="0" t="n">
        <v>15.9</v>
      </c>
      <c r="BM147" s="0" t="n">
        <v>1</v>
      </c>
      <c r="BN147" s="0" t="n">
        <v>1</v>
      </c>
      <c r="BO147" s="16" t="n">
        <v>1.48</v>
      </c>
      <c r="BP147" s="16" t="n">
        <v>1</v>
      </c>
      <c r="BQ147" s="16" t="n">
        <v>7.34</v>
      </c>
      <c r="BR147" s="16" t="n">
        <v>5.01</v>
      </c>
      <c r="BS147" s="16" t="n">
        <v>0</v>
      </c>
      <c r="BT147" s="16" t="n">
        <v>0</v>
      </c>
      <c r="BU147" s="16" t="n">
        <v>0</v>
      </c>
      <c r="BV147" s="0" t="n">
        <v>0</v>
      </c>
    </row>
    <row r="148" customFormat="false" ht="13.8" hidden="false" customHeight="false" outlineLevel="0" collapsed="false">
      <c r="A148" s="0" t="n">
        <v>2</v>
      </c>
      <c r="B148" s="0" t="n">
        <v>42.6173853524983</v>
      </c>
      <c r="C148" s="0" t="n">
        <v>0.339493497604381</v>
      </c>
      <c r="D148" s="0" t="n">
        <v>8</v>
      </c>
      <c r="E148" s="0" t="n">
        <v>70</v>
      </c>
      <c r="F148" s="0" t="n">
        <v>1.7</v>
      </c>
      <c r="G148" s="0" t="n">
        <v>24.2214532871972</v>
      </c>
      <c r="H148" s="0" t="n">
        <v>0</v>
      </c>
      <c r="I148" s="0" t="n">
        <v>0</v>
      </c>
      <c r="J148" s="19" t="n">
        <v>0</v>
      </c>
      <c r="K148" s="19" t="n">
        <v>0</v>
      </c>
      <c r="L148" s="19" t="n">
        <v>0</v>
      </c>
      <c r="M148" s="19"/>
      <c r="N148" s="19"/>
      <c r="O148" s="19" t="n">
        <v>0</v>
      </c>
      <c r="P148" s="19" t="n">
        <v>0</v>
      </c>
      <c r="Q148" s="19" t="n">
        <v>0</v>
      </c>
      <c r="R148" s="19" t="n">
        <v>0</v>
      </c>
      <c r="S148" s="19" t="n">
        <v>0</v>
      </c>
      <c r="T148" s="19"/>
      <c r="U148" s="15" t="n">
        <f aca="false">AVERAGE(M148:T148)</f>
        <v>0</v>
      </c>
      <c r="V148" s="19" t="n">
        <v>1</v>
      </c>
      <c r="W148" s="19" t="n">
        <v>1</v>
      </c>
      <c r="X148" s="19" t="n">
        <v>3</v>
      </c>
      <c r="Y148" s="19" t="n">
        <v>5</v>
      </c>
      <c r="Z148" s="19" t="n">
        <v>1</v>
      </c>
      <c r="AA148" s="19" t="n">
        <v>1</v>
      </c>
      <c r="AB148" s="19" t="n">
        <v>1</v>
      </c>
      <c r="AC148" s="19" t="n">
        <v>1</v>
      </c>
      <c r="AD148" s="19" t="n">
        <v>5</v>
      </c>
      <c r="AE148" s="19" t="n">
        <v>5</v>
      </c>
      <c r="AF148" s="19" t="n">
        <v>5</v>
      </c>
      <c r="AG148" s="19" t="n">
        <v>5</v>
      </c>
      <c r="AH148" s="19" t="n">
        <v>5</v>
      </c>
      <c r="AI148" s="19" t="n">
        <v>5</v>
      </c>
      <c r="AJ148" s="19" t="n">
        <v>3</v>
      </c>
      <c r="AK148" s="19" t="n">
        <v>5</v>
      </c>
      <c r="AL148" s="19" t="n">
        <v>5</v>
      </c>
      <c r="AM148" s="19" t="n">
        <v>5</v>
      </c>
      <c r="AN148" s="19" t="n">
        <v>4</v>
      </c>
      <c r="AO148" s="19" t="n">
        <v>10</v>
      </c>
      <c r="AP148" s="0" t="n">
        <v>64</v>
      </c>
      <c r="AQ148" s="16" t="n">
        <v>74.3</v>
      </c>
      <c r="AR148" s="16" t="n">
        <v>81</v>
      </c>
      <c r="AS148" s="16" t="n">
        <v>58.5</v>
      </c>
      <c r="AT148" s="0" t="n">
        <v>49.17</v>
      </c>
      <c r="AU148" s="0" t="n">
        <v>0</v>
      </c>
      <c r="AV148" s="0" t="n">
        <v>34.45</v>
      </c>
      <c r="AW148" s="0" t="n">
        <v>16.22</v>
      </c>
      <c r="AX148" s="0" t="n">
        <v>0.16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2.52</v>
      </c>
      <c r="BH148" s="0" t="n">
        <v>9.18</v>
      </c>
      <c r="BI148" s="0" t="n">
        <v>0</v>
      </c>
      <c r="BJ148" s="0" t="n">
        <v>0</v>
      </c>
      <c r="BK148" s="0" t="n">
        <v>0</v>
      </c>
      <c r="BL148" s="0" t="n">
        <v>0.3</v>
      </c>
      <c r="BM148" s="0" t="n">
        <v>1</v>
      </c>
      <c r="BN148" s="0" t="n">
        <v>0</v>
      </c>
      <c r="BO148" s="16" t="n">
        <v>2.89</v>
      </c>
      <c r="BP148" s="16" t="n">
        <v>1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0" t="n">
        <v>0</v>
      </c>
    </row>
    <row r="149" customFormat="false" ht="13.8" hidden="false" customHeight="false" outlineLevel="0" collapsed="false">
      <c r="A149" s="0" t="n">
        <v>2</v>
      </c>
      <c r="B149" s="0" t="n">
        <v>32.5256673511294</v>
      </c>
      <c r="C149" s="0" t="n">
        <v>9.91649555099247</v>
      </c>
      <c r="D149" s="0" t="n">
        <v>8</v>
      </c>
      <c r="E149" s="0" t="n">
        <v>70</v>
      </c>
      <c r="F149" s="0" t="n">
        <v>1.78</v>
      </c>
      <c r="G149" s="0" t="n">
        <v>22.0931700542861</v>
      </c>
      <c r="H149" s="0" t="n">
        <v>0</v>
      </c>
      <c r="I149" s="0" t="n">
        <v>0</v>
      </c>
      <c r="J149" s="19" t="n">
        <v>0</v>
      </c>
      <c r="K149" s="19" t="n">
        <v>1</v>
      </c>
      <c r="L149" s="19" t="n">
        <v>0</v>
      </c>
      <c r="M149" s="19" t="n">
        <v>0</v>
      </c>
      <c r="N149" s="19" t="n">
        <v>0</v>
      </c>
      <c r="O149" s="19" t="n">
        <v>0</v>
      </c>
      <c r="P149" s="19" t="n">
        <v>0</v>
      </c>
      <c r="Q149" s="19" t="n">
        <v>0</v>
      </c>
      <c r="R149" s="19" t="n">
        <v>0</v>
      </c>
      <c r="S149" s="19" t="n">
        <v>0</v>
      </c>
      <c r="T149" s="19" t="n">
        <v>0</v>
      </c>
      <c r="U149" s="15" t="n">
        <f aca="false">AVERAGE(M149:T149)</f>
        <v>0</v>
      </c>
      <c r="V149" s="19" t="n">
        <v>2</v>
      </c>
      <c r="W149" s="19" t="n">
        <v>1</v>
      </c>
      <c r="X149" s="19" t="n">
        <v>4</v>
      </c>
      <c r="Y149" s="19" t="n">
        <v>5</v>
      </c>
      <c r="Z149" s="19" t="n">
        <v>3</v>
      </c>
      <c r="AA149" s="19" t="n">
        <v>4</v>
      </c>
      <c r="AB149" s="19" t="n">
        <v>3</v>
      </c>
      <c r="AC149" s="19" t="n">
        <v>4</v>
      </c>
      <c r="AD149" s="19" t="n">
        <v>3</v>
      </c>
      <c r="AE149" s="19" t="n">
        <v>2</v>
      </c>
      <c r="AF149" s="19" t="n">
        <v>3</v>
      </c>
      <c r="AG149" s="19" t="n">
        <v>4</v>
      </c>
      <c r="AH149" s="19" t="n">
        <v>1</v>
      </c>
      <c r="AI149" s="19" t="n">
        <v>1</v>
      </c>
      <c r="AJ149" s="19" t="n">
        <v>4</v>
      </c>
      <c r="AK149" s="19" t="n">
        <v>4</v>
      </c>
      <c r="AL149" s="19" t="n">
        <v>4</v>
      </c>
      <c r="AM149" s="19" t="n">
        <v>4</v>
      </c>
      <c r="AN149" s="19" t="n">
        <v>4</v>
      </c>
      <c r="AO149" s="19" t="n">
        <v>9</v>
      </c>
      <c r="AP149" s="0" t="n">
        <v>64</v>
      </c>
      <c r="AQ149" s="16" t="n">
        <v>74.3</v>
      </c>
      <c r="AR149" s="16" t="n">
        <v>81</v>
      </c>
      <c r="AS149" s="16" t="n">
        <v>58.5</v>
      </c>
      <c r="AT149" s="0" t="n">
        <v>49.17</v>
      </c>
      <c r="AU149" s="0" t="n">
        <v>0</v>
      </c>
      <c r="AV149" s="0" t="n">
        <v>34.45</v>
      </c>
      <c r="AW149" s="0" t="n">
        <v>16.22</v>
      </c>
      <c r="AX149" s="0" t="n">
        <v>0.16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2.52</v>
      </c>
      <c r="BH149" s="0" t="n">
        <v>9.18</v>
      </c>
      <c r="BI149" s="0" t="n">
        <v>0</v>
      </c>
      <c r="BJ149" s="0" t="n">
        <v>0</v>
      </c>
      <c r="BK149" s="0" t="n">
        <v>0</v>
      </c>
      <c r="BL149" s="0" t="n">
        <v>0.3</v>
      </c>
      <c r="BM149" s="0" t="n">
        <v>1</v>
      </c>
      <c r="BN149" s="0" t="n">
        <v>0</v>
      </c>
      <c r="BO149" s="16" t="n">
        <v>2.89</v>
      </c>
      <c r="BP149" s="16" t="n">
        <v>1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0" t="n">
        <v>0</v>
      </c>
    </row>
    <row r="150" customFormat="false" ht="13.8" hidden="false" customHeight="false" outlineLevel="0" collapsed="false">
      <c r="A150" s="0" t="n">
        <v>2</v>
      </c>
      <c r="B150" s="0" t="n">
        <v>26.5653661875428</v>
      </c>
      <c r="C150" s="0" t="n">
        <v>0.292950034223135</v>
      </c>
      <c r="D150" s="0" t="n">
        <v>8</v>
      </c>
      <c r="E150" s="0" t="n">
        <v>76</v>
      </c>
      <c r="F150" s="0" t="n">
        <v>1.81</v>
      </c>
      <c r="G150" s="0" t="n">
        <v>23.1983150697476</v>
      </c>
      <c r="H150" s="0" t="n">
        <v>0</v>
      </c>
      <c r="I150" s="0" t="n">
        <v>0</v>
      </c>
      <c r="J150" s="19" t="n">
        <v>0</v>
      </c>
      <c r="K150" s="19" t="n">
        <v>1</v>
      </c>
      <c r="L150" s="19" t="n">
        <v>1</v>
      </c>
      <c r="M150" s="19" t="n">
        <v>0</v>
      </c>
      <c r="N150" s="19" t="n">
        <v>0</v>
      </c>
      <c r="O150" s="19" t="n">
        <v>0</v>
      </c>
      <c r="P150" s="19" t="n">
        <v>0</v>
      </c>
      <c r="Q150" s="19" t="n">
        <v>0</v>
      </c>
      <c r="R150" s="19" t="n">
        <v>0</v>
      </c>
      <c r="S150" s="19" t="n">
        <v>0</v>
      </c>
      <c r="T150" s="19" t="n">
        <v>0</v>
      </c>
      <c r="U150" s="15" t="n">
        <f aca="false">AVERAGE(M150:T150)</f>
        <v>0</v>
      </c>
      <c r="V150" s="19" t="n">
        <v>1</v>
      </c>
      <c r="W150" s="19" t="n">
        <v>1</v>
      </c>
      <c r="X150" s="19" t="n">
        <v>3</v>
      </c>
      <c r="Y150" s="19" t="n">
        <v>4</v>
      </c>
      <c r="Z150" s="19" t="n">
        <v>3</v>
      </c>
      <c r="AA150" s="19" t="n">
        <v>2</v>
      </c>
      <c r="AB150" s="19" t="n">
        <v>4</v>
      </c>
      <c r="AC150" s="19" t="n">
        <v>3</v>
      </c>
      <c r="AD150" s="19" t="n">
        <v>4</v>
      </c>
      <c r="AE150" s="19" t="n">
        <v>3</v>
      </c>
      <c r="AF150" s="19" t="n">
        <v>3</v>
      </c>
      <c r="AG150" s="19" t="n">
        <v>5</v>
      </c>
      <c r="AH150" s="19" t="n">
        <v>3</v>
      </c>
      <c r="AI150" s="19" t="n">
        <v>4</v>
      </c>
      <c r="AJ150" s="19" t="n">
        <v>3</v>
      </c>
      <c r="AK150" s="19" t="n">
        <v>4</v>
      </c>
      <c r="AL150" s="19" t="n">
        <v>3</v>
      </c>
      <c r="AM150" s="19" t="n">
        <v>3</v>
      </c>
      <c r="AN150" s="19" t="n">
        <v>3</v>
      </c>
      <c r="AO150" s="19" t="n">
        <v>10</v>
      </c>
      <c r="AP150" s="0" t="n">
        <v>30</v>
      </c>
      <c r="AQ150" s="16" t="n">
        <v>85.5</v>
      </c>
      <c r="AR150" s="16" t="n">
        <v>81</v>
      </c>
      <c r="AS150" s="16" t="n">
        <v>15.2</v>
      </c>
      <c r="AT150" s="0" t="n">
        <v>87.44</v>
      </c>
      <c r="AU150" s="0" t="n">
        <v>0</v>
      </c>
      <c r="AV150" s="0" t="n">
        <v>0.94</v>
      </c>
      <c r="AW150" s="0" t="n">
        <v>1.97</v>
      </c>
      <c r="AX150" s="0" t="n">
        <v>9.65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2.71</v>
      </c>
      <c r="BF150" s="0" t="n">
        <v>0.6</v>
      </c>
      <c r="BG150" s="0" t="n">
        <v>2.17</v>
      </c>
      <c r="BH150" s="0" t="n">
        <v>5.97</v>
      </c>
      <c r="BI150" s="0" t="n">
        <v>2.65</v>
      </c>
      <c r="BJ150" s="0" t="n">
        <v>0</v>
      </c>
      <c r="BK150" s="0" t="n">
        <v>0</v>
      </c>
      <c r="BL150" s="0" t="n">
        <v>10.6</v>
      </c>
      <c r="BM150" s="0" t="n">
        <v>1</v>
      </c>
      <c r="BN150" s="0" t="n">
        <v>0</v>
      </c>
      <c r="BO150" s="16" t="n">
        <v>0</v>
      </c>
      <c r="BP150" s="16" t="n">
        <v>0</v>
      </c>
      <c r="BQ150" s="16" t="n">
        <v>4.17</v>
      </c>
      <c r="BR150" s="16" t="n">
        <v>2.54</v>
      </c>
      <c r="BS150" s="16" t="n">
        <v>0</v>
      </c>
      <c r="BT150" s="16" t="n">
        <v>0</v>
      </c>
      <c r="BU150" s="16" t="n">
        <v>0</v>
      </c>
      <c r="BV150" s="0" t="n">
        <v>0</v>
      </c>
    </row>
    <row r="151" customFormat="false" ht="13.8" hidden="false" customHeight="false" outlineLevel="0" collapsed="false">
      <c r="A151" s="0" t="n">
        <v>2</v>
      </c>
      <c r="B151" s="0" t="n">
        <v>49.8973305954825</v>
      </c>
      <c r="C151" s="0" t="n">
        <v>15.9151266255989</v>
      </c>
      <c r="D151" s="0" t="n">
        <v>4</v>
      </c>
      <c r="E151" s="0" t="n">
        <v>72</v>
      </c>
      <c r="F151" s="0" t="n">
        <v>1.74</v>
      </c>
      <c r="G151" s="0" t="n">
        <v>23.7812128418549</v>
      </c>
      <c r="H151" s="0" t="n">
        <v>1</v>
      </c>
      <c r="I151" s="0" t="n">
        <v>0</v>
      </c>
      <c r="J151" s="19" t="n">
        <v>1</v>
      </c>
      <c r="K151" s="19" t="n">
        <v>0</v>
      </c>
      <c r="L151" s="19" t="n">
        <v>1</v>
      </c>
      <c r="M151" s="19" t="n">
        <v>6</v>
      </c>
      <c r="N151" s="19" t="n">
        <v>5</v>
      </c>
      <c r="O151" s="19" t="n">
        <v>0</v>
      </c>
      <c r="P151" s="19" t="n">
        <v>0</v>
      </c>
      <c r="Q151" s="19" t="n">
        <v>0</v>
      </c>
      <c r="R151" s="19" t="n">
        <v>0</v>
      </c>
      <c r="S151" s="19"/>
      <c r="T151" s="19" t="n">
        <v>6</v>
      </c>
      <c r="U151" s="15" t="n">
        <f aca="false">AVERAGE(M151:T151)</f>
        <v>2.42857142857143</v>
      </c>
      <c r="V151" s="19" t="n">
        <v>3</v>
      </c>
      <c r="W151" s="19" t="n">
        <v>1</v>
      </c>
      <c r="X151" s="19" t="n">
        <v>3</v>
      </c>
      <c r="Y151" s="19" t="n">
        <v>5</v>
      </c>
      <c r="Z151" s="19" t="n">
        <v>2</v>
      </c>
      <c r="AA151" s="19" t="n">
        <v>3</v>
      </c>
      <c r="AB151" s="19" t="n">
        <v>3</v>
      </c>
      <c r="AC151" s="19" t="n">
        <v>3</v>
      </c>
      <c r="AD151" s="19" t="n">
        <v>2</v>
      </c>
      <c r="AE151" s="19" t="n">
        <v>3</v>
      </c>
      <c r="AF151" s="19" t="n">
        <v>5</v>
      </c>
      <c r="AG151" s="19" t="n">
        <v>5</v>
      </c>
      <c r="AH151" s="19" t="n">
        <v>5</v>
      </c>
      <c r="AI151" s="19" t="n">
        <v>3</v>
      </c>
      <c r="AJ151" s="19" t="n">
        <v>3</v>
      </c>
      <c r="AK151" s="19" t="n">
        <v>5</v>
      </c>
      <c r="AL151" s="19" t="n">
        <v>5</v>
      </c>
      <c r="AM151" s="19" t="n">
        <v>5</v>
      </c>
      <c r="AN151" s="19" t="n">
        <v>5</v>
      </c>
      <c r="AO151" s="19" t="n">
        <v>7</v>
      </c>
      <c r="AP151" s="0" t="n">
        <v>40</v>
      </c>
      <c r="AQ151" s="16" t="n">
        <v>89.1</v>
      </c>
      <c r="AR151" s="16" t="n">
        <v>81</v>
      </c>
      <c r="AS151" s="16" t="n">
        <v>5.4</v>
      </c>
      <c r="AT151" s="0" t="n">
        <v>99.83</v>
      </c>
      <c r="AU151" s="0" t="n">
        <v>0</v>
      </c>
      <c r="AV151" s="0" t="n">
        <v>0</v>
      </c>
      <c r="AW151" s="0" t="n">
        <v>0.17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19.8</v>
      </c>
      <c r="BG151" s="0" t="n">
        <v>8.95</v>
      </c>
      <c r="BH151" s="0" t="n">
        <v>0</v>
      </c>
      <c r="BI151" s="0" t="n">
        <v>0</v>
      </c>
      <c r="BJ151" s="0" t="n">
        <v>22.5</v>
      </c>
      <c r="BK151" s="0" t="n">
        <v>1</v>
      </c>
      <c r="BL151" s="0" t="n">
        <v>0</v>
      </c>
      <c r="BM151" s="0" t="n">
        <v>0</v>
      </c>
      <c r="BN151" s="0" t="n">
        <v>1</v>
      </c>
      <c r="BO151" s="16" t="n">
        <v>1.48</v>
      </c>
      <c r="BP151" s="16" t="n">
        <v>1</v>
      </c>
      <c r="BQ151" s="16" t="n">
        <v>7.71</v>
      </c>
      <c r="BR151" s="16" t="n">
        <v>4.35</v>
      </c>
      <c r="BS151" s="16" t="n">
        <v>0</v>
      </c>
      <c r="BT151" s="16" t="n">
        <v>0</v>
      </c>
      <c r="BU151" s="16" t="n">
        <v>0</v>
      </c>
      <c r="BV151" s="0" t="n">
        <v>0</v>
      </c>
    </row>
    <row r="152" customFormat="false" ht="13.8" hidden="false" customHeight="false" outlineLevel="0" collapsed="false">
      <c r="A152" s="0" t="n">
        <v>1</v>
      </c>
      <c r="B152" s="0" t="n">
        <v>22.7214236824093</v>
      </c>
      <c r="C152" s="0" t="n">
        <v>0.317590691307324</v>
      </c>
      <c r="D152" s="0" t="n">
        <v>4</v>
      </c>
      <c r="H152" s="0" t="n">
        <v>0</v>
      </c>
      <c r="I152" s="0" t="n">
        <v>0</v>
      </c>
      <c r="J152" s="19" t="n">
        <v>0</v>
      </c>
      <c r="K152" s="19" t="n">
        <v>2</v>
      </c>
      <c r="L152" s="19" t="n">
        <v>0</v>
      </c>
      <c r="M152" s="19"/>
      <c r="N152" s="19" t="n">
        <v>0</v>
      </c>
      <c r="O152" s="19" t="n">
        <v>0</v>
      </c>
      <c r="P152" s="19" t="n">
        <v>0</v>
      </c>
      <c r="Q152" s="19" t="n">
        <v>0</v>
      </c>
      <c r="R152" s="19" t="n">
        <v>0</v>
      </c>
      <c r="S152" s="19" t="n">
        <v>0</v>
      </c>
      <c r="T152" s="19" t="n">
        <v>0</v>
      </c>
      <c r="U152" s="15" t="n">
        <f aca="false">AVERAGE(M152:T152)</f>
        <v>0</v>
      </c>
      <c r="V152" s="19" t="n">
        <v>1</v>
      </c>
      <c r="W152" s="19" t="n">
        <v>2</v>
      </c>
      <c r="X152" s="19" t="n">
        <v>3</v>
      </c>
      <c r="Y152" s="19" t="n">
        <v>4</v>
      </c>
      <c r="Z152" s="19" t="n">
        <v>2</v>
      </c>
      <c r="AA152" s="19" t="n">
        <v>2</v>
      </c>
      <c r="AB152" s="19" t="n">
        <v>2</v>
      </c>
      <c r="AC152" s="19" t="n">
        <v>4</v>
      </c>
      <c r="AD152" s="19" t="n">
        <v>3</v>
      </c>
      <c r="AE152" s="19" t="n">
        <v>4</v>
      </c>
      <c r="AF152" s="19" t="n">
        <v>4</v>
      </c>
      <c r="AG152" s="19" t="n">
        <v>5</v>
      </c>
      <c r="AH152" s="19" t="n">
        <v>4</v>
      </c>
      <c r="AI152" s="19" t="n">
        <v>5</v>
      </c>
      <c r="AJ152" s="19" t="n">
        <v>4</v>
      </c>
      <c r="AK152" s="19" t="n">
        <v>5</v>
      </c>
      <c r="AL152" s="19" t="n">
        <v>5</v>
      </c>
      <c r="AM152" s="19" t="n">
        <v>4</v>
      </c>
      <c r="AN152" s="19" t="n">
        <v>5</v>
      </c>
      <c r="AO152" s="19" t="n">
        <v>10</v>
      </c>
      <c r="AP152" s="0" t="n">
        <v>32</v>
      </c>
      <c r="AQ152" s="16" t="n">
        <v>93.9</v>
      </c>
      <c r="AR152" s="16" t="n">
        <v>81</v>
      </c>
      <c r="AS152" s="16" t="n">
        <v>11.9</v>
      </c>
      <c r="AT152" s="0" t="n">
        <v>93.99</v>
      </c>
      <c r="AU152" s="0" t="n">
        <v>4.91</v>
      </c>
      <c r="AV152" s="0" t="n">
        <v>0</v>
      </c>
      <c r="AW152" s="0" t="n">
        <v>0</v>
      </c>
      <c r="AX152" s="0" t="n">
        <v>1.1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21.14</v>
      </c>
      <c r="BH152" s="0" t="n">
        <v>45.4</v>
      </c>
      <c r="BI152" s="0" t="n">
        <v>0</v>
      </c>
      <c r="BJ152" s="0" t="n">
        <v>0</v>
      </c>
      <c r="BK152" s="0" t="n">
        <v>0</v>
      </c>
      <c r="BL152" s="0" t="n">
        <v>0.6</v>
      </c>
      <c r="BM152" s="0" t="n">
        <v>1</v>
      </c>
      <c r="BN152" s="0" t="n">
        <v>0</v>
      </c>
      <c r="BO152" s="16" t="n">
        <v>1.89</v>
      </c>
      <c r="BP152" s="16" t="n">
        <v>1</v>
      </c>
      <c r="BQ152" s="16" t="n">
        <v>10.12</v>
      </c>
      <c r="BR152" s="16" t="n">
        <v>28</v>
      </c>
      <c r="BS152" s="16" t="n">
        <v>2.96</v>
      </c>
      <c r="BT152" s="16" t="n">
        <v>11.53</v>
      </c>
      <c r="BU152" s="16" t="n">
        <v>0</v>
      </c>
      <c r="BV152" s="0" t="n">
        <v>0</v>
      </c>
    </row>
    <row r="153" customFormat="false" ht="13.8" hidden="false" customHeight="false" outlineLevel="0" collapsed="false">
      <c r="A153" s="0" t="n">
        <v>2</v>
      </c>
      <c r="B153" s="0" t="n">
        <v>19.605749486653</v>
      </c>
      <c r="C153" s="0" t="n">
        <v>0.292950034223135</v>
      </c>
      <c r="D153" s="0" t="n">
        <v>8</v>
      </c>
      <c r="E153" s="0" t="n">
        <v>60</v>
      </c>
      <c r="F153" s="0" t="n">
        <v>1.76</v>
      </c>
      <c r="G153" s="0" t="n">
        <v>19.3698347107438</v>
      </c>
      <c r="H153" s="0" t="n">
        <v>0</v>
      </c>
      <c r="I153" s="0" t="n">
        <v>0</v>
      </c>
      <c r="J153" s="19" t="n">
        <v>0</v>
      </c>
      <c r="K153" s="19" t="n">
        <v>3</v>
      </c>
      <c r="L153" s="19" t="n">
        <v>0</v>
      </c>
      <c r="M153" s="19" t="n">
        <v>0</v>
      </c>
      <c r="N153" s="19" t="n">
        <v>0</v>
      </c>
      <c r="O153" s="19" t="n">
        <v>0</v>
      </c>
      <c r="P153" s="19" t="n">
        <v>0</v>
      </c>
      <c r="Q153" s="19" t="n">
        <v>0</v>
      </c>
      <c r="R153" s="19" t="n">
        <v>0</v>
      </c>
      <c r="S153" s="19" t="n">
        <v>0</v>
      </c>
      <c r="T153" s="19" t="n">
        <v>0</v>
      </c>
      <c r="U153" s="15" t="n">
        <f aca="false">AVERAGE(M153:T153)</f>
        <v>0</v>
      </c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 t="n">
        <v>4</v>
      </c>
      <c r="AM153" s="19" t="n">
        <v>4</v>
      </c>
      <c r="AN153" s="19" t="n">
        <v>4</v>
      </c>
      <c r="AO153" s="19" t="n">
        <v>10</v>
      </c>
      <c r="AP153" s="0" t="n">
        <v>32</v>
      </c>
      <c r="AQ153" s="16" t="n">
        <v>93.9</v>
      </c>
      <c r="AR153" s="16" t="n">
        <v>81</v>
      </c>
      <c r="AS153" s="16" t="n">
        <v>11.9</v>
      </c>
      <c r="AT153" s="0" t="n">
        <v>93.99</v>
      </c>
      <c r="AU153" s="0" t="n">
        <v>4.91</v>
      </c>
      <c r="AV153" s="0" t="n">
        <v>0</v>
      </c>
      <c r="AW153" s="0" t="n">
        <v>0</v>
      </c>
      <c r="AX153" s="0" t="n">
        <v>1.1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21.14</v>
      </c>
      <c r="BH153" s="0" t="n">
        <v>45.4</v>
      </c>
      <c r="BI153" s="0" t="n">
        <v>0</v>
      </c>
      <c r="BJ153" s="0" t="n">
        <v>0</v>
      </c>
      <c r="BK153" s="0" t="n">
        <v>0</v>
      </c>
      <c r="BL153" s="0" t="n">
        <v>0.6</v>
      </c>
      <c r="BM153" s="0" t="n">
        <v>1</v>
      </c>
      <c r="BN153" s="0" t="n">
        <v>0</v>
      </c>
      <c r="BO153" s="16" t="n">
        <v>1.89</v>
      </c>
      <c r="BP153" s="16" t="n">
        <v>1</v>
      </c>
      <c r="BQ153" s="16" t="n">
        <v>10.12</v>
      </c>
      <c r="BR153" s="16" t="n">
        <v>28</v>
      </c>
      <c r="BS153" s="16" t="n">
        <v>2.96</v>
      </c>
      <c r="BT153" s="16" t="n">
        <v>11.53</v>
      </c>
      <c r="BU153" s="16" t="n">
        <v>0</v>
      </c>
      <c r="BV153" s="0" t="n">
        <v>0</v>
      </c>
    </row>
    <row r="154" customFormat="false" ht="13.8" hidden="false" customHeight="false" outlineLevel="0" collapsed="false">
      <c r="A154" s="0" t="n">
        <v>2</v>
      </c>
      <c r="B154" s="0" t="n">
        <v>39.6988364134155</v>
      </c>
      <c r="C154" s="0" t="n">
        <v>0.262833675564682</v>
      </c>
      <c r="D154" s="0" t="n">
        <v>8</v>
      </c>
      <c r="E154" s="0" t="n">
        <v>65</v>
      </c>
      <c r="F154" s="0" t="n">
        <v>1.72</v>
      </c>
      <c r="G154" s="0" t="n">
        <v>21.9713358572201</v>
      </c>
      <c r="H154" s="0" t="n">
        <v>0</v>
      </c>
      <c r="I154" s="0" t="n">
        <v>0</v>
      </c>
      <c r="J154" s="19" t="n">
        <v>0</v>
      </c>
      <c r="K154" s="19" t="n">
        <v>2</v>
      </c>
      <c r="L154" s="19" t="n">
        <v>0</v>
      </c>
      <c r="M154" s="19" t="n">
        <v>0</v>
      </c>
      <c r="N154" s="19" t="n">
        <v>0</v>
      </c>
      <c r="O154" s="19" t="n">
        <v>0</v>
      </c>
      <c r="P154" s="19" t="n">
        <v>0</v>
      </c>
      <c r="Q154" s="19" t="n">
        <v>0</v>
      </c>
      <c r="R154" s="19" t="n">
        <v>0</v>
      </c>
      <c r="S154" s="19" t="n">
        <v>0</v>
      </c>
      <c r="T154" s="19" t="n">
        <v>0</v>
      </c>
      <c r="U154" s="15" t="n">
        <f aca="false">AVERAGE(M154:T154)</f>
        <v>0</v>
      </c>
      <c r="V154" s="19" t="n">
        <v>1</v>
      </c>
      <c r="W154" s="19" t="n">
        <v>1</v>
      </c>
      <c r="X154" s="19" t="n">
        <v>2</v>
      </c>
      <c r="Y154" s="19" t="n">
        <v>4</v>
      </c>
      <c r="Z154" s="19" t="n">
        <v>3</v>
      </c>
      <c r="AA154" s="19" t="n">
        <v>1</v>
      </c>
      <c r="AB154" s="19" t="n">
        <v>1</v>
      </c>
      <c r="AC154" s="19" t="n">
        <v>3</v>
      </c>
      <c r="AD154" s="19" t="n">
        <v>5</v>
      </c>
      <c r="AE154" s="19" t="n">
        <v>5</v>
      </c>
      <c r="AF154" s="19" t="n">
        <v>5</v>
      </c>
      <c r="AG154" s="19" t="n">
        <v>5</v>
      </c>
      <c r="AH154" s="19" t="n">
        <v>5</v>
      </c>
      <c r="AI154" s="19" t="n">
        <v>5</v>
      </c>
      <c r="AJ154" s="19" t="n">
        <v>5</v>
      </c>
      <c r="AK154" s="19" t="n">
        <v>5</v>
      </c>
      <c r="AL154" s="19" t="n">
        <v>5</v>
      </c>
      <c r="AM154" s="19" t="n">
        <v>5</v>
      </c>
      <c r="AN154" s="19" t="n">
        <v>5</v>
      </c>
      <c r="AO154" s="19" t="n">
        <v>10</v>
      </c>
      <c r="AP154" s="0" t="n">
        <v>32</v>
      </c>
      <c r="AQ154" s="16" t="n">
        <v>93.9</v>
      </c>
      <c r="AR154" s="16" t="n">
        <v>81</v>
      </c>
      <c r="AS154" s="16" t="n">
        <v>11.9</v>
      </c>
      <c r="AT154" s="0" t="n">
        <v>93.99</v>
      </c>
      <c r="AU154" s="0" t="n">
        <v>4.91</v>
      </c>
      <c r="AV154" s="0" t="n">
        <v>0</v>
      </c>
      <c r="AW154" s="0" t="n">
        <v>0</v>
      </c>
      <c r="AX154" s="0" t="n">
        <v>1.1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21.14</v>
      </c>
      <c r="BH154" s="0" t="n">
        <v>45.4</v>
      </c>
      <c r="BI154" s="0" t="n">
        <v>0</v>
      </c>
      <c r="BJ154" s="0" t="n">
        <v>0</v>
      </c>
      <c r="BK154" s="0" t="n">
        <v>0</v>
      </c>
      <c r="BL154" s="0" t="n">
        <v>0.6</v>
      </c>
      <c r="BM154" s="0" t="n">
        <v>1</v>
      </c>
      <c r="BN154" s="0" t="n">
        <v>0</v>
      </c>
      <c r="BO154" s="16" t="n">
        <v>1.89</v>
      </c>
      <c r="BP154" s="16" t="n">
        <v>1</v>
      </c>
      <c r="BQ154" s="16" t="n">
        <v>10.12</v>
      </c>
      <c r="BR154" s="16" t="n">
        <v>28</v>
      </c>
      <c r="BS154" s="16" t="n">
        <v>2.96</v>
      </c>
      <c r="BT154" s="16" t="n">
        <v>11.53</v>
      </c>
      <c r="BU154" s="16" t="n">
        <v>0</v>
      </c>
      <c r="BV154" s="0" t="n">
        <v>0</v>
      </c>
    </row>
    <row r="155" customFormat="false" ht="13.8" hidden="false" customHeight="false" outlineLevel="0" collapsed="false">
      <c r="A155" s="0" t="n">
        <v>2</v>
      </c>
      <c r="B155" s="0" t="n">
        <v>32.7583846680356</v>
      </c>
      <c r="C155" s="0" t="n">
        <v>0.216290212183436</v>
      </c>
      <c r="D155" s="0" t="n">
        <v>8</v>
      </c>
      <c r="H155" s="0" t="n">
        <v>0</v>
      </c>
      <c r="I155" s="0" t="n">
        <v>0</v>
      </c>
      <c r="J155" s="19" t="n">
        <v>0</v>
      </c>
      <c r="K155" s="19" t="n">
        <v>0</v>
      </c>
      <c r="L155" s="19" t="n">
        <v>1</v>
      </c>
      <c r="M155" s="19" t="n">
        <v>0</v>
      </c>
      <c r="N155" s="19" t="n">
        <v>0</v>
      </c>
      <c r="O155" s="19" t="n">
        <v>0</v>
      </c>
      <c r="P155" s="19" t="n">
        <v>0</v>
      </c>
      <c r="Q155" s="19" t="n">
        <v>0</v>
      </c>
      <c r="R155" s="19" t="n">
        <v>0</v>
      </c>
      <c r="S155" s="19" t="n">
        <v>0</v>
      </c>
      <c r="T155" s="19" t="n">
        <v>0</v>
      </c>
      <c r="U155" s="15" t="n">
        <f aca="false">AVERAGE(M155:T155)</f>
        <v>0</v>
      </c>
      <c r="V155" s="19" t="n">
        <v>2</v>
      </c>
      <c r="W155" s="19" t="n">
        <v>2</v>
      </c>
      <c r="X155" s="19" t="n">
        <v>3</v>
      </c>
      <c r="Y155" s="19" t="n">
        <v>5</v>
      </c>
      <c r="Z155" s="19" t="n">
        <v>1</v>
      </c>
      <c r="AA155" s="19" t="n">
        <v>1</v>
      </c>
      <c r="AB155" s="19" t="n">
        <v>1</v>
      </c>
      <c r="AC155" s="19" t="n">
        <v>2</v>
      </c>
      <c r="AD155" s="19" t="n">
        <v>2</v>
      </c>
      <c r="AE155" s="19" t="n">
        <v>4</v>
      </c>
      <c r="AF155" s="19" t="n">
        <v>4</v>
      </c>
      <c r="AG155" s="19" t="n">
        <v>5</v>
      </c>
      <c r="AH155" s="19" t="n">
        <v>3</v>
      </c>
      <c r="AI155" s="19" t="n">
        <v>2</v>
      </c>
      <c r="AJ155" s="19" t="n">
        <v>2</v>
      </c>
      <c r="AK155" s="19" t="n">
        <v>4</v>
      </c>
      <c r="AL155" s="19" t="n">
        <v>2</v>
      </c>
      <c r="AM155" s="19" t="n">
        <v>3</v>
      </c>
      <c r="AN155" s="19" t="n">
        <v>4</v>
      </c>
      <c r="AO155" s="19" t="n">
        <v>10</v>
      </c>
      <c r="AP155" s="0" t="n">
        <v>32</v>
      </c>
      <c r="AQ155" s="16" t="n">
        <v>93.9</v>
      </c>
      <c r="AR155" s="16" t="n">
        <v>81</v>
      </c>
      <c r="AS155" s="16" t="n">
        <v>11.9</v>
      </c>
      <c r="AT155" s="0" t="n">
        <v>93.99</v>
      </c>
      <c r="AU155" s="0" t="n">
        <v>4.91</v>
      </c>
      <c r="AV155" s="0" t="n">
        <v>0</v>
      </c>
      <c r="AW155" s="0" t="n">
        <v>0</v>
      </c>
      <c r="AX155" s="0" t="n">
        <v>1.1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21.14</v>
      </c>
      <c r="BH155" s="0" t="n">
        <v>45.4</v>
      </c>
      <c r="BI155" s="0" t="n">
        <v>0</v>
      </c>
      <c r="BJ155" s="0" t="n">
        <v>0</v>
      </c>
      <c r="BK155" s="0" t="n">
        <v>0</v>
      </c>
      <c r="BL155" s="0" t="n">
        <v>0.6</v>
      </c>
      <c r="BM155" s="0" t="n">
        <v>1</v>
      </c>
      <c r="BN155" s="0" t="n">
        <v>0</v>
      </c>
      <c r="BO155" s="16" t="n">
        <v>1.89</v>
      </c>
      <c r="BP155" s="16" t="n">
        <v>1</v>
      </c>
      <c r="BQ155" s="16" t="n">
        <v>10.12</v>
      </c>
      <c r="BR155" s="16" t="n">
        <v>28</v>
      </c>
      <c r="BS155" s="16" t="n">
        <v>2.96</v>
      </c>
      <c r="BT155" s="16" t="n">
        <v>11.53</v>
      </c>
      <c r="BU155" s="16" t="n">
        <v>0</v>
      </c>
      <c r="BV155" s="0" t="n">
        <v>0</v>
      </c>
    </row>
    <row r="156" customFormat="false" ht="13.8" hidden="false" customHeight="false" outlineLevel="0" collapsed="false">
      <c r="A156" s="0" t="n">
        <v>2</v>
      </c>
      <c r="B156" s="0" t="n">
        <v>35.4414784394251</v>
      </c>
      <c r="C156" s="0" t="n">
        <v>7.11567419575633</v>
      </c>
      <c r="D156" s="0" t="n">
        <v>8</v>
      </c>
      <c r="E156" s="0" t="n">
        <v>87</v>
      </c>
      <c r="F156" s="0" t="n">
        <v>1.78</v>
      </c>
      <c r="G156" s="0" t="n">
        <v>27.458654210327</v>
      </c>
      <c r="H156" s="0" t="n">
        <v>0</v>
      </c>
      <c r="I156" s="0" t="n">
        <v>0</v>
      </c>
      <c r="J156" s="19" t="n">
        <v>0</v>
      </c>
      <c r="K156" s="19" t="n">
        <v>0</v>
      </c>
      <c r="L156" s="19" t="n">
        <v>1</v>
      </c>
      <c r="M156" s="19"/>
      <c r="N156" s="19"/>
      <c r="O156" s="19"/>
      <c r="P156" s="19"/>
      <c r="Q156" s="19"/>
      <c r="R156" s="19"/>
      <c r="S156" s="19"/>
      <c r="T156" s="19"/>
      <c r="U156" s="15"/>
      <c r="V156" s="19" t="n">
        <v>3</v>
      </c>
      <c r="W156" s="19" t="n">
        <v>3</v>
      </c>
      <c r="X156" s="19" t="n">
        <v>4</v>
      </c>
      <c r="Y156" s="19" t="n">
        <v>5</v>
      </c>
      <c r="Z156" s="19" t="n">
        <v>2</v>
      </c>
      <c r="AA156" s="19" t="n">
        <v>5</v>
      </c>
      <c r="AB156" s="19" t="n">
        <v>4</v>
      </c>
      <c r="AC156" s="19" t="n">
        <v>4</v>
      </c>
      <c r="AD156" s="19" t="n">
        <v>1</v>
      </c>
      <c r="AE156" s="19" t="n">
        <v>2</v>
      </c>
      <c r="AF156" s="19" t="n">
        <v>3</v>
      </c>
      <c r="AG156" s="19" t="n">
        <v>3</v>
      </c>
      <c r="AH156" s="19" t="n">
        <v>3</v>
      </c>
      <c r="AI156" s="19" t="n">
        <v>2</v>
      </c>
      <c r="AJ156" s="19" t="n">
        <v>4</v>
      </c>
      <c r="AK156" s="19" t="n">
        <v>3</v>
      </c>
      <c r="AL156" s="19" t="n">
        <v>3</v>
      </c>
      <c r="AM156" s="19" t="n">
        <v>4</v>
      </c>
      <c r="AN156" s="19" t="n">
        <v>3</v>
      </c>
      <c r="AO156" s="19" t="n">
        <v>5</v>
      </c>
      <c r="AP156" s="0" t="n">
        <v>22</v>
      </c>
      <c r="AQ156" s="16" t="n">
        <v>82.5</v>
      </c>
      <c r="AR156" s="16" t="n">
        <v>81</v>
      </c>
      <c r="AS156" s="16" t="n">
        <v>15.1</v>
      </c>
      <c r="AT156" s="0" t="n">
        <v>0</v>
      </c>
      <c r="AU156" s="0" t="n">
        <v>0</v>
      </c>
      <c r="AV156" s="0" t="n">
        <v>0</v>
      </c>
      <c r="AW156" s="0" t="n">
        <v>2</v>
      </c>
      <c r="AX156" s="0" t="n">
        <v>8.67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5.88</v>
      </c>
      <c r="BF156" s="0" t="n">
        <v>34.73</v>
      </c>
      <c r="BG156" s="0" t="n">
        <v>6.44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5.8</v>
      </c>
      <c r="BM156" s="0" t="n">
        <v>1</v>
      </c>
      <c r="BN156" s="0" t="n">
        <v>0</v>
      </c>
      <c r="BO156" s="16" t="n">
        <v>0</v>
      </c>
      <c r="BP156" s="16" t="n">
        <v>0</v>
      </c>
      <c r="BQ156" s="16" t="n">
        <v>0.77</v>
      </c>
      <c r="BR156" s="16" t="n">
        <v>0.77</v>
      </c>
      <c r="BS156" s="16" t="n">
        <v>0</v>
      </c>
      <c r="BT156" s="16" t="n">
        <v>0</v>
      </c>
      <c r="BU156" s="16" t="n">
        <v>0</v>
      </c>
      <c r="BV156" s="0" t="n">
        <v>0</v>
      </c>
    </row>
    <row r="157" customFormat="false" ht="13.8" hidden="false" customHeight="false" outlineLevel="0" collapsed="false">
      <c r="A157" s="0" t="n">
        <v>2</v>
      </c>
      <c r="B157" s="0" t="n">
        <v>26.2313483915127</v>
      </c>
      <c r="C157" s="0" t="n">
        <v>6.63928815879535</v>
      </c>
      <c r="D157" s="0" t="n">
        <v>4</v>
      </c>
      <c r="E157" s="0" t="n">
        <v>68</v>
      </c>
      <c r="F157" s="0" t="n">
        <v>1.69</v>
      </c>
      <c r="G157" s="0" t="n">
        <v>23.8086901719128</v>
      </c>
      <c r="H157" s="0" t="n">
        <v>0</v>
      </c>
      <c r="I157" s="0" t="n">
        <v>0</v>
      </c>
      <c r="J157" s="19" t="n">
        <v>0</v>
      </c>
      <c r="K157" s="19" t="n">
        <v>2</v>
      </c>
      <c r="L157" s="19" t="n">
        <v>0</v>
      </c>
      <c r="M157" s="19" t="n">
        <v>0</v>
      </c>
      <c r="N157" s="19" t="n">
        <v>0</v>
      </c>
      <c r="O157" s="19" t="n">
        <v>0</v>
      </c>
      <c r="P157" s="19" t="n">
        <v>0</v>
      </c>
      <c r="Q157" s="19" t="n">
        <v>0</v>
      </c>
      <c r="R157" s="19" t="n">
        <v>0</v>
      </c>
      <c r="S157" s="19" t="n">
        <v>0</v>
      </c>
      <c r="T157" s="19" t="n">
        <v>0</v>
      </c>
      <c r="U157" s="15" t="n">
        <f aca="false">AVERAGE(M157:T157)</f>
        <v>0</v>
      </c>
      <c r="V157" s="19" t="n">
        <v>1</v>
      </c>
      <c r="W157" s="19" t="n">
        <v>2</v>
      </c>
      <c r="X157" s="19" t="n">
        <v>3</v>
      </c>
      <c r="Y157" s="19" t="n">
        <v>4</v>
      </c>
      <c r="Z157" s="19" t="n">
        <v>3</v>
      </c>
      <c r="AA157" s="19" t="n">
        <v>2</v>
      </c>
      <c r="AB157" s="19" t="n">
        <v>3</v>
      </c>
      <c r="AC157" s="19" t="n">
        <v>3</v>
      </c>
      <c r="AD157" s="19" t="n">
        <v>3</v>
      </c>
      <c r="AE157" s="19" t="n">
        <v>3</v>
      </c>
      <c r="AF157" s="19" t="n">
        <v>4</v>
      </c>
      <c r="AG157" s="19" t="n">
        <v>5</v>
      </c>
      <c r="AH157" s="19" t="n">
        <v>5</v>
      </c>
      <c r="AI157" s="19" t="n">
        <v>5</v>
      </c>
      <c r="AJ157" s="19" t="n">
        <v>5</v>
      </c>
      <c r="AK157" s="19" t="n">
        <v>5</v>
      </c>
      <c r="AL157" s="19" t="n">
        <v>5</v>
      </c>
      <c r="AM157" s="19" t="n">
        <v>5</v>
      </c>
      <c r="AN157" s="19" t="n">
        <v>5</v>
      </c>
      <c r="AO157" s="19" t="n">
        <v>10</v>
      </c>
      <c r="AP157" s="0" t="n">
        <v>33</v>
      </c>
      <c r="AQ157" s="16" t="n">
        <v>71.2</v>
      </c>
      <c r="AR157" s="16" t="n">
        <v>80.4</v>
      </c>
      <c r="AS157" s="16" t="n">
        <v>16.3</v>
      </c>
      <c r="AT157" s="0" t="n">
        <v>83.24</v>
      </c>
      <c r="AU157" s="17" t="n">
        <v>0</v>
      </c>
      <c r="AV157" s="0" t="n">
        <v>0</v>
      </c>
      <c r="AW157" s="0" t="n">
        <v>0</v>
      </c>
      <c r="AX157" s="0" t="n">
        <v>14.14</v>
      </c>
      <c r="AY157" s="0" t="n">
        <v>0</v>
      </c>
      <c r="AZ157" s="0" t="n">
        <v>2.63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2.63</v>
      </c>
      <c r="BF157" s="0" t="n">
        <v>10.16</v>
      </c>
      <c r="BG157" s="0" t="n">
        <v>20.83</v>
      </c>
      <c r="BH157" s="0" t="n">
        <v>24.81</v>
      </c>
      <c r="BI157" s="0" t="n">
        <v>0</v>
      </c>
      <c r="BJ157" s="0" t="n">
        <v>11.2</v>
      </c>
      <c r="BK157" s="0" t="n">
        <v>1</v>
      </c>
      <c r="BL157" s="0" t="n">
        <v>0</v>
      </c>
      <c r="BM157" s="0" t="n">
        <v>0</v>
      </c>
      <c r="BN157" s="0" t="n">
        <v>0</v>
      </c>
      <c r="BO157" s="16" t="n">
        <v>2.71</v>
      </c>
      <c r="BP157" s="16" t="n">
        <v>1</v>
      </c>
      <c r="BQ157" s="16" t="n">
        <v>2.63</v>
      </c>
      <c r="BR157" s="16" t="n">
        <v>2.6</v>
      </c>
      <c r="BS157" s="16" t="n">
        <v>0</v>
      </c>
      <c r="BT157" s="16" t="n">
        <v>0</v>
      </c>
      <c r="BU157" s="16" t="n">
        <v>0</v>
      </c>
      <c r="BV157" s="0" t="n">
        <v>0</v>
      </c>
    </row>
    <row r="158" customFormat="false" ht="13.8" hidden="false" customHeight="false" outlineLevel="0" collapsed="false">
      <c r="A158" s="0" t="n">
        <v>2</v>
      </c>
      <c r="B158" s="0" t="n">
        <v>20.7583846680356</v>
      </c>
      <c r="C158" s="0" t="n">
        <v>0.276522929500342</v>
      </c>
      <c r="D158" s="0" t="n">
        <v>4</v>
      </c>
      <c r="E158" s="0" t="n">
        <v>65</v>
      </c>
      <c r="F158" s="0" t="n">
        <v>1.76</v>
      </c>
      <c r="G158" s="0" t="n">
        <v>20.9839876033058</v>
      </c>
      <c r="H158" s="0" t="n">
        <v>0</v>
      </c>
      <c r="I158" s="0" t="n">
        <v>0</v>
      </c>
      <c r="J158" s="19" t="n">
        <v>0</v>
      </c>
      <c r="K158" s="19" t="n">
        <v>0</v>
      </c>
      <c r="L158" s="19" t="n">
        <v>0</v>
      </c>
      <c r="M158" s="19" t="n">
        <v>0</v>
      </c>
      <c r="N158" s="19" t="n">
        <v>0</v>
      </c>
      <c r="O158" s="19" t="n">
        <v>0</v>
      </c>
      <c r="P158" s="19" t="n">
        <v>0</v>
      </c>
      <c r="Q158" s="19" t="n">
        <v>0</v>
      </c>
      <c r="R158" s="19" t="n">
        <v>0</v>
      </c>
      <c r="S158" s="19" t="n">
        <v>0</v>
      </c>
      <c r="T158" s="19" t="n">
        <v>0</v>
      </c>
      <c r="U158" s="15" t="n">
        <f aca="false">AVERAGE(M158:T158)</f>
        <v>0</v>
      </c>
      <c r="V158" s="19" t="n">
        <v>1</v>
      </c>
      <c r="W158" s="19" t="n">
        <v>2</v>
      </c>
      <c r="X158" s="19" t="n">
        <v>3</v>
      </c>
      <c r="Y158" s="19" t="n">
        <v>4</v>
      </c>
      <c r="Z158" s="19" t="n">
        <v>3</v>
      </c>
      <c r="AA158" s="19" t="n">
        <v>2</v>
      </c>
      <c r="AB158" s="19" t="n">
        <v>3</v>
      </c>
      <c r="AC158" s="19" t="n">
        <v>3</v>
      </c>
      <c r="AD158" s="19" t="n">
        <v>4</v>
      </c>
      <c r="AE158" s="19" t="n">
        <v>4</v>
      </c>
      <c r="AF158" s="19" t="n">
        <v>4</v>
      </c>
      <c r="AG158" s="19" t="n">
        <v>4</v>
      </c>
      <c r="AH158" s="19" t="n">
        <v>4</v>
      </c>
      <c r="AI158" s="19" t="n">
        <v>4</v>
      </c>
      <c r="AJ158" s="19" t="n">
        <v>4</v>
      </c>
      <c r="AK158" s="19" t="n">
        <v>5</v>
      </c>
      <c r="AL158" s="19" t="n">
        <v>4</v>
      </c>
      <c r="AM158" s="19" t="n">
        <v>4</v>
      </c>
      <c r="AN158" s="19" t="n">
        <v>4</v>
      </c>
      <c r="AO158" s="19" t="n">
        <v>10</v>
      </c>
      <c r="AP158" s="0" t="n">
        <v>33</v>
      </c>
      <c r="AQ158" s="16" t="n">
        <v>71.2</v>
      </c>
      <c r="AR158" s="16" t="n">
        <v>80.4</v>
      </c>
      <c r="AS158" s="16" t="n">
        <v>16.3</v>
      </c>
      <c r="AT158" s="0" t="n">
        <v>83.24</v>
      </c>
      <c r="AU158" s="17" t="n">
        <v>0</v>
      </c>
      <c r="AV158" s="0" t="n">
        <v>0</v>
      </c>
      <c r="AW158" s="0" t="n">
        <v>0</v>
      </c>
      <c r="AX158" s="0" t="n">
        <v>14.14</v>
      </c>
      <c r="AY158" s="0" t="n">
        <v>0</v>
      </c>
      <c r="AZ158" s="0" t="n">
        <v>2.63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2.63</v>
      </c>
      <c r="BF158" s="0" t="n">
        <v>10.16</v>
      </c>
      <c r="BG158" s="0" t="n">
        <v>20.83</v>
      </c>
      <c r="BH158" s="0" t="n">
        <v>24.81</v>
      </c>
      <c r="BI158" s="0" t="n">
        <v>0</v>
      </c>
      <c r="BJ158" s="0" t="n">
        <v>11.2</v>
      </c>
      <c r="BK158" s="0" t="n">
        <v>1</v>
      </c>
      <c r="BL158" s="0" t="n">
        <v>0</v>
      </c>
      <c r="BM158" s="0" t="n">
        <v>0</v>
      </c>
      <c r="BN158" s="0" t="n">
        <v>0</v>
      </c>
      <c r="BO158" s="16" t="n">
        <v>2.71</v>
      </c>
      <c r="BP158" s="16" t="n">
        <v>1</v>
      </c>
      <c r="BQ158" s="16" t="n">
        <v>2.63</v>
      </c>
      <c r="BR158" s="16" t="n">
        <v>2.6</v>
      </c>
      <c r="BS158" s="16" t="n">
        <v>0</v>
      </c>
      <c r="BT158" s="16" t="n">
        <v>0</v>
      </c>
      <c r="BU158" s="16" t="n">
        <v>0</v>
      </c>
      <c r="BV158" s="0" t="n">
        <v>0</v>
      </c>
    </row>
    <row r="159" customFormat="false" ht="13.8" hidden="false" customHeight="false" outlineLevel="0" collapsed="false">
      <c r="A159" s="0" t="n">
        <v>2</v>
      </c>
      <c r="B159" s="0" t="n">
        <v>29.8562628336756</v>
      </c>
      <c r="C159" s="0" t="n">
        <v>5.95208761122519</v>
      </c>
      <c r="D159" s="0" t="n">
        <v>4</v>
      </c>
      <c r="E159" s="0" t="n">
        <v>70</v>
      </c>
      <c r="F159" s="0" t="n">
        <v>1.64</v>
      </c>
      <c r="G159" s="0" t="n">
        <v>26.0261748958953</v>
      </c>
      <c r="H159" s="0" t="n">
        <v>0</v>
      </c>
      <c r="I159" s="0" t="n">
        <v>0</v>
      </c>
      <c r="J159" s="19" t="n">
        <v>1</v>
      </c>
      <c r="K159" s="19" t="n">
        <v>0</v>
      </c>
      <c r="L159" s="19" t="n">
        <v>0</v>
      </c>
      <c r="M159" s="19" t="n">
        <v>0</v>
      </c>
      <c r="N159" s="19" t="n">
        <v>10</v>
      </c>
      <c r="O159" s="19" t="n">
        <v>7</v>
      </c>
      <c r="P159" s="19" t="n">
        <v>0</v>
      </c>
      <c r="Q159" s="19" t="n">
        <v>7</v>
      </c>
      <c r="R159" s="19" t="n">
        <v>0</v>
      </c>
      <c r="S159" s="19" t="n">
        <v>0</v>
      </c>
      <c r="T159" s="19" t="n">
        <v>0</v>
      </c>
      <c r="U159" s="15" t="n">
        <f aca="false">AVERAGE(M159:T159)</f>
        <v>3</v>
      </c>
      <c r="V159" s="19" t="n">
        <v>3</v>
      </c>
      <c r="W159" s="19" t="n">
        <v>3</v>
      </c>
      <c r="X159" s="19" t="n">
        <v>4</v>
      </c>
      <c r="Y159" s="19" t="n">
        <v>5</v>
      </c>
      <c r="Z159" s="19" t="n">
        <v>3</v>
      </c>
      <c r="AA159" s="19" t="n">
        <v>3</v>
      </c>
      <c r="AB159" s="19" t="n">
        <v>2</v>
      </c>
      <c r="AC159" s="19" t="n">
        <v>3</v>
      </c>
      <c r="AD159" s="19" t="n">
        <v>2</v>
      </c>
      <c r="AE159" s="19" t="n">
        <v>3</v>
      </c>
      <c r="AF159" s="19" t="n">
        <v>3</v>
      </c>
      <c r="AG159" s="19" t="n">
        <v>5</v>
      </c>
      <c r="AH159" s="19" t="n">
        <v>4</v>
      </c>
      <c r="AI159" s="19" t="n">
        <v>4</v>
      </c>
      <c r="AJ159" s="19" t="n">
        <v>4</v>
      </c>
      <c r="AK159" s="19" t="n">
        <v>4</v>
      </c>
      <c r="AL159" s="19" t="n">
        <v>3</v>
      </c>
      <c r="AM159" s="19" t="n">
        <v>3</v>
      </c>
      <c r="AN159" s="19" t="n">
        <v>3</v>
      </c>
      <c r="AO159" s="19" t="n">
        <v>6</v>
      </c>
      <c r="AP159" s="0" t="n">
        <v>33</v>
      </c>
      <c r="AQ159" s="16" t="n">
        <v>71.2</v>
      </c>
      <c r="AR159" s="16" t="n">
        <v>80.4</v>
      </c>
      <c r="AS159" s="16" t="n">
        <v>16.3</v>
      </c>
      <c r="AT159" s="0" t="n">
        <v>83.24</v>
      </c>
      <c r="AU159" s="17" t="n">
        <v>0</v>
      </c>
      <c r="AV159" s="0" t="n">
        <v>0</v>
      </c>
      <c r="AW159" s="0" t="n">
        <v>0</v>
      </c>
      <c r="AX159" s="0" t="n">
        <v>14.14</v>
      </c>
      <c r="AY159" s="0" t="n">
        <v>0</v>
      </c>
      <c r="AZ159" s="0" t="n">
        <v>2.63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2.63</v>
      </c>
      <c r="BF159" s="0" t="n">
        <v>10.16</v>
      </c>
      <c r="BG159" s="0" t="n">
        <v>20.83</v>
      </c>
      <c r="BH159" s="0" t="n">
        <v>24.81</v>
      </c>
      <c r="BI159" s="0" t="n">
        <v>0</v>
      </c>
      <c r="BJ159" s="0" t="n">
        <v>11.2</v>
      </c>
      <c r="BK159" s="0" t="n">
        <v>1</v>
      </c>
      <c r="BL159" s="0" t="n">
        <v>0</v>
      </c>
      <c r="BM159" s="0" t="n">
        <v>0</v>
      </c>
      <c r="BN159" s="0" t="n">
        <v>0</v>
      </c>
      <c r="BO159" s="16" t="n">
        <v>2.71</v>
      </c>
      <c r="BP159" s="16" t="n">
        <v>1</v>
      </c>
      <c r="BQ159" s="16" t="n">
        <v>2.63</v>
      </c>
      <c r="BR159" s="16" t="n">
        <v>2.6</v>
      </c>
      <c r="BS159" s="16" t="n">
        <v>0</v>
      </c>
      <c r="BT159" s="16" t="n">
        <v>0</v>
      </c>
      <c r="BU159" s="16" t="n">
        <v>0</v>
      </c>
      <c r="BV159" s="0" t="n">
        <v>0</v>
      </c>
    </row>
    <row r="160" customFormat="false" ht="13.8" hidden="false" customHeight="false" outlineLevel="0" collapsed="false">
      <c r="A160" s="0" t="n">
        <v>2</v>
      </c>
      <c r="B160" s="0" t="n">
        <v>20.2737850787132</v>
      </c>
      <c r="C160" s="0" t="n">
        <v>0.249144421629021</v>
      </c>
      <c r="D160" s="0" t="n">
        <v>4</v>
      </c>
      <c r="E160" s="0" t="n">
        <v>100</v>
      </c>
      <c r="F160" s="0" t="n">
        <v>1.7</v>
      </c>
      <c r="G160" s="0" t="n">
        <v>34.6020761245675</v>
      </c>
      <c r="H160" s="0" t="n">
        <v>0</v>
      </c>
      <c r="I160" s="0" t="n">
        <v>0</v>
      </c>
      <c r="J160" s="19" t="n">
        <v>0</v>
      </c>
      <c r="K160" s="19" t="n">
        <v>2</v>
      </c>
      <c r="L160" s="19" t="n">
        <v>0</v>
      </c>
      <c r="M160" s="19" t="n">
        <v>0</v>
      </c>
      <c r="N160" s="19" t="n">
        <v>0</v>
      </c>
      <c r="O160" s="19" t="n">
        <v>0</v>
      </c>
      <c r="P160" s="19" t="n">
        <v>0</v>
      </c>
      <c r="Q160" s="19" t="n">
        <v>0</v>
      </c>
      <c r="R160" s="19" t="n">
        <v>0</v>
      </c>
      <c r="S160" s="19" t="n">
        <v>0</v>
      </c>
      <c r="T160" s="19" t="n">
        <v>0</v>
      </c>
      <c r="U160" s="15" t="n">
        <f aca="false">AVERAGE(M160:T160)</f>
        <v>0</v>
      </c>
      <c r="V160" s="19" t="n">
        <v>3</v>
      </c>
      <c r="W160" s="19" t="n">
        <v>3</v>
      </c>
      <c r="X160" s="19" t="n">
        <v>5</v>
      </c>
      <c r="Y160" s="19" t="n">
        <v>5</v>
      </c>
      <c r="Z160" s="19"/>
      <c r="AA160" s="19" t="n">
        <v>3</v>
      </c>
      <c r="AB160" s="19" t="n">
        <v>1</v>
      </c>
      <c r="AC160" s="19" t="n">
        <v>4</v>
      </c>
      <c r="AD160" s="19" t="n">
        <v>5</v>
      </c>
      <c r="AE160" s="19" t="n">
        <v>2</v>
      </c>
      <c r="AF160" s="19" t="n">
        <v>5</v>
      </c>
      <c r="AG160" s="19" t="n">
        <v>5</v>
      </c>
      <c r="AH160" s="19" t="n">
        <v>3</v>
      </c>
      <c r="AI160" s="19" t="n">
        <v>5</v>
      </c>
      <c r="AJ160" s="19" t="n">
        <v>5</v>
      </c>
      <c r="AK160" s="19" t="n">
        <v>5</v>
      </c>
      <c r="AL160" s="19" t="n">
        <v>5</v>
      </c>
      <c r="AM160" s="19" t="n">
        <v>5</v>
      </c>
      <c r="AN160" s="19" t="n">
        <v>4</v>
      </c>
      <c r="AO160" s="19" t="n">
        <v>10</v>
      </c>
      <c r="AP160" s="0" t="n">
        <v>33</v>
      </c>
      <c r="AQ160" s="16" t="n">
        <v>71.2</v>
      </c>
      <c r="AR160" s="16" t="n">
        <v>80.4</v>
      </c>
      <c r="AS160" s="16" t="n">
        <v>16.3</v>
      </c>
      <c r="AT160" s="0" t="n">
        <v>83.24</v>
      </c>
      <c r="AU160" s="17" t="n">
        <v>0</v>
      </c>
      <c r="AV160" s="0" t="n">
        <v>0</v>
      </c>
      <c r="AW160" s="0" t="n">
        <v>0</v>
      </c>
      <c r="AX160" s="0" t="n">
        <v>14.14</v>
      </c>
      <c r="AY160" s="0" t="n">
        <v>0</v>
      </c>
      <c r="AZ160" s="0" t="n">
        <v>2.63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2.63</v>
      </c>
      <c r="BF160" s="0" t="n">
        <v>10.16</v>
      </c>
      <c r="BG160" s="0" t="n">
        <v>20.83</v>
      </c>
      <c r="BH160" s="0" t="n">
        <v>24.81</v>
      </c>
      <c r="BI160" s="0" t="n">
        <v>0</v>
      </c>
      <c r="BJ160" s="0" t="n">
        <v>11.2</v>
      </c>
      <c r="BK160" s="0" t="n">
        <v>1</v>
      </c>
      <c r="BL160" s="0" t="n">
        <v>0</v>
      </c>
      <c r="BM160" s="0" t="n">
        <v>0</v>
      </c>
      <c r="BN160" s="0" t="n">
        <v>0</v>
      </c>
      <c r="BO160" s="16" t="n">
        <v>2.71</v>
      </c>
      <c r="BP160" s="16" t="n">
        <v>1</v>
      </c>
      <c r="BQ160" s="16" t="n">
        <v>2.63</v>
      </c>
      <c r="BR160" s="16" t="n">
        <v>2.6</v>
      </c>
      <c r="BS160" s="16" t="n">
        <v>0</v>
      </c>
      <c r="BT160" s="16" t="n">
        <v>0</v>
      </c>
      <c r="BU160" s="16" t="n">
        <v>0</v>
      </c>
      <c r="BV160" s="0" t="n">
        <v>0</v>
      </c>
    </row>
    <row r="161" customFormat="false" ht="13.8" hidden="false" customHeight="false" outlineLevel="0" collapsed="false">
      <c r="A161" s="0" t="n">
        <v>2</v>
      </c>
      <c r="B161" s="0" t="n">
        <v>25.9219712525667</v>
      </c>
      <c r="C161" s="0" t="n">
        <v>0.2217659137577</v>
      </c>
      <c r="D161" s="0" t="n">
        <v>4</v>
      </c>
      <c r="E161" s="0" t="n">
        <v>70</v>
      </c>
      <c r="F161" s="0" t="n">
        <v>1.76</v>
      </c>
      <c r="G161" s="0" t="n">
        <v>22.5981404958678</v>
      </c>
      <c r="H161" s="0" t="n">
        <v>0</v>
      </c>
      <c r="I161" s="0" t="n">
        <v>0</v>
      </c>
      <c r="J161" s="19" t="n">
        <v>0</v>
      </c>
      <c r="K161" s="19" t="n">
        <v>0</v>
      </c>
      <c r="L161" s="19" t="n">
        <v>0</v>
      </c>
      <c r="M161" s="19" t="n">
        <v>0</v>
      </c>
      <c r="N161" s="19" t="n">
        <v>0</v>
      </c>
      <c r="O161" s="19" t="n">
        <v>0</v>
      </c>
      <c r="P161" s="19" t="n">
        <v>0</v>
      </c>
      <c r="Q161" s="19" t="n">
        <v>0</v>
      </c>
      <c r="R161" s="19" t="n">
        <v>0</v>
      </c>
      <c r="S161" s="19" t="n">
        <v>0</v>
      </c>
      <c r="T161" s="19" t="n">
        <v>0</v>
      </c>
      <c r="U161" s="15" t="n">
        <f aca="false">AVERAGE(M161:T161)</f>
        <v>0</v>
      </c>
      <c r="V161" s="19" t="n">
        <v>2</v>
      </c>
      <c r="W161" s="19" t="n">
        <v>2</v>
      </c>
      <c r="X161" s="19" t="n">
        <v>3</v>
      </c>
      <c r="Y161" s="19" t="n">
        <v>4</v>
      </c>
      <c r="Z161" s="19" t="n">
        <v>2</v>
      </c>
      <c r="AA161" s="19" t="n">
        <v>2</v>
      </c>
      <c r="AB161" s="19" t="n">
        <v>2</v>
      </c>
      <c r="AC161" s="19" t="n">
        <v>3</v>
      </c>
      <c r="AD161" s="19" t="n">
        <v>3</v>
      </c>
      <c r="AE161" s="19" t="n">
        <v>4</v>
      </c>
      <c r="AF161" s="19" t="n">
        <v>4</v>
      </c>
      <c r="AG161" s="19" t="n">
        <v>4</v>
      </c>
      <c r="AH161" s="19" t="n">
        <v>4</v>
      </c>
      <c r="AI161" s="19" t="n">
        <v>4</v>
      </c>
      <c r="AJ161" s="19" t="n">
        <v>5</v>
      </c>
      <c r="AK161" s="19" t="n">
        <v>5</v>
      </c>
      <c r="AL161" s="19" t="n">
        <v>5</v>
      </c>
      <c r="AM161" s="19" t="n">
        <v>5</v>
      </c>
      <c r="AN161" s="19" t="n">
        <v>4</v>
      </c>
      <c r="AO161" s="19" t="n">
        <v>10</v>
      </c>
      <c r="AP161" s="0" t="n">
        <v>33</v>
      </c>
      <c r="AQ161" s="16" t="n">
        <v>71.2</v>
      </c>
      <c r="AR161" s="16" t="n">
        <v>80.4</v>
      </c>
      <c r="AS161" s="16" t="n">
        <v>16.3</v>
      </c>
      <c r="AT161" s="0" t="n">
        <v>83.24</v>
      </c>
      <c r="AU161" s="17" t="n">
        <v>0</v>
      </c>
      <c r="AV161" s="0" t="n">
        <v>0</v>
      </c>
      <c r="AW161" s="0" t="n">
        <v>0</v>
      </c>
      <c r="AX161" s="0" t="n">
        <v>14.14</v>
      </c>
      <c r="AY161" s="0" t="n">
        <v>0</v>
      </c>
      <c r="AZ161" s="0" t="n">
        <v>2.63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2.63</v>
      </c>
      <c r="BF161" s="0" t="n">
        <v>10.16</v>
      </c>
      <c r="BG161" s="0" t="n">
        <v>20.83</v>
      </c>
      <c r="BH161" s="0" t="n">
        <v>24.81</v>
      </c>
      <c r="BI161" s="0" t="n">
        <v>0</v>
      </c>
      <c r="BJ161" s="0" t="n">
        <v>11.2</v>
      </c>
      <c r="BK161" s="0" t="n">
        <v>1</v>
      </c>
      <c r="BL161" s="0" t="n">
        <v>0</v>
      </c>
      <c r="BM161" s="0" t="n">
        <v>0</v>
      </c>
      <c r="BN161" s="0" t="n">
        <v>0</v>
      </c>
      <c r="BO161" s="16" t="n">
        <v>2.71</v>
      </c>
      <c r="BP161" s="16" t="n">
        <v>1</v>
      </c>
      <c r="BQ161" s="16" t="n">
        <v>2.63</v>
      </c>
      <c r="BR161" s="16" t="n">
        <v>2.6</v>
      </c>
      <c r="BS161" s="16" t="n">
        <v>0</v>
      </c>
      <c r="BT161" s="16" t="n">
        <v>0</v>
      </c>
      <c r="BU161" s="16" t="n">
        <v>0</v>
      </c>
      <c r="BV161" s="0" t="n">
        <v>0</v>
      </c>
    </row>
    <row r="162" customFormat="false" ht="13.8" hidden="false" customHeight="false" outlineLevel="0" collapsed="false">
      <c r="A162" s="0" t="n">
        <v>2</v>
      </c>
      <c r="B162" s="0" t="n">
        <v>31.1238877481177</v>
      </c>
      <c r="C162" s="0" t="n">
        <v>0.0958247775496236</v>
      </c>
      <c r="D162" s="0" t="n">
        <v>4</v>
      </c>
      <c r="E162" s="0" t="n">
        <v>74</v>
      </c>
      <c r="F162" s="0" t="n">
        <v>1.77</v>
      </c>
      <c r="G162" s="0" t="n">
        <v>23.6202879121581</v>
      </c>
      <c r="H162" s="0" t="n">
        <v>0</v>
      </c>
      <c r="I162" s="0" t="n">
        <v>0</v>
      </c>
      <c r="J162" s="19" t="n">
        <v>0</v>
      </c>
      <c r="K162" s="19" t="n">
        <v>1</v>
      </c>
      <c r="L162" s="19" t="n">
        <v>0</v>
      </c>
      <c r="M162" s="19"/>
      <c r="N162" s="19"/>
      <c r="O162" s="19"/>
      <c r="P162" s="19"/>
      <c r="Q162" s="19" t="n">
        <v>7</v>
      </c>
      <c r="R162" s="19" t="n">
        <v>3</v>
      </c>
      <c r="S162" s="19"/>
      <c r="T162" s="19"/>
      <c r="U162" s="15" t="n">
        <f aca="false">AVERAGE(M162:T162)</f>
        <v>5</v>
      </c>
      <c r="V162" s="19" t="n">
        <v>2</v>
      </c>
      <c r="W162" s="19" t="n">
        <v>3</v>
      </c>
      <c r="X162" s="19" t="n">
        <v>5</v>
      </c>
      <c r="Y162" s="19" t="n">
        <v>5</v>
      </c>
      <c r="Z162" s="19" t="n">
        <v>3</v>
      </c>
      <c r="AA162" s="19" t="n">
        <v>5</v>
      </c>
      <c r="AB162" s="19" t="n">
        <v>5</v>
      </c>
      <c r="AC162" s="19" t="n">
        <v>4</v>
      </c>
      <c r="AD162" s="19" t="n">
        <v>3</v>
      </c>
      <c r="AE162" s="19" t="n">
        <v>3</v>
      </c>
      <c r="AF162" s="19" t="n">
        <v>3</v>
      </c>
      <c r="AG162" s="19" t="n">
        <v>5</v>
      </c>
      <c r="AH162" s="19" t="n">
        <v>3</v>
      </c>
      <c r="AI162" s="19" t="n">
        <v>5</v>
      </c>
      <c r="AJ162" s="19" t="n">
        <v>5</v>
      </c>
      <c r="AK162" s="19" t="n">
        <v>5</v>
      </c>
      <c r="AL162" s="19" t="n">
        <v>5</v>
      </c>
      <c r="AM162" s="19" t="n">
        <v>5</v>
      </c>
      <c r="AN162" s="19" t="n">
        <v>4</v>
      </c>
      <c r="AO162" s="19" t="n">
        <v>7</v>
      </c>
      <c r="AP162" s="0" t="n">
        <v>58</v>
      </c>
      <c r="AQ162" s="16" t="n">
        <v>79.9</v>
      </c>
      <c r="AR162" s="16" t="n">
        <v>80.4</v>
      </c>
      <c r="AS162" s="16" t="n">
        <v>43.6</v>
      </c>
      <c r="AT162" s="0" t="n">
        <v>26.15</v>
      </c>
      <c r="AU162" s="17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73.85</v>
      </c>
      <c r="BA162" s="0" t="n">
        <v>18.43</v>
      </c>
      <c r="BB162" s="0" t="n">
        <v>20.42</v>
      </c>
      <c r="BC162" s="0" t="n">
        <v>0</v>
      </c>
      <c r="BD162" s="0" t="n">
        <v>0</v>
      </c>
      <c r="BE162" s="0" t="n">
        <v>2.44</v>
      </c>
      <c r="BF162" s="0" t="n">
        <v>0.13</v>
      </c>
      <c r="BG162" s="0" t="n">
        <v>9.71</v>
      </c>
      <c r="BH162" s="0" t="n">
        <v>18.31</v>
      </c>
      <c r="BI162" s="0" t="n">
        <v>0</v>
      </c>
      <c r="BJ162" s="0" t="n">
        <v>0</v>
      </c>
      <c r="BK162" s="0" t="n">
        <v>0</v>
      </c>
      <c r="BL162" s="0" t="n">
        <v>9.1</v>
      </c>
      <c r="BM162" s="0" t="n">
        <v>1</v>
      </c>
      <c r="BN162" s="0" t="n">
        <v>1</v>
      </c>
      <c r="BO162" s="16" t="n">
        <v>0</v>
      </c>
      <c r="BP162" s="16" t="n">
        <v>0</v>
      </c>
      <c r="BQ162" s="16" t="n">
        <v>1.97</v>
      </c>
      <c r="BR162" s="16" t="n">
        <v>1.24</v>
      </c>
      <c r="BS162" s="16" t="n">
        <v>0</v>
      </c>
      <c r="BT162" s="16" t="n">
        <v>0</v>
      </c>
      <c r="BU162" s="16" t="n">
        <v>3</v>
      </c>
      <c r="BV162" s="0" t="n">
        <v>0</v>
      </c>
    </row>
    <row r="163" customFormat="false" ht="13.8" hidden="false" customHeight="false" outlineLevel="0" collapsed="false">
      <c r="A163" s="0" t="n">
        <v>2</v>
      </c>
      <c r="B163" s="0" t="n">
        <v>31.1074606433949</v>
      </c>
      <c r="C163" s="0" t="n">
        <v>0.268309377138946</v>
      </c>
      <c r="D163" s="0" t="n">
        <v>4</v>
      </c>
      <c r="E163" s="0" t="n">
        <v>72</v>
      </c>
      <c r="F163" s="0" t="n">
        <v>1.78</v>
      </c>
      <c r="G163" s="0" t="n">
        <v>22.7244034844085</v>
      </c>
      <c r="H163" s="0" t="n">
        <v>0</v>
      </c>
      <c r="I163" s="0" t="n">
        <v>0</v>
      </c>
      <c r="J163" s="19" t="n">
        <v>1</v>
      </c>
      <c r="K163" s="19" t="n">
        <v>1</v>
      </c>
      <c r="L163" s="19" t="n">
        <v>1</v>
      </c>
      <c r="M163" s="19"/>
      <c r="N163" s="19"/>
      <c r="O163" s="19"/>
      <c r="P163" s="19"/>
      <c r="Q163" s="19"/>
      <c r="R163" s="19"/>
      <c r="S163" s="19"/>
      <c r="T163" s="19"/>
      <c r="U163" s="15"/>
      <c r="V163" s="19" t="n">
        <v>2</v>
      </c>
      <c r="W163" s="19" t="n">
        <v>3</v>
      </c>
      <c r="X163" s="19" t="n">
        <v>3</v>
      </c>
      <c r="Y163" s="19" t="n">
        <v>3</v>
      </c>
      <c r="Z163" s="19" t="n">
        <v>2</v>
      </c>
      <c r="AA163" s="19" t="n">
        <v>3</v>
      </c>
      <c r="AB163" s="19" t="n">
        <v>4</v>
      </c>
      <c r="AC163" s="19" t="n">
        <v>3</v>
      </c>
      <c r="AD163" s="19" t="n">
        <v>3</v>
      </c>
      <c r="AE163" s="19" t="n">
        <v>3</v>
      </c>
      <c r="AF163" s="19" t="n">
        <v>3</v>
      </c>
      <c r="AG163" s="19" t="n">
        <v>3</v>
      </c>
      <c r="AH163" s="19" t="n">
        <v>3</v>
      </c>
      <c r="AI163" s="19" t="n">
        <v>3</v>
      </c>
      <c r="AJ163" s="19" t="n">
        <v>3</v>
      </c>
      <c r="AK163" s="19" t="n">
        <v>3</v>
      </c>
      <c r="AL163" s="19" t="n">
        <v>5</v>
      </c>
      <c r="AM163" s="19" t="n">
        <v>5</v>
      </c>
      <c r="AN163" s="19" t="n">
        <v>3</v>
      </c>
      <c r="AO163" s="19" t="n">
        <v>7</v>
      </c>
      <c r="AP163" s="0" t="n">
        <v>33</v>
      </c>
      <c r="AQ163" s="16" t="n">
        <v>71.2</v>
      </c>
      <c r="AR163" s="16" t="n">
        <v>80.4</v>
      </c>
      <c r="AS163" s="16" t="n">
        <v>16.3</v>
      </c>
      <c r="AT163" s="0" t="n">
        <v>83.24</v>
      </c>
      <c r="AU163" s="17" t="n">
        <v>0</v>
      </c>
      <c r="AV163" s="0" t="n">
        <v>0</v>
      </c>
      <c r="AW163" s="0" t="n">
        <v>0</v>
      </c>
      <c r="AX163" s="0" t="n">
        <v>14.14</v>
      </c>
      <c r="AY163" s="0" t="n">
        <v>0</v>
      </c>
      <c r="AZ163" s="0" t="n">
        <v>2.63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2.63</v>
      </c>
      <c r="BF163" s="0" t="n">
        <v>10.16</v>
      </c>
      <c r="BG163" s="0" t="n">
        <v>20.83</v>
      </c>
      <c r="BH163" s="0" t="n">
        <v>24.81</v>
      </c>
      <c r="BI163" s="0" t="n">
        <v>0</v>
      </c>
      <c r="BJ163" s="0" t="n">
        <v>11.2</v>
      </c>
      <c r="BK163" s="0" t="n">
        <v>1</v>
      </c>
      <c r="BL163" s="0" t="n">
        <v>0</v>
      </c>
      <c r="BM163" s="0" t="n">
        <v>0</v>
      </c>
      <c r="BN163" s="0" t="n">
        <v>0</v>
      </c>
      <c r="BO163" s="16" t="n">
        <v>2.71</v>
      </c>
      <c r="BP163" s="16" t="n">
        <v>1</v>
      </c>
      <c r="BQ163" s="16" t="n">
        <v>2.63</v>
      </c>
      <c r="BR163" s="16" t="n">
        <v>2.6</v>
      </c>
      <c r="BS163" s="16" t="n">
        <v>0</v>
      </c>
      <c r="BT163" s="16" t="n">
        <v>0</v>
      </c>
      <c r="BU163" s="16" t="n">
        <v>0</v>
      </c>
      <c r="BV163" s="0" t="n">
        <v>0</v>
      </c>
    </row>
    <row r="164" customFormat="false" ht="13.8" hidden="false" customHeight="false" outlineLevel="0" collapsed="false">
      <c r="A164" s="0" t="n">
        <v>1</v>
      </c>
      <c r="B164" s="0" t="n">
        <v>35.8165639972621</v>
      </c>
      <c r="C164" s="0" t="n">
        <v>6.54620123203285</v>
      </c>
      <c r="D164" s="0" t="n">
        <v>4</v>
      </c>
      <c r="E164" s="0" t="n">
        <v>71</v>
      </c>
      <c r="F164" s="0" t="n">
        <v>1.73</v>
      </c>
      <c r="G164" s="0" t="n">
        <v>23.7228106518761</v>
      </c>
      <c r="H164" s="0" t="n">
        <v>0</v>
      </c>
      <c r="I164" s="0" t="n">
        <v>0</v>
      </c>
      <c r="J164" s="19" t="n">
        <v>1</v>
      </c>
      <c r="K164" s="19" t="n">
        <v>2</v>
      </c>
      <c r="L164" s="19" t="n">
        <v>1</v>
      </c>
      <c r="M164" s="19" t="n">
        <v>0</v>
      </c>
      <c r="N164" s="19"/>
      <c r="O164" s="19" t="n">
        <v>0</v>
      </c>
      <c r="P164" s="19" t="n">
        <v>0</v>
      </c>
      <c r="Q164" s="19" t="n">
        <v>0</v>
      </c>
      <c r="R164" s="19" t="n">
        <v>0</v>
      </c>
      <c r="S164" s="19" t="n">
        <v>0</v>
      </c>
      <c r="T164" s="19" t="n">
        <v>0</v>
      </c>
      <c r="U164" s="15" t="n">
        <f aca="false">AVERAGE(M164:T164)</f>
        <v>0</v>
      </c>
      <c r="V164" s="19" t="n">
        <v>3</v>
      </c>
      <c r="W164" s="19" t="n">
        <v>3</v>
      </c>
      <c r="X164" s="19" t="n">
        <v>3</v>
      </c>
      <c r="Y164" s="19" t="n">
        <v>5</v>
      </c>
      <c r="Z164" s="19" t="n">
        <v>3</v>
      </c>
      <c r="AA164" s="19" t="n">
        <v>5</v>
      </c>
      <c r="AB164" s="19" t="n">
        <v>1</v>
      </c>
      <c r="AC164" s="19" t="n">
        <v>5</v>
      </c>
      <c r="AD164" s="19" t="n">
        <v>3</v>
      </c>
      <c r="AE164" s="19" t="n">
        <v>4</v>
      </c>
      <c r="AF164" s="19" t="n">
        <v>4</v>
      </c>
      <c r="AG164" s="19" t="n">
        <v>5</v>
      </c>
      <c r="AH164" s="19" t="n">
        <v>2</v>
      </c>
      <c r="AI164" s="19" t="n">
        <v>5</v>
      </c>
      <c r="AJ164" s="19" t="n">
        <v>2</v>
      </c>
      <c r="AK164" s="19" t="n">
        <v>5</v>
      </c>
      <c r="AL164" s="19" t="n">
        <v>5</v>
      </c>
      <c r="AM164" s="19" t="n">
        <v>5</v>
      </c>
      <c r="AN164" s="19" t="n">
        <v>3</v>
      </c>
      <c r="AO164" s="19" t="n">
        <v>10</v>
      </c>
      <c r="AP164" s="0" t="n">
        <v>33</v>
      </c>
      <c r="AQ164" s="16" t="n">
        <v>71.2</v>
      </c>
      <c r="AR164" s="16" t="n">
        <v>80.4</v>
      </c>
      <c r="AS164" s="16" t="n">
        <v>16.3</v>
      </c>
      <c r="AT164" s="0" t="n">
        <v>83.24</v>
      </c>
      <c r="AU164" s="17" t="n">
        <v>0</v>
      </c>
      <c r="AV164" s="0" t="n">
        <v>0</v>
      </c>
      <c r="AW164" s="0" t="n">
        <v>0</v>
      </c>
      <c r="AX164" s="0" t="n">
        <v>14.14</v>
      </c>
      <c r="AY164" s="0" t="n">
        <v>0</v>
      </c>
      <c r="AZ164" s="0" t="n">
        <v>2.63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2.63</v>
      </c>
      <c r="BF164" s="0" t="n">
        <v>10.16</v>
      </c>
      <c r="BG164" s="0" t="n">
        <v>20.83</v>
      </c>
      <c r="BH164" s="0" t="n">
        <v>24.81</v>
      </c>
      <c r="BI164" s="0" t="n">
        <v>0</v>
      </c>
      <c r="BJ164" s="0" t="n">
        <v>11.2</v>
      </c>
      <c r="BK164" s="0" t="n">
        <v>1</v>
      </c>
      <c r="BL164" s="0" t="n">
        <v>0</v>
      </c>
      <c r="BM164" s="0" t="n">
        <v>0</v>
      </c>
      <c r="BN164" s="0" t="n">
        <v>0</v>
      </c>
      <c r="BO164" s="16" t="n">
        <v>2.71</v>
      </c>
      <c r="BP164" s="16" t="n">
        <v>1</v>
      </c>
      <c r="BQ164" s="16" t="n">
        <v>2.63</v>
      </c>
      <c r="BR164" s="16" t="n">
        <v>2.6</v>
      </c>
      <c r="BS164" s="16" t="n">
        <v>0</v>
      </c>
      <c r="BT164" s="16" t="n">
        <v>0</v>
      </c>
      <c r="BU164" s="16" t="n">
        <v>0</v>
      </c>
      <c r="BV164" s="0" t="n">
        <v>0</v>
      </c>
    </row>
    <row r="165" customFormat="false" ht="13.8" hidden="false" customHeight="false" outlineLevel="0" collapsed="false">
      <c r="A165" s="0" t="n">
        <v>2</v>
      </c>
      <c r="B165" s="0" t="n">
        <v>41.7713894592745</v>
      </c>
      <c r="C165" s="0" t="n">
        <v>0.16974674880219</v>
      </c>
      <c r="D165" s="0" t="n">
        <v>8</v>
      </c>
      <c r="E165" s="0" t="n">
        <v>85</v>
      </c>
      <c r="F165" s="0" t="n">
        <v>1.7</v>
      </c>
      <c r="G165" s="0" t="n">
        <v>29.4117647058823</v>
      </c>
      <c r="H165" s="0" t="n">
        <v>0</v>
      </c>
      <c r="I165" s="0" t="n">
        <v>0</v>
      </c>
      <c r="J165" s="19" t="n">
        <v>0</v>
      </c>
      <c r="K165" s="19" t="n">
        <v>0</v>
      </c>
      <c r="L165" s="19" t="n">
        <v>0</v>
      </c>
      <c r="M165" s="19"/>
      <c r="N165" s="19" t="n">
        <v>0</v>
      </c>
      <c r="O165" s="19" t="n">
        <v>0</v>
      </c>
      <c r="P165" s="19" t="n">
        <v>0</v>
      </c>
      <c r="Q165" s="19" t="n">
        <v>2</v>
      </c>
      <c r="R165" s="19" t="n">
        <v>2</v>
      </c>
      <c r="S165" s="19" t="n">
        <v>0</v>
      </c>
      <c r="T165" s="19" t="n">
        <v>0</v>
      </c>
      <c r="U165" s="15" t="n">
        <f aca="false">AVERAGE(M165:T165)</f>
        <v>0.571428571428571</v>
      </c>
      <c r="V165" s="19" t="n">
        <v>2</v>
      </c>
      <c r="W165" s="19" t="n">
        <v>1</v>
      </c>
      <c r="X165" s="19" t="n">
        <v>2</v>
      </c>
      <c r="Y165" s="19" t="n">
        <v>4</v>
      </c>
      <c r="Z165" s="19" t="n">
        <v>3</v>
      </c>
      <c r="AA165" s="19" t="n">
        <v>1</v>
      </c>
      <c r="AB165" s="19" t="n">
        <v>5</v>
      </c>
      <c r="AC165" s="19" t="n">
        <v>5</v>
      </c>
      <c r="AD165" s="19" t="n">
        <v>5</v>
      </c>
      <c r="AE165" s="19" t="n">
        <v>4</v>
      </c>
      <c r="AF165" s="19" t="n">
        <v>5</v>
      </c>
      <c r="AG165" s="19" t="n">
        <v>5</v>
      </c>
      <c r="AH165" s="19" t="n">
        <v>4</v>
      </c>
      <c r="AI165" s="19" t="n">
        <v>5</v>
      </c>
      <c r="AJ165" s="19" t="n">
        <v>5</v>
      </c>
      <c r="AK165" s="19" t="n">
        <v>5</v>
      </c>
      <c r="AL165" s="19" t="n">
        <v>5</v>
      </c>
      <c r="AM165" s="19" t="n">
        <v>5</v>
      </c>
      <c r="AN165" s="19" t="n">
        <v>4</v>
      </c>
      <c r="AO165" s="19" t="n">
        <v>10</v>
      </c>
      <c r="AP165" s="0" t="n">
        <v>48.5</v>
      </c>
      <c r="AQ165" s="16" t="n">
        <v>90.8</v>
      </c>
      <c r="AR165" s="16" t="n">
        <v>80.4</v>
      </c>
      <c r="AS165" s="16" t="n">
        <v>27.5</v>
      </c>
      <c r="AT165" s="0" t="n">
        <v>74.34</v>
      </c>
      <c r="AU165" s="0" t="n">
        <v>0</v>
      </c>
      <c r="AV165" s="0" t="n">
        <v>12.29</v>
      </c>
      <c r="AW165" s="0" t="n">
        <v>0</v>
      </c>
      <c r="AX165" s="0" t="n">
        <v>13.37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14.01</v>
      </c>
      <c r="BH165" s="0" t="n">
        <v>63.09</v>
      </c>
      <c r="BI165" s="0" t="n">
        <v>0</v>
      </c>
      <c r="BJ165" s="0" t="n">
        <v>0</v>
      </c>
      <c r="BK165" s="0" t="n">
        <v>0</v>
      </c>
      <c r="BL165" s="0" t="n">
        <v>13</v>
      </c>
      <c r="BM165" s="0" t="n">
        <v>1</v>
      </c>
      <c r="BN165" s="0" t="n">
        <v>1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7.46</v>
      </c>
      <c r="BT165" s="16" t="n">
        <v>0</v>
      </c>
      <c r="BU165" s="16" t="n">
        <v>0</v>
      </c>
      <c r="BV165" s="0" t="n">
        <v>1</v>
      </c>
    </row>
    <row r="166" customFormat="false" ht="13.8" hidden="false" customHeight="false" outlineLevel="0" collapsed="false">
      <c r="A166" s="24" t="n">
        <v>2</v>
      </c>
      <c r="B166" s="0" t="n">
        <v>26.0232717316906</v>
      </c>
      <c r="C166" s="0" t="n">
        <v>0.11772758384668</v>
      </c>
      <c r="D166" s="0" t="n">
        <v>8</v>
      </c>
      <c r="E166" s="0" t="n">
        <v>85</v>
      </c>
      <c r="F166" s="0" t="n">
        <v>1.68</v>
      </c>
      <c r="G166" s="0" t="n">
        <v>30.1162131519274</v>
      </c>
      <c r="H166" s="0" t="n">
        <v>0</v>
      </c>
      <c r="I166" s="0" t="n">
        <v>0</v>
      </c>
      <c r="J166" s="26" t="n">
        <v>0</v>
      </c>
      <c r="K166" s="26" t="n">
        <v>2</v>
      </c>
      <c r="L166" s="26" t="n">
        <v>1</v>
      </c>
      <c r="M166" s="26" t="n">
        <v>4</v>
      </c>
      <c r="N166" s="26" t="n">
        <v>0</v>
      </c>
      <c r="O166" s="26" t="n">
        <v>0</v>
      </c>
      <c r="P166" s="26" t="n">
        <v>0</v>
      </c>
      <c r="Q166" s="26" t="n">
        <v>0</v>
      </c>
      <c r="R166" s="26" t="n">
        <v>0</v>
      </c>
      <c r="S166" s="26" t="n">
        <v>0</v>
      </c>
      <c r="T166" s="26" t="n">
        <v>4</v>
      </c>
      <c r="U166" s="15" t="n">
        <f aca="false">AVERAGE(M166:T166)</f>
        <v>1</v>
      </c>
      <c r="V166" s="26" t="n">
        <v>1</v>
      </c>
      <c r="W166" s="26" t="n">
        <v>2</v>
      </c>
      <c r="X166" s="26" t="n">
        <v>3</v>
      </c>
      <c r="Y166" s="26" t="n">
        <v>3</v>
      </c>
      <c r="Z166" s="26" t="n">
        <v>1</v>
      </c>
      <c r="AA166" s="26" t="n">
        <v>1</v>
      </c>
      <c r="AB166" s="26" t="n">
        <v>3</v>
      </c>
      <c r="AC166" s="26" t="n">
        <v>3</v>
      </c>
      <c r="AD166" s="26" t="n">
        <v>3</v>
      </c>
      <c r="AE166" s="26" t="n">
        <v>4</v>
      </c>
      <c r="AF166" s="26" t="n">
        <v>5</v>
      </c>
      <c r="AG166" s="26" t="n">
        <v>5</v>
      </c>
      <c r="AH166" s="26" t="n">
        <v>5</v>
      </c>
      <c r="AI166" s="26" t="n">
        <v>5</v>
      </c>
      <c r="AJ166" s="26" t="n">
        <v>5</v>
      </c>
      <c r="AK166" s="26" t="n">
        <v>5</v>
      </c>
      <c r="AL166" s="26" t="n">
        <v>5</v>
      </c>
      <c r="AM166" s="26" t="n">
        <v>5</v>
      </c>
      <c r="AN166" s="26" t="n">
        <v>5</v>
      </c>
      <c r="AO166" s="26" t="n">
        <v>10</v>
      </c>
      <c r="AP166" s="24" t="n">
        <v>36.5</v>
      </c>
      <c r="AQ166" s="27" t="n">
        <v>88.3</v>
      </c>
      <c r="AR166" s="27" t="n">
        <v>80.4</v>
      </c>
      <c r="AS166" s="27" t="n">
        <v>28.2</v>
      </c>
      <c r="AT166" s="24" t="n">
        <v>73.82</v>
      </c>
      <c r="AU166" s="24" t="n">
        <v>0</v>
      </c>
      <c r="AV166" s="24" t="n">
        <v>25.61</v>
      </c>
      <c r="AW166" s="24" t="n">
        <v>0</v>
      </c>
      <c r="AX166" s="24" t="n">
        <v>0.57</v>
      </c>
      <c r="AY166" s="24" t="n">
        <v>0</v>
      </c>
      <c r="AZ166" s="24" t="n">
        <v>0</v>
      </c>
      <c r="BA166" s="24" t="n">
        <v>0</v>
      </c>
      <c r="BB166" s="24" t="n">
        <v>0</v>
      </c>
      <c r="BC166" s="24" t="n">
        <v>0</v>
      </c>
      <c r="BD166" s="24" t="n">
        <v>0</v>
      </c>
      <c r="BE166" s="24" t="n">
        <v>1.17</v>
      </c>
      <c r="BF166" s="24" t="n">
        <v>31.76</v>
      </c>
      <c r="BG166" s="24" t="n">
        <v>23.3</v>
      </c>
      <c r="BH166" s="24" t="n">
        <v>26.08</v>
      </c>
      <c r="BI166" s="24" t="n">
        <v>0</v>
      </c>
      <c r="BJ166" s="24" t="n">
        <v>0</v>
      </c>
      <c r="BK166" s="24" t="n">
        <v>0</v>
      </c>
      <c r="BL166" s="24" t="n">
        <v>2.1</v>
      </c>
      <c r="BM166" s="24" t="n">
        <v>1</v>
      </c>
      <c r="BN166" s="24" t="n">
        <v>0</v>
      </c>
      <c r="BO166" s="27" t="n">
        <v>1.9</v>
      </c>
      <c r="BP166" s="27" t="n">
        <v>1</v>
      </c>
      <c r="BQ166" s="27" t="n">
        <v>0.57</v>
      </c>
      <c r="BR166" s="27" t="n">
        <v>0.56</v>
      </c>
      <c r="BS166" s="27" t="n">
        <v>0</v>
      </c>
      <c r="BT166" s="27" t="n">
        <v>0</v>
      </c>
      <c r="BU166" s="27" t="n">
        <v>0</v>
      </c>
      <c r="BV166" s="24" t="n">
        <v>0</v>
      </c>
    </row>
    <row r="167" customFormat="false" ht="13.8" hidden="false" customHeight="false" outlineLevel="0" collapsed="false">
      <c r="A167" s="0" t="n">
        <v>1</v>
      </c>
      <c r="B167" s="0" t="n">
        <v>31.0828199863107</v>
      </c>
      <c r="C167" s="0" t="n">
        <v>0.150581793292266</v>
      </c>
      <c r="D167" s="0" t="n">
        <v>8</v>
      </c>
      <c r="E167" s="0" t="n">
        <v>56</v>
      </c>
      <c r="F167" s="0" t="n">
        <v>1.61</v>
      </c>
      <c r="G167" s="0" t="n">
        <v>21.6041047799082</v>
      </c>
      <c r="H167" s="0" t="n">
        <v>0</v>
      </c>
      <c r="I167" s="0" t="n">
        <v>0</v>
      </c>
      <c r="J167" s="19" t="n">
        <v>0</v>
      </c>
      <c r="K167" s="19" t="n">
        <v>0</v>
      </c>
      <c r="L167" s="19" t="n">
        <v>0</v>
      </c>
      <c r="M167" s="19" t="n">
        <v>10</v>
      </c>
      <c r="N167" s="19" t="n">
        <v>10</v>
      </c>
      <c r="O167" s="19" t="n">
        <v>0</v>
      </c>
      <c r="P167" s="19" t="n">
        <v>0</v>
      </c>
      <c r="Q167" s="19" t="n">
        <v>0</v>
      </c>
      <c r="R167" s="19" t="n">
        <v>0</v>
      </c>
      <c r="S167" s="19" t="n">
        <v>0</v>
      </c>
      <c r="T167" s="19" t="n">
        <v>0</v>
      </c>
      <c r="U167" s="15" t="n">
        <f aca="false">AVERAGE(M167:T167)</f>
        <v>2.5</v>
      </c>
      <c r="V167" s="19" t="n">
        <v>3</v>
      </c>
      <c r="W167" s="19" t="n">
        <v>2</v>
      </c>
      <c r="X167" s="19" t="n">
        <v>5</v>
      </c>
      <c r="Y167" s="19" t="n">
        <v>5</v>
      </c>
      <c r="Z167" s="19" t="n">
        <v>2</v>
      </c>
      <c r="AA167" s="19" t="n">
        <v>2</v>
      </c>
      <c r="AB167" s="19" t="n">
        <v>1</v>
      </c>
      <c r="AC167" s="19" t="n">
        <v>1</v>
      </c>
      <c r="AD167" s="19" t="n">
        <v>2</v>
      </c>
      <c r="AE167" s="19" t="n">
        <v>2</v>
      </c>
      <c r="AF167" s="19" t="n">
        <v>5</v>
      </c>
      <c r="AG167" s="19" t="n">
        <v>5</v>
      </c>
      <c r="AH167" s="19" t="n">
        <v>3</v>
      </c>
      <c r="AI167" s="19" t="n">
        <v>3</v>
      </c>
      <c r="AJ167" s="19" t="n">
        <v>5</v>
      </c>
      <c r="AK167" s="19" t="n">
        <v>5</v>
      </c>
      <c r="AL167" s="19" t="n">
        <v>3</v>
      </c>
      <c r="AM167" s="19" t="n">
        <v>4</v>
      </c>
      <c r="AN167" s="19" t="n">
        <v>2</v>
      </c>
      <c r="AO167" s="19" t="n">
        <v>8</v>
      </c>
      <c r="AP167" s="0" t="n">
        <v>17.5</v>
      </c>
      <c r="AQ167" s="16" t="n">
        <v>81.9</v>
      </c>
      <c r="AR167" s="16" t="n">
        <v>80.4</v>
      </c>
      <c r="AS167" s="16" t="n">
        <v>12.5</v>
      </c>
      <c r="AT167" s="0" t="n">
        <v>85.79</v>
      </c>
      <c r="AU167" s="17" t="n">
        <v>0</v>
      </c>
      <c r="AV167" s="0" t="n">
        <v>10.02</v>
      </c>
      <c r="AW167" s="0" t="n">
        <v>0</v>
      </c>
      <c r="AX167" s="0" t="n">
        <v>0</v>
      </c>
      <c r="AY167" s="0" t="n">
        <v>0</v>
      </c>
      <c r="AZ167" s="0" t="n">
        <v>4.19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53.51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16" t="n">
        <v>3.38</v>
      </c>
      <c r="BP167" s="16" t="n">
        <v>1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0" t="n">
        <v>0</v>
      </c>
    </row>
    <row r="168" customFormat="false" ht="13.8" hidden="false" customHeight="false" outlineLevel="0" collapsed="false">
      <c r="A168" s="0" t="n">
        <v>2</v>
      </c>
      <c r="B168" s="0" t="n">
        <v>28.1286789869952</v>
      </c>
      <c r="C168" s="0" t="n">
        <v>0.10403832991102</v>
      </c>
      <c r="D168" s="0" t="n">
        <v>8</v>
      </c>
      <c r="E168" s="0" t="n">
        <v>65</v>
      </c>
      <c r="F168" s="0" t="n">
        <v>1.68</v>
      </c>
      <c r="G168" s="0" t="n">
        <v>23.0300453514739</v>
      </c>
      <c r="H168" s="0" t="n">
        <v>0</v>
      </c>
      <c r="I168" s="0" t="n">
        <v>0</v>
      </c>
      <c r="J168" s="19" t="n">
        <v>1</v>
      </c>
      <c r="K168" s="19" t="n">
        <v>0</v>
      </c>
      <c r="L168" s="19" t="n">
        <v>1</v>
      </c>
      <c r="M168" s="19"/>
      <c r="N168" s="19" t="n">
        <v>0</v>
      </c>
      <c r="O168" s="19"/>
      <c r="P168" s="19"/>
      <c r="Q168" s="19" t="n">
        <v>4</v>
      </c>
      <c r="R168" s="19" t="n">
        <v>0</v>
      </c>
      <c r="S168" s="19" t="n">
        <v>0</v>
      </c>
      <c r="T168" s="19" t="n">
        <v>0</v>
      </c>
      <c r="U168" s="15" t="n">
        <f aca="false">AVERAGE(M168:T168)</f>
        <v>0.8</v>
      </c>
      <c r="V168" s="19" t="n">
        <v>2</v>
      </c>
      <c r="W168" s="19" t="n">
        <v>3</v>
      </c>
      <c r="X168" s="19" t="n">
        <v>4</v>
      </c>
      <c r="Y168" s="19" t="n">
        <v>5</v>
      </c>
      <c r="Z168" s="19" t="n">
        <v>2</v>
      </c>
      <c r="AA168" s="19" t="n">
        <v>1</v>
      </c>
      <c r="AB168" s="19" t="n">
        <v>3</v>
      </c>
      <c r="AC168" s="19" t="n">
        <v>4</v>
      </c>
      <c r="AD168" s="19" t="n">
        <v>4</v>
      </c>
      <c r="AE168" s="19" t="n">
        <v>5</v>
      </c>
      <c r="AF168" s="19" t="n">
        <v>5</v>
      </c>
      <c r="AG168" s="19" t="n">
        <v>4</v>
      </c>
      <c r="AH168" s="19" t="n">
        <v>4</v>
      </c>
      <c r="AI168" s="19" t="n">
        <v>5</v>
      </c>
      <c r="AJ168" s="19" t="n">
        <v>4</v>
      </c>
      <c r="AK168" s="19" t="n">
        <v>4</v>
      </c>
      <c r="AL168" s="19" t="n">
        <v>4</v>
      </c>
      <c r="AM168" s="19" t="n">
        <v>4</v>
      </c>
      <c r="AN168" s="19" t="n">
        <v>4</v>
      </c>
      <c r="AO168" s="19" t="n">
        <v>7</v>
      </c>
      <c r="AP168" s="0" t="n">
        <v>37</v>
      </c>
      <c r="AQ168" s="16" t="n">
        <v>95.1</v>
      </c>
      <c r="AR168" s="16" t="n">
        <v>80.4</v>
      </c>
      <c r="AS168" s="16" t="n">
        <v>15.9</v>
      </c>
      <c r="AT168" s="0" t="n">
        <v>82.71</v>
      </c>
      <c r="AU168" s="17" t="n">
        <v>0</v>
      </c>
      <c r="AV168" s="0" t="n">
        <v>10.32</v>
      </c>
      <c r="AW168" s="0" t="n">
        <v>0.39</v>
      </c>
      <c r="AX168" s="0" t="n">
        <v>10.32</v>
      </c>
      <c r="AY168" s="0" t="n">
        <v>0</v>
      </c>
      <c r="AZ168" s="0" t="n">
        <v>0</v>
      </c>
      <c r="BB168" s="0" t="n">
        <v>0</v>
      </c>
      <c r="BC168" s="0" t="n">
        <v>0</v>
      </c>
      <c r="BD168" s="0" t="n">
        <v>0</v>
      </c>
      <c r="BE168" s="0" t="n">
        <v>1.9</v>
      </c>
      <c r="BF168" s="0" t="n">
        <v>26.26</v>
      </c>
      <c r="BG168" s="0" t="n">
        <v>6.04</v>
      </c>
      <c r="BH168" s="0" t="n">
        <v>2.19</v>
      </c>
      <c r="BI168" s="0" t="n">
        <v>0</v>
      </c>
      <c r="BJ168" s="0" t="n">
        <v>0</v>
      </c>
      <c r="BK168" s="0" t="n">
        <v>0</v>
      </c>
      <c r="BL168" s="0" t="n">
        <v>14.7</v>
      </c>
      <c r="BM168" s="0" t="n">
        <v>1</v>
      </c>
      <c r="BN168" s="0" t="n">
        <v>1</v>
      </c>
      <c r="BO168" s="0" t="n">
        <v>0</v>
      </c>
      <c r="BP168" s="19" t="n">
        <v>0</v>
      </c>
      <c r="BQ168" s="16" t="n">
        <v>5.11</v>
      </c>
      <c r="BR168" s="0" t="n">
        <v>4.81</v>
      </c>
      <c r="BS168" s="0" t="n">
        <v>0</v>
      </c>
      <c r="BT168" s="0" t="n">
        <v>0</v>
      </c>
      <c r="BU168" s="0" t="n">
        <v>0</v>
      </c>
      <c r="BV168" s="0" t="n">
        <v>0</v>
      </c>
    </row>
    <row r="169" customFormat="false" ht="13.8" hidden="false" customHeight="false" outlineLevel="0" collapsed="false">
      <c r="A169" s="0" t="n">
        <v>2</v>
      </c>
      <c r="B169" s="0" t="n">
        <v>31.2854209445585</v>
      </c>
      <c r="C169" s="0" t="n">
        <v>0.139630390143737</v>
      </c>
      <c r="D169" s="0" t="n">
        <v>4</v>
      </c>
      <c r="E169" s="0" t="n">
        <v>79</v>
      </c>
      <c r="F169" s="0" t="n">
        <v>1.84</v>
      </c>
      <c r="G169" s="0" t="n">
        <v>23.3341209829868</v>
      </c>
      <c r="H169" s="0" t="n">
        <v>0</v>
      </c>
      <c r="I169" s="0" t="n">
        <v>0</v>
      </c>
      <c r="J169" s="19" t="n">
        <v>1</v>
      </c>
      <c r="K169" s="19" t="n">
        <v>2</v>
      </c>
      <c r="L169" s="19" t="n">
        <v>0</v>
      </c>
      <c r="M169" s="19" t="n">
        <v>2</v>
      </c>
      <c r="N169" s="19" t="n">
        <v>4</v>
      </c>
      <c r="O169" s="19" t="n">
        <v>0</v>
      </c>
      <c r="P169" s="19" t="n">
        <v>0</v>
      </c>
      <c r="Q169" s="19" t="n">
        <v>5</v>
      </c>
      <c r="R169" s="19" t="n">
        <v>0</v>
      </c>
      <c r="S169" s="19" t="n">
        <v>0</v>
      </c>
      <c r="T169" s="19" t="n">
        <v>4</v>
      </c>
      <c r="U169" s="15" t="n">
        <f aca="false">AVERAGE(M169:T169)</f>
        <v>1.875</v>
      </c>
      <c r="V169" s="19" t="n">
        <v>1</v>
      </c>
      <c r="W169" s="19" t="n">
        <v>1</v>
      </c>
      <c r="X169" s="19" t="n">
        <v>2</v>
      </c>
      <c r="Y169" s="19" t="n">
        <v>1</v>
      </c>
      <c r="Z169" s="19" t="n">
        <v>1</v>
      </c>
      <c r="AA169" s="19" t="n">
        <v>3</v>
      </c>
      <c r="AB169" s="19" t="n">
        <v>1</v>
      </c>
      <c r="AC169" s="19" t="n">
        <v>2</v>
      </c>
      <c r="AD169" s="19" t="n">
        <v>2</v>
      </c>
      <c r="AE169" s="19" t="n">
        <v>2</v>
      </c>
      <c r="AF169" s="19" t="n">
        <v>4</v>
      </c>
      <c r="AG169" s="19" t="n">
        <v>3</v>
      </c>
      <c r="AH169" s="19" t="n">
        <v>3</v>
      </c>
      <c r="AI169" s="19" t="n">
        <v>4</v>
      </c>
      <c r="AJ169" s="19" t="n">
        <v>3</v>
      </c>
      <c r="AK169" s="19" t="n">
        <v>4</v>
      </c>
      <c r="AL169" s="19" t="n">
        <v>3</v>
      </c>
      <c r="AM169" s="19" t="n">
        <v>3</v>
      </c>
      <c r="AN169" s="19" t="n">
        <v>3</v>
      </c>
      <c r="AO169" s="19" t="n">
        <v>10</v>
      </c>
      <c r="AP169" s="0" t="n">
        <v>48.5</v>
      </c>
      <c r="AQ169" s="16" t="n">
        <v>83.8</v>
      </c>
      <c r="AR169" s="16" t="n">
        <v>80.4</v>
      </c>
      <c r="AS169" s="16" t="n">
        <v>34.3</v>
      </c>
      <c r="AT169" s="0" t="n">
        <v>70.08</v>
      </c>
      <c r="AU169" s="0" t="n">
        <v>0</v>
      </c>
      <c r="AV169" s="0" t="n">
        <v>18.24</v>
      </c>
      <c r="AW169" s="0" t="n">
        <v>1.05</v>
      </c>
      <c r="AX169" s="0" t="n">
        <v>1.14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19.39</v>
      </c>
      <c r="BF169" s="0" t="n">
        <v>3.64</v>
      </c>
      <c r="BG169" s="0" t="n">
        <v>13.61</v>
      </c>
      <c r="BH169" s="0" t="n">
        <v>5.23</v>
      </c>
      <c r="BI169" s="0" t="n">
        <v>9.49</v>
      </c>
      <c r="BJ169" s="0" t="n">
        <v>2.6</v>
      </c>
      <c r="BK169" s="0" t="n">
        <v>2</v>
      </c>
      <c r="BL169" s="0" t="n">
        <v>1.7</v>
      </c>
      <c r="BM169" s="0" t="n">
        <v>0</v>
      </c>
      <c r="BN169" s="0" t="n">
        <v>1</v>
      </c>
      <c r="BO169" s="16" t="n">
        <v>3.52</v>
      </c>
      <c r="BP169" s="16" t="n">
        <v>1</v>
      </c>
      <c r="BQ169" s="16" t="n">
        <v>0</v>
      </c>
      <c r="BR169" s="16" t="n">
        <v>0</v>
      </c>
      <c r="BS169" s="16" t="n">
        <v>5.97</v>
      </c>
      <c r="BT169" s="16" t="n">
        <v>0</v>
      </c>
      <c r="BU169" s="16" t="n">
        <v>0</v>
      </c>
      <c r="BV169" s="0" t="n">
        <v>1</v>
      </c>
    </row>
    <row r="170" customFormat="false" ht="13.8" hidden="false" customHeight="false" outlineLevel="0" collapsed="false">
      <c r="A170" s="0" t="n">
        <v>2</v>
      </c>
      <c r="B170" s="0" t="n">
        <v>30.0999315537303</v>
      </c>
      <c r="C170" s="0" t="n">
        <v>0.16974674880219</v>
      </c>
      <c r="D170" s="0" t="n">
        <v>8</v>
      </c>
      <c r="E170" s="0" t="n">
        <v>120</v>
      </c>
      <c r="F170" s="0" t="n">
        <v>1.83</v>
      </c>
      <c r="G170" s="0" t="n">
        <v>35.8326614709308</v>
      </c>
      <c r="H170" s="0" t="n">
        <v>0</v>
      </c>
      <c r="I170" s="0" t="n">
        <v>0</v>
      </c>
      <c r="J170" s="19" t="n">
        <v>0</v>
      </c>
      <c r="K170" s="19" t="n">
        <v>0</v>
      </c>
      <c r="L170" s="19" t="n">
        <v>1</v>
      </c>
      <c r="M170" s="19" t="n">
        <v>0</v>
      </c>
      <c r="N170" s="19" t="n">
        <v>0</v>
      </c>
      <c r="O170" s="19" t="n">
        <v>0</v>
      </c>
      <c r="P170" s="19" t="n">
        <v>0</v>
      </c>
      <c r="Q170" s="19" t="n">
        <v>0</v>
      </c>
      <c r="R170" s="19" t="n">
        <v>0</v>
      </c>
      <c r="S170" s="19" t="n">
        <v>0</v>
      </c>
      <c r="T170" s="19" t="n">
        <v>0</v>
      </c>
      <c r="U170" s="15" t="n">
        <f aca="false">AVERAGE(M170:T170)</f>
        <v>0</v>
      </c>
      <c r="V170" s="19" t="n">
        <v>1</v>
      </c>
      <c r="W170" s="19" t="n">
        <v>1</v>
      </c>
      <c r="X170" s="19" t="n">
        <v>2</v>
      </c>
      <c r="Y170" s="19" t="n">
        <v>5</v>
      </c>
      <c r="Z170" s="19" t="n">
        <v>1</v>
      </c>
      <c r="AA170" s="19" t="n">
        <v>2</v>
      </c>
      <c r="AB170" s="19"/>
      <c r="AC170" s="19" t="n">
        <v>5</v>
      </c>
      <c r="AD170" s="19" t="n">
        <v>5</v>
      </c>
      <c r="AE170" s="19" t="n">
        <v>5</v>
      </c>
      <c r="AF170" s="19" t="n">
        <v>5</v>
      </c>
      <c r="AG170" s="19" t="n">
        <v>5</v>
      </c>
      <c r="AH170" s="19" t="n">
        <v>5</v>
      </c>
      <c r="AI170" s="19" t="n">
        <v>5</v>
      </c>
      <c r="AJ170" s="19" t="n">
        <v>4</v>
      </c>
      <c r="AK170" s="19" t="n">
        <v>5</v>
      </c>
      <c r="AL170" s="19" t="n">
        <v>5</v>
      </c>
      <c r="AM170" s="19" t="n">
        <v>5</v>
      </c>
      <c r="AN170" s="19" t="n">
        <v>5</v>
      </c>
      <c r="AO170" s="19" t="n">
        <v>10</v>
      </c>
      <c r="AP170" s="0" t="n">
        <v>24.5</v>
      </c>
      <c r="AQ170" s="16" t="n">
        <v>70</v>
      </c>
      <c r="AR170" s="16" t="n">
        <v>80.4</v>
      </c>
      <c r="AS170" s="16" t="n">
        <v>15.5</v>
      </c>
      <c r="AT170" s="0" t="n">
        <v>85.6</v>
      </c>
      <c r="AU170" s="0" t="n">
        <v>0</v>
      </c>
      <c r="AV170" s="0" t="n">
        <v>0</v>
      </c>
      <c r="AW170" s="0" t="n">
        <v>0</v>
      </c>
      <c r="AX170" s="0" t="n">
        <v>14.4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6.46</v>
      </c>
      <c r="BG170" s="0" t="n">
        <v>24.97</v>
      </c>
      <c r="BH170" s="0" t="n">
        <v>15</v>
      </c>
      <c r="BI170" s="0" t="n">
        <v>0</v>
      </c>
      <c r="BJ170" s="0" t="n">
        <v>0</v>
      </c>
      <c r="BK170" s="0" t="n">
        <v>0</v>
      </c>
      <c r="BL170" s="0" t="n">
        <v>3.6</v>
      </c>
      <c r="BM170" s="0" t="n">
        <v>1</v>
      </c>
      <c r="BN170" s="0" t="n">
        <v>1</v>
      </c>
      <c r="BO170" s="16" t="n">
        <v>0.63</v>
      </c>
      <c r="BP170" s="16" t="n">
        <v>1</v>
      </c>
      <c r="BQ170" s="16" t="n">
        <v>3.25</v>
      </c>
      <c r="BR170" s="16" t="n">
        <v>3.26</v>
      </c>
      <c r="BS170" s="16" t="n">
        <v>0</v>
      </c>
      <c r="BT170" s="16" t="n">
        <v>0</v>
      </c>
      <c r="BU170" s="16" t="n">
        <v>0</v>
      </c>
      <c r="BV170" s="0" t="n">
        <v>0</v>
      </c>
    </row>
    <row r="171" customFormat="false" ht="13.8" hidden="false" customHeight="false" outlineLevel="0" collapsed="false">
      <c r="A171" s="0" t="n">
        <v>1</v>
      </c>
      <c r="B171" s="0" t="n">
        <v>36.5913757700205</v>
      </c>
      <c r="C171" s="0" t="n">
        <v>0.287474332648871</v>
      </c>
      <c r="D171" s="0" t="n">
        <v>8</v>
      </c>
      <c r="E171" s="0" t="n">
        <v>82</v>
      </c>
      <c r="F171" s="0" t="n">
        <v>1.53</v>
      </c>
      <c r="G171" s="0" t="n">
        <v>35.0292622495621</v>
      </c>
      <c r="H171" s="0" t="n">
        <v>0</v>
      </c>
      <c r="I171" s="0" t="n">
        <v>0</v>
      </c>
      <c r="J171" s="19" t="n">
        <v>0</v>
      </c>
      <c r="K171" s="19" t="n">
        <v>0</v>
      </c>
      <c r="L171" s="19" t="n">
        <v>1</v>
      </c>
      <c r="M171" s="19" t="n">
        <v>0</v>
      </c>
      <c r="N171" s="19" t="n">
        <v>0</v>
      </c>
      <c r="O171" s="19" t="n">
        <v>0</v>
      </c>
      <c r="P171" s="19" t="n">
        <v>0</v>
      </c>
      <c r="Q171" s="19" t="n">
        <v>0</v>
      </c>
      <c r="R171" s="19" t="n">
        <v>0</v>
      </c>
      <c r="S171" s="19" t="n">
        <v>0</v>
      </c>
      <c r="T171" s="19" t="n">
        <v>0</v>
      </c>
      <c r="U171" s="15" t="n">
        <f aca="false">AVERAGE(M171:T171)</f>
        <v>0</v>
      </c>
      <c r="V171" s="19" t="n">
        <v>1</v>
      </c>
      <c r="W171" s="19" t="n">
        <v>1</v>
      </c>
      <c r="X171" s="19" t="n">
        <v>1</v>
      </c>
      <c r="Y171" s="19" t="n">
        <v>1</v>
      </c>
      <c r="Z171" s="19" t="n">
        <v>1</v>
      </c>
      <c r="AA171" s="19" t="n">
        <v>1</v>
      </c>
      <c r="AB171" s="19" t="n">
        <v>1</v>
      </c>
      <c r="AC171" s="19" t="n">
        <v>5</v>
      </c>
      <c r="AD171" s="19" t="n">
        <v>5</v>
      </c>
      <c r="AE171" s="19" t="n">
        <v>5</v>
      </c>
      <c r="AF171" s="19" t="n">
        <v>5</v>
      </c>
      <c r="AG171" s="19" t="n">
        <v>5</v>
      </c>
      <c r="AH171" s="19" t="n">
        <v>5</v>
      </c>
      <c r="AI171" s="19" t="n">
        <v>5</v>
      </c>
      <c r="AJ171" s="19" t="n">
        <v>5</v>
      </c>
      <c r="AK171" s="19" t="n">
        <v>5</v>
      </c>
      <c r="AL171" s="19" t="n">
        <v>5</v>
      </c>
      <c r="AM171" s="19" t="n">
        <v>5</v>
      </c>
      <c r="AN171" s="19" t="n">
        <v>5</v>
      </c>
      <c r="AO171" s="19" t="n">
        <v>8</v>
      </c>
      <c r="AP171" s="0" t="n">
        <v>21.5</v>
      </c>
      <c r="AQ171" s="16" t="n">
        <v>54.9</v>
      </c>
      <c r="AR171" s="16" t="n">
        <v>80.4</v>
      </c>
      <c r="AS171" s="16" t="n">
        <v>17.9</v>
      </c>
      <c r="AT171" s="0" t="n">
        <v>90.61</v>
      </c>
      <c r="AU171" s="17" t="n">
        <v>0</v>
      </c>
      <c r="AV171" s="0" t="n">
        <v>0</v>
      </c>
      <c r="AW171" s="0" t="n">
        <v>2.45</v>
      </c>
      <c r="AX171" s="0" t="n">
        <v>6.94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12.16</v>
      </c>
      <c r="BF171" s="0" t="n">
        <v>24.45</v>
      </c>
      <c r="BG171" s="0" t="n">
        <v>4.8</v>
      </c>
      <c r="BH171" s="0" t="n">
        <v>5.11</v>
      </c>
      <c r="BI171" s="0" t="n">
        <v>0</v>
      </c>
      <c r="BJ171" s="0" t="n">
        <v>0</v>
      </c>
      <c r="BK171" s="0" t="n">
        <v>0</v>
      </c>
      <c r="BL171" s="0" t="n">
        <v>2.9</v>
      </c>
      <c r="BM171" s="0" t="n">
        <v>1</v>
      </c>
      <c r="BN171" s="0" t="n">
        <v>1</v>
      </c>
      <c r="BO171" s="16" t="n">
        <v>0</v>
      </c>
      <c r="BP171" s="16" t="n">
        <v>0</v>
      </c>
      <c r="BQ171" s="16" t="n">
        <v>0.67</v>
      </c>
      <c r="BR171" s="16" t="n">
        <v>0.65</v>
      </c>
      <c r="BS171" s="16" t="n">
        <v>0</v>
      </c>
      <c r="BT171" s="16" t="n">
        <v>0</v>
      </c>
      <c r="BU171" s="16" t="n">
        <v>0</v>
      </c>
      <c r="BV171" s="0" t="n">
        <v>0</v>
      </c>
    </row>
    <row r="172" customFormat="false" ht="13.8" hidden="false" customHeight="false" outlineLevel="0" collapsed="false">
      <c r="A172" s="0" t="n">
        <v>2</v>
      </c>
      <c r="B172" s="0" t="n">
        <v>30.3956194387406</v>
      </c>
      <c r="C172" s="0" t="n">
        <v>0.229979466119096</v>
      </c>
      <c r="D172" s="0" t="n">
        <v>8</v>
      </c>
      <c r="E172" s="0" t="n">
        <v>88</v>
      </c>
      <c r="F172" s="0" t="n">
        <v>1.73</v>
      </c>
      <c r="G172" s="0" t="n">
        <v>29.4029202445788</v>
      </c>
      <c r="H172" s="0" t="n">
        <v>0</v>
      </c>
      <c r="I172" s="0" t="n">
        <v>0</v>
      </c>
      <c r="J172" s="19" t="n">
        <v>0</v>
      </c>
      <c r="K172" s="19" t="n">
        <v>2</v>
      </c>
      <c r="L172" s="19" t="n">
        <v>0</v>
      </c>
      <c r="M172" s="19" t="n">
        <v>0</v>
      </c>
      <c r="N172" s="19" t="n">
        <v>0</v>
      </c>
      <c r="O172" s="19" t="n">
        <v>0</v>
      </c>
      <c r="P172" s="19" t="n">
        <v>0</v>
      </c>
      <c r="Q172" s="19" t="n">
        <v>2</v>
      </c>
      <c r="R172" s="19" t="n">
        <v>0</v>
      </c>
      <c r="S172" s="19" t="n">
        <v>0</v>
      </c>
      <c r="T172" s="19" t="n">
        <v>0</v>
      </c>
      <c r="U172" s="15" t="n">
        <f aca="false">AVERAGE(M172:T172)</f>
        <v>0.25</v>
      </c>
      <c r="V172" s="19" t="n">
        <v>1</v>
      </c>
      <c r="W172" s="19" t="n">
        <v>2</v>
      </c>
      <c r="X172" s="19"/>
      <c r="Y172" s="19" t="n">
        <v>5</v>
      </c>
      <c r="Z172" s="19" t="n">
        <v>2</v>
      </c>
      <c r="AA172" s="19" t="n">
        <v>1</v>
      </c>
      <c r="AB172" s="19" t="n">
        <v>1</v>
      </c>
      <c r="AC172" s="19" t="n">
        <v>5</v>
      </c>
      <c r="AD172" s="19" t="n">
        <v>5</v>
      </c>
      <c r="AE172" s="19" t="n">
        <v>5</v>
      </c>
      <c r="AF172" s="19" t="n">
        <v>5</v>
      </c>
      <c r="AG172" s="19" t="n">
        <v>5</v>
      </c>
      <c r="AH172" s="19" t="n">
        <v>5</v>
      </c>
      <c r="AI172" s="19" t="n">
        <v>5</v>
      </c>
      <c r="AJ172" s="19" t="n">
        <v>5</v>
      </c>
      <c r="AK172" s="19" t="n">
        <v>5</v>
      </c>
      <c r="AL172" s="19" t="n">
        <v>5</v>
      </c>
      <c r="AM172" s="19" t="n">
        <v>5</v>
      </c>
      <c r="AN172" s="19" t="n">
        <v>5</v>
      </c>
      <c r="AO172" s="19" t="n">
        <v>10</v>
      </c>
      <c r="AP172" s="0" t="n">
        <v>40</v>
      </c>
      <c r="AQ172" s="16" t="n">
        <v>84.1</v>
      </c>
      <c r="AR172" s="16" t="n">
        <v>80.4</v>
      </c>
      <c r="AS172" s="16" t="n">
        <v>35.1</v>
      </c>
      <c r="AT172" s="0" t="n">
        <v>66.11</v>
      </c>
      <c r="AU172" s="17" t="n">
        <v>0</v>
      </c>
      <c r="AV172" s="0" t="n">
        <v>13.11</v>
      </c>
      <c r="AW172" s="0" t="n">
        <v>6.27</v>
      </c>
      <c r="AX172" s="0" t="n">
        <v>8.02</v>
      </c>
      <c r="AY172" s="0" t="n">
        <v>0</v>
      </c>
      <c r="AZ172" s="0" t="n">
        <v>6.47</v>
      </c>
      <c r="BA172" s="0" t="n">
        <v>2.85</v>
      </c>
      <c r="BB172" s="0" t="n">
        <v>3.1</v>
      </c>
      <c r="BC172" s="0" t="n">
        <v>0</v>
      </c>
      <c r="BD172" s="0" t="n">
        <v>0</v>
      </c>
      <c r="BE172" s="0" t="n">
        <v>10.49</v>
      </c>
      <c r="BF172" s="0" t="n">
        <v>26.72</v>
      </c>
      <c r="BG172" s="0" t="n">
        <v>13.38</v>
      </c>
      <c r="BH172" s="0" t="n">
        <v>10.67</v>
      </c>
      <c r="BI172" s="0" t="n">
        <v>0</v>
      </c>
      <c r="BJ172" s="0" t="n">
        <v>0</v>
      </c>
      <c r="BK172" s="0" t="n">
        <v>0</v>
      </c>
      <c r="BL172" s="0" t="n">
        <v>3.9</v>
      </c>
      <c r="BM172" s="0" t="n">
        <v>1</v>
      </c>
      <c r="BN172" s="0" t="n">
        <v>1</v>
      </c>
      <c r="BO172" s="16" t="n">
        <v>0.04</v>
      </c>
      <c r="BP172" s="16" t="n">
        <v>1</v>
      </c>
      <c r="BQ172" s="16" t="n">
        <v>0.03</v>
      </c>
      <c r="BR172" s="16" t="n">
        <v>0.03</v>
      </c>
      <c r="BS172" s="16" t="n">
        <v>0</v>
      </c>
      <c r="BT172" s="16" t="n">
        <v>0</v>
      </c>
      <c r="BU172" s="16" t="n">
        <v>0</v>
      </c>
      <c r="BV172" s="0" t="n">
        <v>0</v>
      </c>
    </row>
    <row r="173" customFormat="false" ht="13.8" hidden="false" customHeight="false" outlineLevel="0" collapsed="false">
      <c r="A173" s="0" t="n">
        <v>1</v>
      </c>
      <c r="B173" s="0" t="n">
        <v>38.2696783025325</v>
      </c>
      <c r="C173" s="0" t="n">
        <v>8.98015058179329</v>
      </c>
      <c r="D173" s="0" t="n">
        <v>8</v>
      </c>
      <c r="E173" s="0" t="n">
        <v>63</v>
      </c>
      <c r="F173" s="0" t="n">
        <v>1.6</v>
      </c>
      <c r="G173" s="0" t="n">
        <v>24.609375</v>
      </c>
      <c r="H173" s="0" t="n">
        <v>0</v>
      </c>
      <c r="I173" s="0" t="n">
        <v>0</v>
      </c>
      <c r="J173" s="19" t="n">
        <v>1</v>
      </c>
      <c r="K173" s="19" t="n">
        <v>0</v>
      </c>
      <c r="L173" s="19" t="n">
        <v>1</v>
      </c>
      <c r="M173" s="19" t="n">
        <v>0</v>
      </c>
      <c r="N173" s="19" t="n">
        <v>7</v>
      </c>
      <c r="O173" s="19" t="n">
        <v>0</v>
      </c>
      <c r="P173" s="19" t="n">
        <v>0</v>
      </c>
      <c r="Q173" s="19" t="n">
        <v>0</v>
      </c>
      <c r="R173" s="19" t="n">
        <v>0</v>
      </c>
      <c r="S173" s="19" t="n">
        <v>0</v>
      </c>
      <c r="T173" s="19" t="n">
        <v>0</v>
      </c>
      <c r="U173" s="15" t="n">
        <f aca="false">AVERAGE(M173:T173)</f>
        <v>0.875</v>
      </c>
      <c r="V173" s="19" t="n">
        <v>1</v>
      </c>
      <c r="W173" s="19" t="n">
        <v>2</v>
      </c>
      <c r="X173" s="19" t="n">
        <v>3</v>
      </c>
      <c r="Y173" s="19" t="n">
        <v>5</v>
      </c>
      <c r="Z173" s="19" t="n">
        <v>3</v>
      </c>
      <c r="AA173" s="19" t="n">
        <v>3</v>
      </c>
      <c r="AB173" s="19" t="n">
        <v>2</v>
      </c>
      <c r="AC173" s="19" t="n">
        <v>3</v>
      </c>
      <c r="AD173" s="19" t="n">
        <v>3</v>
      </c>
      <c r="AE173" s="19" t="n">
        <v>3</v>
      </c>
      <c r="AF173" s="19" t="n">
        <v>4</v>
      </c>
      <c r="AG173" s="19" t="n">
        <v>5</v>
      </c>
      <c r="AH173" s="19" t="n">
        <v>5</v>
      </c>
      <c r="AI173" s="19" t="n">
        <v>5</v>
      </c>
      <c r="AJ173" s="19" t="n">
        <v>5</v>
      </c>
      <c r="AK173" s="19" t="n">
        <v>5</v>
      </c>
      <c r="AL173" s="19" t="n">
        <v>5</v>
      </c>
      <c r="AM173" s="19" t="n">
        <v>5</v>
      </c>
      <c r="AN173" s="19" t="n">
        <v>5</v>
      </c>
      <c r="AO173" s="19" t="n">
        <v>5</v>
      </c>
      <c r="AP173" s="0" t="n">
        <v>21.5</v>
      </c>
      <c r="AQ173" s="16" t="n">
        <v>54.9</v>
      </c>
      <c r="AR173" s="16" t="n">
        <v>80.4</v>
      </c>
      <c r="AS173" s="16" t="n">
        <v>17.9</v>
      </c>
      <c r="AT173" s="0" t="n">
        <v>90.61</v>
      </c>
      <c r="AU173" s="17" t="n">
        <v>0</v>
      </c>
      <c r="AV173" s="0" t="n">
        <v>0</v>
      </c>
      <c r="AW173" s="0" t="n">
        <v>2.45</v>
      </c>
      <c r="AX173" s="0" t="n">
        <v>6.94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12.16</v>
      </c>
      <c r="BF173" s="0" t="n">
        <v>24.45</v>
      </c>
      <c r="BG173" s="0" t="n">
        <v>4.8</v>
      </c>
      <c r="BH173" s="0" t="n">
        <v>5.11</v>
      </c>
      <c r="BI173" s="0" t="n">
        <v>0</v>
      </c>
      <c r="BJ173" s="0" t="n">
        <v>0</v>
      </c>
      <c r="BK173" s="0" t="n">
        <v>0</v>
      </c>
      <c r="BL173" s="0" t="n">
        <v>2.9</v>
      </c>
      <c r="BM173" s="0" t="n">
        <v>1</v>
      </c>
      <c r="BN173" s="0" t="n">
        <v>1</v>
      </c>
      <c r="BO173" s="16" t="n">
        <v>0</v>
      </c>
      <c r="BP173" s="16" t="n">
        <v>0</v>
      </c>
      <c r="BQ173" s="16" t="n">
        <v>0.67</v>
      </c>
      <c r="BR173" s="16" t="n">
        <v>0.65</v>
      </c>
      <c r="BS173" s="16" t="n">
        <v>0</v>
      </c>
      <c r="BT173" s="16" t="n">
        <v>0</v>
      </c>
      <c r="BU173" s="16" t="n">
        <v>0</v>
      </c>
      <c r="BV173" s="0" t="n">
        <v>0</v>
      </c>
    </row>
    <row r="174" customFormat="false" ht="13.8" hidden="false" customHeight="false" outlineLevel="0" collapsed="false">
      <c r="A174" s="0" t="n">
        <v>2</v>
      </c>
      <c r="B174" s="0" t="n">
        <v>31.2197125256673</v>
      </c>
      <c r="C174" s="0" t="n">
        <v>0.2217659137577</v>
      </c>
      <c r="D174" s="0" t="n">
        <v>8</v>
      </c>
      <c r="E174" s="0" t="n">
        <v>90</v>
      </c>
      <c r="F174" s="0" t="n">
        <v>1.83</v>
      </c>
      <c r="G174" s="0" t="n">
        <v>26.8744961031981</v>
      </c>
      <c r="H174" s="0" t="n">
        <v>0</v>
      </c>
      <c r="I174" s="0" t="n">
        <v>0</v>
      </c>
      <c r="J174" s="19" t="n">
        <v>1</v>
      </c>
      <c r="K174" s="19" t="n">
        <v>0</v>
      </c>
      <c r="L174" s="19" t="n">
        <v>1</v>
      </c>
      <c r="M174" s="19" t="n">
        <v>0</v>
      </c>
      <c r="N174" s="19" t="n">
        <v>0</v>
      </c>
      <c r="O174" s="19" t="n">
        <v>0</v>
      </c>
      <c r="P174" s="19" t="n">
        <v>0</v>
      </c>
      <c r="Q174" s="19" t="n">
        <v>0</v>
      </c>
      <c r="R174" s="19" t="n">
        <v>0</v>
      </c>
      <c r="S174" s="19" t="n">
        <v>0</v>
      </c>
      <c r="T174" s="19" t="n">
        <v>0</v>
      </c>
      <c r="U174" s="15" t="n">
        <f aca="false">AVERAGE(M174:T174)</f>
        <v>0</v>
      </c>
      <c r="V174" s="19" t="n">
        <v>2</v>
      </c>
      <c r="W174" s="19" t="n">
        <v>1</v>
      </c>
      <c r="X174" s="19" t="n">
        <v>2</v>
      </c>
      <c r="Y174" s="19" t="n">
        <v>5</v>
      </c>
      <c r="Z174" s="19" t="n">
        <v>3</v>
      </c>
      <c r="AA174" s="19" t="n">
        <v>2</v>
      </c>
      <c r="AB174" s="19" t="n">
        <v>2</v>
      </c>
      <c r="AC174" s="19" t="n">
        <v>3</v>
      </c>
      <c r="AD174" s="19" t="n">
        <v>2</v>
      </c>
      <c r="AE174" s="19" t="n">
        <v>4</v>
      </c>
      <c r="AF174" s="19" t="n">
        <v>4</v>
      </c>
      <c r="AG174" s="19" t="n">
        <v>5</v>
      </c>
      <c r="AH174" s="19" t="n">
        <v>4</v>
      </c>
      <c r="AI174" s="19" t="n">
        <v>4</v>
      </c>
      <c r="AJ174" s="19" t="n">
        <v>3</v>
      </c>
      <c r="AK174" s="19" t="n">
        <v>4</v>
      </c>
      <c r="AL174" s="19" t="n">
        <v>4</v>
      </c>
      <c r="AM174" s="19" t="n">
        <v>5</v>
      </c>
      <c r="AN174" s="19" t="n">
        <v>4</v>
      </c>
      <c r="AO174" s="19" t="n">
        <v>10</v>
      </c>
      <c r="AP174" s="0" t="n">
        <v>31</v>
      </c>
      <c r="AQ174" s="16" t="n">
        <v>80.2</v>
      </c>
      <c r="AR174" s="16" t="n">
        <v>80.4</v>
      </c>
      <c r="AS174" s="16" t="n">
        <v>6.5</v>
      </c>
      <c r="AT174" s="0" t="n">
        <v>99.3</v>
      </c>
      <c r="AU174" s="17" t="n">
        <v>0</v>
      </c>
      <c r="AV174" s="0" t="n">
        <v>0.7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31.92</v>
      </c>
      <c r="BG174" s="0" t="n">
        <v>23.7</v>
      </c>
      <c r="BH174" s="0" t="n">
        <v>1.95</v>
      </c>
      <c r="BI174" s="0" t="n">
        <v>0</v>
      </c>
      <c r="BJ174" s="0" t="n">
        <v>18.7</v>
      </c>
      <c r="BK174" s="0" t="n">
        <v>4</v>
      </c>
      <c r="BL174" s="0" t="n">
        <v>0</v>
      </c>
      <c r="BM174" s="0" t="n">
        <v>0</v>
      </c>
      <c r="BN174" s="0" t="n">
        <v>0</v>
      </c>
      <c r="BO174" s="16" t="n">
        <v>0</v>
      </c>
      <c r="BP174" s="16" t="n">
        <v>0</v>
      </c>
      <c r="BQ174" s="16" t="n">
        <v>5.42</v>
      </c>
      <c r="BR174" s="16" t="n">
        <v>6.61</v>
      </c>
      <c r="BS174" s="16" t="n">
        <v>0</v>
      </c>
      <c r="BT174" s="16" t="n">
        <v>0</v>
      </c>
      <c r="BU174" s="16" t="n">
        <v>0</v>
      </c>
      <c r="BV174" s="0" t="n">
        <v>0</v>
      </c>
    </row>
    <row r="175" customFormat="false" ht="13.8" hidden="false" customHeight="false" outlineLevel="0" collapsed="false">
      <c r="A175" s="0" t="n">
        <v>2</v>
      </c>
      <c r="B175" s="0" t="n">
        <v>37.7960301163587</v>
      </c>
      <c r="C175" s="0" t="n">
        <v>0.249144421629021</v>
      </c>
      <c r="D175" s="0" t="n">
        <v>8</v>
      </c>
      <c r="E175" s="0" t="n">
        <v>76</v>
      </c>
      <c r="F175" s="0" t="n">
        <v>1.76</v>
      </c>
      <c r="G175" s="0" t="n">
        <v>24.5351239669421</v>
      </c>
      <c r="H175" s="0" t="n">
        <v>0</v>
      </c>
      <c r="I175" s="0" t="n">
        <v>0</v>
      </c>
      <c r="J175" s="19" t="n">
        <v>0</v>
      </c>
      <c r="K175" s="19" t="n">
        <v>0</v>
      </c>
      <c r="L175" s="19" t="n">
        <v>1</v>
      </c>
      <c r="M175" s="19"/>
      <c r="N175" s="19" t="n">
        <v>0</v>
      </c>
      <c r="O175" s="19" t="n">
        <v>0</v>
      </c>
      <c r="P175" s="19" t="n">
        <v>0</v>
      </c>
      <c r="Q175" s="19" t="n">
        <v>0</v>
      </c>
      <c r="R175" s="19" t="n">
        <v>0</v>
      </c>
      <c r="S175" s="19" t="n">
        <v>0</v>
      </c>
      <c r="T175" s="19"/>
      <c r="U175" s="15" t="n">
        <f aca="false">AVERAGE(M175:T175)</f>
        <v>0</v>
      </c>
      <c r="V175" s="19" t="n">
        <v>2</v>
      </c>
      <c r="W175" s="19" t="n">
        <v>2</v>
      </c>
      <c r="X175" s="19" t="n">
        <v>3</v>
      </c>
      <c r="Y175" s="19" t="n">
        <v>5</v>
      </c>
      <c r="Z175" s="19" t="n">
        <v>2</v>
      </c>
      <c r="AA175" s="19" t="n">
        <v>3</v>
      </c>
      <c r="AB175" s="19" t="n">
        <v>2</v>
      </c>
      <c r="AC175" s="19" t="n">
        <v>3</v>
      </c>
      <c r="AD175" s="19" t="n">
        <v>3</v>
      </c>
      <c r="AE175" s="19" t="n">
        <v>5</v>
      </c>
      <c r="AF175" s="19" t="n">
        <v>4</v>
      </c>
      <c r="AG175" s="19" t="n">
        <v>5</v>
      </c>
      <c r="AH175" s="19" t="n">
        <v>4</v>
      </c>
      <c r="AI175" s="19" t="n">
        <v>4</v>
      </c>
      <c r="AJ175" s="19" t="n">
        <v>4</v>
      </c>
      <c r="AK175" s="19" t="n">
        <v>4</v>
      </c>
      <c r="AL175" s="19" t="n">
        <v>4</v>
      </c>
      <c r="AM175" s="19" t="n">
        <v>5</v>
      </c>
      <c r="AN175" s="19"/>
      <c r="AO175" s="19" t="n">
        <v>8</v>
      </c>
      <c r="AP175" s="0" t="n">
        <v>21.5</v>
      </c>
      <c r="AQ175" s="16" t="n">
        <v>54.9</v>
      </c>
      <c r="AR175" s="16" t="n">
        <v>80.4</v>
      </c>
      <c r="AS175" s="16" t="n">
        <v>17.9</v>
      </c>
      <c r="AT175" s="0" t="n">
        <v>90.61</v>
      </c>
      <c r="AU175" s="17" t="n">
        <v>0</v>
      </c>
      <c r="AV175" s="0" t="n">
        <v>0</v>
      </c>
      <c r="AW175" s="0" t="n">
        <v>2.45</v>
      </c>
      <c r="AX175" s="0" t="n">
        <v>6.94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12.16</v>
      </c>
      <c r="BF175" s="0" t="n">
        <v>24.45</v>
      </c>
      <c r="BG175" s="0" t="n">
        <v>4.8</v>
      </c>
      <c r="BH175" s="0" t="n">
        <v>5.11</v>
      </c>
      <c r="BI175" s="0" t="n">
        <v>0</v>
      </c>
      <c r="BJ175" s="0" t="n">
        <v>0</v>
      </c>
      <c r="BK175" s="0" t="n">
        <v>0</v>
      </c>
      <c r="BL175" s="0" t="n">
        <v>2.9</v>
      </c>
      <c r="BM175" s="0" t="n">
        <v>1</v>
      </c>
      <c r="BN175" s="0" t="n">
        <v>1</v>
      </c>
      <c r="BO175" s="16" t="n">
        <v>0</v>
      </c>
      <c r="BP175" s="16" t="n">
        <v>0</v>
      </c>
      <c r="BQ175" s="16" t="n">
        <v>0.67</v>
      </c>
      <c r="BR175" s="16" t="n">
        <v>0.65</v>
      </c>
      <c r="BS175" s="16" t="n">
        <v>0</v>
      </c>
      <c r="BT175" s="16" t="n">
        <v>0</v>
      </c>
      <c r="BU175" s="16" t="n">
        <v>0</v>
      </c>
      <c r="BV175" s="0" t="n">
        <v>0</v>
      </c>
    </row>
    <row r="176" customFormat="false" ht="13.8" hidden="false" customHeight="false" outlineLevel="0" collapsed="false">
      <c r="A176" s="24" t="n">
        <v>2</v>
      </c>
      <c r="B176" s="0" t="n">
        <v>47.6221765913758</v>
      </c>
      <c r="C176" s="0" t="n">
        <v>20.1177275838467</v>
      </c>
      <c r="D176" s="0" t="n">
        <v>8</v>
      </c>
      <c r="E176" s="0" t="n">
        <v>73</v>
      </c>
      <c r="F176" s="0" t="n">
        <v>1.74</v>
      </c>
      <c r="G176" s="0" t="n">
        <v>24.1115074646585</v>
      </c>
      <c r="H176" s="0" t="n">
        <v>0</v>
      </c>
      <c r="I176" s="0" t="n">
        <v>0</v>
      </c>
      <c r="J176" s="26" t="n">
        <v>1</v>
      </c>
      <c r="K176" s="19" t="n">
        <v>0</v>
      </c>
      <c r="L176" s="26" t="n">
        <v>1</v>
      </c>
      <c r="M176" s="26" t="n">
        <v>4</v>
      </c>
      <c r="N176" s="26" t="n">
        <v>0</v>
      </c>
      <c r="O176" s="26" t="n">
        <v>0</v>
      </c>
      <c r="P176" s="26" t="n">
        <v>0</v>
      </c>
      <c r="Q176" s="26" t="n">
        <v>3</v>
      </c>
      <c r="R176" s="26" t="n">
        <v>0</v>
      </c>
      <c r="S176" s="26" t="n">
        <v>0</v>
      </c>
      <c r="T176" s="26" t="n">
        <v>5</v>
      </c>
      <c r="U176" s="15" t="n">
        <f aca="false">AVERAGE(M176:T176)</f>
        <v>1.5</v>
      </c>
      <c r="V176" s="26" t="n">
        <v>3</v>
      </c>
      <c r="W176" s="26" t="n">
        <v>1</v>
      </c>
      <c r="X176" s="26" t="n">
        <v>3</v>
      </c>
      <c r="Y176" s="26" t="n">
        <v>5</v>
      </c>
      <c r="Z176" s="26" t="n">
        <v>3</v>
      </c>
      <c r="AA176" s="26" t="n">
        <v>3</v>
      </c>
      <c r="AB176" s="26" t="n">
        <v>5</v>
      </c>
      <c r="AC176" s="26" t="n">
        <v>5</v>
      </c>
      <c r="AD176" s="26" t="n">
        <v>4</v>
      </c>
      <c r="AE176" s="26" t="n">
        <v>3</v>
      </c>
      <c r="AF176" s="26" t="n">
        <v>4</v>
      </c>
      <c r="AG176" s="26" t="n">
        <v>5</v>
      </c>
      <c r="AH176" s="26" t="n">
        <v>3</v>
      </c>
      <c r="AI176" s="26" t="n">
        <v>3</v>
      </c>
      <c r="AJ176" s="26" t="n">
        <v>4</v>
      </c>
      <c r="AK176" s="26" t="n">
        <v>4</v>
      </c>
      <c r="AL176" s="26" t="n">
        <v>4</v>
      </c>
      <c r="AM176" s="26" t="n">
        <v>4</v>
      </c>
      <c r="AN176" s="26" t="n">
        <v>4</v>
      </c>
      <c r="AO176" s="26" t="n">
        <v>10</v>
      </c>
      <c r="AP176" s="24" t="n">
        <v>12.5</v>
      </c>
      <c r="AQ176" s="27" t="n">
        <v>83.2</v>
      </c>
      <c r="AR176" s="27" t="n">
        <v>79.94</v>
      </c>
      <c r="AS176" s="27" t="n">
        <v>9.1</v>
      </c>
      <c r="AT176" s="24" t="n">
        <v>37.83</v>
      </c>
      <c r="AU176" s="24" t="n">
        <v>0</v>
      </c>
      <c r="AV176" s="24" t="n">
        <v>0</v>
      </c>
      <c r="AW176" s="24" t="n">
        <v>0</v>
      </c>
      <c r="AX176" s="24" t="n">
        <v>0</v>
      </c>
      <c r="AY176" s="24" t="n">
        <v>0</v>
      </c>
      <c r="AZ176" s="24" t="n">
        <v>62.17</v>
      </c>
      <c r="BA176" s="24" t="n">
        <v>0</v>
      </c>
      <c r="BB176" s="24" t="n">
        <v>0</v>
      </c>
      <c r="BC176" s="24" t="n">
        <v>0</v>
      </c>
      <c r="BD176" s="24" t="n">
        <v>0</v>
      </c>
      <c r="BE176" s="24" t="n">
        <v>2.25</v>
      </c>
      <c r="BF176" s="24" t="n">
        <v>6.87</v>
      </c>
      <c r="BG176" s="24" t="n">
        <v>22.2</v>
      </c>
      <c r="BH176" s="24" t="n">
        <v>0</v>
      </c>
      <c r="BI176" s="24" t="n">
        <v>0</v>
      </c>
      <c r="BJ176" s="24" t="n">
        <v>0</v>
      </c>
      <c r="BK176" s="24" t="n">
        <v>0</v>
      </c>
      <c r="BL176" s="24" t="n">
        <v>0</v>
      </c>
      <c r="BM176" s="24" t="n">
        <v>0</v>
      </c>
      <c r="BN176" s="24" t="n">
        <v>0</v>
      </c>
      <c r="BO176" s="27" t="n">
        <v>0</v>
      </c>
      <c r="BP176" s="27" t="n">
        <v>0</v>
      </c>
      <c r="BQ176" s="27" t="n">
        <v>0</v>
      </c>
      <c r="BR176" s="27" t="n">
        <v>0</v>
      </c>
      <c r="BS176" s="27" t="n">
        <v>3</v>
      </c>
      <c r="BT176" s="27" t="n">
        <v>0</v>
      </c>
      <c r="BU176" s="27" t="n">
        <v>0</v>
      </c>
      <c r="BV176" s="24" t="n">
        <v>4</v>
      </c>
    </row>
    <row r="177" customFormat="false" ht="13.8" hidden="false" customHeight="false" outlineLevel="0" collapsed="false">
      <c r="A177" s="0" t="n">
        <v>2</v>
      </c>
      <c r="B177" s="0" t="n">
        <v>56.993839835729</v>
      </c>
      <c r="C177" s="0" t="n">
        <v>21.7713894592745</v>
      </c>
      <c r="D177" s="0" t="n">
        <v>8</v>
      </c>
      <c r="E177" s="0" t="n">
        <v>65</v>
      </c>
      <c r="F177" s="0" t="n">
        <v>1.72</v>
      </c>
      <c r="G177" s="0" t="n">
        <v>21.9713358572201</v>
      </c>
      <c r="H177" s="0" t="n">
        <v>0</v>
      </c>
      <c r="I177" s="0" t="n">
        <v>0</v>
      </c>
      <c r="J177" s="19" t="n">
        <v>0</v>
      </c>
      <c r="K177" s="19" t="n">
        <v>0</v>
      </c>
      <c r="L177" s="19" t="n">
        <v>0</v>
      </c>
      <c r="M177" s="19" t="n">
        <v>0</v>
      </c>
      <c r="N177" s="19"/>
      <c r="O177" s="19"/>
      <c r="P177" s="19"/>
      <c r="Q177" s="19" t="n">
        <v>0</v>
      </c>
      <c r="R177" s="19" t="n">
        <v>0</v>
      </c>
      <c r="S177" s="19" t="n">
        <v>0</v>
      </c>
      <c r="T177" s="19" t="n">
        <v>8</v>
      </c>
      <c r="U177" s="15" t="n">
        <f aca="false">AVERAGE(M177:T177)</f>
        <v>1.6</v>
      </c>
      <c r="V177" s="19" t="n">
        <v>1</v>
      </c>
      <c r="W177" s="19" t="n">
        <v>2</v>
      </c>
      <c r="X177" s="19" t="n">
        <v>3</v>
      </c>
      <c r="Y177" s="19" t="n">
        <v>5</v>
      </c>
      <c r="Z177" s="19" t="n">
        <v>4</v>
      </c>
      <c r="AA177" s="19" t="n">
        <v>2</v>
      </c>
      <c r="AB177" s="19" t="n">
        <v>5</v>
      </c>
      <c r="AC177" s="19" t="n">
        <v>4</v>
      </c>
      <c r="AD177" s="19" t="n">
        <v>2</v>
      </c>
      <c r="AE177" s="19" t="n">
        <v>4</v>
      </c>
      <c r="AF177" s="19" t="n">
        <v>5</v>
      </c>
      <c r="AG177" s="19" t="n">
        <v>5</v>
      </c>
      <c r="AH177" s="19" t="n">
        <v>2</v>
      </c>
      <c r="AI177" s="19" t="n">
        <v>3</v>
      </c>
      <c r="AJ177" s="19" t="n">
        <v>3</v>
      </c>
      <c r="AK177" s="19" t="n">
        <v>3</v>
      </c>
      <c r="AL177" s="19" t="n">
        <v>2</v>
      </c>
      <c r="AM177" s="19" t="n">
        <v>4</v>
      </c>
      <c r="AN177" s="19" t="n">
        <v>2</v>
      </c>
      <c r="AO177" s="19" t="n">
        <v>5</v>
      </c>
      <c r="AP177" s="0" t="n">
        <v>8</v>
      </c>
      <c r="AQ177" s="16" t="n">
        <v>55.4</v>
      </c>
      <c r="AR177" s="16" t="n">
        <v>560.98</v>
      </c>
      <c r="AS177" s="16" t="n">
        <v>5.9</v>
      </c>
      <c r="AT177" s="0" t="n">
        <v>5.07</v>
      </c>
      <c r="AU177" s="0" t="n">
        <v>0</v>
      </c>
      <c r="AV177" s="0" t="n">
        <v>0.51</v>
      </c>
      <c r="AW177" s="0" t="n">
        <v>0</v>
      </c>
      <c r="AX177" s="0" t="n">
        <v>2.61</v>
      </c>
      <c r="AY177" s="0" t="n">
        <v>0</v>
      </c>
      <c r="AZ177" s="0" t="n">
        <v>91.79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0.41</v>
      </c>
      <c r="BF177" s="0" t="n">
        <v>3.78</v>
      </c>
      <c r="BG177" s="0" t="n">
        <v>1.66</v>
      </c>
      <c r="BH177" s="0" t="n">
        <v>0.5</v>
      </c>
      <c r="BI177" s="0" t="n">
        <v>0.71</v>
      </c>
      <c r="BJ177" s="0" t="n">
        <v>0</v>
      </c>
      <c r="BK177" s="0" t="n">
        <v>0</v>
      </c>
      <c r="BL177" s="0" t="n">
        <v>0.2</v>
      </c>
      <c r="BM177" s="0" t="n">
        <v>1</v>
      </c>
      <c r="BN177" s="0" t="n">
        <v>0</v>
      </c>
      <c r="BO177" s="16" t="n">
        <v>0.02</v>
      </c>
      <c r="BP177" s="16" t="n">
        <v>1</v>
      </c>
      <c r="BQ177" s="16" t="n">
        <v>1.21</v>
      </c>
      <c r="BR177" s="16" t="n">
        <v>1.2</v>
      </c>
      <c r="BS177" s="16" t="n">
        <v>0.53</v>
      </c>
      <c r="BT177" s="16" t="n">
        <v>0.45</v>
      </c>
      <c r="BU177" s="16" t="n">
        <v>0</v>
      </c>
      <c r="BV177" s="0" t="n">
        <v>0</v>
      </c>
    </row>
    <row r="178" customFormat="false" ht="13.8" hidden="false" customHeight="false" outlineLevel="0" collapsed="false">
      <c r="A178" s="24" t="n">
        <v>2</v>
      </c>
      <c r="B178" s="0" t="n">
        <v>43.6112251882272</v>
      </c>
      <c r="C178" s="0" t="n">
        <v>22.2368240930869</v>
      </c>
      <c r="D178" s="0" t="n">
        <v>8</v>
      </c>
      <c r="E178" s="0" t="n">
        <v>80</v>
      </c>
      <c r="F178" s="0" t="n">
        <v>1.75</v>
      </c>
      <c r="G178" s="0" t="n">
        <v>26.1224489795918</v>
      </c>
      <c r="H178" s="0" t="n">
        <v>0</v>
      </c>
      <c r="I178" s="0" t="n">
        <v>0</v>
      </c>
      <c r="J178" s="26" t="n">
        <v>0</v>
      </c>
      <c r="K178" s="19" t="n">
        <v>0</v>
      </c>
      <c r="L178" s="26" t="n">
        <v>1</v>
      </c>
      <c r="M178" s="26" t="n">
        <v>0</v>
      </c>
      <c r="N178" s="26" t="n">
        <v>7</v>
      </c>
      <c r="O178" s="26"/>
      <c r="P178" s="26"/>
      <c r="Q178" s="26" t="n">
        <v>0</v>
      </c>
      <c r="R178" s="26" t="n">
        <v>0</v>
      </c>
      <c r="S178" s="26" t="n">
        <v>0</v>
      </c>
      <c r="T178" s="26" t="n">
        <v>0</v>
      </c>
      <c r="U178" s="15" t="n">
        <f aca="false">AVERAGE(M178:T178)</f>
        <v>1.16666666666667</v>
      </c>
      <c r="V178" s="26" t="n">
        <v>3</v>
      </c>
      <c r="W178" s="26" t="n">
        <v>3</v>
      </c>
      <c r="X178" s="26" t="n">
        <v>2</v>
      </c>
      <c r="Y178" s="26" t="n">
        <v>4</v>
      </c>
      <c r="Z178" s="26" t="n">
        <v>3</v>
      </c>
      <c r="AA178" s="26" t="n">
        <v>2</v>
      </c>
      <c r="AB178" s="26" t="n">
        <v>4</v>
      </c>
      <c r="AC178" s="26" t="n">
        <v>3</v>
      </c>
      <c r="AD178" s="26" t="n">
        <v>4</v>
      </c>
      <c r="AE178" s="26" t="n">
        <v>2</v>
      </c>
      <c r="AF178" s="26" t="n">
        <v>4</v>
      </c>
      <c r="AG178" s="26" t="n">
        <v>5</v>
      </c>
      <c r="AH178" s="26" t="n">
        <v>4</v>
      </c>
      <c r="AI178" s="26" t="n">
        <v>3</v>
      </c>
      <c r="AJ178" s="26" t="n">
        <v>3</v>
      </c>
      <c r="AK178" s="26" t="n">
        <v>4</v>
      </c>
      <c r="AL178" s="26" t="n">
        <v>3</v>
      </c>
      <c r="AM178" s="26" t="n">
        <v>3</v>
      </c>
      <c r="AN178" s="26" t="n">
        <v>3</v>
      </c>
      <c r="AO178" s="26" t="n">
        <v>9</v>
      </c>
      <c r="AP178" s="24" t="n">
        <v>12.5</v>
      </c>
      <c r="AQ178" s="27" t="n">
        <v>83.2</v>
      </c>
      <c r="AR178" s="27" t="n">
        <v>79.94</v>
      </c>
      <c r="AS178" s="27" t="n">
        <v>9.1</v>
      </c>
      <c r="AT178" s="24" t="n">
        <v>37.83</v>
      </c>
      <c r="AU178" s="24" t="n">
        <v>0</v>
      </c>
      <c r="AV178" s="24" t="n">
        <v>0</v>
      </c>
      <c r="AW178" s="24" t="n">
        <v>0</v>
      </c>
      <c r="AX178" s="24" t="n">
        <v>0</v>
      </c>
      <c r="AY178" s="24" t="n">
        <v>0</v>
      </c>
      <c r="AZ178" s="24" t="n">
        <v>62.17</v>
      </c>
      <c r="BA178" s="24" t="n">
        <v>0</v>
      </c>
      <c r="BB178" s="24" t="n">
        <v>0</v>
      </c>
      <c r="BC178" s="24" t="n">
        <v>0</v>
      </c>
      <c r="BD178" s="24" t="n">
        <v>0</v>
      </c>
      <c r="BE178" s="24" t="n">
        <v>2.25</v>
      </c>
      <c r="BF178" s="24" t="n">
        <v>6.87</v>
      </c>
      <c r="BG178" s="24" t="n">
        <v>22.2</v>
      </c>
      <c r="BH178" s="24" t="n">
        <v>0</v>
      </c>
      <c r="BI178" s="24" t="n">
        <v>0</v>
      </c>
      <c r="BJ178" s="24" t="n">
        <v>0</v>
      </c>
      <c r="BK178" s="24" t="n">
        <v>0</v>
      </c>
      <c r="BL178" s="24" t="n">
        <v>0</v>
      </c>
      <c r="BM178" s="24" t="n">
        <v>0</v>
      </c>
      <c r="BN178" s="24" t="n">
        <v>0</v>
      </c>
      <c r="BO178" s="27" t="n">
        <v>0</v>
      </c>
      <c r="BP178" s="27" t="n">
        <v>0</v>
      </c>
      <c r="BQ178" s="27" t="n">
        <v>0</v>
      </c>
      <c r="BR178" s="27" t="n">
        <v>0</v>
      </c>
      <c r="BS178" s="27" t="n">
        <v>3</v>
      </c>
      <c r="BT178" s="27" t="n">
        <v>0</v>
      </c>
      <c r="BU178" s="27" t="n">
        <v>0</v>
      </c>
      <c r="BV178" s="24" t="n">
        <v>4</v>
      </c>
    </row>
    <row r="179" customFormat="false" ht="13.8" hidden="false" customHeight="false" outlineLevel="0" collapsed="false">
      <c r="A179" s="24" t="n">
        <v>1</v>
      </c>
      <c r="B179" s="0" t="n">
        <v>40.0766598220397</v>
      </c>
      <c r="C179" s="0" t="n">
        <v>6.55441478439425</v>
      </c>
      <c r="D179" s="0" t="n">
        <v>8</v>
      </c>
      <c r="F179" s="0" t="n">
        <v>1.56</v>
      </c>
      <c r="G179" s="0" t="n">
        <v>0</v>
      </c>
      <c r="H179" s="0" t="n">
        <v>1</v>
      </c>
      <c r="I179" s="0" t="n">
        <v>1</v>
      </c>
      <c r="J179" s="26" t="n">
        <v>0</v>
      </c>
      <c r="K179" s="19" t="n">
        <v>0</v>
      </c>
      <c r="L179" s="26" t="n">
        <v>0</v>
      </c>
      <c r="M179" s="26" t="n">
        <v>0</v>
      </c>
      <c r="N179" s="26" t="n">
        <v>4</v>
      </c>
      <c r="O179" s="26" t="n">
        <v>3</v>
      </c>
      <c r="P179" s="26" t="n">
        <v>3</v>
      </c>
      <c r="Q179" s="26" t="n">
        <v>0</v>
      </c>
      <c r="R179" s="26" t="n">
        <v>0</v>
      </c>
      <c r="S179" s="26" t="n">
        <v>0</v>
      </c>
      <c r="T179" s="26" t="n">
        <v>0</v>
      </c>
      <c r="U179" s="15" t="n">
        <f aca="false">AVERAGE(M179:T179)</f>
        <v>1.25</v>
      </c>
      <c r="V179" s="26" t="n">
        <v>1</v>
      </c>
      <c r="W179" s="26" t="n">
        <v>1</v>
      </c>
      <c r="X179" s="26" t="n">
        <v>1</v>
      </c>
      <c r="Y179" s="26" t="n">
        <v>5</v>
      </c>
      <c r="Z179" s="26" t="n">
        <v>3</v>
      </c>
      <c r="AA179" s="26" t="n">
        <v>2</v>
      </c>
      <c r="AB179" s="26" t="n">
        <v>2</v>
      </c>
      <c r="AC179" s="26" t="n">
        <v>5</v>
      </c>
      <c r="AD179" s="26" t="n">
        <v>5</v>
      </c>
      <c r="AE179" s="26" t="n">
        <v>5</v>
      </c>
      <c r="AF179" s="26" t="n">
        <v>5</v>
      </c>
      <c r="AG179" s="26" t="n">
        <v>5</v>
      </c>
      <c r="AH179" s="26" t="n">
        <v>5</v>
      </c>
      <c r="AI179" s="26" t="n">
        <v>5</v>
      </c>
      <c r="AJ179" s="26" t="n">
        <v>5</v>
      </c>
      <c r="AK179" s="26" t="n">
        <v>5</v>
      </c>
      <c r="AL179" s="26" t="n">
        <v>5</v>
      </c>
      <c r="AM179" s="26" t="n">
        <v>5</v>
      </c>
      <c r="AN179" s="26" t="n">
        <v>5</v>
      </c>
      <c r="AO179" s="26" t="n">
        <v>9</v>
      </c>
      <c r="AP179" s="0" t="n">
        <v>35.5</v>
      </c>
      <c r="AQ179" s="16" t="n">
        <v>93.5</v>
      </c>
      <c r="AR179" s="16" t="n">
        <v>83.4</v>
      </c>
      <c r="AS179" s="16" t="n">
        <v>18.2</v>
      </c>
      <c r="AT179" s="0" t="n">
        <v>81.82</v>
      </c>
      <c r="AU179" s="0" t="n">
        <v>0</v>
      </c>
      <c r="AV179" s="0" t="n">
        <v>0</v>
      </c>
      <c r="AW179" s="0" t="n">
        <v>0</v>
      </c>
      <c r="AX179" s="0" t="n">
        <v>18.18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37.1</v>
      </c>
      <c r="BF179" s="0" t="n">
        <v>47.46</v>
      </c>
      <c r="BG179" s="0" t="n">
        <v>20.37</v>
      </c>
      <c r="BH179" s="0" t="n">
        <v>3.52</v>
      </c>
      <c r="BI179" s="0" t="n">
        <v>0</v>
      </c>
      <c r="BJ179" s="0" t="n">
        <v>0</v>
      </c>
      <c r="BK179" s="0" t="n">
        <v>0</v>
      </c>
      <c r="BL179" s="0" t="n">
        <v>8.4</v>
      </c>
      <c r="BM179" s="0" t="n">
        <v>0</v>
      </c>
      <c r="BN179" s="0" t="n">
        <v>1</v>
      </c>
      <c r="BO179" s="16" t="n">
        <v>1.69</v>
      </c>
      <c r="BP179" s="16" t="n">
        <v>1</v>
      </c>
      <c r="BQ179" s="16" t="n">
        <v>3.24</v>
      </c>
      <c r="BR179" s="16" t="n">
        <v>2.54</v>
      </c>
      <c r="BS179" s="16" t="n">
        <v>3.6</v>
      </c>
      <c r="BT179" s="16" t="n">
        <v>8.8</v>
      </c>
      <c r="BU179" s="16" t="n">
        <v>0</v>
      </c>
      <c r="BV179" s="0" t="n">
        <v>0</v>
      </c>
    </row>
    <row r="180" customFormat="false" ht="13.8" hidden="false" customHeight="false" outlineLevel="0" collapsed="false">
      <c r="A180" s="24" t="n">
        <v>1</v>
      </c>
      <c r="B180" s="0" t="n">
        <v>24.3778234086242</v>
      </c>
      <c r="C180" s="0" t="n">
        <v>0.355920602327173</v>
      </c>
      <c r="D180" s="0" t="n">
        <v>8</v>
      </c>
      <c r="E180" s="0" t="n">
        <v>62</v>
      </c>
      <c r="F180" s="0" t="n">
        <v>1.8</v>
      </c>
      <c r="G180" s="0" t="n">
        <v>19.1358024691358</v>
      </c>
      <c r="H180" s="0" t="n">
        <v>0</v>
      </c>
      <c r="I180" s="0" t="n">
        <v>0</v>
      </c>
      <c r="J180" s="26" t="n">
        <v>0</v>
      </c>
      <c r="K180" s="26" t="n">
        <v>1</v>
      </c>
      <c r="L180" s="26" t="n">
        <v>1</v>
      </c>
      <c r="M180" s="26" t="n">
        <v>0</v>
      </c>
      <c r="N180" s="26" t="n">
        <v>0</v>
      </c>
      <c r="O180" s="26" t="n">
        <v>0</v>
      </c>
      <c r="P180" s="26" t="n">
        <v>0</v>
      </c>
      <c r="Q180" s="26" t="n">
        <v>0</v>
      </c>
      <c r="R180" s="26" t="n">
        <v>0</v>
      </c>
      <c r="S180" s="26" t="n">
        <v>0</v>
      </c>
      <c r="T180" s="26" t="n">
        <v>0</v>
      </c>
      <c r="U180" s="15" t="n">
        <f aca="false">AVERAGE(M180:T180)</f>
        <v>0</v>
      </c>
      <c r="V180" s="26" t="n">
        <v>2</v>
      </c>
      <c r="W180" s="26" t="n">
        <v>2</v>
      </c>
      <c r="X180" s="26" t="n">
        <v>2</v>
      </c>
      <c r="Y180" s="26" t="n">
        <v>5</v>
      </c>
      <c r="Z180" s="26" t="n">
        <v>2</v>
      </c>
      <c r="AA180" s="26" t="n">
        <v>2</v>
      </c>
      <c r="AB180" s="26" t="n">
        <v>3</v>
      </c>
      <c r="AC180" s="26" t="n">
        <v>5</v>
      </c>
      <c r="AD180" s="26" t="n">
        <v>5</v>
      </c>
      <c r="AE180" s="26" t="n">
        <v>5</v>
      </c>
      <c r="AF180" s="26" t="n">
        <v>5</v>
      </c>
      <c r="AG180" s="26" t="n">
        <v>5</v>
      </c>
      <c r="AH180" s="26" t="n">
        <v>5</v>
      </c>
      <c r="AI180" s="26" t="n">
        <v>5</v>
      </c>
      <c r="AJ180" s="26" t="n">
        <v>5</v>
      </c>
      <c r="AK180" s="26" t="n">
        <v>5</v>
      </c>
      <c r="AL180" s="26" t="n">
        <v>5</v>
      </c>
      <c r="AM180" s="26" t="n">
        <v>5</v>
      </c>
      <c r="AN180" s="26" t="n">
        <v>5</v>
      </c>
      <c r="AO180" s="26" t="n">
        <v>10</v>
      </c>
      <c r="AP180" s="24" t="n">
        <v>35.5</v>
      </c>
      <c r="AQ180" s="27" t="n">
        <v>93.5</v>
      </c>
      <c r="AR180" s="27" t="n">
        <v>83.4</v>
      </c>
      <c r="AS180" s="27" t="n">
        <v>18.2</v>
      </c>
      <c r="AT180" s="24" t="n">
        <v>81.82</v>
      </c>
      <c r="AU180" s="24" t="n">
        <v>0</v>
      </c>
      <c r="AV180" s="24" t="n">
        <v>0</v>
      </c>
      <c r="AW180" s="24" t="n">
        <v>0</v>
      </c>
      <c r="AX180" s="24" t="n">
        <v>18.18</v>
      </c>
      <c r="AY180" s="24" t="n">
        <v>0</v>
      </c>
      <c r="AZ180" s="24" t="n">
        <v>0</v>
      </c>
      <c r="BA180" s="24" t="n">
        <v>0</v>
      </c>
      <c r="BB180" s="24" t="n">
        <v>0</v>
      </c>
      <c r="BC180" s="24" t="n">
        <v>0</v>
      </c>
      <c r="BD180" s="24" t="n">
        <v>0</v>
      </c>
      <c r="BE180" s="24" t="n">
        <v>37.1</v>
      </c>
      <c r="BF180" s="24" t="n">
        <v>47.46</v>
      </c>
      <c r="BG180" s="24" t="n">
        <v>20.37</v>
      </c>
      <c r="BH180" s="24" t="n">
        <v>3.52</v>
      </c>
      <c r="BI180" s="24" t="n">
        <v>0</v>
      </c>
      <c r="BJ180" s="24" t="n">
        <v>0</v>
      </c>
      <c r="BK180" s="24" t="n">
        <v>0</v>
      </c>
      <c r="BL180" s="24" t="n">
        <v>8.4</v>
      </c>
      <c r="BM180" s="24" t="n">
        <v>0</v>
      </c>
      <c r="BN180" s="24" t="n">
        <v>1</v>
      </c>
      <c r="BO180" s="27" t="n">
        <v>1.69</v>
      </c>
      <c r="BP180" s="27" t="n">
        <v>1</v>
      </c>
      <c r="BQ180" s="27" t="n">
        <v>3.24</v>
      </c>
      <c r="BR180" s="27" t="n">
        <v>2.54</v>
      </c>
      <c r="BS180" s="27" t="n">
        <v>3.6</v>
      </c>
      <c r="BT180" s="27" t="n">
        <v>8.8</v>
      </c>
      <c r="BU180" s="27" t="n">
        <v>0</v>
      </c>
      <c r="BV180" s="24" t="n">
        <v>0</v>
      </c>
    </row>
    <row r="181" customFormat="false" ht="13.8" hidden="false" customHeight="false" outlineLevel="0" collapsed="false">
      <c r="A181" s="24" t="n">
        <v>1</v>
      </c>
      <c r="B181" s="0" t="n">
        <v>31.9096509240246</v>
      </c>
      <c r="C181" s="0" t="n">
        <v>0.290212183436003</v>
      </c>
      <c r="D181" s="0" t="n">
        <v>8</v>
      </c>
      <c r="E181" s="0" t="n">
        <v>54</v>
      </c>
      <c r="F181" s="0" t="n">
        <v>1.6</v>
      </c>
      <c r="G181" s="0" t="n">
        <v>21.09375</v>
      </c>
      <c r="H181" s="0" t="n">
        <v>1</v>
      </c>
      <c r="J181" s="26" t="n">
        <v>0</v>
      </c>
      <c r="K181" s="26" t="n">
        <v>1</v>
      </c>
      <c r="L181" s="26" t="n">
        <v>1</v>
      </c>
      <c r="M181" s="26" t="n">
        <v>0</v>
      </c>
      <c r="N181" s="26"/>
      <c r="O181" s="26" t="n">
        <v>0</v>
      </c>
      <c r="P181" s="26" t="n">
        <v>0</v>
      </c>
      <c r="Q181" s="26" t="n">
        <v>4</v>
      </c>
      <c r="R181" s="26" t="n">
        <v>4</v>
      </c>
      <c r="S181" s="26" t="n">
        <v>0</v>
      </c>
      <c r="T181" s="26" t="n">
        <v>0</v>
      </c>
      <c r="U181" s="15" t="n">
        <f aca="false">AVERAGE(M181:T181)</f>
        <v>1.14285714285714</v>
      </c>
      <c r="V181" s="26" t="n">
        <v>2</v>
      </c>
      <c r="W181" s="26" t="n">
        <v>2</v>
      </c>
      <c r="X181" s="26" t="n">
        <v>2</v>
      </c>
      <c r="Y181" s="26" t="n">
        <v>4</v>
      </c>
      <c r="Z181" s="26" t="n">
        <v>1</v>
      </c>
      <c r="AA181" s="26" t="n">
        <v>1</v>
      </c>
      <c r="AB181" s="26" t="n">
        <v>4</v>
      </c>
      <c r="AC181" s="26" t="n">
        <v>3</v>
      </c>
      <c r="AD181" s="26" t="n">
        <v>4</v>
      </c>
      <c r="AE181" s="26" t="n">
        <v>3</v>
      </c>
      <c r="AF181" s="26" t="n">
        <v>5</v>
      </c>
      <c r="AG181" s="26" t="n">
        <v>5</v>
      </c>
      <c r="AH181" s="26" t="n">
        <v>3</v>
      </c>
      <c r="AI181" s="26" t="n">
        <v>5</v>
      </c>
      <c r="AJ181" s="26" t="n">
        <v>5</v>
      </c>
      <c r="AK181" s="26" t="n">
        <v>5</v>
      </c>
      <c r="AL181" s="26" t="n">
        <v>5</v>
      </c>
      <c r="AM181" s="26" t="n">
        <v>5</v>
      </c>
      <c r="AN181" s="26" t="n">
        <v>5</v>
      </c>
      <c r="AO181" s="26" t="n">
        <v>9</v>
      </c>
      <c r="AP181" s="24" t="n">
        <v>29</v>
      </c>
      <c r="AQ181" s="27" t="n">
        <v>86.2</v>
      </c>
      <c r="AR181" s="27" t="n">
        <v>83.4</v>
      </c>
      <c r="AS181" s="27" t="n">
        <v>15.4</v>
      </c>
      <c r="AT181" s="24" t="n">
        <v>87</v>
      </c>
      <c r="AU181" s="24" t="n">
        <v>0</v>
      </c>
      <c r="AV181" s="24" t="n">
        <v>0</v>
      </c>
      <c r="AW181" s="24" t="n">
        <v>0</v>
      </c>
      <c r="AX181" s="24" t="n">
        <v>13</v>
      </c>
      <c r="AY181" s="24" t="n">
        <v>0</v>
      </c>
      <c r="AZ181" s="24" t="n">
        <v>0</v>
      </c>
      <c r="BA181" s="24" t="n">
        <v>0</v>
      </c>
      <c r="BB181" s="24" t="n">
        <v>0</v>
      </c>
      <c r="BC181" s="24" t="n">
        <v>0</v>
      </c>
      <c r="BD181" s="24" t="n">
        <v>0</v>
      </c>
      <c r="BE181" s="24" t="n">
        <v>37.36</v>
      </c>
      <c r="BF181" s="24" t="n">
        <v>46.33</v>
      </c>
      <c r="BG181" s="24" t="n">
        <v>18.45</v>
      </c>
      <c r="BH181" s="24" t="n">
        <v>0</v>
      </c>
      <c r="BI181" s="24" t="n">
        <v>0</v>
      </c>
      <c r="BJ181" s="24" t="n">
        <v>0</v>
      </c>
      <c r="BK181" s="24" t="n">
        <v>0</v>
      </c>
      <c r="BL181" s="24" t="n">
        <v>8.3</v>
      </c>
      <c r="BM181" s="24" t="n">
        <v>0</v>
      </c>
      <c r="BN181" s="24" t="n">
        <v>1</v>
      </c>
      <c r="BO181" s="27" t="n">
        <v>1.8</v>
      </c>
      <c r="BP181" s="27" t="n">
        <v>1</v>
      </c>
      <c r="BQ181" s="27" t="n">
        <v>0.54</v>
      </c>
      <c r="BR181" s="27" t="n">
        <v>0.13</v>
      </c>
      <c r="BS181" s="27" t="n">
        <v>2.88</v>
      </c>
      <c r="BT181" s="27" t="n">
        <v>6.91</v>
      </c>
      <c r="BU181" s="27" t="n">
        <v>0</v>
      </c>
      <c r="BV181" s="24" t="n">
        <v>0</v>
      </c>
    </row>
    <row r="182" customFormat="false" ht="13.8" hidden="false" customHeight="false" outlineLevel="0" collapsed="false">
      <c r="A182" s="0" t="n">
        <v>2</v>
      </c>
      <c r="B182" s="0" t="n">
        <v>47.8275154004107</v>
      </c>
      <c r="C182" s="0" t="n">
        <v>22.590006844627</v>
      </c>
      <c r="D182" s="0" t="n">
        <v>8</v>
      </c>
      <c r="E182" s="0" t="n">
        <v>70</v>
      </c>
      <c r="F182" s="0" t="n">
        <v>1.7</v>
      </c>
      <c r="G182" s="0" t="n">
        <v>24.2214532871972</v>
      </c>
      <c r="H182" s="0" t="n">
        <v>1</v>
      </c>
      <c r="I182" s="0" t="n">
        <v>1</v>
      </c>
      <c r="J182" s="19" t="n">
        <v>0</v>
      </c>
      <c r="K182" s="19" t="n">
        <v>2</v>
      </c>
      <c r="L182" s="19" t="n">
        <v>0</v>
      </c>
      <c r="M182" s="19" t="n">
        <v>0</v>
      </c>
      <c r="N182" s="19" t="n">
        <v>7</v>
      </c>
      <c r="O182" s="19" t="n">
        <v>5</v>
      </c>
      <c r="P182" s="19" t="n">
        <v>5</v>
      </c>
      <c r="Q182" s="19" t="n">
        <v>5</v>
      </c>
      <c r="R182" s="19" t="n">
        <v>0</v>
      </c>
      <c r="S182" s="19" t="n">
        <v>0</v>
      </c>
      <c r="T182" s="19" t="n">
        <v>7</v>
      </c>
      <c r="U182" s="15" t="n">
        <f aca="false">AVERAGE(M182:T182)</f>
        <v>3.625</v>
      </c>
      <c r="V182" s="19" t="n">
        <v>4</v>
      </c>
      <c r="W182" s="19" t="n">
        <v>3</v>
      </c>
      <c r="X182" s="19" t="n">
        <v>5</v>
      </c>
      <c r="Y182" s="19" t="n">
        <v>5</v>
      </c>
      <c r="Z182" s="19" t="n">
        <v>4</v>
      </c>
      <c r="AA182" s="19" t="n">
        <v>4</v>
      </c>
      <c r="AB182" s="19" t="n">
        <v>5</v>
      </c>
      <c r="AC182" s="19" t="n">
        <v>5</v>
      </c>
      <c r="AD182" s="19" t="n">
        <v>4</v>
      </c>
      <c r="AE182" s="19" t="n">
        <v>3</v>
      </c>
      <c r="AF182" s="19" t="n">
        <v>3</v>
      </c>
      <c r="AG182" s="19" t="n">
        <v>4</v>
      </c>
      <c r="AH182" s="19" t="n">
        <v>1</v>
      </c>
      <c r="AI182" s="19" t="n">
        <v>3</v>
      </c>
      <c r="AJ182" s="19" t="n">
        <v>5</v>
      </c>
      <c r="AK182" s="19" t="n">
        <v>5</v>
      </c>
      <c r="AL182" s="19" t="n">
        <v>5</v>
      </c>
      <c r="AM182" s="19" t="n">
        <v>4</v>
      </c>
      <c r="AN182" s="19" t="n">
        <v>3</v>
      </c>
      <c r="AO182" s="19" t="n">
        <v>8</v>
      </c>
      <c r="AP182" s="0" t="n">
        <v>35.5</v>
      </c>
      <c r="AQ182" s="16" t="n">
        <v>93.5</v>
      </c>
      <c r="AR182" s="16" t="n">
        <v>83.4</v>
      </c>
      <c r="AS182" s="16" t="n">
        <v>18.2</v>
      </c>
      <c r="AT182" s="0" t="n">
        <v>81.82</v>
      </c>
      <c r="AU182" s="0" t="n">
        <v>0</v>
      </c>
      <c r="AV182" s="0" t="n">
        <v>0</v>
      </c>
      <c r="AW182" s="0" t="n">
        <v>0</v>
      </c>
      <c r="AX182" s="0" t="n">
        <v>18.18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37.1</v>
      </c>
      <c r="BF182" s="0" t="n">
        <v>47.46</v>
      </c>
      <c r="BG182" s="0" t="n">
        <v>20.37</v>
      </c>
      <c r="BH182" s="0" t="n">
        <v>3.52</v>
      </c>
      <c r="BI182" s="0" t="n">
        <v>0</v>
      </c>
      <c r="BJ182" s="0" t="n">
        <v>0</v>
      </c>
      <c r="BK182" s="0" t="n">
        <v>0</v>
      </c>
      <c r="BL182" s="0" t="n">
        <v>8.4</v>
      </c>
      <c r="BM182" s="0" t="n">
        <v>0</v>
      </c>
      <c r="BN182" s="0" t="n">
        <v>1</v>
      </c>
      <c r="BO182" s="16" t="n">
        <v>1.69</v>
      </c>
      <c r="BP182" s="16" t="n">
        <v>1</v>
      </c>
      <c r="BQ182" s="16" t="n">
        <v>3.24</v>
      </c>
      <c r="BR182" s="16" t="n">
        <v>2.54</v>
      </c>
      <c r="BS182" s="16" t="n">
        <v>3.6</v>
      </c>
      <c r="BT182" s="16" t="n">
        <v>8.8</v>
      </c>
      <c r="BU182" s="16" t="n">
        <v>0</v>
      </c>
      <c r="BV182" s="0" t="n">
        <v>0</v>
      </c>
    </row>
    <row r="183" customFormat="false" ht="13.8" hidden="false" customHeight="false" outlineLevel="0" collapsed="false">
      <c r="A183" s="0" t="n">
        <v>2</v>
      </c>
      <c r="B183" s="0" t="n">
        <v>30.2313483915127</v>
      </c>
      <c r="C183" s="0" t="n">
        <v>7.13483915126626</v>
      </c>
      <c r="D183" s="0" t="n">
        <v>8</v>
      </c>
      <c r="E183" s="0" t="n">
        <v>80</v>
      </c>
      <c r="F183" s="0" t="n">
        <v>1.73</v>
      </c>
      <c r="G183" s="0" t="n">
        <v>26.7299274950717</v>
      </c>
      <c r="H183" s="0" t="n">
        <v>0</v>
      </c>
      <c r="I183" s="0" t="n">
        <v>0</v>
      </c>
      <c r="J183" s="19" t="n">
        <v>0</v>
      </c>
      <c r="K183" s="19" t="n">
        <v>1</v>
      </c>
      <c r="L183" s="19" t="n">
        <v>1</v>
      </c>
      <c r="M183" s="19" t="n">
        <v>0</v>
      </c>
      <c r="N183" s="19"/>
      <c r="O183" s="19"/>
      <c r="P183" s="19"/>
      <c r="Q183" s="19" t="n">
        <v>8</v>
      </c>
      <c r="R183" s="19" t="n">
        <v>0</v>
      </c>
      <c r="S183" s="19" t="n">
        <v>0</v>
      </c>
      <c r="T183" s="19" t="n">
        <v>0</v>
      </c>
      <c r="U183" s="15" t="n">
        <f aca="false">AVERAGE(M183:T183)</f>
        <v>1.6</v>
      </c>
      <c r="V183" s="19" t="n">
        <v>4</v>
      </c>
      <c r="W183" s="19" t="n">
        <v>3</v>
      </c>
      <c r="X183" s="19" t="n">
        <v>5</v>
      </c>
      <c r="Y183" s="19" t="n">
        <v>5</v>
      </c>
      <c r="Z183" s="19" t="n">
        <v>4</v>
      </c>
      <c r="AA183" s="19" t="n">
        <v>5</v>
      </c>
      <c r="AB183" s="19" t="n">
        <v>4</v>
      </c>
      <c r="AC183" s="19" t="n">
        <v>4</v>
      </c>
      <c r="AD183" s="19" t="n">
        <v>1</v>
      </c>
      <c r="AE183" s="19" t="n">
        <v>1</v>
      </c>
      <c r="AF183" s="19" t="n">
        <v>3</v>
      </c>
      <c r="AG183" s="19" t="n">
        <v>5</v>
      </c>
      <c r="AH183" s="19" t="n">
        <v>3</v>
      </c>
      <c r="AI183" s="19" t="n">
        <v>3</v>
      </c>
      <c r="AJ183" s="19" t="n">
        <v>3</v>
      </c>
      <c r="AK183" s="19" t="n">
        <v>5</v>
      </c>
      <c r="AL183" s="19" t="n">
        <v>2</v>
      </c>
      <c r="AM183" s="19" t="n">
        <v>3</v>
      </c>
      <c r="AN183" s="19" t="n">
        <v>2</v>
      </c>
      <c r="AO183" s="19" t="n">
        <v>8</v>
      </c>
      <c r="AP183" s="0" t="n">
        <v>35.5</v>
      </c>
      <c r="AQ183" s="16" t="n">
        <v>93.5</v>
      </c>
      <c r="AR183" s="16" t="n">
        <v>83.4</v>
      </c>
      <c r="AS183" s="16" t="n">
        <v>18.2</v>
      </c>
      <c r="AT183" s="0" t="n">
        <v>81.82</v>
      </c>
      <c r="AU183" s="0" t="n">
        <v>0</v>
      </c>
      <c r="AV183" s="0" t="n">
        <v>0</v>
      </c>
      <c r="AW183" s="0" t="n">
        <v>0</v>
      </c>
      <c r="AX183" s="0" t="n">
        <v>18.18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37.1</v>
      </c>
      <c r="BF183" s="0" t="n">
        <v>47.46</v>
      </c>
      <c r="BG183" s="0" t="n">
        <v>20.37</v>
      </c>
      <c r="BH183" s="0" t="n">
        <v>3.52</v>
      </c>
      <c r="BI183" s="0" t="n">
        <v>0</v>
      </c>
      <c r="BJ183" s="0" t="n">
        <v>0</v>
      </c>
      <c r="BK183" s="0" t="n">
        <v>0</v>
      </c>
      <c r="BL183" s="0" t="n">
        <v>8.4</v>
      </c>
      <c r="BM183" s="0" t="n">
        <v>0</v>
      </c>
      <c r="BN183" s="0" t="n">
        <v>1</v>
      </c>
      <c r="BO183" s="16" t="n">
        <v>1.69</v>
      </c>
      <c r="BP183" s="16" t="n">
        <v>1</v>
      </c>
      <c r="BQ183" s="16" t="n">
        <v>3.24</v>
      </c>
      <c r="BR183" s="16" t="n">
        <v>2.54</v>
      </c>
      <c r="BS183" s="16" t="n">
        <v>3.6</v>
      </c>
      <c r="BT183" s="16" t="n">
        <v>8.8</v>
      </c>
      <c r="BU183" s="16" t="n">
        <v>0</v>
      </c>
      <c r="BV183" s="0" t="n">
        <v>0</v>
      </c>
    </row>
    <row r="184" customFormat="false" ht="13.8" hidden="false" customHeight="false" outlineLevel="0" collapsed="false">
      <c r="A184" s="0" t="n">
        <v>1</v>
      </c>
      <c r="B184" s="0" t="n">
        <v>32.7720739219713</v>
      </c>
      <c r="C184" s="0" t="n">
        <v>6.69130732375086</v>
      </c>
      <c r="D184" s="0" t="n">
        <v>8</v>
      </c>
      <c r="E184" s="0" t="n">
        <v>65</v>
      </c>
      <c r="F184" s="0" t="n">
        <v>1.56</v>
      </c>
      <c r="G184" s="0" t="n">
        <v>26.7094017094017</v>
      </c>
      <c r="H184" s="0" t="n">
        <v>0</v>
      </c>
      <c r="I184" s="0" t="n">
        <v>0</v>
      </c>
      <c r="J184" s="19" t="n">
        <v>1</v>
      </c>
      <c r="K184" s="19" t="n">
        <v>0</v>
      </c>
      <c r="L184" s="19" t="n">
        <v>1</v>
      </c>
      <c r="M184" s="19" t="n">
        <v>0</v>
      </c>
      <c r="N184" s="19" t="n">
        <v>9</v>
      </c>
      <c r="O184" s="19" t="n">
        <v>0</v>
      </c>
      <c r="P184" s="19" t="n">
        <v>0</v>
      </c>
      <c r="Q184" s="19"/>
      <c r="R184" s="19" t="n">
        <v>8</v>
      </c>
      <c r="S184" s="19"/>
      <c r="T184" s="19" t="n">
        <v>10</v>
      </c>
      <c r="U184" s="15" t="n">
        <f aca="false">AVERAGE(M184:T184)</f>
        <v>4.5</v>
      </c>
      <c r="V184" s="19" t="n">
        <v>4</v>
      </c>
      <c r="W184" s="19" t="n">
        <v>3</v>
      </c>
      <c r="X184" s="19" t="n">
        <v>5</v>
      </c>
      <c r="Y184" s="19" t="n">
        <v>5</v>
      </c>
      <c r="Z184" s="19" t="n">
        <v>5</v>
      </c>
      <c r="AA184" s="19" t="n">
        <v>5</v>
      </c>
      <c r="AB184" s="19" t="n">
        <v>4</v>
      </c>
      <c r="AC184" s="19" t="n">
        <v>4</v>
      </c>
      <c r="AD184" s="19" t="n">
        <v>3</v>
      </c>
      <c r="AE184" s="19" t="n">
        <v>3</v>
      </c>
      <c r="AF184" s="19" t="n">
        <v>3</v>
      </c>
      <c r="AG184" s="19" t="n">
        <v>5</v>
      </c>
      <c r="AH184" s="19" t="n">
        <v>4</v>
      </c>
      <c r="AI184" s="19" t="n">
        <v>5</v>
      </c>
      <c r="AJ184" s="19" t="n">
        <v>5</v>
      </c>
      <c r="AK184" s="19" t="n">
        <v>5</v>
      </c>
      <c r="AL184" s="19" t="n">
        <v>3</v>
      </c>
      <c r="AM184" s="19" t="n">
        <v>3</v>
      </c>
      <c r="AN184" s="19" t="n">
        <v>3</v>
      </c>
      <c r="AO184" s="19" t="n">
        <v>8</v>
      </c>
      <c r="AP184" s="0" t="n">
        <v>35.5</v>
      </c>
      <c r="AQ184" s="16" t="n">
        <v>93.5</v>
      </c>
      <c r="AR184" s="16" t="n">
        <v>83.4</v>
      </c>
      <c r="AS184" s="16" t="n">
        <v>18.2</v>
      </c>
      <c r="AT184" s="0" t="n">
        <v>81.82</v>
      </c>
      <c r="AU184" s="0" t="n">
        <v>0</v>
      </c>
      <c r="AV184" s="0" t="n">
        <v>0</v>
      </c>
      <c r="AW184" s="0" t="n">
        <v>0</v>
      </c>
      <c r="AX184" s="0" t="n">
        <v>18.18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37.1</v>
      </c>
      <c r="BF184" s="0" t="n">
        <v>47.46</v>
      </c>
      <c r="BG184" s="0" t="n">
        <v>20.37</v>
      </c>
      <c r="BH184" s="0" t="n">
        <v>3.52</v>
      </c>
      <c r="BI184" s="0" t="n">
        <v>0</v>
      </c>
      <c r="BJ184" s="0" t="n">
        <v>0</v>
      </c>
      <c r="BK184" s="0" t="n">
        <v>0</v>
      </c>
      <c r="BL184" s="0" t="n">
        <v>8.4</v>
      </c>
      <c r="BM184" s="0" t="n">
        <v>0</v>
      </c>
      <c r="BN184" s="0" t="n">
        <v>1</v>
      </c>
      <c r="BO184" s="16" t="n">
        <v>1.69</v>
      </c>
      <c r="BP184" s="16" t="n">
        <v>1</v>
      </c>
      <c r="BQ184" s="16" t="n">
        <v>3.24</v>
      </c>
      <c r="BR184" s="16" t="n">
        <v>2.54</v>
      </c>
      <c r="BS184" s="16" t="n">
        <v>3.6</v>
      </c>
      <c r="BT184" s="16" t="n">
        <v>8.8</v>
      </c>
      <c r="BU184" s="16" t="n">
        <v>0</v>
      </c>
      <c r="BV184" s="0" t="n">
        <v>0</v>
      </c>
    </row>
    <row r="185" customFormat="false" ht="13.8" hidden="false" customHeight="false" outlineLevel="0" collapsed="false">
      <c r="A185" s="0" t="n">
        <v>1</v>
      </c>
      <c r="B185" s="0" t="n">
        <v>31.64681724846</v>
      </c>
      <c r="C185" s="0" t="n">
        <v>0.298425735797399</v>
      </c>
      <c r="D185" s="0" t="n">
        <v>8</v>
      </c>
      <c r="E185" s="0" t="n">
        <v>56</v>
      </c>
      <c r="F185" s="0" t="n">
        <v>1.56</v>
      </c>
      <c r="G185" s="0" t="n">
        <v>23.0111768573307</v>
      </c>
      <c r="H185" s="0" t="n">
        <v>0</v>
      </c>
      <c r="I185" s="0" t="n">
        <v>0</v>
      </c>
      <c r="J185" s="19" t="n">
        <v>0</v>
      </c>
      <c r="K185" s="19" t="n">
        <v>3</v>
      </c>
      <c r="L185" s="19" t="n">
        <v>1</v>
      </c>
      <c r="M185" s="19" t="n">
        <v>0</v>
      </c>
      <c r="N185" s="19"/>
      <c r="O185" s="19" t="n">
        <v>0</v>
      </c>
      <c r="P185" s="19" t="n">
        <v>0</v>
      </c>
      <c r="Q185" s="19" t="n">
        <v>0</v>
      </c>
      <c r="R185" s="19" t="n">
        <v>0</v>
      </c>
      <c r="S185" s="19" t="n">
        <v>0</v>
      </c>
      <c r="T185" s="19" t="n">
        <v>0</v>
      </c>
      <c r="U185" s="15" t="n">
        <f aca="false">AVERAGE(M185:T185)</f>
        <v>0</v>
      </c>
      <c r="V185" s="19" t="n">
        <v>1</v>
      </c>
      <c r="W185" s="19" t="n">
        <v>1</v>
      </c>
      <c r="X185" s="19" t="n">
        <v>3</v>
      </c>
      <c r="Y185" s="19" t="n">
        <v>5</v>
      </c>
      <c r="Z185" s="19" t="n">
        <v>3</v>
      </c>
      <c r="AA185" s="19" t="n">
        <v>1</v>
      </c>
      <c r="AB185" s="19" t="n">
        <v>5</v>
      </c>
      <c r="AC185" s="19" t="n">
        <v>5</v>
      </c>
      <c r="AD185" s="19" t="n">
        <v>4</v>
      </c>
      <c r="AE185" s="19" t="n">
        <v>5</v>
      </c>
      <c r="AF185" s="19" t="n">
        <v>5</v>
      </c>
      <c r="AG185" s="19" t="n">
        <v>5</v>
      </c>
      <c r="AH185" s="19" t="n">
        <v>1</v>
      </c>
      <c r="AI185" s="19" t="n">
        <v>5</v>
      </c>
      <c r="AJ185" s="19" t="n">
        <v>5</v>
      </c>
      <c r="AK185" s="19" t="n">
        <v>5</v>
      </c>
      <c r="AL185" s="19" t="n">
        <v>5</v>
      </c>
      <c r="AM185" s="19" t="n">
        <v>5</v>
      </c>
      <c r="AN185" s="19" t="n">
        <v>5</v>
      </c>
      <c r="AO185" s="19" t="n">
        <v>10</v>
      </c>
      <c r="AP185" s="0" t="n">
        <v>29</v>
      </c>
      <c r="AQ185" s="16" t="n">
        <v>86.2</v>
      </c>
      <c r="AR185" s="16" t="n">
        <v>83.4</v>
      </c>
      <c r="AS185" s="16" t="n">
        <v>15.4</v>
      </c>
      <c r="AT185" s="0" t="n">
        <v>87</v>
      </c>
      <c r="AU185" s="0" t="n">
        <v>0</v>
      </c>
      <c r="AV185" s="0" t="n">
        <v>0</v>
      </c>
      <c r="AW185" s="0" t="n">
        <v>0</v>
      </c>
      <c r="AX185" s="0" t="n">
        <v>13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37.36</v>
      </c>
      <c r="BF185" s="0" t="n">
        <v>46.33</v>
      </c>
      <c r="BG185" s="0" t="n">
        <v>18.45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8.3</v>
      </c>
      <c r="BM185" s="0" t="n">
        <v>0</v>
      </c>
      <c r="BN185" s="0" t="n">
        <v>1</v>
      </c>
      <c r="BO185" s="16" t="n">
        <v>1.8</v>
      </c>
      <c r="BP185" s="16" t="n">
        <v>1</v>
      </c>
      <c r="BQ185" s="16" t="n">
        <v>0.54</v>
      </c>
      <c r="BR185" s="16" t="n">
        <v>0.13</v>
      </c>
      <c r="BS185" s="16" t="n">
        <v>2.88</v>
      </c>
      <c r="BT185" s="16" t="n">
        <v>6.91</v>
      </c>
      <c r="BU185" s="16" t="n">
        <v>0</v>
      </c>
      <c r="BV185" s="0" t="n">
        <v>0</v>
      </c>
    </row>
    <row r="186" customFormat="false" ht="13.8" hidden="false" customHeight="false" outlineLevel="0" collapsed="false">
      <c r="A186" s="0" t="n">
        <v>1</v>
      </c>
      <c r="B186" s="0" t="n">
        <v>27.6522929500342</v>
      </c>
      <c r="C186" s="0" t="n">
        <v>0.31211498973306</v>
      </c>
      <c r="D186" s="0" t="n">
        <v>8</v>
      </c>
      <c r="F186" s="0" t="n">
        <v>1.63</v>
      </c>
      <c r="G186" s="0" t="n">
        <v>0</v>
      </c>
      <c r="H186" s="0" t="n">
        <v>0</v>
      </c>
      <c r="I186" s="0" t="n">
        <v>0</v>
      </c>
      <c r="J186" s="19" t="n">
        <v>0</v>
      </c>
      <c r="K186" s="19" t="n">
        <v>1</v>
      </c>
      <c r="L186" s="19" t="n">
        <v>1</v>
      </c>
      <c r="M186" s="19" t="n">
        <v>0</v>
      </c>
      <c r="N186" s="19"/>
      <c r="O186" s="19"/>
      <c r="P186" s="19"/>
      <c r="Q186" s="19" t="n">
        <v>0</v>
      </c>
      <c r="R186" s="19" t="n">
        <v>0</v>
      </c>
      <c r="S186" s="19" t="n">
        <v>0</v>
      </c>
      <c r="T186" s="19" t="n">
        <v>0</v>
      </c>
      <c r="U186" s="15" t="n">
        <f aca="false">AVERAGE(M186:T186)</f>
        <v>0</v>
      </c>
      <c r="V186" s="19" t="n">
        <v>1</v>
      </c>
      <c r="W186" s="19" t="n">
        <v>1</v>
      </c>
      <c r="X186" s="19" t="n">
        <v>2</v>
      </c>
      <c r="Y186" s="19" t="n">
        <v>3</v>
      </c>
      <c r="Z186" s="19" t="n">
        <v>2</v>
      </c>
      <c r="AA186" s="19" t="n">
        <v>1</v>
      </c>
      <c r="AB186" s="19" t="n">
        <v>2</v>
      </c>
      <c r="AC186" s="19" t="n">
        <v>3</v>
      </c>
      <c r="AD186" s="19" t="n">
        <v>4</v>
      </c>
      <c r="AE186" s="19" t="n">
        <v>5</v>
      </c>
      <c r="AF186" s="19" t="n">
        <v>5</v>
      </c>
      <c r="AG186" s="19" t="n">
        <v>5</v>
      </c>
      <c r="AH186" s="19" t="n">
        <v>5</v>
      </c>
      <c r="AI186" s="19" t="n">
        <v>4</v>
      </c>
      <c r="AJ186" s="19" t="n">
        <v>5</v>
      </c>
      <c r="AK186" s="19" t="n">
        <v>5</v>
      </c>
      <c r="AL186" s="19" t="n">
        <v>4</v>
      </c>
      <c r="AM186" s="19" t="n">
        <v>5</v>
      </c>
      <c r="AN186" s="19" t="n">
        <v>5</v>
      </c>
      <c r="AO186" s="19" t="n">
        <v>8</v>
      </c>
      <c r="AP186" s="0" t="n">
        <v>29</v>
      </c>
      <c r="AQ186" s="16" t="n">
        <v>86.2</v>
      </c>
      <c r="AR186" s="16" t="n">
        <v>83.4</v>
      </c>
      <c r="AS186" s="16" t="n">
        <v>15.4</v>
      </c>
      <c r="AT186" s="0" t="n">
        <v>87</v>
      </c>
      <c r="AU186" s="0" t="n">
        <v>0</v>
      </c>
      <c r="AV186" s="0" t="n">
        <v>0</v>
      </c>
      <c r="AW186" s="0" t="n">
        <v>0</v>
      </c>
      <c r="AX186" s="0" t="n">
        <v>13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37.36</v>
      </c>
      <c r="BF186" s="0" t="n">
        <v>46.33</v>
      </c>
      <c r="BG186" s="0" t="n">
        <v>18.45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8.3</v>
      </c>
      <c r="BM186" s="0" t="n">
        <v>0</v>
      </c>
      <c r="BN186" s="0" t="n">
        <v>1</v>
      </c>
      <c r="BO186" s="16" t="n">
        <v>1.8</v>
      </c>
      <c r="BP186" s="16" t="n">
        <v>1</v>
      </c>
      <c r="BQ186" s="16" t="n">
        <v>0.54</v>
      </c>
      <c r="BR186" s="16" t="n">
        <v>0.13</v>
      </c>
      <c r="BS186" s="16" t="n">
        <v>2.88</v>
      </c>
      <c r="BT186" s="16" t="n">
        <v>6.91</v>
      </c>
      <c r="BU186" s="16" t="n">
        <v>0</v>
      </c>
      <c r="BV186" s="0" t="n">
        <v>0</v>
      </c>
    </row>
    <row r="187" customFormat="false" ht="13.8" hidden="false" customHeight="false" outlineLevel="0" collapsed="false">
      <c r="A187" s="0" t="n">
        <v>2</v>
      </c>
      <c r="B187" s="0" t="n">
        <v>44.6680355920602</v>
      </c>
      <c r="C187" s="0" t="n">
        <v>19.6112251882272</v>
      </c>
      <c r="D187" s="0" t="n">
        <v>8</v>
      </c>
      <c r="E187" s="0" t="n">
        <v>58</v>
      </c>
      <c r="F187" s="0" t="n">
        <v>1.68</v>
      </c>
      <c r="G187" s="0" t="n">
        <v>20.5498866213152</v>
      </c>
      <c r="H187" s="0" t="n">
        <v>0</v>
      </c>
      <c r="I187" s="0" t="n">
        <v>0</v>
      </c>
      <c r="J187" s="19" t="n">
        <v>1</v>
      </c>
      <c r="K187" s="19" t="n">
        <v>0</v>
      </c>
      <c r="L187" s="19" t="n">
        <v>0</v>
      </c>
      <c r="M187" s="19"/>
      <c r="N187" s="19"/>
      <c r="O187" s="19"/>
      <c r="P187" s="19"/>
      <c r="Q187" s="19"/>
      <c r="R187" s="19"/>
      <c r="S187" s="19"/>
      <c r="T187" s="19"/>
      <c r="U187" s="15"/>
      <c r="V187" s="19" t="n">
        <v>3</v>
      </c>
      <c r="W187" s="19" t="n">
        <v>2</v>
      </c>
      <c r="X187" s="19" t="n">
        <v>4</v>
      </c>
      <c r="Y187" s="19" t="n">
        <v>4</v>
      </c>
      <c r="Z187" s="19" t="n">
        <v>3</v>
      </c>
      <c r="AA187" s="19" t="n">
        <v>3</v>
      </c>
      <c r="AB187" s="19" t="n">
        <v>2</v>
      </c>
      <c r="AC187" s="19" t="n">
        <v>3</v>
      </c>
      <c r="AD187" s="19" t="n">
        <v>2</v>
      </c>
      <c r="AE187" s="19" t="n">
        <v>2</v>
      </c>
      <c r="AF187" s="19" t="n">
        <v>4</v>
      </c>
      <c r="AG187" s="19" t="n">
        <v>5</v>
      </c>
      <c r="AH187" s="19" t="n">
        <v>2</v>
      </c>
      <c r="AI187" s="19" t="n">
        <v>4</v>
      </c>
      <c r="AJ187" s="19" t="n">
        <v>4</v>
      </c>
      <c r="AK187" s="19" t="n">
        <v>4</v>
      </c>
      <c r="AL187" s="19" t="n">
        <v>4</v>
      </c>
      <c r="AM187" s="19" t="n">
        <v>4</v>
      </c>
      <c r="AN187" s="19" t="n">
        <v>4</v>
      </c>
      <c r="AO187" s="19" t="n">
        <v>7</v>
      </c>
      <c r="AP187" s="0" t="n">
        <v>35.5</v>
      </c>
      <c r="AQ187" s="16" t="n">
        <v>93.5</v>
      </c>
      <c r="AR187" s="16" t="n">
        <v>83.4</v>
      </c>
      <c r="AS187" s="16" t="n">
        <v>18.2</v>
      </c>
      <c r="AT187" s="0" t="n">
        <v>81.82</v>
      </c>
      <c r="AU187" s="0" t="n">
        <v>0</v>
      </c>
      <c r="AV187" s="0" t="n">
        <v>0</v>
      </c>
      <c r="AW187" s="0" t="n">
        <v>0</v>
      </c>
      <c r="AX187" s="0" t="n">
        <v>18.18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37.1</v>
      </c>
      <c r="BF187" s="0" t="n">
        <v>47.46</v>
      </c>
      <c r="BG187" s="0" t="n">
        <v>20.37</v>
      </c>
      <c r="BH187" s="0" t="n">
        <v>3.52</v>
      </c>
      <c r="BI187" s="0" t="n">
        <v>0</v>
      </c>
      <c r="BJ187" s="0" t="n">
        <v>0</v>
      </c>
      <c r="BK187" s="0" t="n">
        <v>0</v>
      </c>
      <c r="BL187" s="0" t="n">
        <v>8.4</v>
      </c>
      <c r="BM187" s="0" t="n">
        <v>0</v>
      </c>
      <c r="BN187" s="0" t="n">
        <v>1</v>
      </c>
      <c r="BO187" s="16" t="n">
        <v>1.69</v>
      </c>
      <c r="BP187" s="16" t="n">
        <v>1</v>
      </c>
      <c r="BQ187" s="16" t="n">
        <v>3.24</v>
      </c>
      <c r="BR187" s="16" t="n">
        <v>2.54</v>
      </c>
      <c r="BS187" s="16" t="n">
        <v>3.6</v>
      </c>
      <c r="BT187" s="16" t="n">
        <v>8.8</v>
      </c>
      <c r="BU187" s="16" t="n">
        <v>0</v>
      </c>
      <c r="BV187" s="0" t="n">
        <v>0</v>
      </c>
    </row>
    <row r="188" customFormat="false" ht="13.8" hidden="false" customHeight="false" outlineLevel="0" collapsed="false">
      <c r="A188" s="0" t="n">
        <v>2</v>
      </c>
      <c r="B188" s="0" t="n">
        <v>22.4887063655031</v>
      </c>
      <c r="C188" s="0" t="n">
        <v>0.309377138945927</v>
      </c>
      <c r="D188" s="0" t="n">
        <v>8</v>
      </c>
      <c r="E188" s="0" t="n">
        <v>63</v>
      </c>
      <c r="F188" s="0" t="n">
        <v>1.77</v>
      </c>
      <c r="G188" s="0" t="n">
        <v>20.1091640333238</v>
      </c>
      <c r="H188" s="0" t="n">
        <v>0</v>
      </c>
      <c r="I188" s="0" t="n">
        <v>0</v>
      </c>
      <c r="J188" s="19" t="n">
        <v>0</v>
      </c>
      <c r="K188" s="19" t="n">
        <v>2</v>
      </c>
      <c r="L188" s="19" t="n">
        <v>0</v>
      </c>
      <c r="M188" s="19" t="n">
        <v>0</v>
      </c>
      <c r="N188" s="19" t="n">
        <v>0</v>
      </c>
      <c r="O188" s="19" t="n">
        <v>0</v>
      </c>
      <c r="P188" s="19" t="n">
        <v>0</v>
      </c>
      <c r="Q188" s="19" t="n">
        <v>0</v>
      </c>
      <c r="R188" s="19" t="n">
        <v>0</v>
      </c>
      <c r="S188" s="19" t="n">
        <v>0</v>
      </c>
      <c r="T188" s="19"/>
      <c r="U188" s="15" t="n">
        <f aca="false">AVERAGE(M188:T188)</f>
        <v>0</v>
      </c>
      <c r="V188" s="19" t="n">
        <v>1</v>
      </c>
      <c r="W188" s="19" t="n">
        <v>5</v>
      </c>
      <c r="X188" s="19" t="n">
        <v>3</v>
      </c>
      <c r="Y188" s="19" t="n">
        <v>5</v>
      </c>
      <c r="Z188" s="19" t="n">
        <v>3</v>
      </c>
      <c r="AA188" s="19" t="n">
        <v>3</v>
      </c>
      <c r="AB188" s="19" t="n">
        <v>5</v>
      </c>
      <c r="AC188" s="19" t="n">
        <v>5</v>
      </c>
      <c r="AD188" s="19" t="n">
        <v>3</v>
      </c>
      <c r="AE188" s="19" t="n">
        <v>4</v>
      </c>
      <c r="AF188" s="19" t="n">
        <v>5</v>
      </c>
      <c r="AG188" s="19" t="n">
        <v>5</v>
      </c>
      <c r="AH188" s="19" t="n">
        <v>1</v>
      </c>
      <c r="AI188" s="19" t="n">
        <v>5</v>
      </c>
      <c r="AJ188" s="19" t="n">
        <v>5</v>
      </c>
      <c r="AK188" s="19" t="n">
        <v>5</v>
      </c>
      <c r="AL188" s="19" t="n">
        <v>5</v>
      </c>
      <c r="AM188" s="19" t="n">
        <v>5</v>
      </c>
      <c r="AN188" s="19" t="n">
        <v>4</v>
      </c>
      <c r="AO188" s="19" t="n">
        <v>10</v>
      </c>
      <c r="AP188" s="0" t="n">
        <v>35.5</v>
      </c>
      <c r="AQ188" s="16" t="n">
        <v>93.5</v>
      </c>
      <c r="AR188" s="16" t="n">
        <v>83.4</v>
      </c>
      <c r="AS188" s="16" t="n">
        <v>18.2</v>
      </c>
      <c r="AT188" s="0" t="n">
        <v>81.82</v>
      </c>
      <c r="AU188" s="0" t="n">
        <v>0</v>
      </c>
      <c r="AV188" s="0" t="n">
        <v>0</v>
      </c>
      <c r="AW188" s="0" t="n">
        <v>0</v>
      </c>
      <c r="AX188" s="0" t="n">
        <v>18.18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37.1</v>
      </c>
      <c r="BF188" s="0" t="n">
        <v>47.46</v>
      </c>
      <c r="BG188" s="0" t="n">
        <v>20.37</v>
      </c>
      <c r="BH188" s="0" t="n">
        <v>3.52</v>
      </c>
      <c r="BI188" s="0" t="n">
        <v>0</v>
      </c>
      <c r="BJ188" s="0" t="n">
        <v>0</v>
      </c>
      <c r="BK188" s="0" t="n">
        <v>0</v>
      </c>
      <c r="BL188" s="0" t="n">
        <v>8.4</v>
      </c>
      <c r="BM188" s="0" t="n">
        <v>0</v>
      </c>
      <c r="BN188" s="0" t="n">
        <v>1</v>
      </c>
      <c r="BO188" s="16" t="n">
        <v>1.69</v>
      </c>
      <c r="BP188" s="16" t="n">
        <v>1</v>
      </c>
      <c r="BQ188" s="16" t="n">
        <v>3.24</v>
      </c>
      <c r="BR188" s="16" t="n">
        <v>2.54</v>
      </c>
      <c r="BS188" s="16" t="n">
        <v>3.6</v>
      </c>
      <c r="BT188" s="16" t="n">
        <v>8.8</v>
      </c>
      <c r="BU188" s="16" t="n">
        <v>0</v>
      </c>
      <c r="BV188" s="0" t="n">
        <v>0</v>
      </c>
    </row>
    <row r="189" customFormat="false" ht="13.8" hidden="false" customHeight="false" outlineLevel="0" collapsed="false">
      <c r="A189" s="24" t="n">
        <v>1</v>
      </c>
      <c r="B189" s="0" t="n">
        <v>42.5051334702259</v>
      </c>
      <c r="C189" s="0" t="n">
        <v>8.98836413415469</v>
      </c>
      <c r="D189" s="0" t="n">
        <v>8</v>
      </c>
      <c r="E189" s="0" t="n">
        <v>57</v>
      </c>
      <c r="F189" s="0" t="n">
        <v>1.57</v>
      </c>
      <c r="G189" s="0" t="n">
        <v>23.1246703720232</v>
      </c>
      <c r="H189" s="0" t="n">
        <v>1</v>
      </c>
      <c r="J189" s="26" t="n">
        <v>1</v>
      </c>
      <c r="K189" s="26" t="n">
        <v>1</v>
      </c>
      <c r="L189" s="26" t="n">
        <v>1</v>
      </c>
      <c r="M189" s="26" t="n">
        <v>0</v>
      </c>
      <c r="N189" s="26" t="n">
        <v>5</v>
      </c>
      <c r="O189" s="26" t="n">
        <v>5</v>
      </c>
      <c r="P189" s="26" t="n">
        <v>0</v>
      </c>
      <c r="Q189" s="26" t="n">
        <v>6</v>
      </c>
      <c r="R189" s="26" t="n">
        <v>0</v>
      </c>
      <c r="S189" s="26" t="n">
        <v>0</v>
      </c>
      <c r="T189" s="26" t="n">
        <v>6</v>
      </c>
      <c r="U189" s="15" t="n">
        <f aca="false">AVERAGE(M189:T189)</f>
        <v>2.75</v>
      </c>
      <c r="V189" s="26" t="n">
        <v>4</v>
      </c>
      <c r="W189" s="26" t="n">
        <v>3</v>
      </c>
      <c r="X189" s="26" t="n">
        <v>5</v>
      </c>
      <c r="Y189" s="26" t="n">
        <v>5</v>
      </c>
      <c r="Z189" s="26" t="n">
        <v>3</v>
      </c>
      <c r="AA189" s="26" t="n">
        <v>5</v>
      </c>
      <c r="AB189" s="26" t="n">
        <v>3</v>
      </c>
      <c r="AC189" s="26" t="n">
        <v>4</v>
      </c>
      <c r="AD189" s="26" t="n">
        <v>5</v>
      </c>
      <c r="AE189" s="26" t="n">
        <v>5</v>
      </c>
      <c r="AF189" s="26" t="n">
        <v>5</v>
      </c>
      <c r="AG189" s="26" t="n">
        <v>4</v>
      </c>
      <c r="AH189" s="26" t="n">
        <v>3</v>
      </c>
      <c r="AI189" s="26" t="n">
        <v>3</v>
      </c>
      <c r="AJ189" s="26" t="n">
        <v>4</v>
      </c>
      <c r="AK189" s="26" t="n">
        <v>4</v>
      </c>
      <c r="AL189" s="26" t="n">
        <v>3</v>
      </c>
      <c r="AM189" s="26" t="n">
        <v>4</v>
      </c>
      <c r="AN189" s="26" t="n">
        <v>3</v>
      </c>
      <c r="AO189" s="26" t="n">
        <v>7</v>
      </c>
      <c r="AP189" s="24" t="n">
        <v>24.5</v>
      </c>
      <c r="AQ189" s="27" t="n">
        <v>84.2</v>
      </c>
      <c r="AR189" s="27" t="n">
        <v>80.4</v>
      </c>
      <c r="AS189" s="27" t="n">
        <v>11.9</v>
      </c>
      <c r="AT189" s="24" t="n">
        <v>97.51</v>
      </c>
      <c r="AU189" s="24" t="n">
        <v>0</v>
      </c>
      <c r="AV189" s="24" t="n">
        <v>2.49</v>
      </c>
      <c r="AW189" s="24" t="n">
        <v>0</v>
      </c>
      <c r="AX189" s="24" t="n">
        <v>0</v>
      </c>
      <c r="AY189" s="24" t="n">
        <v>0</v>
      </c>
      <c r="AZ189" s="24" t="n">
        <v>0</v>
      </c>
      <c r="BA189" s="24" t="n">
        <v>0</v>
      </c>
      <c r="BB189" s="24" t="n">
        <v>0</v>
      </c>
      <c r="BC189" s="24" t="n">
        <v>0</v>
      </c>
      <c r="BD189" s="24" t="n">
        <v>0</v>
      </c>
      <c r="BE189" s="24" t="n">
        <v>0</v>
      </c>
      <c r="BF189" s="24" t="n">
        <v>3.13</v>
      </c>
      <c r="BG189" s="24" t="n">
        <v>26.34</v>
      </c>
      <c r="BH189" s="24" t="n">
        <v>45.74</v>
      </c>
      <c r="BI189" s="24" t="n">
        <v>0</v>
      </c>
      <c r="BJ189" s="24" t="n">
        <v>0</v>
      </c>
      <c r="BK189" s="24" t="n">
        <v>0</v>
      </c>
      <c r="BL189" s="24" t="n">
        <v>0</v>
      </c>
      <c r="BM189" s="24" t="n">
        <v>0</v>
      </c>
      <c r="BN189" s="24" t="n">
        <v>0</v>
      </c>
      <c r="BO189" s="27" t="n">
        <v>6.4</v>
      </c>
      <c r="BP189" s="27" t="n">
        <v>1</v>
      </c>
      <c r="BQ189" s="27" t="n">
        <v>1.61</v>
      </c>
      <c r="BR189" s="27" t="n">
        <v>1.46</v>
      </c>
      <c r="BS189" s="27" t="n">
        <v>0</v>
      </c>
      <c r="BT189" s="27" t="n">
        <v>0</v>
      </c>
      <c r="BU189" s="27" t="n">
        <v>0</v>
      </c>
      <c r="BV189" s="24" t="n">
        <v>0</v>
      </c>
    </row>
    <row r="190" customFormat="false" ht="13.8" hidden="false" customHeight="false" outlineLevel="0" collapsed="false">
      <c r="A190" s="24" t="n">
        <v>2</v>
      </c>
      <c r="B190" s="0" t="n">
        <v>24.1232032854209</v>
      </c>
      <c r="C190" s="0" t="n">
        <v>0.153319644079398</v>
      </c>
      <c r="D190" s="0" t="n">
        <v>8</v>
      </c>
      <c r="E190" s="0" t="n">
        <v>87</v>
      </c>
      <c r="F190" s="0" t="n">
        <v>2.02</v>
      </c>
      <c r="G190" s="0" t="n">
        <v>21.3214390746005</v>
      </c>
      <c r="H190" s="0" t="n">
        <v>0</v>
      </c>
      <c r="I190" s="0" t="n">
        <v>0</v>
      </c>
      <c r="J190" s="26" t="n">
        <v>0</v>
      </c>
      <c r="K190" s="26" t="n">
        <v>0</v>
      </c>
      <c r="L190" s="26" t="n">
        <v>1</v>
      </c>
      <c r="M190" s="26" t="n">
        <v>0</v>
      </c>
      <c r="N190" s="26" t="n">
        <v>0</v>
      </c>
      <c r="O190" s="26"/>
      <c r="P190" s="26"/>
      <c r="Q190" s="26" t="n">
        <v>0</v>
      </c>
      <c r="R190" s="26" t="n">
        <v>0</v>
      </c>
      <c r="S190" s="26" t="n">
        <v>0</v>
      </c>
      <c r="T190" s="26" t="n">
        <v>0</v>
      </c>
      <c r="U190" s="15" t="n">
        <f aca="false">AVERAGE(M190:T190)</f>
        <v>0</v>
      </c>
      <c r="V190" s="26" t="n">
        <v>1</v>
      </c>
      <c r="W190" s="26" t="n">
        <v>1</v>
      </c>
      <c r="X190" s="26" t="n">
        <v>2</v>
      </c>
      <c r="Y190" s="26" t="n">
        <v>5</v>
      </c>
      <c r="Z190" s="26" t="n">
        <v>1</v>
      </c>
      <c r="AA190" s="26" t="n">
        <v>1</v>
      </c>
      <c r="AB190" s="26" t="n">
        <v>1</v>
      </c>
      <c r="AC190" s="26" t="n">
        <v>1</v>
      </c>
      <c r="AD190" s="26" t="n">
        <v>5</v>
      </c>
      <c r="AE190" s="26" t="n">
        <v>5</v>
      </c>
      <c r="AF190" s="26" t="n">
        <v>5</v>
      </c>
      <c r="AG190" s="26" t="n">
        <v>5</v>
      </c>
      <c r="AH190" s="26" t="n">
        <v>4</v>
      </c>
      <c r="AI190" s="26" t="n">
        <v>5</v>
      </c>
      <c r="AJ190" s="26" t="n">
        <v>4</v>
      </c>
      <c r="AK190" s="26" t="n">
        <v>5</v>
      </c>
      <c r="AL190" s="26" t="n">
        <v>5</v>
      </c>
      <c r="AM190" s="26" t="n">
        <v>5</v>
      </c>
      <c r="AN190" s="26" t="n">
        <v>5</v>
      </c>
      <c r="AO190" s="26" t="n">
        <v>6</v>
      </c>
      <c r="AP190" s="24" t="n">
        <v>36.5</v>
      </c>
      <c r="AQ190" s="27" t="n">
        <v>88.3</v>
      </c>
      <c r="AR190" s="27" t="n">
        <v>80.4</v>
      </c>
      <c r="AS190" s="27" t="n">
        <v>28.2</v>
      </c>
      <c r="AT190" s="24" t="n">
        <v>73.82</v>
      </c>
      <c r="AU190" s="24" t="n">
        <v>0</v>
      </c>
      <c r="AV190" s="24" t="n">
        <v>25.61</v>
      </c>
      <c r="AW190" s="24" t="n">
        <v>0</v>
      </c>
      <c r="AX190" s="24" t="n">
        <v>0.57</v>
      </c>
      <c r="AY190" s="24" t="n">
        <v>0</v>
      </c>
      <c r="AZ190" s="24" t="n">
        <v>0</v>
      </c>
      <c r="BA190" s="24" t="n">
        <v>0</v>
      </c>
      <c r="BB190" s="24" t="n">
        <v>0</v>
      </c>
      <c r="BC190" s="24" t="n">
        <v>0</v>
      </c>
      <c r="BD190" s="24" t="n">
        <v>0</v>
      </c>
      <c r="BE190" s="24" t="n">
        <v>1.17</v>
      </c>
      <c r="BF190" s="24" t="n">
        <v>31.76</v>
      </c>
      <c r="BG190" s="24" t="n">
        <v>23.3</v>
      </c>
      <c r="BH190" s="24" t="n">
        <v>26.08</v>
      </c>
      <c r="BI190" s="24" t="n">
        <v>0</v>
      </c>
      <c r="BJ190" s="24" t="n">
        <v>0</v>
      </c>
      <c r="BK190" s="24" t="n">
        <v>0</v>
      </c>
      <c r="BL190" s="24" t="n">
        <v>2.1</v>
      </c>
      <c r="BM190" s="24" t="n">
        <v>1</v>
      </c>
      <c r="BN190" s="24" t="n">
        <v>0</v>
      </c>
      <c r="BO190" s="27" t="n">
        <v>1.9</v>
      </c>
      <c r="BP190" s="27" t="n">
        <v>1</v>
      </c>
      <c r="BQ190" s="27" t="n">
        <v>0.57</v>
      </c>
      <c r="BR190" s="27" t="n">
        <v>0.56</v>
      </c>
      <c r="BS190" s="27" t="n">
        <v>0</v>
      </c>
      <c r="BT190" s="27" t="n">
        <v>0</v>
      </c>
      <c r="BU190" s="27" t="n">
        <v>0</v>
      </c>
      <c r="BV190" s="24" t="n">
        <v>0</v>
      </c>
    </row>
    <row r="191" customFormat="false" ht="13.8" hidden="false" customHeight="false" outlineLevel="0" collapsed="false">
      <c r="A191" s="0" t="n">
        <v>1</v>
      </c>
      <c r="B191" s="0" t="n">
        <v>39.0171115674196</v>
      </c>
      <c r="C191" s="0" t="n">
        <v>0.20807665982204</v>
      </c>
      <c r="D191" s="0" t="n">
        <v>8</v>
      </c>
      <c r="E191" s="0" t="n">
        <v>80</v>
      </c>
      <c r="F191" s="0" t="n">
        <v>1.65</v>
      </c>
      <c r="G191" s="0" t="n">
        <v>29.3847566574839</v>
      </c>
      <c r="H191" s="0" t="n">
        <v>0</v>
      </c>
      <c r="I191" s="0" t="n">
        <v>0</v>
      </c>
      <c r="J191" s="19" t="n">
        <v>0</v>
      </c>
      <c r="K191" s="19" t="n">
        <v>0</v>
      </c>
      <c r="L191" s="19" t="n">
        <v>0</v>
      </c>
      <c r="M191" s="19" t="n">
        <v>0</v>
      </c>
      <c r="N191" s="19" t="n">
        <v>0</v>
      </c>
      <c r="O191" s="19" t="n">
        <v>0</v>
      </c>
      <c r="P191" s="19" t="n">
        <v>0</v>
      </c>
      <c r="Q191" s="19" t="n">
        <v>3</v>
      </c>
      <c r="R191" s="19" t="n">
        <v>3</v>
      </c>
      <c r="S191" s="19" t="n">
        <v>0</v>
      </c>
      <c r="T191" s="19" t="n">
        <v>3</v>
      </c>
      <c r="U191" s="15" t="n">
        <f aca="false">AVERAGE(M191:T191)</f>
        <v>1.125</v>
      </c>
      <c r="V191" s="19" t="n">
        <v>2</v>
      </c>
      <c r="W191" s="19" t="n">
        <v>2</v>
      </c>
      <c r="X191" s="19" t="n">
        <v>3</v>
      </c>
      <c r="Y191" s="19" t="n">
        <v>5</v>
      </c>
      <c r="Z191" s="19" t="n">
        <v>1</v>
      </c>
      <c r="AA191" s="19" t="n">
        <v>2</v>
      </c>
      <c r="AB191" s="19" t="n">
        <v>1</v>
      </c>
      <c r="AC191" s="19" t="n">
        <v>4</v>
      </c>
      <c r="AD191" s="19" t="n">
        <v>3</v>
      </c>
      <c r="AE191" s="19" t="n">
        <v>2</v>
      </c>
      <c r="AF191" s="19" t="n">
        <v>5</v>
      </c>
      <c r="AG191" s="19" t="n">
        <v>5</v>
      </c>
      <c r="AH191" s="19" t="n">
        <v>3</v>
      </c>
      <c r="AI191" s="19" t="n">
        <v>4</v>
      </c>
      <c r="AJ191" s="19" t="n">
        <v>4</v>
      </c>
      <c r="AK191" s="19" t="n">
        <v>5</v>
      </c>
      <c r="AL191" s="19" t="n">
        <v>3</v>
      </c>
      <c r="AM191" s="19" t="n">
        <v>4</v>
      </c>
      <c r="AN191" s="19" t="n">
        <v>3</v>
      </c>
      <c r="AO191" s="19" t="n">
        <v>10</v>
      </c>
      <c r="AP191" s="24" t="n">
        <v>36.5</v>
      </c>
      <c r="AQ191" s="27" t="n">
        <v>88.3</v>
      </c>
      <c r="AR191" s="27" t="n">
        <v>80.4</v>
      </c>
      <c r="AS191" s="27" t="n">
        <v>28.2</v>
      </c>
      <c r="AT191" s="24" t="n">
        <v>73.82</v>
      </c>
      <c r="AU191" s="24" t="n">
        <v>0</v>
      </c>
      <c r="AV191" s="24" t="n">
        <v>25.61</v>
      </c>
      <c r="AW191" s="24" t="n">
        <v>0</v>
      </c>
      <c r="AX191" s="24" t="n">
        <v>0.57</v>
      </c>
      <c r="AY191" s="24" t="n">
        <v>0</v>
      </c>
      <c r="AZ191" s="24" t="n">
        <v>0</v>
      </c>
      <c r="BA191" s="24" t="n">
        <v>0</v>
      </c>
      <c r="BB191" s="24" t="n">
        <v>0</v>
      </c>
      <c r="BC191" s="24" t="n">
        <v>0</v>
      </c>
      <c r="BD191" s="24" t="n">
        <v>0</v>
      </c>
      <c r="BE191" s="24" t="n">
        <v>1.17</v>
      </c>
      <c r="BF191" s="24" t="n">
        <v>31.76</v>
      </c>
      <c r="BG191" s="24" t="n">
        <v>23.3</v>
      </c>
      <c r="BH191" s="24" t="n">
        <v>26.08</v>
      </c>
      <c r="BI191" s="24" t="n">
        <v>0</v>
      </c>
      <c r="BJ191" s="24" t="n">
        <v>0</v>
      </c>
      <c r="BK191" s="24" t="n">
        <v>0</v>
      </c>
      <c r="BL191" s="24" t="n">
        <v>2.1</v>
      </c>
      <c r="BM191" s="24" t="n">
        <v>1</v>
      </c>
      <c r="BN191" s="24" t="n">
        <v>0</v>
      </c>
      <c r="BO191" s="27" t="n">
        <v>1.9</v>
      </c>
      <c r="BP191" s="27" t="n">
        <v>1</v>
      </c>
      <c r="BQ191" s="27" t="n">
        <v>0.57</v>
      </c>
      <c r="BR191" s="27" t="n">
        <v>0.56</v>
      </c>
      <c r="BS191" s="27" t="n">
        <v>0</v>
      </c>
      <c r="BT191" s="27" t="n">
        <v>0</v>
      </c>
      <c r="BU191" s="27" t="n">
        <v>0</v>
      </c>
      <c r="BV191" s="24" t="n">
        <v>0</v>
      </c>
    </row>
    <row r="192" customFormat="false" ht="13.8" hidden="false" customHeight="false" outlineLevel="0" collapsed="false">
      <c r="A192" s="24" t="n">
        <v>2</v>
      </c>
      <c r="B192" s="0" t="n">
        <v>34.3162217659138</v>
      </c>
      <c r="C192" s="0" t="n">
        <v>0.243668720054757</v>
      </c>
      <c r="D192" s="0" t="n">
        <v>8</v>
      </c>
      <c r="E192" s="0" t="n">
        <v>109</v>
      </c>
      <c r="F192" s="0" t="n">
        <v>1.75</v>
      </c>
      <c r="G192" s="0" t="n">
        <v>35.5918367346939</v>
      </c>
      <c r="H192" s="0" t="n">
        <v>0</v>
      </c>
      <c r="I192" s="0" t="n">
        <v>0</v>
      </c>
      <c r="J192" s="26" t="n">
        <v>1</v>
      </c>
      <c r="K192" s="26" t="n">
        <v>0</v>
      </c>
      <c r="L192" s="26" t="n">
        <v>0</v>
      </c>
      <c r="M192" s="26" t="n">
        <v>4</v>
      </c>
      <c r="N192" s="26" t="n">
        <v>0</v>
      </c>
      <c r="O192" s="26" t="n">
        <v>0</v>
      </c>
      <c r="P192" s="26" t="n">
        <v>0</v>
      </c>
      <c r="Q192" s="26" t="n">
        <v>0</v>
      </c>
      <c r="R192" s="26" t="n">
        <v>0</v>
      </c>
      <c r="S192" s="26" t="n">
        <v>0</v>
      </c>
      <c r="T192" s="26" t="n">
        <v>0</v>
      </c>
      <c r="U192" s="15" t="n">
        <f aca="false">AVERAGE(M192:T192)</f>
        <v>0.5</v>
      </c>
      <c r="V192" s="26" t="n">
        <v>1</v>
      </c>
      <c r="W192" s="26" t="n">
        <v>2</v>
      </c>
      <c r="X192" s="26" t="n">
        <v>4</v>
      </c>
      <c r="Y192" s="26" t="n">
        <v>5</v>
      </c>
      <c r="Z192" s="26" t="n">
        <v>3</v>
      </c>
      <c r="AA192" s="26" t="n">
        <v>1</v>
      </c>
      <c r="AB192" s="26" t="n">
        <v>5</v>
      </c>
      <c r="AC192" s="26" t="n">
        <v>4</v>
      </c>
      <c r="AD192" s="26" t="n">
        <v>5</v>
      </c>
      <c r="AE192" s="26" t="n">
        <v>4</v>
      </c>
      <c r="AF192" s="26" t="n">
        <v>4</v>
      </c>
      <c r="AG192" s="26" t="n">
        <v>4</v>
      </c>
      <c r="AH192" s="26" t="n">
        <v>4</v>
      </c>
      <c r="AI192" s="26" t="n">
        <v>5</v>
      </c>
      <c r="AJ192" s="26" t="n">
        <v>4</v>
      </c>
      <c r="AK192" s="26" t="n">
        <v>5</v>
      </c>
      <c r="AL192" s="26" t="n">
        <v>5</v>
      </c>
      <c r="AM192" s="26" t="n">
        <v>5</v>
      </c>
      <c r="AN192" s="26" t="n">
        <v>4</v>
      </c>
      <c r="AO192" s="26" t="n">
        <v>8</v>
      </c>
      <c r="AP192" s="24" t="n">
        <v>38</v>
      </c>
      <c r="AQ192" s="27" t="n">
        <v>85.5</v>
      </c>
      <c r="AR192" s="27" t="n">
        <v>83.4</v>
      </c>
      <c r="AS192" s="27" t="n">
        <v>28.7</v>
      </c>
      <c r="AT192" s="24" t="n">
        <v>61.84</v>
      </c>
      <c r="AU192" s="24" t="n">
        <v>0</v>
      </c>
      <c r="AV192" s="24" t="n">
        <v>0</v>
      </c>
      <c r="AW192" s="24" t="n">
        <v>0</v>
      </c>
      <c r="AX192" s="24" t="n">
        <v>37.42</v>
      </c>
      <c r="AY192" s="24" t="n">
        <v>0</v>
      </c>
      <c r="AZ192" s="24" t="n">
        <v>0.73</v>
      </c>
      <c r="BA192" s="24" t="n">
        <v>0</v>
      </c>
      <c r="BB192" s="24" t="n">
        <v>0</v>
      </c>
      <c r="BC192" s="24" t="n">
        <v>0.74</v>
      </c>
      <c r="BD192" s="24" t="n">
        <v>0</v>
      </c>
      <c r="BE192" s="24" t="n">
        <v>7.34</v>
      </c>
      <c r="BF192" s="24" t="n">
        <v>25.37</v>
      </c>
      <c r="BG192" s="24" t="n">
        <v>15.03</v>
      </c>
      <c r="BH192" s="24" t="n">
        <v>30.09</v>
      </c>
      <c r="BI192" s="24" t="n">
        <v>0</v>
      </c>
      <c r="BJ192" s="24" t="n">
        <v>0</v>
      </c>
      <c r="BK192" s="24" t="n">
        <v>0</v>
      </c>
      <c r="BL192" s="24" t="n">
        <v>1.7</v>
      </c>
      <c r="BM192" s="24" t="n">
        <v>0</v>
      </c>
      <c r="BN192" s="24" t="n">
        <v>1</v>
      </c>
      <c r="BO192" s="27" t="n">
        <v>1.55</v>
      </c>
      <c r="BP192" s="27" t="n">
        <v>1</v>
      </c>
      <c r="BQ192" s="27" t="n">
        <v>5.74</v>
      </c>
      <c r="BR192" s="27" t="n">
        <v>3.64</v>
      </c>
      <c r="BS192" s="27" t="n">
        <v>0</v>
      </c>
      <c r="BT192" s="27" t="n">
        <v>0</v>
      </c>
      <c r="BU192" s="27" t="n">
        <v>0</v>
      </c>
      <c r="BV192" s="24" t="n">
        <v>0</v>
      </c>
    </row>
    <row r="193" customFormat="false" ht="13.8" hidden="false" customHeight="false" outlineLevel="0" collapsed="false">
      <c r="A193" s="24" t="n">
        <v>2</v>
      </c>
      <c r="B193" s="0" t="n">
        <v>21.3223819301848</v>
      </c>
      <c r="C193" s="0" t="n">
        <v>0.292950034223135</v>
      </c>
      <c r="D193" s="0" t="n">
        <v>4</v>
      </c>
      <c r="E193" s="0" t="n">
        <v>76.5</v>
      </c>
      <c r="F193" s="0" t="n">
        <v>1.83</v>
      </c>
      <c r="G193" s="0" t="n">
        <v>22.8433216877184</v>
      </c>
      <c r="H193" s="0" t="n">
        <v>0</v>
      </c>
      <c r="I193" s="0" t="n">
        <v>0</v>
      </c>
      <c r="J193" s="26"/>
      <c r="K193" s="26" t="n">
        <v>1</v>
      </c>
      <c r="L193" s="26" t="n">
        <v>1</v>
      </c>
      <c r="M193" s="26"/>
      <c r="N193" s="26" t="n">
        <v>0</v>
      </c>
      <c r="O193" s="26" t="n">
        <v>0</v>
      </c>
      <c r="P193" s="26" t="n">
        <v>0</v>
      </c>
      <c r="Q193" s="26" t="n">
        <v>0</v>
      </c>
      <c r="R193" s="26" t="n">
        <v>0</v>
      </c>
      <c r="S193" s="26" t="n">
        <v>0</v>
      </c>
      <c r="T193" s="26" t="n">
        <v>0</v>
      </c>
      <c r="U193" s="15" t="n">
        <f aca="false">AVERAGE(M193:T193)</f>
        <v>0</v>
      </c>
      <c r="V193" s="26" t="n">
        <v>2</v>
      </c>
      <c r="W193" s="26" t="n">
        <v>2</v>
      </c>
      <c r="X193" s="26" t="n">
        <v>3</v>
      </c>
      <c r="Y193" s="26" t="n">
        <v>5</v>
      </c>
      <c r="Z193" s="26" t="n">
        <v>3</v>
      </c>
      <c r="AA193" s="26" t="n">
        <v>3</v>
      </c>
      <c r="AB193" s="26" t="n">
        <v>3</v>
      </c>
      <c r="AC193" s="26" t="n">
        <v>5</v>
      </c>
      <c r="AD193" s="26" t="n">
        <v>5</v>
      </c>
      <c r="AE193" s="26" t="n">
        <v>5</v>
      </c>
      <c r="AF193" s="26" t="n">
        <v>5</v>
      </c>
      <c r="AG193" s="26" t="n">
        <v>5</v>
      </c>
      <c r="AH193" s="26" t="n">
        <v>5</v>
      </c>
      <c r="AI193" s="26" t="n">
        <v>5</v>
      </c>
      <c r="AJ193" s="26" t="n">
        <v>5</v>
      </c>
      <c r="AK193" s="26" t="n">
        <v>5</v>
      </c>
      <c r="AL193" s="26" t="n">
        <v>5</v>
      </c>
      <c r="AM193" s="26" t="n">
        <v>5</v>
      </c>
      <c r="AN193" s="26" t="n">
        <v>5</v>
      </c>
      <c r="AO193" s="26" t="n">
        <v>8</v>
      </c>
      <c r="AP193" s="24" t="n">
        <v>38</v>
      </c>
      <c r="AQ193" s="27" t="n">
        <v>85.5</v>
      </c>
      <c r="AR193" s="27" t="n">
        <v>83.4</v>
      </c>
      <c r="AS193" s="27" t="n">
        <v>28.7</v>
      </c>
      <c r="AT193" s="24" t="n">
        <v>61.84</v>
      </c>
      <c r="AU193" s="24" t="n">
        <v>0</v>
      </c>
      <c r="AV193" s="24" t="n">
        <v>0</v>
      </c>
      <c r="AW193" s="24" t="n">
        <v>0</v>
      </c>
      <c r="AX193" s="24" t="n">
        <v>37.42</v>
      </c>
      <c r="AY193" s="24" t="n">
        <v>0</v>
      </c>
      <c r="AZ193" s="24" t="n">
        <v>0.73</v>
      </c>
      <c r="BA193" s="24" t="n">
        <v>0</v>
      </c>
      <c r="BB193" s="24" t="n">
        <v>0</v>
      </c>
      <c r="BC193" s="24" t="n">
        <v>0.74</v>
      </c>
      <c r="BD193" s="24" t="n">
        <v>0</v>
      </c>
      <c r="BE193" s="24" t="n">
        <v>7.34</v>
      </c>
      <c r="BF193" s="24" t="n">
        <v>25.37</v>
      </c>
      <c r="BG193" s="24" t="n">
        <v>15.03</v>
      </c>
      <c r="BH193" s="24" t="n">
        <v>30.09</v>
      </c>
      <c r="BI193" s="24" t="n">
        <v>0</v>
      </c>
      <c r="BJ193" s="24" t="n">
        <v>0</v>
      </c>
      <c r="BK193" s="24" t="n">
        <v>0</v>
      </c>
      <c r="BL193" s="24" t="n">
        <v>1.7</v>
      </c>
      <c r="BM193" s="24" t="n">
        <v>0</v>
      </c>
      <c r="BN193" s="24" t="n">
        <v>1</v>
      </c>
      <c r="BO193" s="27" t="n">
        <v>1.55</v>
      </c>
      <c r="BP193" s="27" t="n">
        <v>1</v>
      </c>
      <c r="BQ193" s="27" t="n">
        <v>5.74</v>
      </c>
      <c r="BR193" s="27" t="n">
        <v>3.64</v>
      </c>
      <c r="BS193" s="27" t="n">
        <v>0</v>
      </c>
      <c r="BT193" s="27" t="n">
        <v>0</v>
      </c>
      <c r="BU193" s="27" t="n">
        <v>0</v>
      </c>
      <c r="BV193" s="24" t="n">
        <v>0</v>
      </c>
    </row>
    <row r="194" customFormat="false" ht="13.8" hidden="false" customHeight="false" outlineLevel="0" collapsed="false">
      <c r="A194" s="0" t="n">
        <v>1</v>
      </c>
      <c r="B194" s="0" t="n">
        <v>44.7857631759069</v>
      </c>
      <c r="C194" s="0" t="n">
        <v>5.70294318959617</v>
      </c>
      <c r="D194" s="0" t="n">
        <v>8</v>
      </c>
      <c r="E194" s="0" t="n">
        <v>65</v>
      </c>
      <c r="F194" s="0" t="n">
        <v>1.62</v>
      </c>
      <c r="G194" s="0" t="n">
        <v>24.7675659198293</v>
      </c>
      <c r="H194" s="0" t="n">
        <v>0</v>
      </c>
      <c r="I194" s="0" t="n">
        <v>0</v>
      </c>
      <c r="J194" s="19" t="n">
        <v>0</v>
      </c>
      <c r="K194" s="19" t="n">
        <v>1</v>
      </c>
      <c r="L194" s="19" t="n">
        <v>0</v>
      </c>
      <c r="M194" s="19" t="n">
        <v>0</v>
      </c>
      <c r="N194" s="19" t="n">
        <v>0</v>
      </c>
      <c r="O194" s="19" t="n">
        <v>0</v>
      </c>
      <c r="P194" s="19" t="n">
        <v>0</v>
      </c>
      <c r="Q194" s="19" t="n">
        <v>5</v>
      </c>
      <c r="R194" s="19" t="n">
        <v>5</v>
      </c>
      <c r="S194" s="19" t="n">
        <v>0</v>
      </c>
      <c r="T194" s="19" t="n">
        <v>4</v>
      </c>
      <c r="U194" s="15" t="n">
        <f aca="false">AVERAGE(M194:T194)</f>
        <v>1.75</v>
      </c>
      <c r="V194" s="19" t="n">
        <v>2</v>
      </c>
      <c r="W194" s="19" t="n">
        <v>3</v>
      </c>
      <c r="X194" s="19" t="n">
        <v>3</v>
      </c>
      <c r="Y194" s="19" t="n">
        <v>5</v>
      </c>
      <c r="Z194" s="19" t="n">
        <v>1</v>
      </c>
      <c r="AA194" s="19" t="n">
        <v>1</v>
      </c>
      <c r="AB194" s="19" t="n">
        <v>4</v>
      </c>
      <c r="AC194" s="19" t="n">
        <v>4</v>
      </c>
      <c r="AD194" s="19" t="n">
        <v>4</v>
      </c>
      <c r="AE194" s="19" t="n">
        <v>5</v>
      </c>
      <c r="AF194" s="19" t="n">
        <v>5</v>
      </c>
      <c r="AG194" s="19" t="n">
        <v>5</v>
      </c>
      <c r="AH194" s="19" t="n">
        <v>4</v>
      </c>
      <c r="AI194" s="19" t="n">
        <v>5</v>
      </c>
      <c r="AJ194" s="19" t="n">
        <v>5</v>
      </c>
      <c r="AK194" s="19" t="n">
        <v>5</v>
      </c>
      <c r="AL194" s="19" t="n">
        <v>4</v>
      </c>
      <c r="AM194" s="19" t="n">
        <v>4</v>
      </c>
      <c r="AN194" s="19" t="n">
        <v>4</v>
      </c>
      <c r="AO194" s="19" t="n">
        <v>5</v>
      </c>
      <c r="AP194" s="0" t="n">
        <v>8</v>
      </c>
      <c r="AQ194" s="16" t="n">
        <v>55.4</v>
      </c>
      <c r="AR194" s="16" t="n">
        <v>560.98</v>
      </c>
      <c r="AS194" s="16" t="n">
        <v>5.9</v>
      </c>
      <c r="AT194" s="0" t="n">
        <v>5.07</v>
      </c>
      <c r="AU194" s="0" t="n">
        <v>0</v>
      </c>
      <c r="AV194" s="0" t="n">
        <v>0.51</v>
      </c>
      <c r="AW194" s="0" t="n">
        <v>0</v>
      </c>
      <c r="AX194" s="0" t="n">
        <v>2.61</v>
      </c>
      <c r="AY194" s="0" t="n">
        <v>0</v>
      </c>
      <c r="AZ194" s="0" t="n">
        <v>91.79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0.41</v>
      </c>
      <c r="BF194" s="0" t="n">
        <v>3.78</v>
      </c>
      <c r="BG194" s="0" t="n">
        <v>1.66</v>
      </c>
      <c r="BH194" s="0" t="n">
        <v>0.5</v>
      </c>
      <c r="BI194" s="0" t="n">
        <v>0.71</v>
      </c>
      <c r="BJ194" s="0" t="n">
        <v>0</v>
      </c>
      <c r="BK194" s="0" t="n">
        <v>0</v>
      </c>
      <c r="BL194" s="0" t="n">
        <v>0.2</v>
      </c>
      <c r="BM194" s="0" t="n">
        <v>1</v>
      </c>
      <c r="BN194" s="0" t="n">
        <v>0</v>
      </c>
      <c r="BO194" s="16" t="n">
        <v>0.02</v>
      </c>
      <c r="BP194" s="16" t="n">
        <v>1</v>
      </c>
      <c r="BQ194" s="16" t="n">
        <v>1.21</v>
      </c>
      <c r="BR194" s="16" t="n">
        <v>1.2</v>
      </c>
      <c r="BS194" s="16" t="n">
        <v>0.53</v>
      </c>
      <c r="BT194" s="16" t="n">
        <v>0.45</v>
      </c>
      <c r="BU194" s="16" t="n">
        <v>0</v>
      </c>
      <c r="BV194" s="0" t="n">
        <v>0</v>
      </c>
    </row>
    <row r="195" customFormat="false" ht="13.8" hidden="false" customHeight="false" outlineLevel="0" collapsed="false">
      <c r="A195" s="24" t="n">
        <v>1</v>
      </c>
      <c r="B195" s="0" t="n">
        <v>19.8576317590691</v>
      </c>
      <c r="C195" s="0" t="n">
        <v>0.295687885010267</v>
      </c>
      <c r="D195" s="0" t="n">
        <v>8</v>
      </c>
      <c r="E195" s="0" t="n">
        <v>51</v>
      </c>
      <c r="F195" s="0" t="n">
        <v>1.7</v>
      </c>
      <c r="G195" s="0" t="n">
        <v>17.6470588235294</v>
      </c>
      <c r="H195" s="0" t="n">
        <v>0</v>
      </c>
      <c r="I195" s="0" t="n">
        <v>0</v>
      </c>
      <c r="J195" s="26" t="n">
        <v>0</v>
      </c>
      <c r="K195" s="26" t="n">
        <v>0</v>
      </c>
      <c r="L195" s="26" t="n">
        <v>0</v>
      </c>
      <c r="M195" s="26" t="n">
        <v>0</v>
      </c>
      <c r="N195" s="26" t="n">
        <v>4</v>
      </c>
      <c r="O195" s="26" t="n">
        <v>0</v>
      </c>
      <c r="P195" s="26" t="n">
        <v>0</v>
      </c>
      <c r="Q195" s="26"/>
      <c r="R195" s="26" t="n">
        <v>2</v>
      </c>
      <c r="S195" s="26" t="n">
        <v>0</v>
      </c>
      <c r="T195" s="26" t="n">
        <v>0</v>
      </c>
      <c r="U195" s="15" t="n">
        <f aca="false">AVERAGE(M195:T195)</f>
        <v>0.857142857142857</v>
      </c>
      <c r="V195" s="26" t="n">
        <v>1</v>
      </c>
      <c r="W195" s="26" t="n">
        <v>1</v>
      </c>
      <c r="X195" s="26" t="n">
        <v>3</v>
      </c>
      <c r="Y195" s="26" t="n">
        <v>5</v>
      </c>
      <c r="Z195" s="26" t="n">
        <v>1</v>
      </c>
      <c r="AA195" s="26" t="n">
        <v>1</v>
      </c>
      <c r="AB195" s="26" t="n">
        <v>3</v>
      </c>
      <c r="AC195" s="26" t="n">
        <v>1</v>
      </c>
      <c r="AD195" s="26" t="n">
        <v>3</v>
      </c>
      <c r="AE195" s="26" t="n">
        <v>2</v>
      </c>
      <c r="AF195" s="26" t="n">
        <v>4</v>
      </c>
      <c r="AG195" s="26" t="n">
        <v>4</v>
      </c>
      <c r="AH195" s="26" t="n">
        <v>1</v>
      </c>
      <c r="AI195" s="26" t="n">
        <v>3</v>
      </c>
      <c r="AJ195" s="26" t="n">
        <v>2</v>
      </c>
      <c r="AK195" s="26" t="n">
        <v>4</v>
      </c>
      <c r="AL195" s="26" t="n">
        <v>4</v>
      </c>
      <c r="AM195" s="26" t="n">
        <v>4</v>
      </c>
      <c r="AN195" s="26" t="n">
        <v>4</v>
      </c>
      <c r="AO195" s="26" t="n">
        <v>8</v>
      </c>
      <c r="AP195" s="24" t="n">
        <v>38</v>
      </c>
      <c r="AQ195" s="27" t="n">
        <v>85.5</v>
      </c>
      <c r="AR195" s="27" t="n">
        <v>83.4</v>
      </c>
      <c r="AS195" s="27" t="n">
        <v>28.7</v>
      </c>
      <c r="AT195" s="24" t="n">
        <v>61.84</v>
      </c>
      <c r="AU195" s="24" t="n">
        <v>0</v>
      </c>
      <c r="AV195" s="24" t="n">
        <v>0</v>
      </c>
      <c r="AW195" s="24" t="n">
        <v>0</v>
      </c>
      <c r="AX195" s="24" t="n">
        <v>37.42</v>
      </c>
      <c r="AY195" s="24" t="n">
        <v>0</v>
      </c>
      <c r="AZ195" s="24" t="n">
        <v>0.73</v>
      </c>
      <c r="BA195" s="24" t="n">
        <v>0</v>
      </c>
      <c r="BB195" s="24" t="n">
        <v>0</v>
      </c>
      <c r="BC195" s="24" t="n">
        <v>0.74</v>
      </c>
      <c r="BD195" s="24" t="n">
        <v>0</v>
      </c>
      <c r="BE195" s="24" t="n">
        <v>7.34</v>
      </c>
      <c r="BF195" s="24" t="n">
        <v>25.37</v>
      </c>
      <c r="BG195" s="24" t="n">
        <v>15.03</v>
      </c>
      <c r="BH195" s="24" t="n">
        <v>30.09</v>
      </c>
      <c r="BI195" s="24" t="n">
        <v>0</v>
      </c>
      <c r="BJ195" s="24" t="n">
        <v>0</v>
      </c>
      <c r="BK195" s="24" t="n">
        <v>0</v>
      </c>
      <c r="BL195" s="24" t="n">
        <v>1.7</v>
      </c>
      <c r="BM195" s="24" t="n">
        <v>0</v>
      </c>
      <c r="BN195" s="24" t="n">
        <v>1</v>
      </c>
      <c r="BO195" s="27" t="n">
        <v>1.55</v>
      </c>
      <c r="BP195" s="27" t="n">
        <v>1</v>
      </c>
      <c r="BQ195" s="27" t="n">
        <v>5.74</v>
      </c>
      <c r="BR195" s="27" t="n">
        <v>3.64</v>
      </c>
      <c r="BS195" s="27" t="n">
        <v>0</v>
      </c>
      <c r="BT195" s="27" t="n">
        <v>0</v>
      </c>
      <c r="BU195" s="27" t="n">
        <v>0</v>
      </c>
      <c r="BV195" s="24" t="n">
        <v>0</v>
      </c>
    </row>
    <row r="196" customFormat="false" ht="13.8" hidden="false" customHeight="false" outlineLevel="0" collapsed="false">
      <c r="A196" s="0" t="n">
        <v>2</v>
      </c>
      <c r="B196" s="0" t="n">
        <v>34.5325119780972</v>
      </c>
      <c r="C196" s="0" t="n">
        <v>0.306639288158795</v>
      </c>
      <c r="D196" s="0" t="n">
        <v>4</v>
      </c>
      <c r="E196" s="0" t="n">
        <v>86</v>
      </c>
      <c r="F196" s="0" t="n">
        <v>1.85</v>
      </c>
      <c r="G196" s="0" t="n">
        <v>25.1278305332359</v>
      </c>
      <c r="H196" s="0" t="n">
        <v>0</v>
      </c>
      <c r="I196" s="0" t="n">
        <v>0</v>
      </c>
      <c r="J196" s="19" t="n">
        <v>0</v>
      </c>
      <c r="K196" s="19" t="n">
        <v>0</v>
      </c>
      <c r="L196" s="19" t="n">
        <v>0</v>
      </c>
      <c r="M196" s="19" t="n">
        <v>0</v>
      </c>
      <c r="N196" s="19" t="n">
        <v>0</v>
      </c>
      <c r="O196" s="19" t="n">
        <v>0</v>
      </c>
      <c r="P196" s="19" t="n">
        <v>0</v>
      </c>
      <c r="Q196" s="19" t="n">
        <v>0</v>
      </c>
      <c r="R196" s="19" t="n">
        <v>0</v>
      </c>
      <c r="S196" s="19" t="n">
        <v>0</v>
      </c>
      <c r="T196" s="19" t="n">
        <v>3</v>
      </c>
      <c r="U196" s="15" t="n">
        <f aca="false">AVERAGE(M196:T196)</f>
        <v>0.375</v>
      </c>
      <c r="V196" s="19" t="n">
        <v>1</v>
      </c>
      <c r="W196" s="19" t="n">
        <v>2</v>
      </c>
      <c r="X196" s="19" t="n">
        <v>3</v>
      </c>
      <c r="Y196" s="19" t="n">
        <v>4</v>
      </c>
      <c r="Z196" s="19" t="n">
        <v>2</v>
      </c>
      <c r="AA196" s="19" t="n">
        <v>1</v>
      </c>
      <c r="AB196" s="19" t="n">
        <v>2</v>
      </c>
      <c r="AC196" s="19" t="n">
        <v>3</v>
      </c>
      <c r="AD196" s="19" t="n">
        <v>3</v>
      </c>
      <c r="AE196" s="19" t="n">
        <v>3</v>
      </c>
      <c r="AF196" s="19" t="n">
        <v>4</v>
      </c>
      <c r="AG196" s="19" t="n">
        <v>5</v>
      </c>
      <c r="AH196" s="19" t="n">
        <v>4</v>
      </c>
      <c r="AI196" s="19" t="n">
        <v>4</v>
      </c>
      <c r="AJ196" s="19" t="n">
        <v>4</v>
      </c>
      <c r="AK196" s="19" t="n">
        <v>5</v>
      </c>
      <c r="AL196" s="19" t="n">
        <v>4</v>
      </c>
      <c r="AM196" s="19" t="n">
        <v>4</v>
      </c>
      <c r="AN196" s="19" t="n">
        <v>4</v>
      </c>
      <c r="AO196" s="19" t="n">
        <v>7</v>
      </c>
      <c r="AP196" s="0" t="n">
        <v>64</v>
      </c>
      <c r="AQ196" s="16" t="n">
        <v>74.3</v>
      </c>
      <c r="AR196" s="16" t="n">
        <v>81</v>
      </c>
      <c r="AS196" s="16" t="n">
        <v>58.5</v>
      </c>
      <c r="AT196" s="0" t="n">
        <v>49.17</v>
      </c>
      <c r="AU196" s="0" t="n">
        <v>0</v>
      </c>
      <c r="AV196" s="0" t="n">
        <v>34.45</v>
      </c>
      <c r="AW196" s="0" t="n">
        <v>16.22</v>
      </c>
      <c r="AX196" s="0" t="n">
        <v>0.16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2.52</v>
      </c>
      <c r="BH196" s="0" t="n">
        <v>9.18</v>
      </c>
      <c r="BI196" s="0" t="n">
        <v>0</v>
      </c>
      <c r="BJ196" s="0" t="n">
        <v>0</v>
      </c>
      <c r="BK196" s="0" t="n">
        <v>0</v>
      </c>
      <c r="BL196" s="0" t="n">
        <v>0.3</v>
      </c>
      <c r="BM196" s="0" t="n">
        <v>1</v>
      </c>
      <c r="BN196" s="0" t="n">
        <v>0</v>
      </c>
      <c r="BO196" s="16" t="n">
        <v>2.89</v>
      </c>
      <c r="BP196" s="16" t="n">
        <v>1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0" t="n">
        <v>0</v>
      </c>
    </row>
    <row r="197" customFormat="false" ht="13.8" hidden="false" customHeight="false" outlineLevel="0" collapsed="false">
      <c r="A197" s="0" t="n">
        <v>2</v>
      </c>
      <c r="B197" s="0" t="n">
        <v>22.1409993155373</v>
      </c>
      <c r="C197" s="0" t="n">
        <v>0.216290212183436</v>
      </c>
      <c r="D197" s="0" t="n">
        <v>8</v>
      </c>
      <c r="E197" s="0" t="n">
        <v>99</v>
      </c>
      <c r="F197" s="0" t="n">
        <v>1.67</v>
      </c>
      <c r="G197" s="0" t="n">
        <v>35.4978665423644</v>
      </c>
      <c r="H197" s="0" t="n">
        <v>0</v>
      </c>
      <c r="I197" s="0" t="n">
        <v>0</v>
      </c>
      <c r="J197" s="19" t="n">
        <v>0</v>
      </c>
      <c r="K197" s="19" t="n">
        <v>1</v>
      </c>
      <c r="L197" s="19" t="n">
        <v>0</v>
      </c>
      <c r="M197" s="19" t="n">
        <v>0</v>
      </c>
      <c r="N197" s="19" t="n">
        <v>0</v>
      </c>
      <c r="O197" s="19" t="n">
        <v>0</v>
      </c>
      <c r="P197" s="19" t="n">
        <v>0</v>
      </c>
      <c r="Q197" s="19" t="n">
        <v>0</v>
      </c>
      <c r="R197" s="19" t="n">
        <v>0</v>
      </c>
      <c r="S197" s="19" t="n">
        <v>0</v>
      </c>
      <c r="T197" s="19" t="n">
        <v>0</v>
      </c>
      <c r="U197" s="15" t="n">
        <f aca="false">AVERAGE(M197:T197)</f>
        <v>0</v>
      </c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 t="n">
        <v>5</v>
      </c>
      <c r="AM197" s="19" t="n">
        <v>5</v>
      </c>
      <c r="AN197" s="19" t="n">
        <v>4</v>
      </c>
      <c r="AO197" s="19" t="n">
        <v>8</v>
      </c>
      <c r="AP197" s="0" t="n">
        <v>64.5</v>
      </c>
      <c r="AQ197" s="16" t="n">
        <v>77.8</v>
      </c>
      <c r="AR197" s="16" t="n">
        <v>81</v>
      </c>
      <c r="AS197" s="16" t="n">
        <v>52.5</v>
      </c>
      <c r="AT197" s="0" t="n">
        <v>50.19</v>
      </c>
      <c r="AU197" s="0" t="n">
        <v>0</v>
      </c>
      <c r="AV197" s="0" t="n">
        <v>26.36</v>
      </c>
      <c r="AW197" s="0" t="n">
        <v>23.45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1.91</v>
      </c>
      <c r="BG197" s="0" t="n">
        <v>2.12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5.4</v>
      </c>
      <c r="BM197" s="0" t="n">
        <v>1</v>
      </c>
      <c r="BN197" s="0" t="n">
        <v>1</v>
      </c>
      <c r="BO197" s="16" t="n">
        <v>3.48</v>
      </c>
      <c r="BP197" s="16" t="n">
        <v>1</v>
      </c>
      <c r="BQ197" s="16" t="n">
        <v>0.13</v>
      </c>
      <c r="BR197" s="16" t="n">
        <v>0.13</v>
      </c>
      <c r="BS197" s="16" t="n">
        <v>0</v>
      </c>
      <c r="BT197" s="16" t="n">
        <v>0</v>
      </c>
      <c r="BU197" s="16" t="n">
        <v>0</v>
      </c>
      <c r="BV197" s="0" t="n">
        <v>0</v>
      </c>
    </row>
    <row r="198" customFormat="false" ht="13.8" hidden="false" customHeight="false" outlineLevel="0" collapsed="false">
      <c r="A198" s="0" t="n">
        <v>2</v>
      </c>
      <c r="B198" s="0" t="n">
        <v>37.5633127994524</v>
      </c>
      <c r="C198" s="0" t="n">
        <v>10.362765229295</v>
      </c>
      <c r="D198" s="0" t="n">
        <v>4</v>
      </c>
      <c r="E198" s="0" t="n">
        <v>68</v>
      </c>
      <c r="F198" s="0" t="n">
        <v>1.72</v>
      </c>
      <c r="G198" s="0" t="n">
        <v>22.9853975121687</v>
      </c>
      <c r="H198" s="0" t="n">
        <v>0</v>
      </c>
      <c r="I198" s="0" t="n">
        <v>0</v>
      </c>
      <c r="J198" s="19" t="n">
        <v>1</v>
      </c>
      <c r="K198" s="19" t="n">
        <v>0</v>
      </c>
      <c r="L198" s="19" t="n">
        <v>0</v>
      </c>
      <c r="M198" s="19" t="n">
        <v>0</v>
      </c>
      <c r="N198" s="19" t="n">
        <v>0</v>
      </c>
      <c r="O198" s="19" t="n">
        <v>5</v>
      </c>
      <c r="P198" s="19" t="n">
        <v>0</v>
      </c>
      <c r="Q198" s="19" t="n">
        <v>9</v>
      </c>
      <c r="R198" s="19" t="n">
        <v>9</v>
      </c>
      <c r="S198" s="19" t="n">
        <v>0</v>
      </c>
      <c r="T198" s="19"/>
      <c r="U198" s="15" t="n">
        <f aca="false">AVERAGE(M198:T198)</f>
        <v>3.28571428571429</v>
      </c>
      <c r="V198" s="19" t="n">
        <v>3</v>
      </c>
      <c r="W198" s="19" t="n">
        <v>2</v>
      </c>
      <c r="X198" s="19" t="n">
        <v>3</v>
      </c>
      <c r="Y198" s="19" t="n">
        <v>5</v>
      </c>
      <c r="Z198" s="19" t="n">
        <v>2</v>
      </c>
      <c r="AA198" s="19" t="n">
        <v>3</v>
      </c>
      <c r="AB198" s="19" t="n">
        <v>4</v>
      </c>
      <c r="AC198" s="19" t="n">
        <v>4</v>
      </c>
      <c r="AD198" s="19" t="n">
        <v>4</v>
      </c>
      <c r="AE198" s="19" t="n">
        <v>3</v>
      </c>
      <c r="AF198" s="19" t="n">
        <v>3</v>
      </c>
      <c r="AG198" s="19" t="n">
        <v>4</v>
      </c>
      <c r="AH198" s="19" t="n">
        <v>4</v>
      </c>
      <c r="AI198" s="19" t="n">
        <v>4</v>
      </c>
      <c r="AJ198" s="19" t="n">
        <v>4</v>
      </c>
      <c r="AK198" s="19" t="n">
        <v>4</v>
      </c>
      <c r="AL198" s="19" t="n">
        <v>4</v>
      </c>
      <c r="AM198" s="19" t="n">
        <v>4</v>
      </c>
      <c r="AN198" s="19" t="n">
        <v>4</v>
      </c>
      <c r="AO198" s="19" t="n">
        <v>8</v>
      </c>
      <c r="AP198" s="0" t="n">
        <v>40</v>
      </c>
      <c r="AQ198" s="16" t="n">
        <v>84.9</v>
      </c>
      <c r="AR198" s="16" t="n">
        <v>81</v>
      </c>
      <c r="AS198" s="16" t="n">
        <v>13.2</v>
      </c>
      <c r="AT198" s="0" t="n">
        <v>93.04</v>
      </c>
      <c r="AU198" s="0" t="n">
        <v>0</v>
      </c>
      <c r="AV198" s="0" t="n">
        <v>0</v>
      </c>
      <c r="AW198" s="0" t="n">
        <v>3.59</v>
      </c>
      <c r="AX198" s="0" t="n">
        <v>3.38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1.7</v>
      </c>
      <c r="BF198" s="0" t="n">
        <v>3.97</v>
      </c>
      <c r="BG198" s="0" t="n">
        <v>39.76</v>
      </c>
      <c r="BH198" s="0" t="n">
        <v>0.13</v>
      </c>
      <c r="BI198" s="0" t="n">
        <v>0</v>
      </c>
      <c r="BJ198" s="0" t="n">
        <v>0</v>
      </c>
      <c r="BK198" s="0" t="n">
        <v>0</v>
      </c>
      <c r="BL198" s="0" t="n">
        <v>15.9</v>
      </c>
      <c r="BM198" s="0" t="n">
        <v>1</v>
      </c>
      <c r="BN198" s="0" t="n">
        <v>1</v>
      </c>
      <c r="BO198" s="16" t="n">
        <v>1.48</v>
      </c>
      <c r="BP198" s="16" t="n">
        <v>1</v>
      </c>
      <c r="BQ198" s="16" t="n">
        <v>7.34</v>
      </c>
      <c r="BR198" s="16" t="n">
        <v>5.01</v>
      </c>
      <c r="BS198" s="16" t="n">
        <v>0</v>
      </c>
      <c r="BT198" s="16" t="n">
        <v>0</v>
      </c>
      <c r="BU198" s="16" t="n">
        <v>0</v>
      </c>
      <c r="BV198" s="0" t="n">
        <v>0</v>
      </c>
    </row>
    <row r="199" customFormat="false" ht="13.8" hidden="false" customHeight="false" outlineLevel="0" collapsed="false">
      <c r="A199" s="0" t="n">
        <v>2</v>
      </c>
      <c r="B199" s="0" t="n">
        <v>37.0431211498973</v>
      </c>
      <c r="C199" s="0" t="n">
        <v>0.249144421629021</v>
      </c>
      <c r="D199" s="0" t="n">
        <v>8</v>
      </c>
      <c r="E199" s="0" t="n">
        <v>66</v>
      </c>
      <c r="F199" s="0" t="n">
        <v>1.69</v>
      </c>
      <c r="G199" s="0" t="n">
        <v>23.1084345786212</v>
      </c>
      <c r="H199" s="0" t="n">
        <v>0</v>
      </c>
      <c r="I199" s="0" t="n">
        <v>0</v>
      </c>
      <c r="J199" s="19" t="n">
        <v>1</v>
      </c>
      <c r="K199" s="19" t="n">
        <v>1</v>
      </c>
      <c r="L199" s="19" t="n">
        <v>0</v>
      </c>
      <c r="M199" s="19" t="n">
        <v>6</v>
      </c>
      <c r="N199" s="19"/>
      <c r="O199" s="19" t="n">
        <v>0</v>
      </c>
      <c r="P199" s="19" t="n">
        <v>0</v>
      </c>
      <c r="Q199" s="19" t="n">
        <v>7</v>
      </c>
      <c r="R199" s="19" t="n">
        <v>0</v>
      </c>
      <c r="S199" s="19" t="n">
        <v>0</v>
      </c>
      <c r="T199" s="19" t="n">
        <v>0</v>
      </c>
      <c r="U199" s="15" t="n">
        <f aca="false">AVERAGE(M199:T199)</f>
        <v>1.85714285714286</v>
      </c>
      <c r="V199" s="19" t="n">
        <v>4</v>
      </c>
      <c r="W199" s="19" t="n">
        <v>3</v>
      </c>
      <c r="X199" s="19" t="n">
        <v>5</v>
      </c>
      <c r="Y199" s="19" t="n">
        <v>4</v>
      </c>
      <c r="Z199" s="19" t="n">
        <v>2</v>
      </c>
      <c r="AA199" s="19" t="n">
        <v>3</v>
      </c>
      <c r="AB199" s="19" t="n">
        <v>2</v>
      </c>
      <c r="AC199" s="19" t="n">
        <v>2</v>
      </c>
      <c r="AD199" s="19" t="n">
        <v>2</v>
      </c>
      <c r="AE199" s="19" t="n">
        <v>3</v>
      </c>
      <c r="AF199" s="19" t="n">
        <v>2</v>
      </c>
      <c r="AG199" s="19" t="n">
        <v>4</v>
      </c>
      <c r="AH199" s="19" t="n">
        <v>4</v>
      </c>
      <c r="AI199" s="19" t="n">
        <v>4</v>
      </c>
      <c r="AJ199" s="19" t="n">
        <v>5</v>
      </c>
      <c r="AK199" s="19" t="n">
        <v>4</v>
      </c>
      <c r="AL199" s="19" t="n">
        <v>4</v>
      </c>
      <c r="AM199" s="19" t="n">
        <v>4</v>
      </c>
      <c r="AN199" s="19" t="n">
        <v>3</v>
      </c>
      <c r="AO199" s="19" t="n">
        <v>6</v>
      </c>
      <c r="AP199" s="0" t="n">
        <v>33</v>
      </c>
      <c r="AQ199" s="16" t="n">
        <v>71.2</v>
      </c>
      <c r="AR199" s="16" t="n">
        <v>80.4</v>
      </c>
      <c r="AS199" s="16" t="n">
        <v>16.3</v>
      </c>
      <c r="AT199" s="0" t="n">
        <v>83.24</v>
      </c>
      <c r="AU199" s="17" t="n">
        <v>0</v>
      </c>
      <c r="AV199" s="0" t="n">
        <v>0</v>
      </c>
      <c r="AW199" s="0" t="n">
        <v>0</v>
      </c>
      <c r="AX199" s="0" t="n">
        <v>14.14</v>
      </c>
      <c r="AY199" s="0" t="n">
        <v>0</v>
      </c>
      <c r="AZ199" s="0" t="n">
        <v>2.63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2.63</v>
      </c>
      <c r="BF199" s="0" t="n">
        <v>10.16</v>
      </c>
      <c r="BG199" s="0" t="n">
        <v>20.83</v>
      </c>
      <c r="BH199" s="0" t="n">
        <v>24.81</v>
      </c>
      <c r="BI199" s="0" t="n">
        <v>0</v>
      </c>
      <c r="BJ199" s="0" t="n">
        <v>11.2</v>
      </c>
      <c r="BK199" s="0" t="n">
        <v>1</v>
      </c>
      <c r="BL199" s="0" t="n">
        <v>0</v>
      </c>
      <c r="BM199" s="0" t="n">
        <v>0</v>
      </c>
      <c r="BN199" s="0" t="n">
        <v>0</v>
      </c>
      <c r="BO199" s="16" t="n">
        <v>2.71</v>
      </c>
      <c r="BP199" s="16" t="n">
        <v>1</v>
      </c>
      <c r="BQ199" s="16" t="n">
        <v>2.63</v>
      </c>
      <c r="BR199" s="16" t="n">
        <v>2.6</v>
      </c>
      <c r="BS199" s="16" t="n">
        <v>0</v>
      </c>
      <c r="BT199" s="16" t="n">
        <v>0</v>
      </c>
      <c r="BU199" s="16" t="n">
        <v>0</v>
      </c>
      <c r="BV199" s="0" t="n">
        <v>0</v>
      </c>
    </row>
    <row r="200" customFormat="false" ht="13.8" hidden="false" customHeight="false" outlineLevel="0" collapsed="false">
      <c r="A200" s="0" t="n">
        <v>1</v>
      </c>
      <c r="B200" s="0" t="n">
        <v>36.3285420944559</v>
      </c>
      <c r="C200" s="0" t="n">
        <v>0.232717316906229</v>
      </c>
      <c r="D200" s="0" t="n">
        <v>8</v>
      </c>
      <c r="E200" s="0" t="n">
        <v>85</v>
      </c>
      <c r="F200" s="0" t="n">
        <v>1.6</v>
      </c>
      <c r="G200" s="0" t="n">
        <v>33.203125</v>
      </c>
      <c r="H200" s="0" t="n">
        <v>0</v>
      </c>
      <c r="I200" s="0" t="n">
        <v>0</v>
      </c>
      <c r="J200" s="19" t="n">
        <v>0</v>
      </c>
      <c r="K200" s="19" t="n">
        <v>1</v>
      </c>
      <c r="L200" s="19" t="n">
        <v>0</v>
      </c>
      <c r="M200" s="19" t="n">
        <v>0</v>
      </c>
      <c r="N200" s="19" t="n">
        <v>0</v>
      </c>
      <c r="O200" s="19" t="n">
        <v>3</v>
      </c>
      <c r="P200" s="19" t="n">
        <v>3</v>
      </c>
      <c r="Q200" s="19" t="n">
        <v>0</v>
      </c>
      <c r="R200" s="19" t="n">
        <v>0</v>
      </c>
      <c r="S200" s="19" t="n">
        <v>0</v>
      </c>
      <c r="T200" s="19" t="n">
        <v>0</v>
      </c>
      <c r="U200" s="15" t="n">
        <f aca="false">AVERAGE(M200:T200)</f>
        <v>0.75</v>
      </c>
      <c r="V200" s="19" t="n">
        <v>1</v>
      </c>
      <c r="W200" s="19" t="n">
        <v>1</v>
      </c>
      <c r="X200" s="19" t="n">
        <v>5</v>
      </c>
      <c r="Y200" s="19" t="n">
        <v>5</v>
      </c>
      <c r="Z200" s="19" t="n">
        <v>1</v>
      </c>
      <c r="AA200" s="19" t="n">
        <v>1</v>
      </c>
      <c r="AB200" s="19" t="n">
        <v>5</v>
      </c>
      <c r="AC200" s="19" t="n">
        <v>5</v>
      </c>
      <c r="AD200" s="19" t="n">
        <v>5</v>
      </c>
      <c r="AE200" s="19" t="n">
        <v>5</v>
      </c>
      <c r="AF200" s="19" t="n">
        <v>5</v>
      </c>
      <c r="AG200" s="19" t="n">
        <v>5</v>
      </c>
      <c r="AH200" s="19" t="n">
        <v>4</v>
      </c>
      <c r="AI200" s="19" t="n">
        <v>5</v>
      </c>
      <c r="AJ200" s="19" t="n">
        <v>2</v>
      </c>
      <c r="AK200" s="19" t="n">
        <v>4</v>
      </c>
      <c r="AL200" s="19" t="n">
        <v>5</v>
      </c>
      <c r="AM200" s="19" t="n">
        <v>5</v>
      </c>
      <c r="AN200" s="19" t="n">
        <v>4</v>
      </c>
      <c r="AO200" s="19" t="n">
        <v>9</v>
      </c>
      <c r="AP200" s="0" t="n">
        <v>40</v>
      </c>
      <c r="AQ200" s="16" t="n">
        <v>84.9</v>
      </c>
      <c r="AR200" s="16" t="n">
        <v>81</v>
      </c>
      <c r="AS200" s="16" t="n">
        <v>13.2</v>
      </c>
      <c r="AT200" s="0" t="n">
        <v>93.04</v>
      </c>
      <c r="AU200" s="0" t="n">
        <v>0</v>
      </c>
      <c r="AV200" s="0" t="n">
        <v>0</v>
      </c>
      <c r="AW200" s="0" t="n">
        <v>3.59</v>
      </c>
      <c r="AX200" s="0" t="n">
        <v>3.38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1.7</v>
      </c>
      <c r="BF200" s="0" t="n">
        <v>3.97</v>
      </c>
      <c r="BG200" s="0" t="n">
        <v>39.76</v>
      </c>
      <c r="BH200" s="0" t="n">
        <v>0.13</v>
      </c>
      <c r="BI200" s="0" t="n">
        <v>0</v>
      </c>
      <c r="BJ200" s="0" t="n">
        <v>0</v>
      </c>
      <c r="BK200" s="0" t="n">
        <v>0</v>
      </c>
      <c r="BL200" s="0" t="n">
        <v>15.9</v>
      </c>
      <c r="BM200" s="0" t="n">
        <v>1</v>
      </c>
      <c r="BN200" s="0" t="n">
        <v>1</v>
      </c>
      <c r="BO200" s="16" t="n">
        <v>1.48</v>
      </c>
      <c r="BP200" s="16" t="n">
        <v>1</v>
      </c>
      <c r="BQ200" s="16" t="n">
        <v>7.34</v>
      </c>
      <c r="BR200" s="16" t="n">
        <v>5.01</v>
      </c>
      <c r="BS200" s="16" t="n">
        <v>0</v>
      </c>
      <c r="BT200" s="16" t="n">
        <v>0</v>
      </c>
      <c r="BU200" s="16" t="n">
        <v>0</v>
      </c>
      <c r="BV200" s="0" t="n">
        <v>0</v>
      </c>
    </row>
    <row r="201" customFormat="false" ht="13.8" hidden="false" customHeight="false" outlineLevel="0" collapsed="false">
      <c r="A201" s="0" t="n">
        <v>1</v>
      </c>
      <c r="B201" s="0" t="n">
        <v>22.1930184804928</v>
      </c>
      <c r="C201" s="0" t="n">
        <v>0.202600958247775</v>
      </c>
      <c r="D201" s="0" t="n">
        <v>4</v>
      </c>
      <c r="E201" s="0" t="n">
        <v>74.1</v>
      </c>
      <c r="F201" s="0" t="n">
        <v>1.73</v>
      </c>
      <c r="G201" s="0" t="n">
        <v>24.7585953423101</v>
      </c>
      <c r="H201" s="0" t="n">
        <v>0</v>
      </c>
      <c r="I201" s="0" t="n">
        <v>0</v>
      </c>
      <c r="J201" s="19" t="n">
        <v>0</v>
      </c>
      <c r="K201" s="19" t="n">
        <v>0</v>
      </c>
      <c r="L201" s="19" t="n">
        <v>0</v>
      </c>
      <c r="M201" s="19" t="n">
        <v>0</v>
      </c>
      <c r="N201" s="19" t="n">
        <v>0</v>
      </c>
      <c r="O201" s="19" t="n">
        <v>0</v>
      </c>
      <c r="P201" s="19" t="n">
        <v>0</v>
      </c>
      <c r="Q201" s="19" t="n">
        <v>0</v>
      </c>
      <c r="R201" s="19" t="n">
        <v>0</v>
      </c>
      <c r="S201" s="19" t="n">
        <v>0</v>
      </c>
      <c r="T201" s="19" t="n">
        <v>0</v>
      </c>
      <c r="U201" s="15" t="n">
        <f aca="false">AVERAGE(M201:T201)</f>
        <v>0</v>
      </c>
      <c r="V201" s="19" t="n">
        <v>1</v>
      </c>
      <c r="W201" s="19" t="n">
        <v>1</v>
      </c>
      <c r="X201" s="19" t="n">
        <v>2</v>
      </c>
      <c r="Y201" s="19" t="n">
        <v>3</v>
      </c>
      <c r="Z201" s="19" t="n">
        <v>1</v>
      </c>
      <c r="AA201" s="19" t="n">
        <v>1</v>
      </c>
      <c r="AB201" s="19" t="n">
        <v>4</v>
      </c>
      <c r="AC201" s="19" t="n">
        <v>3</v>
      </c>
      <c r="AD201" s="19" t="n">
        <v>3</v>
      </c>
      <c r="AE201" s="19" t="n">
        <v>4</v>
      </c>
      <c r="AF201" s="19" t="n">
        <v>5</v>
      </c>
      <c r="AG201" s="19" t="n">
        <v>5</v>
      </c>
      <c r="AH201" s="19" t="n">
        <v>4</v>
      </c>
      <c r="AI201" s="19" t="n">
        <v>5</v>
      </c>
      <c r="AJ201" s="19" t="n">
        <v>5</v>
      </c>
      <c r="AK201" s="19" t="n">
        <v>5</v>
      </c>
      <c r="AL201" s="19" t="n">
        <v>4</v>
      </c>
      <c r="AM201" s="19" t="n">
        <v>4</v>
      </c>
      <c r="AN201" s="19" t="n">
        <v>4</v>
      </c>
      <c r="AO201" s="19" t="n">
        <v>8</v>
      </c>
      <c r="AP201" s="0" t="n">
        <v>64</v>
      </c>
      <c r="AQ201" s="16" t="n">
        <v>74.3</v>
      </c>
      <c r="AR201" s="16" t="n">
        <v>81</v>
      </c>
      <c r="AS201" s="16" t="n">
        <v>58.5</v>
      </c>
      <c r="AT201" s="0" t="n">
        <v>49.17</v>
      </c>
      <c r="AU201" s="0" t="n">
        <v>0</v>
      </c>
      <c r="AV201" s="0" t="n">
        <v>34.45</v>
      </c>
      <c r="AW201" s="0" t="n">
        <v>16.22</v>
      </c>
      <c r="AX201" s="0" t="n">
        <v>0.16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2.52</v>
      </c>
      <c r="BH201" s="0" t="n">
        <v>9.18</v>
      </c>
      <c r="BI201" s="0" t="n">
        <v>0</v>
      </c>
      <c r="BJ201" s="0" t="n">
        <v>0</v>
      </c>
      <c r="BK201" s="0" t="n">
        <v>0</v>
      </c>
      <c r="BL201" s="0" t="n">
        <v>0.3</v>
      </c>
      <c r="BM201" s="0" t="n">
        <v>1</v>
      </c>
      <c r="BN201" s="0" t="n">
        <v>0</v>
      </c>
      <c r="BO201" s="16" t="n">
        <v>2.89</v>
      </c>
      <c r="BP201" s="16" t="n">
        <v>1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0" t="n">
        <v>0</v>
      </c>
    </row>
    <row r="202" customFormat="false" ht="13.8" hidden="false" customHeight="false" outlineLevel="0" collapsed="false">
      <c r="A202" s="0" t="n">
        <v>2</v>
      </c>
      <c r="B202" s="0" t="n">
        <v>52.2135523613963</v>
      </c>
      <c r="C202" s="0" t="n">
        <v>21.3278576317591</v>
      </c>
      <c r="D202" s="0" t="n">
        <v>8</v>
      </c>
      <c r="E202" s="0" t="n">
        <v>68</v>
      </c>
      <c r="F202" s="0" t="n">
        <v>1.69</v>
      </c>
      <c r="G202" s="0" t="n">
        <v>23.8086901719128</v>
      </c>
      <c r="H202" s="0" t="n">
        <v>1</v>
      </c>
      <c r="I202" s="0" t="n">
        <v>0</v>
      </c>
      <c r="J202" s="19" t="n">
        <v>0</v>
      </c>
      <c r="K202" s="19" t="n">
        <v>0</v>
      </c>
      <c r="L202" s="19" t="n">
        <v>1</v>
      </c>
      <c r="M202" s="19" t="n">
        <v>0</v>
      </c>
      <c r="N202" s="19" t="n">
        <v>0</v>
      </c>
      <c r="O202" s="19" t="n">
        <v>6</v>
      </c>
      <c r="P202" s="19" t="n">
        <v>3</v>
      </c>
      <c r="Q202" s="19" t="n">
        <v>0</v>
      </c>
      <c r="R202" s="19" t="n">
        <v>0</v>
      </c>
      <c r="S202" s="19" t="n">
        <v>0</v>
      </c>
      <c r="T202" s="19" t="n">
        <v>0</v>
      </c>
      <c r="U202" s="15" t="n">
        <f aca="false">AVERAGE(M202:T202)</f>
        <v>1.125</v>
      </c>
      <c r="V202" s="19" t="n">
        <v>2</v>
      </c>
      <c r="W202" s="19" t="n">
        <v>2</v>
      </c>
      <c r="X202" s="19" t="n">
        <v>3</v>
      </c>
      <c r="Y202" s="19" t="n">
        <v>5</v>
      </c>
      <c r="Z202" s="19" t="n">
        <v>2</v>
      </c>
      <c r="AA202" s="19" t="n">
        <v>3</v>
      </c>
      <c r="AB202" s="19" t="n">
        <v>4</v>
      </c>
      <c r="AC202" s="19" t="n">
        <v>3</v>
      </c>
      <c r="AD202" s="19" t="n">
        <v>1</v>
      </c>
      <c r="AE202" s="19" t="n">
        <v>3</v>
      </c>
      <c r="AF202" s="19" t="n">
        <v>4</v>
      </c>
      <c r="AG202" s="19" t="n">
        <v>4</v>
      </c>
      <c r="AH202" s="19" t="n">
        <v>4</v>
      </c>
      <c r="AI202" s="19" t="n">
        <v>4</v>
      </c>
      <c r="AJ202" s="19" t="n">
        <v>5</v>
      </c>
      <c r="AK202" s="19" t="n">
        <v>4</v>
      </c>
      <c r="AL202" s="19" t="n">
        <v>5</v>
      </c>
      <c r="AM202" s="19" t="n">
        <v>5</v>
      </c>
      <c r="AN202" s="19" t="n">
        <v>4</v>
      </c>
      <c r="AO202" s="19" t="n">
        <v>9</v>
      </c>
      <c r="AP202" s="0" t="n">
        <v>70.5</v>
      </c>
      <c r="AQ202" s="16" t="n">
        <v>88.2</v>
      </c>
      <c r="AR202" s="16" t="n">
        <v>80.4</v>
      </c>
      <c r="AS202" s="16" t="n">
        <v>36.3</v>
      </c>
      <c r="AT202" s="0" t="n">
        <v>72.69</v>
      </c>
      <c r="AU202" s="17" t="n">
        <v>0</v>
      </c>
      <c r="AV202" s="0" t="n">
        <v>10.32</v>
      </c>
      <c r="AW202" s="0" t="n">
        <v>16.99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36.66</v>
      </c>
      <c r="BG202" s="0" t="n">
        <v>7.54</v>
      </c>
      <c r="BH202" s="0" t="n">
        <v>10.32</v>
      </c>
      <c r="BI202" s="0" t="n">
        <v>0</v>
      </c>
      <c r="BJ202" s="0" t="n">
        <v>0</v>
      </c>
      <c r="BK202" s="0" t="n">
        <v>0</v>
      </c>
      <c r="BL202" s="0" t="n">
        <v>21.2</v>
      </c>
      <c r="BM202" s="0" t="n">
        <v>1</v>
      </c>
      <c r="BN202" s="0" t="n">
        <v>0</v>
      </c>
      <c r="BO202" s="16" t="n">
        <v>11.58</v>
      </c>
      <c r="BP202" s="16" t="n">
        <v>1</v>
      </c>
      <c r="BQ202" s="16" t="n">
        <v>0.27</v>
      </c>
      <c r="BR202" s="16" t="n">
        <v>0.27</v>
      </c>
      <c r="BS202" s="16" t="n">
        <v>0</v>
      </c>
      <c r="BT202" s="16" t="n">
        <v>0</v>
      </c>
      <c r="BU202" s="16" t="n">
        <v>0</v>
      </c>
      <c r="BV202" s="0" t="n">
        <v>0</v>
      </c>
    </row>
    <row r="203" customFormat="false" ht="13.8" hidden="false" customHeight="false" outlineLevel="0" collapsed="false">
      <c r="A203" s="0" t="n">
        <v>2</v>
      </c>
      <c r="B203" s="0" t="n">
        <v>42.7734428473648</v>
      </c>
      <c r="C203" s="0" t="n">
        <v>19.7426420260096</v>
      </c>
      <c r="D203" s="0" t="n">
        <v>8</v>
      </c>
      <c r="E203" s="0" t="n">
        <v>82</v>
      </c>
      <c r="F203" s="0" t="n">
        <v>1.77</v>
      </c>
      <c r="G203" s="0" t="n">
        <v>26.1738325513103</v>
      </c>
      <c r="H203" s="0" t="n">
        <v>0</v>
      </c>
      <c r="I203" s="0" t="n">
        <v>0</v>
      </c>
      <c r="J203" s="19" t="n">
        <v>1</v>
      </c>
      <c r="K203" s="19" t="n">
        <v>1</v>
      </c>
      <c r="L203" s="19" t="n">
        <v>0</v>
      </c>
      <c r="M203" s="19" t="n">
        <v>0</v>
      </c>
      <c r="N203" s="19" t="n">
        <v>0</v>
      </c>
      <c r="O203" s="19" t="n">
        <v>0</v>
      </c>
      <c r="P203" s="19" t="n">
        <v>0</v>
      </c>
      <c r="Q203" s="19" t="n">
        <v>0</v>
      </c>
      <c r="R203" s="19" t="n">
        <v>0</v>
      </c>
      <c r="S203" s="19" t="n">
        <v>0</v>
      </c>
      <c r="T203" s="19" t="n">
        <v>0</v>
      </c>
      <c r="U203" s="15" t="n">
        <f aca="false">AVERAGE(M203:T203)</f>
        <v>0</v>
      </c>
      <c r="V203" s="19" t="n">
        <v>3</v>
      </c>
      <c r="W203" s="19" t="n">
        <v>1</v>
      </c>
      <c r="X203" s="19" t="n">
        <v>4</v>
      </c>
      <c r="Y203" s="19" t="n">
        <v>3</v>
      </c>
      <c r="Z203" s="19" t="n">
        <v>4</v>
      </c>
      <c r="AA203" s="19" t="n">
        <v>4</v>
      </c>
      <c r="AB203" s="19" t="n">
        <v>4</v>
      </c>
      <c r="AC203" s="19" t="n">
        <v>4</v>
      </c>
      <c r="AD203" s="19" t="n">
        <v>2</v>
      </c>
      <c r="AE203" s="19" t="n">
        <v>2</v>
      </c>
      <c r="AF203" s="19" t="n">
        <v>4</v>
      </c>
      <c r="AG203" s="19" t="n">
        <v>4</v>
      </c>
      <c r="AH203" s="19" t="n">
        <v>2</v>
      </c>
      <c r="AI203" s="19" t="n">
        <v>3</v>
      </c>
      <c r="AJ203" s="19" t="n">
        <v>4</v>
      </c>
      <c r="AK203" s="19" t="n">
        <v>4</v>
      </c>
      <c r="AL203" s="19" t="n">
        <v>4</v>
      </c>
      <c r="AM203" s="19" t="n">
        <v>5</v>
      </c>
      <c r="AN203" s="19" t="n">
        <v>3</v>
      </c>
      <c r="AO203" s="19" t="n">
        <v>7</v>
      </c>
      <c r="AP203" s="0" t="n">
        <v>70.5</v>
      </c>
      <c r="AQ203" s="16" t="n">
        <v>88.2</v>
      </c>
      <c r="AR203" s="16" t="n">
        <v>80.4</v>
      </c>
      <c r="AS203" s="16" t="n">
        <v>36.3</v>
      </c>
      <c r="AT203" s="0" t="n">
        <v>72.69</v>
      </c>
      <c r="AU203" s="17" t="n">
        <v>0</v>
      </c>
      <c r="AV203" s="0" t="n">
        <v>10.32</v>
      </c>
      <c r="AW203" s="0" t="n">
        <v>16.99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36.66</v>
      </c>
      <c r="BG203" s="0" t="n">
        <v>7.54</v>
      </c>
      <c r="BH203" s="0" t="n">
        <v>10.32</v>
      </c>
      <c r="BI203" s="0" t="n">
        <v>0</v>
      </c>
      <c r="BJ203" s="0" t="n">
        <v>0</v>
      </c>
      <c r="BK203" s="0" t="n">
        <v>0</v>
      </c>
      <c r="BL203" s="0" t="n">
        <v>21.2</v>
      </c>
      <c r="BM203" s="0" t="n">
        <v>1</v>
      </c>
      <c r="BN203" s="0" t="n">
        <v>0</v>
      </c>
      <c r="BO203" s="16" t="n">
        <v>11.58</v>
      </c>
      <c r="BP203" s="16" t="n">
        <v>1</v>
      </c>
      <c r="BQ203" s="16" t="n">
        <v>0.27</v>
      </c>
      <c r="BR203" s="16" t="n">
        <v>0.27</v>
      </c>
      <c r="BS203" s="16" t="n">
        <v>0</v>
      </c>
      <c r="BT203" s="16" t="n">
        <v>0</v>
      </c>
      <c r="BU203" s="16" t="n">
        <v>0</v>
      </c>
      <c r="BV203" s="0" t="n">
        <v>0</v>
      </c>
    </row>
    <row r="204" customFormat="false" ht="13.8" hidden="false" customHeight="false" outlineLevel="0" collapsed="false">
      <c r="A204" s="0" t="n">
        <v>1</v>
      </c>
      <c r="B204" s="0" t="n">
        <v>42.8884325804244</v>
      </c>
      <c r="C204" s="0" t="n">
        <v>0.243668720054757</v>
      </c>
      <c r="D204" s="0" t="n">
        <v>8</v>
      </c>
      <c r="E204" s="0" t="n">
        <v>75</v>
      </c>
      <c r="F204" s="0" t="n">
        <v>1.74</v>
      </c>
      <c r="G204" s="0" t="n">
        <v>24.7720967102656</v>
      </c>
      <c r="H204" s="0" t="n">
        <v>0</v>
      </c>
      <c r="I204" s="0" t="n">
        <v>0</v>
      </c>
      <c r="J204" s="19" t="n">
        <v>0</v>
      </c>
      <c r="K204" s="19" t="n">
        <v>0</v>
      </c>
      <c r="L204" s="19" t="n">
        <v>1</v>
      </c>
      <c r="M204" s="19" t="n">
        <v>0</v>
      </c>
      <c r="N204" s="19" t="n">
        <v>0</v>
      </c>
      <c r="O204" s="19" t="n">
        <v>0</v>
      </c>
      <c r="P204" s="19" t="n">
        <v>0</v>
      </c>
      <c r="Q204" s="19" t="n">
        <v>0</v>
      </c>
      <c r="R204" s="19" t="n">
        <v>0</v>
      </c>
      <c r="S204" s="19" t="n">
        <v>0</v>
      </c>
      <c r="T204" s="19" t="n">
        <v>0</v>
      </c>
      <c r="U204" s="15" t="n">
        <f aca="false">AVERAGE(M204:T204)</f>
        <v>0</v>
      </c>
      <c r="V204" s="19" t="n">
        <v>2</v>
      </c>
      <c r="W204" s="19" t="n">
        <v>2</v>
      </c>
      <c r="X204" s="19" t="n">
        <v>2</v>
      </c>
      <c r="Y204" s="19" t="n">
        <v>4</v>
      </c>
      <c r="Z204" s="19" t="n">
        <v>1</v>
      </c>
      <c r="AA204" s="19" t="n">
        <v>3</v>
      </c>
      <c r="AB204" s="19" t="n">
        <v>4</v>
      </c>
      <c r="AC204" s="19" t="n">
        <v>5</v>
      </c>
      <c r="AD204" s="19" t="n">
        <v>3</v>
      </c>
      <c r="AE204" s="19" t="n">
        <v>5</v>
      </c>
      <c r="AF204" s="19" t="n">
        <v>4</v>
      </c>
      <c r="AG204" s="19"/>
      <c r="AH204" s="19" t="n">
        <v>4</v>
      </c>
      <c r="AI204" s="19" t="n">
        <v>4</v>
      </c>
      <c r="AJ204" s="19" t="n">
        <v>3</v>
      </c>
      <c r="AK204" s="19" t="n">
        <v>4</v>
      </c>
      <c r="AL204" s="19" t="n">
        <v>4</v>
      </c>
      <c r="AM204" s="19" t="n">
        <v>4</v>
      </c>
      <c r="AN204" s="19" t="n">
        <v>4</v>
      </c>
      <c r="AO204" s="19" t="n">
        <v>9</v>
      </c>
      <c r="AP204" s="0" t="n">
        <v>64</v>
      </c>
      <c r="AQ204" s="16" t="n">
        <v>74.3</v>
      </c>
      <c r="AR204" s="16" t="n">
        <v>81</v>
      </c>
      <c r="AS204" s="16" t="n">
        <v>58.5</v>
      </c>
      <c r="AT204" s="0" t="n">
        <v>49.17</v>
      </c>
      <c r="AU204" s="0" t="n">
        <v>0</v>
      </c>
      <c r="AV204" s="0" t="n">
        <v>34.45</v>
      </c>
      <c r="AW204" s="0" t="n">
        <v>16.22</v>
      </c>
      <c r="AX204" s="0" t="n">
        <v>0.16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2.52</v>
      </c>
      <c r="BH204" s="0" t="n">
        <v>9.18</v>
      </c>
      <c r="BI204" s="0" t="n">
        <v>0</v>
      </c>
      <c r="BJ204" s="0" t="n">
        <v>0</v>
      </c>
      <c r="BK204" s="0" t="n">
        <v>0</v>
      </c>
      <c r="BL204" s="0" t="n">
        <v>0.3</v>
      </c>
      <c r="BM204" s="0" t="n">
        <v>1</v>
      </c>
      <c r="BN204" s="0" t="n">
        <v>0</v>
      </c>
      <c r="BO204" s="16" t="n">
        <v>2.89</v>
      </c>
      <c r="BP204" s="16" t="n">
        <v>1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0" t="n">
        <v>0</v>
      </c>
    </row>
    <row r="205" customFormat="false" ht="13.8" hidden="false" customHeight="false" outlineLevel="0" collapsed="false">
      <c r="A205" s="0" t="n">
        <v>2</v>
      </c>
      <c r="B205" s="0" t="n">
        <v>40.9226557152635</v>
      </c>
      <c r="C205" s="0" t="n">
        <v>19.9342915811088</v>
      </c>
      <c r="D205" s="0" t="n">
        <v>8</v>
      </c>
      <c r="E205" s="0" t="n">
        <v>107</v>
      </c>
      <c r="F205" s="0" t="n">
        <v>1.93</v>
      </c>
      <c r="G205" s="0" t="n">
        <v>28.7256033719026</v>
      </c>
      <c r="H205" s="0" t="n">
        <v>0</v>
      </c>
      <c r="I205" s="0" t="n">
        <v>0</v>
      </c>
      <c r="J205" s="19" t="n">
        <v>1</v>
      </c>
      <c r="K205" s="19" t="n">
        <v>0</v>
      </c>
      <c r="L205" s="19" t="n">
        <v>1</v>
      </c>
      <c r="M205" s="19" t="n">
        <v>0</v>
      </c>
      <c r="N205" s="19" t="n">
        <v>0</v>
      </c>
      <c r="O205" s="19" t="n">
        <v>0</v>
      </c>
      <c r="P205" s="19" t="n">
        <v>0</v>
      </c>
      <c r="Q205" s="19" t="n">
        <v>0</v>
      </c>
      <c r="R205" s="19" t="n">
        <v>0</v>
      </c>
      <c r="S205" s="19" t="n">
        <v>0</v>
      </c>
      <c r="T205" s="19" t="n">
        <v>0</v>
      </c>
      <c r="U205" s="15" t="n">
        <f aca="false">AVERAGE(M205:T205)</f>
        <v>0</v>
      </c>
      <c r="V205" s="19" t="n">
        <v>3</v>
      </c>
      <c r="W205" s="19" t="n">
        <v>3</v>
      </c>
      <c r="X205" s="19" t="n">
        <v>5</v>
      </c>
      <c r="Y205" s="19" t="n">
        <v>5</v>
      </c>
      <c r="Z205" s="19" t="n">
        <v>2</v>
      </c>
      <c r="AA205" s="19" t="n">
        <v>1</v>
      </c>
      <c r="AB205" s="19" t="n">
        <v>3</v>
      </c>
      <c r="AC205" s="19" t="n">
        <v>3</v>
      </c>
      <c r="AD205" s="19" t="n">
        <v>1</v>
      </c>
      <c r="AE205" s="19" t="n">
        <v>1</v>
      </c>
      <c r="AF205" s="19" t="n">
        <v>3</v>
      </c>
      <c r="AG205" s="19" t="n">
        <v>5</v>
      </c>
      <c r="AH205" s="19" t="n">
        <v>1</v>
      </c>
      <c r="AI205" s="19" t="n">
        <v>3</v>
      </c>
      <c r="AJ205" s="19" t="n">
        <v>5</v>
      </c>
      <c r="AK205" s="19" t="n">
        <v>4</v>
      </c>
      <c r="AL205" s="19" t="n">
        <v>2</v>
      </c>
      <c r="AM205" s="19" t="n">
        <v>3</v>
      </c>
      <c r="AN205" s="19" t="n">
        <v>2</v>
      </c>
      <c r="AO205" s="19" t="n">
        <v>5</v>
      </c>
      <c r="AP205" s="0" t="n">
        <v>70.5</v>
      </c>
      <c r="AQ205" s="16" t="n">
        <v>88.2</v>
      </c>
      <c r="AR205" s="16" t="n">
        <v>80.4</v>
      </c>
      <c r="AS205" s="16" t="n">
        <v>36.3</v>
      </c>
      <c r="AT205" s="0" t="n">
        <v>72.69</v>
      </c>
      <c r="AU205" s="17" t="n">
        <v>0</v>
      </c>
      <c r="AV205" s="0" t="n">
        <v>10.32</v>
      </c>
      <c r="AW205" s="0" t="n">
        <v>16.99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36.66</v>
      </c>
      <c r="BG205" s="0" t="n">
        <v>7.54</v>
      </c>
      <c r="BH205" s="0" t="n">
        <v>10.32</v>
      </c>
      <c r="BI205" s="0" t="n">
        <v>0</v>
      </c>
      <c r="BJ205" s="0" t="n">
        <v>0</v>
      </c>
      <c r="BK205" s="0" t="n">
        <v>0</v>
      </c>
      <c r="BL205" s="0" t="n">
        <v>21.2</v>
      </c>
      <c r="BM205" s="0" t="n">
        <v>1</v>
      </c>
      <c r="BN205" s="0" t="n">
        <v>0</v>
      </c>
      <c r="BO205" s="16" t="n">
        <v>11.58</v>
      </c>
      <c r="BP205" s="16" t="n">
        <v>1</v>
      </c>
      <c r="BQ205" s="16" t="n">
        <v>0.27</v>
      </c>
      <c r="BR205" s="16" t="n">
        <v>0.27</v>
      </c>
      <c r="BS205" s="16" t="n">
        <v>0</v>
      </c>
      <c r="BT205" s="16" t="n">
        <v>0</v>
      </c>
      <c r="BU205" s="16" t="n">
        <v>0</v>
      </c>
      <c r="BV205" s="0" t="n">
        <v>0</v>
      </c>
    </row>
    <row r="206" customFormat="false" ht="13.8" hidden="false" customHeight="false" outlineLevel="0" collapsed="false">
      <c r="A206" s="0" t="n">
        <v>2</v>
      </c>
      <c r="B206" s="0" t="n">
        <v>55.4031485284052</v>
      </c>
      <c r="C206" s="0" t="n">
        <v>21.1416837782341</v>
      </c>
      <c r="D206" s="0" t="n">
        <v>8</v>
      </c>
      <c r="E206" s="0" t="n">
        <v>56</v>
      </c>
      <c r="F206" s="0" t="n">
        <v>1.73</v>
      </c>
      <c r="G206" s="0" t="n">
        <v>18.7109492465502</v>
      </c>
      <c r="H206" s="0" t="n">
        <v>0</v>
      </c>
      <c r="I206" s="0" t="n">
        <v>0</v>
      </c>
      <c r="J206" s="19" t="n">
        <v>1</v>
      </c>
      <c r="K206" s="19" t="n">
        <v>0</v>
      </c>
      <c r="L206" s="19" t="n">
        <v>1</v>
      </c>
      <c r="M206" s="19" t="n">
        <v>0</v>
      </c>
      <c r="N206" s="19" t="n">
        <v>0</v>
      </c>
      <c r="O206" s="19" t="n">
        <v>0</v>
      </c>
      <c r="P206" s="19" t="n">
        <v>0</v>
      </c>
      <c r="Q206" s="19" t="n">
        <v>6</v>
      </c>
      <c r="R206" s="19" t="n">
        <v>0</v>
      </c>
      <c r="S206" s="19" t="n">
        <v>0</v>
      </c>
      <c r="T206" s="19" t="n">
        <v>0</v>
      </c>
      <c r="U206" s="15" t="n">
        <f aca="false">AVERAGE(M206:T206)</f>
        <v>0.75</v>
      </c>
      <c r="V206" s="19" t="n">
        <v>3</v>
      </c>
      <c r="W206" s="19" t="n">
        <v>3</v>
      </c>
      <c r="X206" s="19" t="n">
        <v>4</v>
      </c>
      <c r="Y206" s="19" t="n">
        <v>5</v>
      </c>
      <c r="Z206" s="19" t="n">
        <v>2</v>
      </c>
      <c r="AA206" s="19" t="n">
        <v>1</v>
      </c>
      <c r="AB206" s="19" t="n">
        <v>3</v>
      </c>
      <c r="AC206" s="19" t="n">
        <v>3</v>
      </c>
      <c r="AD206" s="19" t="n">
        <v>3</v>
      </c>
      <c r="AE206" s="19" t="n">
        <v>4</v>
      </c>
      <c r="AF206" s="19" t="n">
        <v>4</v>
      </c>
      <c r="AG206" s="19" t="n">
        <v>5</v>
      </c>
      <c r="AH206" s="19" t="n">
        <v>4</v>
      </c>
      <c r="AI206" s="19" t="n">
        <v>5</v>
      </c>
      <c r="AJ206" s="19" t="n">
        <v>5</v>
      </c>
      <c r="AK206" s="19" t="n">
        <v>5</v>
      </c>
      <c r="AL206" s="19" t="n">
        <v>5</v>
      </c>
      <c r="AM206" s="19" t="n">
        <v>5</v>
      </c>
      <c r="AN206" s="19" t="n">
        <v>4</v>
      </c>
      <c r="AO206" s="19" t="n">
        <v>8</v>
      </c>
      <c r="AP206" s="0" t="n">
        <v>70.5</v>
      </c>
      <c r="AQ206" s="16" t="n">
        <v>88.2</v>
      </c>
      <c r="AR206" s="16" t="n">
        <v>80.4</v>
      </c>
      <c r="AS206" s="16" t="n">
        <v>36.3</v>
      </c>
      <c r="AT206" s="0" t="n">
        <v>72.69</v>
      </c>
      <c r="AU206" s="17" t="n">
        <v>0</v>
      </c>
      <c r="AV206" s="0" t="n">
        <v>10.32</v>
      </c>
      <c r="AW206" s="0" t="n">
        <v>16.99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36.66</v>
      </c>
      <c r="BG206" s="0" t="n">
        <v>7.54</v>
      </c>
      <c r="BH206" s="0" t="n">
        <v>10.32</v>
      </c>
      <c r="BI206" s="0" t="n">
        <v>0</v>
      </c>
      <c r="BJ206" s="0" t="n">
        <v>0</v>
      </c>
      <c r="BK206" s="0" t="n">
        <v>0</v>
      </c>
      <c r="BL206" s="0" t="n">
        <v>21.2</v>
      </c>
      <c r="BM206" s="0" t="n">
        <v>1</v>
      </c>
      <c r="BN206" s="0" t="n">
        <v>0</v>
      </c>
      <c r="BO206" s="16" t="n">
        <v>11.58</v>
      </c>
      <c r="BP206" s="16" t="n">
        <v>1</v>
      </c>
      <c r="BQ206" s="16" t="n">
        <v>0.27</v>
      </c>
      <c r="BR206" s="16" t="n">
        <v>0.27</v>
      </c>
      <c r="BS206" s="16" t="n">
        <v>0</v>
      </c>
      <c r="BT206" s="16" t="n">
        <v>0</v>
      </c>
      <c r="BU206" s="16" t="n">
        <v>0</v>
      </c>
      <c r="BV206" s="0" t="n">
        <v>0</v>
      </c>
    </row>
    <row r="207" customFormat="false" ht="13.8" hidden="false" customHeight="false" outlineLevel="0" collapsed="false">
      <c r="A207" s="0" t="n">
        <v>2</v>
      </c>
      <c r="B207" s="0" t="n">
        <v>24.7310061601643</v>
      </c>
      <c r="C207" s="0" t="n">
        <v>0.232717316906229</v>
      </c>
      <c r="D207" s="0" t="n">
        <v>8</v>
      </c>
      <c r="E207" s="0" t="n">
        <v>80</v>
      </c>
      <c r="F207" s="0" t="n">
        <v>1.8</v>
      </c>
      <c r="G207" s="0" t="n">
        <v>24.6913580246914</v>
      </c>
      <c r="H207" s="0" t="n">
        <v>0</v>
      </c>
      <c r="I207" s="0" t="n">
        <v>0</v>
      </c>
      <c r="J207" s="19" t="n">
        <v>0</v>
      </c>
      <c r="K207" s="19" t="n">
        <v>2</v>
      </c>
      <c r="L207" s="19" t="n">
        <v>0</v>
      </c>
      <c r="M207" s="19" t="n">
        <v>0</v>
      </c>
      <c r="N207" s="19" t="n">
        <v>0</v>
      </c>
      <c r="O207" s="19" t="n">
        <v>0</v>
      </c>
      <c r="P207" s="19" t="n">
        <v>0</v>
      </c>
      <c r="Q207" s="19" t="n">
        <v>0</v>
      </c>
      <c r="R207" s="19" t="n">
        <v>0</v>
      </c>
      <c r="S207" s="19" t="n">
        <v>0</v>
      </c>
      <c r="T207" s="19" t="n">
        <v>0</v>
      </c>
      <c r="U207" s="15" t="n">
        <f aca="false">AVERAGE(M207:T207)</f>
        <v>0</v>
      </c>
      <c r="V207" s="19" t="n">
        <v>3</v>
      </c>
      <c r="W207" s="19" t="n">
        <v>2</v>
      </c>
      <c r="X207" s="19" t="n">
        <v>4</v>
      </c>
      <c r="Y207" s="19" t="n">
        <v>5</v>
      </c>
      <c r="Z207" s="19" t="n">
        <v>3</v>
      </c>
      <c r="AA207" s="19" t="n">
        <v>3</v>
      </c>
      <c r="AB207" s="19" t="n">
        <v>4</v>
      </c>
      <c r="AC207" s="19" t="n">
        <v>5</v>
      </c>
      <c r="AD207" s="19" t="n">
        <v>3</v>
      </c>
      <c r="AE207" s="19" t="n">
        <v>5</v>
      </c>
      <c r="AF207" s="19" t="n">
        <v>5</v>
      </c>
      <c r="AG207" s="19" t="n">
        <v>5</v>
      </c>
      <c r="AH207" s="19" t="n">
        <v>5</v>
      </c>
      <c r="AI207" s="19" t="n">
        <v>5</v>
      </c>
      <c r="AJ207" s="19" t="n">
        <v>5</v>
      </c>
      <c r="AK207" s="19" t="n">
        <v>5</v>
      </c>
      <c r="AL207" s="19" t="n">
        <v>5</v>
      </c>
      <c r="AM207" s="19" t="n">
        <v>5</v>
      </c>
      <c r="AN207" s="19" t="n">
        <v>5</v>
      </c>
      <c r="AO207" s="19" t="n">
        <v>9</v>
      </c>
      <c r="AP207" s="0" t="n">
        <v>70.5</v>
      </c>
      <c r="AQ207" s="16" t="n">
        <v>88.2</v>
      </c>
      <c r="AR207" s="16" t="n">
        <v>80.4</v>
      </c>
      <c r="AS207" s="16" t="n">
        <v>36.3</v>
      </c>
      <c r="AT207" s="0" t="n">
        <v>72.69</v>
      </c>
      <c r="AU207" s="17" t="n">
        <v>0</v>
      </c>
      <c r="AV207" s="0" t="n">
        <v>10.32</v>
      </c>
      <c r="AW207" s="0" t="n">
        <v>16.99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36.66</v>
      </c>
      <c r="BG207" s="0" t="n">
        <v>7.54</v>
      </c>
      <c r="BH207" s="0" t="n">
        <v>10.32</v>
      </c>
      <c r="BI207" s="0" t="n">
        <v>0</v>
      </c>
      <c r="BJ207" s="0" t="n">
        <v>0</v>
      </c>
      <c r="BK207" s="0" t="n">
        <v>0</v>
      </c>
      <c r="BL207" s="0" t="n">
        <v>21.2</v>
      </c>
      <c r="BM207" s="0" t="n">
        <v>1</v>
      </c>
      <c r="BN207" s="0" t="n">
        <v>0</v>
      </c>
      <c r="BO207" s="16" t="n">
        <v>11.58</v>
      </c>
      <c r="BP207" s="16" t="n">
        <v>1</v>
      </c>
      <c r="BQ207" s="16" t="n">
        <v>0.27</v>
      </c>
      <c r="BR207" s="16" t="n">
        <v>0.27</v>
      </c>
      <c r="BS207" s="16" t="n">
        <v>0</v>
      </c>
      <c r="BT207" s="16" t="n">
        <v>0</v>
      </c>
      <c r="BU207" s="16" t="n">
        <v>0</v>
      </c>
      <c r="BV207" s="0" t="n">
        <v>0</v>
      </c>
    </row>
    <row r="208" customFormat="false" ht="13.8" hidden="false" customHeight="false" outlineLevel="0" collapsed="false">
      <c r="A208" s="0" t="n">
        <v>2</v>
      </c>
      <c r="B208" s="0" t="n">
        <v>46.2505133470226</v>
      </c>
      <c r="C208" s="0" t="n">
        <v>22.54893908282</v>
      </c>
      <c r="D208" s="0" t="n">
        <v>8</v>
      </c>
      <c r="E208" s="0" t="n">
        <v>70</v>
      </c>
      <c r="F208" s="0" t="n">
        <v>1.8</v>
      </c>
      <c r="G208" s="0" t="n">
        <v>21.6049382716049</v>
      </c>
      <c r="H208" s="0" t="n">
        <v>0</v>
      </c>
      <c r="I208" s="0" t="n">
        <v>0</v>
      </c>
      <c r="J208" s="19" t="n">
        <v>0</v>
      </c>
      <c r="K208" s="19" t="n">
        <v>2</v>
      </c>
      <c r="L208" s="19" t="n">
        <v>1</v>
      </c>
      <c r="M208" s="19" t="n">
        <v>0</v>
      </c>
      <c r="N208" s="19" t="n">
        <v>0</v>
      </c>
      <c r="O208" s="19" t="n">
        <v>0</v>
      </c>
      <c r="P208" s="19" t="n">
        <v>0</v>
      </c>
      <c r="Q208" s="19" t="n">
        <v>0</v>
      </c>
      <c r="R208" s="19" t="n">
        <v>0</v>
      </c>
      <c r="S208" s="19" t="n">
        <v>0</v>
      </c>
      <c r="T208" s="19" t="n">
        <v>0</v>
      </c>
      <c r="U208" s="15" t="n">
        <f aca="false">AVERAGE(M208:T208)</f>
        <v>0</v>
      </c>
      <c r="V208" s="19" t="n">
        <v>4</v>
      </c>
      <c r="W208" s="19" t="n">
        <v>3</v>
      </c>
      <c r="X208" s="19" t="n">
        <v>4</v>
      </c>
      <c r="Y208" s="19" t="n">
        <v>4</v>
      </c>
      <c r="Z208" s="19" t="n">
        <v>3</v>
      </c>
      <c r="AA208" s="19" t="n">
        <v>3</v>
      </c>
      <c r="AB208" s="19" t="n">
        <v>1</v>
      </c>
      <c r="AC208" s="19" t="n">
        <v>3</v>
      </c>
      <c r="AD208" s="19" t="n">
        <v>4</v>
      </c>
      <c r="AE208" s="19" t="n">
        <v>3</v>
      </c>
      <c r="AF208" s="19" t="n">
        <v>3</v>
      </c>
      <c r="AG208" s="19" t="n">
        <v>5</v>
      </c>
      <c r="AH208" s="19" t="n">
        <v>3</v>
      </c>
      <c r="AI208" s="19" t="n">
        <v>3</v>
      </c>
      <c r="AJ208" s="19" t="n">
        <v>4</v>
      </c>
      <c r="AK208" s="19" t="n">
        <v>5</v>
      </c>
      <c r="AL208" s="19" t="n">
        <v>3</v>
      </c>
      <c r="AM208" s="19" t="n">
        <v>4</v>
      </c>
      <c r="AN208" s="19" t="n">
        <v>3</v>
      </c>
      <c r="AO208" s="19" t="n">
        <v>9</v>
      </c>
      <c r="AP208" s="0" t="n">
        <v>70.5</v>
      </c>
      <c r="AQ208" s="16" t="n">
        <v>88.2</v>
      </c>
      <c r="AR208" s="16" t="n">
        <v>80.4</v>
      </c>
      <c r="AS208" s="16" t="n">
        <v>36.3</v>
      </c>
      <c r="AT208" s="0" t="n">
        <v>72.69</v>
      </c>
      <c r="AU208" s="17" t="n">
        <v>0</v>
      </c>
      <c r="AV208" s="0" t="n">
        <v>10.32</v>
      </c>
      <c r="AW208" s="0" t="n">
        <v>16.99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36.66</v>
      </c>
      <c r="BG208" s="0" t="n">
        <v>7.54</v>
      </c>
      <c r="BH208" s="0" t="n">
        <v>10.32</v>
      </c>
      <c r="BI208" s="0" t="n">
        <v>0</v>
      </c>
      <c r="BJ208" s="0" t="n">
        <v>0</v>
      </c>
      <c r="BK208" s="0" t="n">
        <v>0</v>
      </c>
      <c r="BL208" s="0" t="n">
        <v>21.2</v>
      </c>
      <c r="BM208" s="0" t="n">
        <v>1</v>
      </c>
      <c r="BN208" s="0" t="n">
        <v>0</v>
      </c>
      <c r="BO208" s="16" t="n">
        <v>11.58</v>
      </c>
      <c r="BP208" s="16" t="n">
        <v>1</v>
      </c>
      <c r="BQ208" s="16" t="n">
        <v>0.27</v>
      </c>
      <c r="BR208" s="16" t="n">
        <v>0.27</v>
      </c>
      <c r="BS208" s="16" t="n">
        <v>0</v>
      </c>
      <c r="BT208" s="16" t="n">
        <v>0</v>
      </c>
      <c r="BU208" s="16" t="n">
        <v>0</v>
      </c>
      <c r="BV208" s="0" t="n">
        <v>0</v>
      </c>
    </row>
    <row r="209" customFormat="false" ht="13.8" hidden="false" customHeight="false" outlineLevel="0" collapsed="false">
      <c r="A209" s="0" t="n">
        <v>2</v>
      </c>
      <c r="B209" s="0" t="n">
        <v>21.0212183436003</v>
      </c>
      <c r="C209" s="0" t="n">
        <v>0.213552361396304</v>
      </c>
      <c r="D209" s="0" t="n">
        <v>8</v>
      </c>
      <c r="E209" s="0" t="n">
        <v>105</v>
      </c>
      <c r="F209" s="0" t="n">
        <v>1.86</v>
      </c>
      <c r="G209" s="0" t="n">
        <v>30.3503295178633</v>
      </c>
      <c r="H209" s="0" t="n">
        <v>0</v>
      </c>
      <c r="I209" s="0" t="n">
        <v>0</v>
      </c>
      <c r="J209" s="19" t="n">
        <v>0</v>
      </c>
      <c r="K209" s="19" t="n">
        <v>0</v>
      </c>
      <c r="L209" s="19" t="n">
        <v>1</v>
      </c>
      <c r="M209" s="19" t="n">
        <v>0</v>
      </c>
      <c r="N209" s="19" t="n">
        <v>0</v>
      </c>
      <c r="O209" s="19" t="n">
        <v>0</v>
      </c>
      <c r="P209" s="19" t="n">
        <v>0</v>
      </c>
      <c r="Q209" s="19" t="n">
        <v>0</v>
      </c>
      <c r="R209" s="19" t="n">
        <v>0</v>
      </c>
      <c r="S209" s="19" t="n">
        <v>0</v>
      </c>
      <c r="T209" s="19" t="n">
        <v>0</v>
      </c>
      <c r="U209" s="15" t="n">
        <f aca="false">AVERAGE(M209:T209)</f>
        <v>0</v>
      </c>
      <c r="V209" s="19" t="n">
        <v>2</v>
      </c>
      <c r="W209" s="19" t="n">
        <v>3</v>
      </c>
      <c r="X209" s="19" t="n">
        <v>3</v>
      </c>
      <c r="Y209" s="19" t="n">
        <v>4</v>
      </c>
      <c r="Z209" s="19" t="n">
        <v>2</v>
      </c>
      <c r="AA209" s="19" t="n">
        <v>1</v>
      </c>
      <c r="AB209" s="19" t="n">
        <v>4</v>
      </c>
      <c r="AC209" s="19" t="n">
        <v>3</v>
      </c>
      <c r="AD209" s="19" t="n">
        <v>4</v>
      </c>
      <c r="AE209" s="19" t="n">
        <v>1</v>
      </c>
      <c r="AF209" s="19" t="n">
        <v>4</v>
      </c>
      <c r="AG209" s="19" t="n">
        <v>4</v>
      </c>
      <c r="AH209" s="19" t="n">
        <v>5</v>
      </c>
      <c r="AI209" s="19" t="n">
        <v>4</v>
      </c>
      <c r="AJ209" s="19" t="n">
        <v>4</v>
      </c>
      <c r="AK209" s="19" t="n">
        <v>4</v>
      </c>
      <c r="AL209" s="19" t="n">
        <v>5</v>
      </c>
      <c r="AM209" s="19" t="n">
        <v>5</v>
      </c>
      <c r="AN209" s="19" t="n">
        <v>5</v>
      </c>
      <c r="AO209" s="19" t="n">
        <v>9</v>
      </c>
      <c r="AP209" s="0" t="n">
        <v>70.5</v>
      </c>
      <c r="AQ209" s="16" t="n">
        <v>88.2</v>
      </c>
      <c r="AR209" s="16" t="n">
        <v>80.4</v>
      </c>
      <c r="AS209" s="16" t="n">
        <v>36.3</v>
      </c>
      <c r="AT209" s="0" t="n">
        <v>72.69</v>
      </c>
      <c r="AU209" s="17" t="n">
        <v>0</v>
      </c>
      <c r="AV209" s="0" t="n">
        <v>10.32</v>
      </c>
      <c r="AW209" s="0" t="n">
        <v>16.99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36.66</v>
      </c>
      <c r="BG209" s="0" t="n">
        <v>7.54</v>
      </c>
      <c r="BH209" s="0" t="n">
        <v>10.32</v>
      </c>
      <c r="BI209" s="0" t="n">
        <v>0</v>
      </c>
      <c r="BJ209" s="0" t="n">
        <v>0</v>
      </c>
      <c r="BK209" s="0" t="n">
        <v>0</v>
      </c>
      <c r="BL209" s="0" t="n">
        <v>21.2</v>
      </c>
      <c r="BM209" s="0" t="n">
        <v>1</v>
      </c>
      <c r="BN209" s="0" t="n">
        <v>0</v>
      </c>
      <c r="BO209" s="16" t="n">
        <v>11.58</v>
      </c>
      <c r="BP209" s="16" t="n">
        <v>1</v>
      </c>
      <c r="BQ209" s="16" t="n">
        <v>0.27</v>
      </c>
      <c r="BR209" s="16" t="n">
        <v>0.27</v>
      </c>
      <c r="BS209" s="16" t="n">
        <v>0</v>
      </c>
      <c r="BT209" s="16" t="n">
        <v>0</v>
      </c>
      <c r="BU209" s="16" t="n">
        <v>0</v>
      </c>
      <c r="BV209" s="0" t="n">
        <v>0</v>
      </c>
    </row>
    <row r="210" customFormat="false" ht="13.8" hidden="false" customHeight="false" outlineLevel="0" collapsed="false">
      <c r="A210" s="0" t="n">
        <v>2</v>
      </c>
      <c r="B210" s="0" t="n">
        <v>44.8405201916496</v>
      </c>
      <c r="C210" s="0" t="n">
        <v>21.7549623545517</v>
      </c>
      <c r="D210" s="0" t="n">
        <v>8</v>
      </c>
      <c r="E210" s="0" t="n">
        <v>83</v>
      </c>
      <c r="F210" s="0" t="n">
        <v>1.81</v>
      </c>
      <c r="G210" s="0" t="n">
        <v>25.3350019840664</v>
      </c>
      <c r="H210" s="0" t="n">
        <v>0</v>
      </c>
      <c r="I210" s="0" t="n">
        <v>0</v>
      </c>
      <c r="J210" s="19" t="n">
        <v>0</v>
      </c>
      <c r="K210" s="19" t="n">
        <v>1</v>
      </c>
      <c r="L210" s="19" t="n">
        <v>0</v>
      </c>
      <c r="M210" s="19" t="n">
        <v>0</v>
      </c>
      <c r="N210" s="19" t="n">
        <v>0</v>
      </c>
      <c r="O210" s="19" t="n">
        <v>0</v>
      </c>
      <c r="P210" s="19" t="n">
        <v>0</v>
      </c>
      <c r="Q210" s="19" t="n">
        <v>2</v>
      </c>
      <c r="R210" s="19" t="n">
        <v>0</v>
      </c>
      <c r="S210" s="19" t="n">
        <v>0</v>
      </c>
      <c r="T210" s="19" t="n">
        <v>0</v>
      </c>
      <c r="U210" s="15" t="n">
        <f aca="false">AVERAGE(M210:T210)</f>
        <v>0.25</v>
      </c>
      <c r="V210" s="19" t="n">
        <v>2</v>
      </c>
      <c r="W210" s="19" t="n">
        <v>2</v>
      </c>
      <c r="X210" s="19" t="n">
        <v>3</v>
      </c>
      <c r="Y210" s="19" t="n">
        <v>5</v>
      </c>
      <c r="Z210" s="19" t="n">
        <v>2</v>
      </c>
      <c r="AA210" s="19" t="n">
        <v>3</v>
      </c>
      <c r="AB210" s="19" t="n">
        <v>4</v>
      </c>
      <c r="AC210" s="19" t="n">
        <v>5</v>
      </c>
      <c r="AD210" s="19" t="n">
        <v>5</v>
      </c>
      <c r="AE210" s="19"/>
      <c r="AF210" s="19" t="n">
        <v>4</v>
      </c>
      <c r="AG210" s="19" t="n">
        <v>5</v>
      </c>
      <c r="AH210" s="19" t="n">
        <v>5</v>
      </c>
      <c r="AI210" s="19" t="n">
        <v>5</v>
      </c>
      <c r="AJ210" s="19" t="n">
        <v>5</v>
      </c>
      <c r="AK210" s="19" t="n">
        <v>5</v>
      </c>
      <c r="AL210" s="19" t="n">
        <v>5</v>
      </c>
      <c r="AM210" s="19" t="n">
        <v>5</v>
      </c>
      <c r="AN210" s="19" t="n">
        <v>5</v>
      </c>
      <c r="AO210" s="19" t="n">
        <v>10</v>
      </c>
      <c r="AP210" s="0" t="n">
        <v>70.5</v>
      </c>
      <c r="AQ210" s="16" t="n">
        <v>88.2</v>
      </c>
      <c r="AR210" s="16" t="n">
        <v>80.4</v>
      </c>
      <c r="AS210" s="16" t="n">
        <v>36.3</v>
      </c>
      <c r="AT210" s="0" t="n">
        <v>72.69</v>
      </c>
      <c r="AU210" s="17" t="n">
        <v>0</v>
      </c>
      <c r="AV210" s="0" t="n">
        <v>10.32</v>
      </c>
      <c r="AW210" s="0" t="n">
        <v>16.99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36.66</v>
      </c>
      <c r="BG210" s="0" t="n">
        <v>7.54</v>
      </c>
      <c r="BH210" s="0" t="n">
        <v>10.32</v>
      </c>
      <c r="BI210" s="0" t="n">
        <v>0</v>
      </c>
      <c r="BJ210" s="0" t="n">
        <v>0</v>
      </c>
      <c r="BK210" s="0" t="n">
        <v>0</v>
      </c>
      <c r="BL210" s="0" t="n">
        <v>21.2</v>
      </c>
      <c r="BM210" s="0" t="n">
        <v>1</v>
      </c>
      <c r="BN210" s="0" t="n">
        <v>0</v>
      </c>
      <c r="BO210" s="16" t="n">
        <v>11.58</v>
      </c>
      <c r="BP210" s="16" t="n">
        <v>1</v>
      </c>
      <c r="BQ210" s="16" t="n">
        <v>0.27</v>
      </c>
      <c r="BR210" s="16" t="n">
        <v>0.27</v>
      </c>
      <c r="BS210" s="16" t="n">
        <v>0</v>
      </c>
      <c r="BT210" s="16" t="n">
        <v>0</v>
      </c>
      <c r="BU210" s="16" t="n">
        <v>0</v>
      </c>
      <c r="BV210" s="0" t="n">
        <v>0</v>
      </c>
    </row>
    <row r="211" customFormat="false" ht="13.8" hidden="false" customHeight="false" outlineLevel="0" collapsed="false">
      <c r="A211" s="0" t="n">
        <v>2</v>
      </c>
      <c r="B211" s="0" t="n">
        <v>46.3819301848049</v>
      </c>
      <c r="C211" s="0" t="n">
        <v>22.54893908282</v>
      </c>
      <c r="D211" s="0" t="n">
        <v>8</v>
      </c>
      <c r="E211" s="0" t="n">
        <v>55</v>
      </c>
      <c r="F211" s="0" t="n">
        <v>1.7</v>
      </c>
      <c r="G211" s="0" t="n">
        <v>19.0311418685121</v>
      </c>
      <c r="H211" s="0" t="n">
        <v>0</v>
      </c>
      <c r="I211" s="0" t="n">
        <v>0</v>
      </c>
      <c r="J211" s="19" t="n">
        <v>1</v>
      </c>
      <c r="K211" s="19" t="n">
        <v>0</v>
      </c>
      <c r="L211" s="19" t="n">
        <v>1</v>
      </c>
      <c r="M211" s="19" t="n">
        <v>0</v>
      </c>
      <c r="N211" s="19" t="n">
        <v>0</v>
      </c>
      <c r="O211" s="19" t="n">
        <v>0</v>
      </c>
      <c r="P211" s="19" t="n">
        <v>0</v>
      </c>
      <c r="Q211" s="19" t="n">
        <v>0</v>
      </c>
      <c r="R211" s="19" t="n">
        <v>0</v>
      </c>
      <c r="S211" s="19" t="n">
        <v>0</v>
      </c>
      <c r="T211" s="19" t="n">
        <v>0</v>
      </c>
      <c r="U211" s="15" t="n">
        <f aca="false">AVERAGE(M211:T211)</f>
        <v>0</v>
      </c>
      <c r="V211" s="19" t="n">
        <v>1</v>
      </c>
      <c r="W211" s="19" t="n">
        <v>2</v>
      </c>
      <c r="X211" s="19"/>
      <c r="Y211" s="19" t="n">
        <v>5</v>
      </c>
      <c r="Z211" s="19" t="n">
        <v>4</v>
      </c>
      <c r="AA211" s="19" t="n">
        <v>2</v>
      </c>
      <c r="AB211" s="19" t="n">
        <v>3</v>
      </c>
      <c r="AC211" s="19" t="n">
        <v>3</v>
      </c>
      <c r="AD211" s="19" t="n">
        <v>4</v>
      </c>
      <c r="AE211" s="19" t="n">
        <v>4</v>
      </c>
      <c r="AF211" s="19" t="n">
        <v>5</v>
      </c>
      <c r="AG211" s="19" t="n">
        <v>5</v>
      </c>
      <c r="AH211" s="19" t="n">
        <v>1</v>
      </c>
      <c r="AI211" s="19" t="n">
        <v>5</v>
      </c>
      <c r="AJ211" s="19" t="n">
        <v>5</v>
      </c>
      <c r="AK211" s="19" t="n">
        <v>4</v>
      </c>
      <c r="AL211" s="19" t="n">
        <v>5</v>
      </c>
      <c r="AM211" s="19" t="n">
        <v>5</v>
      </c>
      <c r="AN211" s="19" t="n">
        <v>4</v>
      </c>
      <c r="AO211" s="19" t="n">
        <v>8</v>
      </c>
      <c r="AP211" s="0" t="n">
        <v>70.5</v>
      </c>
      <c r="AQ211" s="16" t="n">
        <v>88.2</v>
      </c>
      <c r="AR211" s="16" t="n">
        <v>80.4</v>
      </c>
      <c r="AS211" s="16" t="n">
        <v>36.3</v>
      </c>
      <c r="AT211" s="0" t="n">
        <v>72.69</v>
      </c>
      <c r="AU211" s="17" t="n">
        <v>0</v>
      </c>
      <c r="AV211" s="0" t="n">
        <v>10.32</v>
      </c>
      <c r="AW211" s="0" t="n">
        <v>16.99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36.66</v>
      </c>
      <c r="BG211" s="0" t="n">
        <v>7.54</v>
      </c>
      <c r="BH211" s="0" t="n">
        <v>10.32</v>
      </c>
      <c r="BI211" s="0" t="n">
        <v>0</v>
      </c>
      <c r="BJ211" s="0" t="n">
        <v>0</v>
      </c>
      <c r="BK211" s="0" t="n">
        <v>0</v>
      </c>
      <c r="BL211" s="0" t="n">
        <v>21.2</v>
      </c>
      <c r="BM211" s="0" t="n">
        <v>1</v>
      </c>
      <c r="BN211" s="0" t="n">
        <v>0</v>
      </c>
      <c r="BO211" s="16" t="n">
        <v>11.58</v>
      </c>
      <c r="BP211" s="16" t="n">
        <v>1</v>
      </c>
      <c r="BQ211" s="16" t="n">
        <v>0.27</v>
      </c>
      <c r="BR211" s="16" t="n">
        <v>0.27</v>
      </c>
      <c r="BS211" s="16" t="n">
        <v>0</v>
      </c>
      <c r="BT211" s="16" t="n">
        <v>0</v>
      </c>
      <c r="BU211" s="16" t="n">
        <v>0</v>
      </c>
      <c r="BV211" s="0" t="n">
        <v>0</v>
      </c>
    </row>
    <row r="212" customFormat="false" ht="13.8" hidden="false" customHeight="false" outlineLevel="0" collapsed="false">
      <c r="A212" s="0" t="n">
        <v>1</v>
      </c>
      <c r="B212" s="0" t="n">
        <v>34.4613278576318</v>
      </c>
      <c r="C212" s="0" t="n">
        <v>0.317590691307324</v>
      </c>
      <c r="D212" s="0" t="n">
        <v>8</v>
      </c>
      <c r="E212" s="0" t="n">
        <v>86</v>
      </c>
      <c r="F212" s="0" t="n">
        <v>1.73</v>
      </c>
      <c r="G212" s="0" t="n">
        <v>28.734672057202</v>
      </c>
      <c r="H212" s="0" t="n">
        <v>0</v>
      </c>
      <c r="I212" s="0" t="n">
        <v>0</v>
      </c>
      <c r="J212" s="19" t="n">
        <v>1</v>
      </c>
      <c r="K212" s="19" t="n">
        <v>0</v>
      </c>
      <c r="L212" s="19" t="n">
        <v>0</v>
      </c>
      <c r="M212" s="19" t="n">
        <v>4</v>
      </c>
      <c r="N212" s="19" t="n">
        <v>0</v>
      </c>
      <c r="O212" s="19" t="n">
        <v>0</v>
      </c>
      <c r="P212" s="19" t="n">
        <v>0</v>
      </c>
      <c r="Q212" s="19" t="n">
        <v>7</v>
      </c>
      <c r="R212" s="19" t="n">
        <v>0</v>
      </c>
      <c r="S212" s="19" t="n">
        <v>0</v>
      </c>
      <c r="T212" s="19" t="n">
        <v>4</v>
      </c>
      <c r="U212" s="15" t="n">
        <f aca="false">AVERAGE(M212:T212)</f>
        <v>1.875</v>
      </c>
      <c r="V212" s="19" t="n">
        <v>3</v>
      </c>
      <c r="W212" s="19" t="n">
        <v>2</v>
      </c>
      <c r="X212" s="19" t="n">
        <v>4</v>
      </c>
      <c r="Y212" s="19" t="n">
        <v>5</v>
      </c>
      <c r="Z212" s="19" t="n">
        <v>1</v>
      </c>
      <c r="AA212" s="19" t="n">
        <v>1</v>
      </c>
      <c r="AB212" s="19" t="n">
        <v>1</v>
      </c>
      <c r="AC212" s="19" t="n">
        <v>3</v>
      </c>
      <c r="AD212" s="19" t="n">
        <v>2</v>
      </c>
      <c r="AE212" s="19" t="n">
        <v>3</v>
      </c>
      <c r="AF212" s="19" t="n">
        <v>3</v>
      </c>
      <c r="AG212" s="19" t="n">
        <v>4</v>
      </c>
      <c r="AH212" s="19" t="n">
        <v>3</v>
      </c>
      <c r="AI212" s="19" t="n">
        <v>4</v>
      </c>
      <c r="AJ212" s="19" t="n">
        <v>4</v>
      </c>
      <c r="AK212" s="19" t="n">
        <v>4</v>
      </c>
      <c r="AL212" s="19" t="n">
        <v>3</v>
      </c>
      <c r="AM212" s="19" t="n">
        <v>4</v>
      </c>
      <c r="AN212" s="19" t="n">
        <v>3</v>
      </c>
      <c r="AO212" s="19" t="n">
        <v>8</v>
      </c>
      <c r="AP212" s="0" t="n">
        <v>70.5</v>
      </c>
      <c r="AQ212" s="16" t="n">
        <v>88.2</v>
      </c>
      <c r="AR212" s="16" t="n">
        <v>80.4</v>
      </c>
      <c r="AS212" s="16" t="n">
        <v>36.3</v>
      </c>
      <c r="AT212" s="0" t="n">
        <v>72.69</v>
      </c>
      <c r="AU212" s="17" t="n">
        <v>0</v>
      </c>
      <c r="AV212" s="0" t="n">
        <v>10.32</v>
      </c>
      <c r="AW212" s="0" t="n">
        <v>16.99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36.66</v>
      </c>
      <c r="BG212" s="0" t="n">
        <v>7.54</v>
      </c>
      <c r="BH212" s="0" t="n">
        <v>10.32</v>
      </c>
      <c r="BI212" s="0" t="n">
        <v>0</v>
      </c>
      <c r="BJ212" s="0" t="n">
        <v>0</v>
      </c>
      <c r="BK212" s="0" t="n">
        <v>0</v>
      </c>
      <c r="BL212" s="0" t="n">
        <v>21.2</v>
      </c>
      <c r="BM212" s="0" t="n">
        <v>1</v>
      </c>
      <c r="BN212" s="0" t="n">
        <v>0</v>
      </c>
      <c r="BO212" s="16" t="n">
        <v>11.58</v>
      </c>
      <c r="BP212" s="16" t="n">
        <v>1</v>
      </c>
      <c r="BQ212" s="16" t="n">
        <v>0.27</v>
      </c>
      <c r="BR212" s="16" t="n">
        <v>0.27</v>
      </c>
      <c r="BS212" s="16" t="n">
        <v>0</v>
      </c>
      <c r="BT212" s="16" t="n">
        <v>0</v>
      </c>
      <c r="BU212" s="16" t="n">
        <v>0</v>
      </c>
      <c r="BV212" s="0" t="n">
        <v>0</v>
      </c>
    </row>
    <row r="213" customFormat="false" ht="13.8" hidden="false" customHeight="false" outlineLevel="0" collapsed="false">
      <c r="A213" s="24" t="n">
        <v>2</v>
      </c>
      <c r="B213" s="0" t="n">
        <v>32.2874743326489</v>
      </c>
      <c r="C213" s="0" t="n">
        <v>6.55167693360712</v>
      </c>
      <c r="D213" s="0" t="n">
        <v>8</v>
      </c>
      <c r="E213" s="0" t="n">
        <v>78</v>
      </c>
      <c r="F213" s="0" t="n">
        <v>1.82</v>
      </c>
      <c r="G213" s="0" t="n">
        <v>23.5478806907378</v>
      </c>
      <c r="H213" s="0" t="n">
        <v>0</v>
      </c>
      <c r="I213" s="0" t="n">
        <v>0</v>
      </c>
      <c r="J213" s="26" t="n">
        <v>0</v>
      </c>
      <c r="K213" s="26" t="n">
        <v>2</v>
      </c>
      <c r="L213" s="26" t="n">
        <v>1</v>
      </c>
      <c r="M213" s="26" t="n">
        <v>0</v>
      </c>
      <c r="N213" s="26" t="n">
        <v>0</v>
      </c>
      <c r="O213" s="26" t="n">
        <v>0</v>
      </c>
      <c r="P213" s="26" t="n">
        <v>0</v>
      </c>
      <c r="Q213" s="26" t="n">
        <v>0</v>
      </c>
      <c r="R213" s="26" t="n">
        <v>0</v>
      </c>
      <c r="S213" s="26" t="n">
        <v>0</v>
      </c>
      <c r="T213" s="26" t="n">
        <v>0</v>
      </c>
      <c r="U213" s="15" t="n">
        <f aca="false">AVERAGE(M213:T213)</f>
        <v>0</v>
      </c>
      <c r="V213" s="26" t="n">
        <v>4</v>
      </c>
      <c r="W213" s="26" t="n">
        <v>3</v>
      </c>
      <c r="X213" s="26" t="n">
        <v>3</v>
      </c>
      <c r="Y213" s="26" t="n">
        <v>5</v>
      </c>
      <c r="Z213" s="26" t="n">
        <v>4</v>
      </c>
      <c r="AA213" s="26" t="n">
        <v>2</v>
      </c>
      <c r="AB213" s="26" t="n">
        <v>5</v>
      </c>
      <c r="AC213" s="26" t="n">
        <v>5</v>
      </c>
      <c r="AD213" s="26" t="n">
        <v>5</v>
      </c>
      <c r="AE213" s="26" t="n">
        <v>2</v>
      </c>
      <c r="AF213" s="26" t="n">
        <v>2</v>
      </c>
      <c r="AG213" s="26" t="n">
        <v>5</v>
      </c>
      <c r="AH213" s="26" t="n">
        <v>5</v>
      </c>
      <c r="AI213" s="26" t="n">
        <v>5</v>
      </c>
      <c r="AJ213" s="26" t="n">
        <v>5</v>
      </c>
      <c r="AK213" s="26" t="n">
        <v>5</v>
      </c>
      <c r="AL213" s="26" t="n">
        <v>5</v>
      </c>
      <c r="AM213" s="26" t="n">
        <v>5</v>
      </c>
      <c r="AN213" s="26" t="n">
        <v>5</v>
      </c>
      <c r="AO213" s="26" t="n">
        <v>9</v>
      </c>
      <c r="AP213" s="24" t="n">
        <v>70</v>
      </c>
      <c r="AQ213" s="27" t="n">
        <v>79.8</v>
      </c>
      <c r="AR213" s="27" t="n">
        <v>80.4</v>
      </c>
      <c r="AS213" s="27" t="n">
        <v>62.1</v>
      </c>
      <c r="AT213" s="24" t="n">
        <v>39.51</v>
      </c>
      <c r="AU213" s="29" t="n">
        <v>0</v>
      </c>
      <c r="AV213" s="24" t="n">
        <v>47.45</v>
      </c>
      <c r="AW213" s="24" t="n">
        <v>13.05</v>
      </c>
      <c r="AX213" s="24" t="n">
        <v>0</v>
      </c>
      <c r="AY213" s="24" t="n">
        <v>0</v>
      </c>
      <c r="AZ213" s="24" t="n">
        <v>0</v>
      </c>
      <c r="BA213" s="24" t="n">
        <v>0</v>
      </c>
      <c r="BB213" s="24" t="n">
        <v>0</v>
      </c>
      <c r="BC213" s="24" t="n">
        <v>0</v>
      </c>
      <c r="BD213" s="24" t="n">
        <v>0</v>
      </c>
      <c r="BE213" s="24" t="n">
        <v>0</v>
      </c>
      <c r="BF213" s="24" t="n">
        <v>0</v>
      </c>
      <c r="BG213" s="24" t="n">
        <v>30.76</v>
      </c>
      <c r="BH213" s="24" t="n">
        <v>14.19</v>
      </c>
      <c r="BI213" s="24" t="n">
        <v>0</v>
      </c>
      <c r="BJ213" s="24" t="n">
        <v>0</v>
      </c>
      <c r="BK213" s="24" t="n">
        <v>0</v>
      </c>
      <c r="BL213" s="24" t="n">
        <v>0.3</v>
      </c>
      <c r="BM213" s="24" t="n">
        <v>1</v>
      </c>
      <c r="BN213" s="24" t="n">
        <v>0</v>
      </c>
      <c r="BO213" s="27" t="n">
        <v>0.63</v>
      </c>
      <c r="BP213" s="27" t="n">
        <v>1</v>
      </c>
      <c r="BQ213" s="27" t="n">
        <v>3.55</v>
      </c>
      <c r="BR213" s="27" t="n">
        <v>4.46</v>
      </c>
      <c r="BS213" s="27" t="n">
        <v>0</v>
      </c>
      <c r="BT213" s="27" t="n">
        <v>0</v>
      </c>
      <c r="BU213" s="27" t="n">
        <v>0</v>
      </c>
      <c r="BV213" s="24" t="n">
        <v>0</v>
      </c>
    </row>
    <row r="214" customFormat="false" ht="13.8" hidden="false" customHeight="false" outlineLevel="0" collapsed="false">
      <c r="A214" s="0" t="n">
        <v>2</v>
      </c>
      <c r="B214" s="0" t="n">
        <v>25.429158110883</v>
      </c>
      <c r="C214" s="0" t="n">
        <v>0.238193018480493</v>
      </c>
      <c r="D214" s="0" t="n">
        <v>8</v>
      </c>
      <c r="E214" s="0" t="n">
        <v>78</v>
      </c>
      <c r="F214" s="0" t="n">
        <v>1.7</v>
      </c>
      <c r="G214" s="0" t="n">
        <v>26.9896193771626</v>
      </c>
      <c r="H214" s="0" t="n">
        <v>0</v>
      </c>
      <c r="I214" s="0" t="n">
        <v>0</v>
      </c>
      <c r="J214" s="19" t="n">
        <v>0</v>
      </c>
      <c r="K214" s="19" t="n">
        <v>1</v>
      </c>
      <c r="L214" s="19" t="n">
        <v>0</v>
      </c>
      <c r="M214" s="19" t="n">
        <v>0</v>
      </c>
      <c r="N214" s="19" t="n">
        <v>0</v>
      </c>
      <c r="O214" s="19" t="n">
        <v>0</v>
      </c>
      <c r="P214" s="19" t="n">
        <v>0</v>
      </c>
      <c r="Q214" s="19" t="n">
        <v>0</v>
      </c>
      <c r="R214" s="19" t="n">
        <v>0</v>
      </c>
      <c r="S214" s="19" t="n">
        <v>0</v>
      </c>
      <c r="T214" s="19" t="n">
        <v>0</v>
      </c>
      <c r="U214" s="15" t="n">
        <f aca="false">AVERAGE(M214:T214)</f>
        <v>0</v>
      </c>
      <c r="V214" s="19" t="n">
        <v>2</v>
      </c>
      <c r="W214" s="19" t="n">
        <v>2</v>
      </c>
      <c r="X214" s="19" t="n">
        <v>3</v>
      </c>
      <c r="Y214" s="19" t="n">
        <v>3</v>
      </c>
      <c r="Z214" s="19" t="n">
        <v>3</v>
      </c>
      <c r="AA214" s="19" t="n">
        <v>3</v>
      </c>
      <c r="AB214" s="19" t="n">
        <v>3</v>
      </c>
      <c r="AC214" s="19" t="n">
        <v>4</v>
      </c>
      <c r="AD214" s="19" t="n">
        <v>4</v>
      </c>
      <c r="AE214" s="19" t="n">
        <v>4</v>
      </c>
      <c r="AF214" s="19" t="n">
        <v>4</v>
      </c>
      <c r="AG214" s="19" t="n">
        <v>4</v>
      </c>
      <c r="AH214" s="19" t="n">
        <v>4</v>
      </c>
      <c r="AI214" s="19" t="n">
        <v>4</v>
      </c>
      <c r="AJ214" s="19" t="n">
        <v>4</v>
      </c>
      <c r="AK214" s="19" t="n">
        <v>4</v>
      </c>
      <c r="AL214" s="19" t="n">
        <v>4</v>
      </c>
      <c r="AM214" s="19" t="n">
        <v>4</v>
      </c>
      <c r="AN214" s="19" t="n">
        <v>4</v>
      </c>
      <c r="AO214" s="19" t="n">
        <v>7</v>
      </c>
      <c r="AP214" s="0" t="n">
        <v>37.5</v>
      </c>
      <c r="AQ214" s="16" t="n">
        <v>87.4</v>
      </c>
      <c r="AR214" s="16" t="n">
        <v>80.4</v>
      </c>
      <c r="AS214" s="16" t="n">
        <v>18.5</v>
      </c>
      <c r="AT214" s="0" t="n">
        <v>84.21</v>
      </c>
      <c r="AU214" s="17" t="n">
        <v>0</v>
      </c>
      <c r="AV214" s="0" t="n">
        <v>0</v>
      </c>
      <c r="AW214" s="0" t="n">
        <v>0</v>
      </c>
      <c r="AX214" s="0" t="n">
        <v>15.79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26.71</v>
      </c>
      <c r="BF214" s="0" t="n">
        <v>13.13</v>
      </c>
      <c r="BG214" s="0" t="n">
        <v>49.12</v>
      </c>
      <c r="BH214" s="0" t="n">
        <v>14.67</v>
      </c>
      <c r="BI214" s="0" t="n">
        <v>0</v>
      </c>
      <c r="BJ214" s="0" t="n">
        <v>0</v>
      </c>
      <c r="BK214" s="0" t="n">
        <v>0</v>
      </c>
      <c r="BL214" s="0" t="n">
        <v>1.1</v>
      </c>
      <c r="BM214" s="0" t="n">
        <v>1</v>
      </c>
      <c r="BN214" s="0" t="n">
        <v>0</v>
      </c>
      <c r="BO214" s="16" t="n">
        <v>4.3</v>
      </c>
      <c r="BP214" s="16" t="n">
        <v>1</v>
      </c>
      <c r="BQ214" s="16" t="n">
        <v>10.31</v>
      </c>
      <c r="BR214" s="16" t="n">
        <v>34.85</v>
      </c>
      <c r="BS214" s="16" t="n">
        <v>0</v>
      </c>
      <c r="BT214" s="16" t="n">
        <v>0</v>
      </c>
      <c r="BU214" s="16" t="n">
        <v>0</v>
      </c>
      <c r="BV214" s="0" t="n">
        <v>0</v>
      </c>
    </row>
    <row r="215" customFormat="false" ht="13.8" hidden="false" customHeight="false" outlineLevel="0" collapsed="false">
      <c r="A215" s="0" t="n">
        <v>1</v>
      </c>
      <c r="B215" s="0" t="n">
        <v>20.9089664613279</v>
      </c>
      <c r="C215" s="0" t="n">
        <v>0.284736481861739</v>
      </c>
      <c r="D215" s="0" t="n">
        <v>8</v>
      </c>
      <c r="E215" s="0" t="n">
        <v>57</v>
      </c>
      <c r="F215" s="0" t="n">
        <v>1.57</v>
      </c>
      <c r="G215" s="0" t="n">
        <v>23.1246703720232</v>
      </c>
      <c r="H215" s="0" t="n">
        <v>0</v>
      </c>
      <c r="I215" s="0" t="n">
        <v>0</v>
      </c>
      <c r="J215" s="19" t="n">
        <v>0</v>
      </c>
      <c r="K215" s="19" t="n">
        <v>0</v>
      </c>
      <c r="L215" s="19" t="n">
        <v>0</v>
      </c>
      <c r="M215" s="19" t="n">
        <v>0</v>
      </c>
      <c r="N215" s="19" t="n">
        <v>0</v>
      </c>
      <c r="O215" s="19" t="n">
        <v>0</v>
      </c>
      <c r="P215" s="19" t="n">
        <v>0</v>
      </c>
      <c r="Q215" s="19" t="n">
        <v>0</v>
      </c>
      <c r="R215" s="19" t="n">
        <v>0</v>
      </c>
      <c r="S215" s="19" t="n">
        <v>0</v>
      </c>
      <c r="T215" s="26" t="n">
        <v>0</v>
      </c>
      <c r="U215" s="15" t="n">
        <f aca="false">AVERAGE(M215:T215)</f>
        <v>0</v>
      </c>
      <c r="V215" s="19" t="n">
        <v>2</v>
      </c>
      <c r="W215" s="19" t="n">
        <v>2</v>
      </c>
      <c r="X215" s="19" t="n">
        <v>2</v>
      </c>
      <c r="Y215" s="19" t="n">
        <v>3</v>
      </c>
      <c r="Z215" s="19" t="n">
        <v>2</v>
      </c>
      <c r="AA215" s="19" t="n">
        <v>2</v>
      </c>
      <c r="AB215" s="19" t="n">
        <v>2</v>
      </c>
      <c r="AC215" s="19" t="n">
        <v>3</v>
      </c>
      <c r="AD215" s="19" t="n">
        <v>3</v>
      </c>
      <c r="AE215" s="19" t="n">
        <v>3</v>
      </c>
      <c r="AF215" s="19" t="n">
        <v>3</v>
      </c>
      <c r="AG215" s="19" t="n">
        <v>3</v>
      </c>
      <c r="AH215" s="19" t="n">
        <v>4</v>
      </c>
      <c r="AI215" s="19" t="n">
        <v>4</v>
      </c>
      <c r="AJ215" s="19" t="n">
        <v>2</v>
      </c>
      <c r="AK215" s="19" t="n">
        <v>4</v>
      </c>
      <c r="AL215" s="19" t="n">
        <v>4</v>
      </c>
      <c r="AM215" s="19" t="n">
        <v>4</v>
      </c>
      <c r="AN215" s="19" t="n">
        <v>4</v>
      </c>
      <c r="AO215" s="19" t="n">
        <v>8</v>
      </c>
      <c r="AP215" s="0" t="n">
        <v>28.5</v>
      </c>
      <c r="AQ215" s="16" t="n">
        <v>78.4</v>
      </c>
      <c r="AR215" s="16" t="n">
        <v>80.4</v>
      </c>
      <c r="AS215" s="16" t="n">
        <v>16</v>
      </c>
      <c r="AT215" s="0" t="n">
        <v>95.22</v>
      </c>
      <c r="AU215" s="17" t="n">
        <v>0</v>
      </c>
      <c r="AV215" s="0" t="n">
        <v>4.23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9.77</v>
      </c>
      <c r="BF215" s="0" t="n">
        <v>2.18</v>
      </c>
      <c r="BG215" s="0" t="n">
        <v>46.81</v>
      </c>
      <c r="BH215" s="0" t="n">
        <v>10.57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16" t="n">
        <v>4.23</v>
      </c>
      <c r="BP215" s="16" t="n">
        <v>1</v>
      </c>
      <c r="BQ215" s="16" t="n">
        <v>5.41</v>
      </c>
      <c r="BR215" s="16" t="n">
        <v>8.96</v>
      </c>
      <c r="BS215" s="16" t="n">
        <v>0</v>
      </c>
      <c r="BT215" s="16" t="n">
        <v>0</v>
      </c>
      <c r="BU215" s="16" t="n">
        <v>0</v>
      </c>
      <c r="BV215" s="0" t="n">
        <v>0</v>
      </c>
    </row>
    <row r="216" customFormat="false" ht="13.8" hidden="false" customHeight="false" outlineLevel="0" collapsed="false">
      <c r="A216" s="0" t="n">
        <v>2</v>
      </c>
      <c r="B216" s="0" t="n">
        <v>26.2258726899384</v>
      </c>
      <c r="C216" s="0" t="n">
        <v>5.89733059548255</v>
      </c>
      <c r="D216" s="0" t="n">
        <v>8</v>
      </c>
      <c r="E216" s="0" t="n">
        <v>75</v>
      </c>
      <c r="F216" s="0" t="n">
        <v>1.82</v>
      </c>
      <c r="G216" s="0" t="n">
        <v>22.6421929718633</v>
      </c>
      <c r="H216" s="0" t="n">
        <v>0</v>
      </c>
      <c r="I216" s="0" t="n">
        <v>0</v>
      </c>
      <c r="J216" s="19" t="n">
        <v>0</v>
      </c>
      <c r="K216" s="19" t="n">
        <v>0</v>
      </c>
      <c r="L216" s="19" t="n">
        <v>1</v>
      </c>
      <c r="M216" s="19" t="n">
        <v>0</v>
      </c>
      <c r="N216" s="19" t="n">
        <v>0</v>
      </c>
      <c r="O216" s="19" t="n">
        <v>0</v>
      </c>
      <c r="P216" s="19" t="n">
        <v>0</v>
      </c>
      <c r="Q216" s="19" t="n">
        <v>0</v>
      </c>
      <c r="R216" s="19" t="n">
        <v>0</v>
      </c>
      <c r="S216" s="19" t="n">
        <v>0</v>
      </c>
      <c r="T216" s="19" t="n">
        <v>0</v>
      </c>
      <c r="U216" s="15" t="n">
        <f aca="false">AVERAGE(M216:T216)</f>
        <v>0</v>
      </c>
      <c r="V216" s="19" t="n">
        <v>4</v>
      </c>
      <c r="W216" s="19" t="n">
        <v>3</v>
      </c>
      <c r="X216" s="19" t="n">
        <v>4</v>
      </c>
      <c r="Y216" s="19" t="n">
        <v>4</v>
      </c>
      <c r="Z216" s="19" t="n">
        <v>3</v>
      </c>
      <c r="AA216" s="19" t="n">
        <v>3</v>
      </c>
      <c r="AB216" s="19" t="n">
        <v>3</v>
      </c>
      <c r="AC216" s="19" t="n">
        <v>4</v>
      </c>
      <c r="AD216" s="19" t="n">
        <v>2</v>
      </c>
      <c r="AE216" s="19" t="n">
        <v>2</v>
      </c>
      <c r="AF216" s="19" t="n">
        <v>3</v>
      </c>
      <c r="AG216" s="19" t="n">
        <v>4</v>
      </c>
      <c r="AH216" s="19" t="n">
        <v>2</v>
      </c>
      <c r="AI216" s="19" t="n">
        <v>3</v>
      </c>
      <c r="AJ216" s="19" t="n">
        <v>4</v>
      </c>
      <c r="AK216" s="19" t="n">
        <v>4</v>
      </c>
      <c r="AL216" s="19" t="n">
        <v>3</v>
      </c>
      <c r="AM216" s="19" t="n">
        <v>3</v>
      </c>
      <c r="AN216" s="19" t="n">
        <v>3</v>
      </c>
      <c r="AO216" s="19" t="n">
        <v>10</v>
      </c>
      <c r="AP216" s="0" t="n">
        <v>37.5</v>
      </c>
      <c r="AQ216" s="16" t="n">
        <v>87.4</v>
      </c>
      <c r="AR216" s="16" t="n">
        <v>80.4</v>
      </c>
      <c r="AS216" s="16" t="n">
        <v>18.5</v>
      </c>
      <c r="AT216" s="0" t="n">
        <v>84.21</v>
      </c>
      <c r="AU216" s="17" t="n">
        <v>0</v>
      </c>
      <c r="AV216" s="0" t="n">
        <v>0</v>
      </c>
      <c r="AW216" s="0" t="n">
        <v>0</v>
      </c>
      <c r="AX216" s="0" t="n">
        <v>15.79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26.71</v>
      </c>
      <c r="BF216" s="0" t="n">
        <v>13.13</v>
      </c>
      <c r="BG216" s="0" t="n">
        <v>49.12</v>
      </c>
      <c r="BH216" s="0" t="n">
        <v>14.67</v>
      </c>
      <c r="BI216" s="0" t="n">
        <v>0</v>
      </c>
      <c r="BJ216" s="0" t="n">
        <v>0</v>
      </c>
      <c r="BK216" s="0" t="n">
        <v>0</v>
      </c>
      <c r="BL216" s="0" t="n">
        <v>1.1</v>
      </c>
      <c r="BM216" s="0" t="n">
        <v>1</v>
      </c>
      <c r="BN216" s="0" t="n">
        <v>0</v>
      </c>
      <c r="BO216" s="16" t="n">
        <v>4.3</v>
      </c>
      <c r="BP216" s="16" t="n">
        <v>1</v>
      </c>
      <c r="BQ216" s="16" t="n">
        <v>10.31</v>
      </c>
      <c r="BR216" s="16" t="n">
        <v>34.85</v>
      </c>
      <c r="BS216" s="16" t="n">
        <v>0</v>
      </c>
      <c r="BT216" s="16" t="n">
        <v>0</v>
      </c>
      <c r="BU216" s="16" t="n">
        <v>0</v>
      </c>
      <c r="BV216" s="0" t="n">
        <v>0</v>
      </c>
    </row>
    <row r="217" customFormat="false" ht="13.8" hidden="false" customHeight="false" outlineLevel="0" collapsed="false">
      <c r="A217" s="0" t="n">
        <v>2</v>
      </c>
      <c r="B217" s="0" t="n">
        <v>22.6338124572211</v>
      </c>
      <c r="C217" s="0" t="n">
        <v>0.249144421629021</v>
      </c>
      <c r="D217" s="0" t="n">
        <v>8</v>
      </c>
      <c r="E217" s="0" t="n">
        <v>64</v>
      </c>
      <c r="F217" s="0" t="n">
        <v>1.72</v>
      </c>
      <c r="G217" s="0" t="n">
        <v>21.6333153055706</v>
      </c>
      <c r="H217" s="0" t="n">
        <v>0</v>
      </c>
      <c r="I217" s="0" t="n">
        <v>0</v>
      </c>
      <c r="J217" s="19" t="n">
        <v>0</v>
      </c>
      <c r="K217" s="19" t="n">
        <v>2</v>
      </c>
      <c r="L217" s="19" t="n">
        <v>0</v>
      </c>
      <c r="M217" s="19" t="n">
        <v>0</v>
      </c>
      <c r="N217" s="19" t="n">
        <v>0</v>
      </c>
      <c r="O217" s="19" t="n">
        <v>0</v>
      </c>
      <c r="P217" s="19" t="n">
        <v>0</v>
      </c>
      <c r="Q217" s="19" t="n">
        <v>0</v>
      </c>
      <c r="R217" s="19" t="n">
        <v>0</v>
      </c>
      <c r="S217" s="19" t="n">
        <v>0</v>
      </c>
      <c r="T217" s="19" t="n">
        <v>0</v>
      </c>
      <c r="U217" s="15" t="n">
        <f aca="false">AVERAGE(M217:T217)</f>
        <v>0</v>
      </c>
      <c r="V217" s="19" t="n">
        <v>1</v>
      </c>
      <c r="W217" s="19" t="n">
        <v>2</v>
      </c>
      <c r="X217" s="19" t="n">
        <v>4</v>
      </c>
      <c r="Y217" s="19" t="n">
        <v>5</v>
      </c>
      <c r="Z217" s="19" t="n">
        <v>3</v>
      </c>
      <c r="AA217" s="19" t="n">
        <v>1</v>
      </c>
      <c r="AB217" s="19" t="n">
        <v>4</v>
      </c>
      <c r="AC217" s="19" t="n">
        <v>4</v>
      </c>
      <c r="AD217" s="19" t="n">
        <v>5</v>
      </c>
      <c r="AE217" s="19" t="n">
        <v>5</v>
      </c>
      <c r="AF217" s="19" t="n">
        <v>5</v>
      </c>
      <c r="AG217" s="19" t="n">
        <v>5</v>
      </c>
      <c r="AH217" s="19" t="n">
        <v>4</v>
      </c>
      <c r="AI217" s="19" t="n">
        <v>5</v>
      </c>
      <c r="AJ217" s="19" t="n">
        <v>5</v>
      </c>
      <c r="AK217" s="19" t="n">
        <v>5</v>
      </c>
      <c r="AL217" s="19" t="n">
        <v>5</v>
      </c>
      <c r="AM217" s="19" t="n">
        <v>5</v>
      </c>
      <c r="AN217" s="19" t="n">
        <v>4</v>
      </c>
      <c r="AO217" s="19" t="n">
        <v>8</v>
      </c>
      <c r="AP217" s="0" t="n">
        <v>37.5</v>
      </c>
      <c r="AQ217" s="16" t="n">
        <v>87.4</v>
      </c>
      <c r="AR217" s="16" t="n">
        <v>80.4</v>
      </c>
      <c r="AS217" s="16" t="n">
        <v>18.5</v>
      </c>
      <c r="AT217" s="0" t="n">
        <v>84.21</v>
      </c>
      <c r="AU217" s="17" t="n">
        <v>0</v>
      </c>
      <c r="AV217" s="0" t="n">
        <v>0</v>
      </c>
      <c r="AW217" s="0" t="n">
        <v>0</v>
      </c>
      <c r="AX217" s="0" t="n">
        <v>15.79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26.71</v>
      </c>
      <c r="BF217" s="0" t="n">
        <v>13.13</v>
      </c>
      <c r="BG217" s="0" t="n">
        <v>49.12</v>
      </c>
      <c r="BH217" s="0" t="n">
        <v>14.67</v>
      </c>
      <c r="BI217" s="0" t="n">
        <v>0</v>
      </c>
      <c r="BJ217" s="0" t="n">
        <v>0</v>
      </c>
      <c r="BK217" s="0" t="n">
        <v>0</v>
      </c>
      <c r="BL217" s="0" t="n">
        <v>1.1</v>
      </c>
      <c r="BM217" s="0" t="n">
        <v>1</v>
      </c>
      <c r="BN217" s="0" t="n">
        <v>0</v>
      </c>
      <c r="BO217" s="16" t="n">
        <v>4.3</v>
      </c>
      <c r="BP217" s="16" t="n">
        <v>1</v>
      </c>
      <c r="BQ217" s="16" t="n">
        <v>10.31</v>
      </c>
      <c r="BR217" s="16" t="n">
        <v>34.85</v>
      </c>
      <c r="BS217" s="16" t="n">
        <v>0</v>
      </c>
      <c r="BT217" s="16" t="n">
        <v>0</v>
      </c>
      <c r="BU217" s="16" t="n">
        <v>0</v>
      </c>
      <c r="BV217" s="0" t="n">
        <v>0</v>
      </c>
    </row>
    <row r="218" customFormat="false" ht="13.8" hidden="false" customHeight="false" outlineLevel="0" collapsed="false">
      <c r="A218" s="0" t="n">
        <v>2</v>
      </c>
      <c r="B218" s="0" t="n">
        <v>35.4524298425736</v>
      </c>
      <c r="C218" s="0" t="n">
        <v>0.251882272416153</v>
      </c>
      <c r="D218" s="0" t="n">
        <v>8</v>
      </c>
      <c r="E218" s="0" t="n">
        <v>70</v>
      </c>
      <c r="F218" s="0" t="n">
        <v>1.7</v>
      </c>
      <c r="G218" s="0" t="n">
        <v>24.2214532871972</v>
      </c>
      <c r="H218" s="0" t="n">
        <v>0</v>
      </c>
      <c r="I218" s="0" t="n">
        <v>0</v>
      </c>
      <c r="J218" s="19" t="n">
        <v>0</v>
      </c>
      <c r="K218" s="19" t="n">
        <v>1</v>
      </c>
      <c r="L218" s="19" t="n">
        <v>0</v>
      </c>
      <c r="M218" s="19" t="n">
        <v>0</v>
      </c>
      <c r="N218" s="19" t="n">
        <v>0</v>
      </c>
      <c r="O218" s="19" t="n">
        <v>0</v>
      </c>
      <c r="P218" s="19" t="n">
        <v>0</v>
      </c>
      <c r="Q218" s="19" t="n">
        <v>0</v>
      </c>
      <c r="R218" s="19" t="n">
        <v>0</v>
      </c>
      <c r="S218" s="19" t="n">
        <v>0</v>
      </c>
      <c r="T218" s="19" t="n">
        <v>0</v>
      </c>
      <c r="U218" s="15" t="n">
        <f aca="false">AVERAGE(M218:T218)</f>
        <v>0</v>
      </c>
      <c r="V218" s="19" t="n">
        <v>1</v>
      </c>
      <c r="W218" s="19" t="n">
        <v>3</v>
      </c>
      <c r="X218" s="19" t="n">
        <v>3</v>
      </c>
      <c r="Y218" s="19" t="n">
        <v>3</v>
      </c>
      <c r="Z218" s="19" t="n">
        <v>1</v>
      </c>
      <c r="AA218" s="19" t="n">
        <v>1</v>
      </c>
      <c r="AB218" s="19" t="n">
        <v>3</v>
      </c>
      <c r="AC218" s="19" t="n">
        <v>3</v>
      </c>
      <c r="AD218" s="19" t="n">
        <v>5</v>
      </c>
      <c r="AE218" s="19" t="n">
        <v>5</v>
      </c>
      <c r="AF218" s="19" t="n">
        <v>5</v>
      </c>
      <c r="AG218" s="19" t="n">
        <v>5</v>
      </c>
      <c r="AH218" s="19" t="n">
        <v>1</v>
      </c>
      <c r="AI218" s="19" t="n">
        <v>5</v>
      </c>
      <c r="AJ218" s="19" t="n">
        <v>5</v>
      </c>
      <c r="AK218" s="19" t="n">
        <v>5</v>
      </c>
      <c r="AL218" s="19" t="n">
        <v>5</v>
      </c>
      <c r="AM218" s="19" t="n">
        <v>3</v>
      </c>
      <c r="AN218" s="19" t="n">
        <v>3</v>
      </c>
      <c r="AO218" s="19" t="n">
        <v>6</v>
      </c>
      <c r="AP218" s="0" t="n">
        <v>28.5</v>
      </c>
      <c r="AQ218" s="16" t="n">
        <v>78.4</v>
      </c>
      <c r="AR218" s="16" t="n">
        <v>80.4</v>
      </c>
      <c r="AS218" s="16" t="n">
        <v>16</v>
      </c>
      <c r="AT218" s="0" t="n">
        <v>95.22</v>
      </c>
      <c r="AU218" s="17" t="n">
        <v>0</v>
      </c>
      <c r="AV218" s="0" t="n">
        <v>4.23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9.77</v>
      </c>
      <c r="BF218" s="0" t="n">
        <v>2.18</v>
      </c>
      <c r="BG218" s="0" t="n">
        <v>46.81</v>
      </c>
      <c r="BH218" s="0" t="n">
        <v>10.57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16" t="n">
        <v>4.23</v>
      </c>
      <c r="BP218" s="16" t="n">
        <v>1</v>
      </c>
      <c r="BQ218" s="16" t="n">
        <v>5.41</v>
      </c>
      <c r="BR218" s="16" t="n">
        <v>8.96</v>
      </c>
      <c r="BS218" s="16" t="n">
        <v>0</v>
      </c>
      <c r="BT218" s="16" t="n">
        <v>0</v>
      </c>
      <c r="BU218" s="16" t="n">
        <v>0</v>
      </c>
      <c r="BV218" s="0" t="n">
        <v>0</v>
      </c>
    </row>
    <row r="219" customFormat="false" ht="13.8" hidden="false" customHeight="false" outlineLevel="0" collapsed="false">
      <c r="A219" s="0" t="n">
        <v>2</v>
      </c>
      <c r="B219" s="0" t="n">
        <v>30.2094455852156</v>
      </c>
      <c r="C219" s="0" t="n">
        <v>0.268309377138946</v>
      </c>
      <c r="D219" s="0" t="n">
        <v>8</v>
      </c>
      <c r="E219" s="0" t="n">
        <v>70</v>
      </c>
      <c r="F219" s="0" t="n">
        <v>1.7</v>
      </c>
      <c r="G219" s="0" t="n">
        <v>24.2214532871972</v>
      </c>
      <c r="H219" s="0" t="n">
        <v>0</v>
      </c>
      <c r="I219" s="0" t="n">
        <v>0</v>
      </c>
      <c r="J219" s="19" t="n">
        <v>0</v>
      </c>
      <c r="K219" s="19" t="n">
        <v>0</v>
      </c>
      <c r="L219" s="19" t="n">
        <v>0</v>
      </c>
      <c r="M219" s="19" t="n">
        <v>0</v>
      </c>
      <c r="N219" s="19" t="n">
        <v>0</v>
      </c>
      <c r="O219" s="19" t="n">
        <v>0</v>
      </c>
      <c r="P219" s="19" t="n">
        <v>0</v>
      </c>
      <c r="Q219" s="19" t="n">
        <v>0</v>
      </c>
      <c r="R219" s="19" t="n">
        <v>0</v>
      </c>
      <c r="S219" s="19" t="n">
        <v>0</v>
      </c>
      <c r="T219" s="19" t="n">
        <v>0</v>
      </c>
      <c r="U219" s="15" t="n">
        <f aca="false">AVERAGE(M219:T219)</f>
        <v>0</v>
      </c>
      <c r="V219" s="19" t="n">
        <v>2</v>
      </c>
      <c r="W219" s="19" t="n">
        <v>1</v>
      </c>
      <c r="X219" s="19" t="n">
        <v>3</v>
      </c>
      <c r="Y219" s="19" t="n">
        <v>5</v>
      </c>
      <c r="Z219" s="19" t="n">
        <v>5</v>
      </c>
      <c r="AA219" s="19" t="n">
        <v>4</v>
      </c>
      <c r="AB219" s="19" t="n">
        <v>4</v>
      </c>
      <c r="AC219" s="19" t="n">
        <v>5</v>
      </c>
      <c r="AD219" s="19" t="n">
        <v>5</v>
      </c>
      <c r="AE219" s="19" t="n">
        <v>4</v>
      </c>
      <c r="AF219" s="19" t="n">
        <v>4</v>
      </c>
      <c r="AG219" s="19" t="n">
        <v>5</v>
      </c>
      <c r="AH219" s="19" t="n">
        <v>4</v>
      </c>
      <c r="AI219" s="19" t="n">
        <v>5</v>
      </c>
      <c r="AJ219" s="19" t="n">
        <v>5</v>
      </c>
      <c r="AK219" s="19" t="n">
        <v>5</v>
      </c>
      <c r="AL219" s="19" t="n">
        <v>4</v>
      </c>
      <c r="AM219" s="19" t="n">
        <v>4</v>
      </c>
      <c r="AN219" s="19" t="n">
        <v>4</v>
      </c>
      <c r="AO219" s="19" t="n">
        <v>8</v>
      </c>
      <c r="AP219" s="0" t="n">
        <v>37.5</v>
      </c>
      <c r="AQ219" s="16" t="n">
        <v>87.4</v>
      </c>
      <c r="AR219" s="16" t="n">
        <v>80.4</v>
      </c>
      <c r="AS219" s="16" t="n">
        <v>18.5</v>
      </c>
      <c r="AT219" s="0" t="n">
        <v>84.21</v>
      </c>
      <c r="AU219" s="17" t="n">
        <v>0</v>
      </c>
      <c r="AV219" s="0" t="n">
        <v>0</v>
      </c>
      <c r="AW219" s="0" t="n">
        <v>0</v>
      </c>
      <c r="AX219" s="0" t="n">
        <v>15.79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26.71</v>
      </c>
      <c r="BF219" s="0" t="n">
        <v>13.13</v>
      </c>
      <c r="BG219" s="0" t="n">
        <v>49.12</v>
      </c>
      <c r="BH219" s="0" t="n">
        <v>14.67</v>
      </c>
      <c r="BI219" s="0" t="n">
        <v>0</v>
      </c>
      <c r="BJ219" s="0" t="n">
        <v>0</v>
      </c>
      <c r="BK219" s="0" t="n">
        <v>0</v>
      </c>
      <c r="BL219" s="0" t="n">
        <v>1.1</v>
      </c>
      <c r="BM219" s="0" t="n">
        <v>1</v>
      </c>
      <c r="BN219" s="0" t="n">
        <v>0</v>
      </c>
      <c r="BO219" s="16" t="n">
        <v>4.3</v>
      </c>
      <c r="BP219" s="16" t="n">
        <v>1</v>
      </c>
      <c r="BQ219" s="16" t="n">
        <v>10.31</v>
      </c>
      <c r="BR219" s="16" t="n">
        <v>34.85</v>
      </c>
      <c r="BS219" s="16" t="n">
        <v>0</v>
      </c>
      <c r="BT219" s="16" t="n">
        <v>0</v>
      </c>
      <c r="BU219" s="16" t="n">
        <v>0</v>
      </c>
      <c r="BV219" s="0" t="n">
        <v>0</v>
      </c>
    </row>
    <row r="220" customFormat="false" ht="13.8" hidden="false" customHeight="false" outlineLevel="0" collapsed="false">
      <c r="A220" s="0" t="n">
        <v>2</v>
      </c>
      <c r="B220" s="0" t="n">
        <v>39.3757700205339</v>
      </c>
      <c r="C220" s="0" t="n">
        <v>0.32580424366872</v>
      </c>
      <c r="D220" s="0" t="n">
        <v>4</v>
      </c>
      <c r="E220" s="0" t="n">
        <v>81</v>
      </c>
      <c r="F220" s="0" t="n">
        <v>1.7</v>
      </c>
      <c r="G220" s="0" t="n">
        <v>28.0276816608996</v>
      </c>
      <c r="H220" s="0" t="n">
        <v>0</v>
      </c>
      <c r="I220" s="0" t="n">
        <v>0</v>
      </c>
      <c r="J220" s="19" t="n">
        <v>0</v>
      </c>
      <c r="K220" s="19" t="n">
        <v>0</v>
      </c>
      <c r="L220" s="19" t="n">
        <v>1</v>
      </c>
      <c r="M220" s="19" t="n">
        <v>0</v>
      </c>
      <c r="N220" s="19" t="n">
        <v>0</v>
      </c>
      <c r="O220" s="19" t="n">
        <v>0</v>
      </c>
      <c r="P220" s="19" t="n">
        <v>0</v>
      </c>
      <c r="Q220" s="19" t="n">
        <v>0</v>
      </c>
      <c r="R220" s="19" t="n">
        <v>0</v>
      </c>
      <c r="S220" s="19" t="n">
        <v>0</v>
      </c>
      <c r="T220" s="19" t="n">
        <v>0</v>
      </c>
      <c r="U220" s="15" t="n">
        <f aca="false">AVERAGE(M220:T220)</f>
        <v>0</v>
      </c>
      <c r="V220" s="19" t="n">
        <v>3</v>
      </c>
      <c r="W220" s="19" t="n">
        <v>2</v>
      </c>
      <c r="X220" s="19" t="n">
        <v>3</v>
      </c>
      <c r="Y220" s="19" t="n">
        <v>4</v>
      </c>
      <c r="Z220" s="19" t="n">
        <v>4</v>
      </c>
      <c r="AA220" s="19" t="n">
        <v>4</v>
      </c>
      <c r="AB220" s="19" t="n">
        <v>5</v>
      </c>
      <c r="AC220" s="19" t="n">
        <v>4</v>
      </c>
      <c r="AD220" s="19" t="n">
        <v>3</v>
      </c>
      <c r="AE220" s="19" t="n">
        <v>4</v>
      </c>
      <c r="AF220" s="19" t="n">
        <v>4</v>
      </c>
      <c r="AG220" s="19" t="n">
        <v>4</v>
      </c>
      <c r="AH220" s="19" t="n">
        <v>5</v>
      </c>
      <c r="AI220" s="19" t="n">
        <v>5</v>
      </c>
      <c r="AJ220" s="19" t="n">
        <v>4</v>
      </c>
      <c r="AK220" s="19" t="n">
        <v>5</v>
      </c>
      <c r="AL220" s="19" t="n">
        <v>4</v>
      </c>
      <c r="AM220" s="19" t="n">
        <v>4</v>
      </c>
      <c r="AN220" s="19" t="n">
        <v>4</v>
      </c>
      <c r="AO220" s="19" t="n">
        <v>8</v>
      </c>
      <c r="AP220" s="0" t="n">
        <v>39.5</v>
      </c>
      <c r="AQ220" s="16" t="n">
        <v>89.8</v>
      </c>
      <c r="AR220" s="16" t="n">
        <v>80.4</v>
      </c>
      <c r="AS220" s="16" t="n">
        <v>5.1</v>
      </c>
      <c r="AT220" s="0" t="n">
        <v>100</v>
      </c>
      <c r="AU220" s="17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50.37</v>
      </c>
      <c r="BG220" s="0" t="n">
        <v>16.55</v>
      </c>
      <c r="BH220" s="0" t="n">
        <v>0.4</v>
      </c>
      <c r="BI220" s="0" t="n">
        <v>0</v>
      </c>
      <c r="BJ220" s="0" t="n">
        <v>27.4</v>
      </c>
      <c r="BK220" s="0" t="n">
        <v>1</v>
      </c>
      <c r="BL220" s="0" t="n">
        <v>0.1</v>
      </c>
      <c r="BM220" s="0" t="n">
        <v>1</v>
      </c>
      <c r="BN220" s="0" t="n">
        <v>0</v>
      </c>
      <c r="BO220" s="16" t="n">
        <v>1.49</v>
      </c>
      <c r="BP220" s="16" t="n">
        <v>1</v>
      </c>
      <c r="BQ220" s="16" t="n">
        <v>5.01</v>
      </c>
      <c r="BR220" s="16" t="n">
        <v>5.13</v>
      </c>
      <c r="BS220" s="16" t="n">
        <v>0</v>
      </c>
      <c r="BT220" s="16" t="n">
        <v>0</v>
      </c>
      <c r="BU220" s="16" t="n">
        <v>0</v>
      </c>
      <c r="BV220" s="0" t="n">
        <v>0</v>
      </c>
    </row>
    <row r="221" customFormat="false" ht="13.8" hidden="false" customHeight="false" outlineLevel="0" collapsed="false">
      <c r="A221" s="0" t="n">
        <v>2</v>
      </c>
      <c r="B221" s="0" t="n">
        <v>34.8939082819986</v>
      </c>
      <c r="C221" s="0" t="n">
        <v>10.8829568788501</v>
      </c>
      <c r="D221" s="0" t="n">
        <v>4</v>
      </c>
      <c r="E221" s="0" t="n">
        <v>90</v>
      </c>
      <c r="F221" s="0" t="n">
        <v>1.72</v>
      </c>
      <c r="G221" s="0" t="n">
        <v>30.4218496484586</v>
      </c>
      <c r="H221" s="0" t="n">
        <v>0</v>
      </c>
      <c r="I221" s="0" t="n">
        <v>0</v>
      </c>
      <c r="J221" s="19" t="n">
        <v>1</v>
      </c>
      <c r="K221" s="19" t="n">
        <v>0</v>
      </c>
      <c r="L221" s="19" t="n">
        <v>1</v>
      </c>
      <c r="M221" s="19" t="n">
        <v>5</v>
      </c>
      <c r="N221" s="19" t="n">
        <v>0</v>
      </c>
      <c r="O221" s="19" t="n">
        <v>0</v>
      </c>
      <c r="P221" s="19" t="n">
        <v>0</v>
      </c>
      <c r="Q221" s="19" t="n">
        <v>6</v>
      </c>
      <c r="R221" s="19" t="n">
        <v>6</v>
      </c>
      <c r="S221" s="19" t="n">
        <v>0</v>
      </c>
      <c r="T221" s="19" t="n">
        <v>0</v>
      </c>
      <c r="U221" s="15" t="n">
        <f aca="false">AVERAGE(M221:T221)</f>
        <v>2.125</v>
      </c>
      <c r="V221" s="19" t="n">
        <v>5</v>
      </c>
      <c r="W221" s="19" t="n">
        <v>4</v>
      </c>
      <c r="X221" s="19" t="n">
        <v>5</v>
      </c>
      <c r="Y221" s="19" t="n">
        <v>5</v>
      </c>
      <c r="Z221" s="19" t="n">
        <v>5</v>
      </c>
      <c r="AA221" s="19" t="n">
        <v>4</v>
      </c>
      <c r="AB221" s="19" t="n">
        <v>4</v>
      </c>
      <c r="AC221" s="19" t="n">
        <v>1</v>
      </c>
      <c r="AD221" s="19" t="n">
        <v>1</v>
      </c>
      <c r="AE221" s="19" t="n">
        <v>3</v>
      </c>
      <c r="AF221" s="19" t="n">
        <v>5</v>
      </c>
      <c r="AG221" s="19" t="n">
        <v>5</v>
      </c>
      <c r="AH221" s="19" t="n">
        <v>5</v>
      </c>
      <c r="AI221" s="19" t="n">
        <v>3</v>
      </c>
      <c r="AJ221" s="19" t="n">
        <v>5</v>
      </c>
      <c r="AK221" s="19" t="n">
        <v>3</v>
      </c>
      <c r="AL221" s="19" t="n">
        <v>4</v>
      </c>
      <c r="AM221" s="19" t="n">
        <v>5</v>
      </c>
      <c r="AN221" s="19" t="n">
        <v>1</v>
      </c>
      <c r="AO221" s="19" t="n">
        <v>10</v>
      </c>
      <c r="AP221" s="0" t="n">
        <v>37.5</v>
      </c>
      <c r="AQ221" s="16" t="n">
        <v>87.4</v>
      </c>
      <c r="AR221" s="16" t="n">
        <v>80.4</v>
      </c>
      <c r="AS221" s="16" t="n">
        <v>18.5</v>
      </c>
      <c r="AT221" s="0" t="n">
        <v>84.21</v>
      </c>
      <c r="AU221" s="17" t="n">
        <v>0</v>
      </c>
      <c r="AV221" s="0" t="n">
        <v>0</v>
      </c>
      <c r="AW221" s="0" t="n">
        <v>0</v>
      </c>
      <c r="AX221" s="0" t="n">
        <v>15.79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26.71</v>
      </c>
      <c r="BF221" s="0" t="n">
        <v>13.13</v>
      </c>
      <c r="BG221" s="0" t="n">
        <v>49.12</v>
      </c>
      <c r="BH221" s="0" t="n">
        <v>14.67</v>
      </c>
      <c r="BI221" s="0" t="n">
        <v>0</v>
      </c>
      <c r="BJ221" s="0" t="n">
        <v>0</v>
      </c>
      <c r="BK221" s="0" t="n">
        <v>0</v>
      </c>
      <c r="BL221" s="0" t="n">
        <v>1.1</v>
      </c>
      <c r="BM221" s="0" t="n">
        <v>1</v>
      </c>
      <c r="BN221" s="0" t="n">
        <v>0</v>
      </c>
      <c r="BO221" s="16" t="n">
        <v>4.3</v>
      </c>
      <c r="BP221" s="16" t="n">
        <v>1</v>
      </c>
      <c r="BQ221" s="16" t="n">
        <v>10.31</v>
      </c>
      <c r="BR221" s="16" t="n">
        <v>34.85</v>
      </c>
      <c r="BS221" s="16" t="n">
        <v>0</v>
      </c>
      <c r="BT221" s="16" t="n">
        <v>0</v>
      </c>
      <c r="BU221" s="16" t="n">
        <v>0</v>
      </c>
      <c r="BV221" s="0" t="n">
        <v>0</v>
      </c>
    </row>
    <row r="222" customFormat="false" ht="13.8" hidden="false" customHeight="false" outlineLevel="0" collapsed="false">
      <c r="A222" s="0" t="n">
        <v>1</v>
      </c>
      <c r="B222" s="0" t="n">
        <v>26.8364134154689</v>
      </c>
      <c r="C222" s="0" t="n">
        <v>4.99657768651609</v>
      </c>
      <c r="D222" s="0" t="n">
        <v>4</v>
      </c>
      <c r="E222" s="0" t="n">
        <v>58</v>
      </c>
      <c r="F222" s="0" t="n">
        <v>1.56</v>
      </c>
      <c r="G222" s="0" t="n">
        <v>23.8330046022354</v>
      </c>
      <c r="H222" s="0" t="n">
        <v>0</v>
      </c>
      <c r="I222" s="0" t="n">
        <v>0</v>
      </c>
      <c r="J222" s="19" t="n">
        <v>0</v>
      </c>
      <c r="K222" s="19" t="n">
        <v>0</v>
      </c>
      <c r="L222" s="19" t="n">
        <v>0</v>
      </c>
      <c r="M222" s="19" t="n">
        <v>0</v>
      </c>
      <c r="N222" s="19" t="n">
        <v>0</v>
      </c>
      <c r="O222" s="19" t="n">
        <v>0</v>
      </c>
      <c r="P222" s="19" t="n">
        <v>0</v>
      </c>
      <c r="Q222" s="19" t="n">
        <v>0</v>
      </c>
      <c r="R222" s="19" t="n">
        <v>0</v>
      </c>
      <c r="S222" s="19" t="n">
        <v>0</v>
      </c>
      <c r="T222" s="19" t="n">
        <v>0</v>
      </c>
      <c r="U222" s="15" t="n">
        <f aca="false">AVERAGE(M222:T222)</f>
        <v>0</v>
      </c>
      <c r="V222" s="19" t="n">
        <v>1</v>
      </c>
      <c r="W222" s="19" t="n">
        <v>1</v>
      </c>
      <c r="X222" s="19" t="n">
        <v>4</v>
      </c>
      <c r="Y222" s="19" t="n">
        <v>5</v>
      </c>
      <c r="Z222" s="19" t="n">
        <v>2</v>
      </c>
      <c r="AA222" s="19" t="n">
        <v>3</v>
      </c>
      <c r="AB222" s="19" t="n">
        <v>1</v>
      </c>
      <c r="AC222" s="19" t="n">
        <v>3</v>
      </c>
      <c r="AD222" s="19" t="n">
        <v>3</v>
      </c>
      <c r="AE222" s="19" t="n">
        <v>3</v>
      </c>
      <c r="AF222" s="19" t="n">
        <v>4</v>
      </c>
      <c r="AG222" s="19" t="n">
        <v>5</v>
      </c>
      <c r="AH222" s="19" t="n">
        <v>3</v>
      </c>
      <c r="AI222" s="19" t="n">
        <v>3</v>
      </c>
      <c r="AJ222" s="19" t="n">
        <v>4</v>
      </c>
      <c r="AK222" s="19" t="n">
        <v>4</v>
      </c>
      <c r="AL222" s="19" t="n">
        <v>3</v>
      </c>
      <c r="AM222" s="19" t="n">
        <v>3</v>
      </c>
      <c r="AN222" s="19" t="n">
        <v>4</v>
      </c>
      <c r="AO222" s="19" t="n">
        <v>9</v>
      </c>
      <c r="AP222" s="0" t="n">
        <v>49.5</v>
      </c>
      <c r="AQ222" s="16" t="n">
        <v>90.1</v>
      </c>
      <c r="AR222" s="16" t="n">
        <v>80.4</v>
      </c>
      <c r="AS222" s="16" t="n">
        <v>9.9</v>
      </c>
      <c r="AT222" s="0" t="n">
        <v>94.62</v>
      </c>
      <c r="AU222" s="17" t="n">
        <v>0</v>
      </c>
      <c r="AV222" s="0" t="n">
        <v>0.32</v>
      </c>
      <c r="AW222" s="0" t="n">
        <v>0</v>
      </c>
      <c r="AX222" s="0" t="n">
        <v>5.05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3.42</v>
      </c>
      <c r="BF222" s="0" t="n">
        <v>32.25</v>
      </c>
      <c r="BG222" s="0" t="n">
        <v>29.89</v>
      </c>
      <c r="BH222" s="0" t="n">
        <v>8.28</v>
      </c>
      <c r="BI222" s="0" t="n">
        <v>0</v>
      </c>
      <c r="BJ222" s="0" t="n">
        <v>12.9</v>
      </c>
      <c r="BK222" s="0" t="n">
        <v>1</v>
      </c>
      <c r="BL222" s="0" t="n">
        <v>16.6</v>
      </c>
      <c r="BM222" s="0" t="n">
        <v>1</v>
      </c>
      <c r="BN222" s="0" t="n">
        <v>1</v>
      </c>
      <c r="BO222" s="16" t="n">
        <v>2.49</v>
      </c>
      <c r="BP222" s="16" t="n">
        <v>1</v>
      </c>
      <c r="BQ222" s="16" t="n">
        <v>4.17</v>
      </c>
      <c r="BR222" s="16" t="n">
        <v>3.7</v>
      </c>
      <c r="BS222" s="16" t="n">
        <v>0</v>
      </c>
      <c r="BT222" s="16" t="n">
        <v>0</v>
      </c>
      <c r="BU222" s="16" t="n">
        <v>0</v>
      </c>
      <c r="BV222" s="0" t="n">
        <v>0</v>
      </c>
    </row>
    <row r="223" customFormat="false" ht="13.8" hidden="false" customHeight="false" outlineLevel="0" collapsed="false">
      <c r="A223" s="0" t="n">
        <v>2</v>
      </c>
      <c r="B223" s="0" t="n">
        <v>41.864476386037</v>
      </c>
      <c r="C223" s="0" t="n">
        <v>0.268309377138946</v>
      </c>
      <c r="D223" s="0" t="n">
        <v>4</v>
      </c>
      <c r="E223" s="0" t="n">
        <v>93</v>
      </c>
      <c r="F223" s="0" t="n">
        <v>1.8</v>
      </c>
      <c r="G223" s="0" t="n">
        <v>28.7037037037037</v>
      </c>
      <c r="H223" s="0" t="n">
        <v>1</v>
      </c>
      <c r="I223" s="0" t="n">
        <v>0</v>
      </c>
      <c r="J223" s="19" t="n">
        <v>0</v>
      </c>
      <c r="K223" s="19" t="n">
        <v>0</v>
      </c>
      <c r="L223" s="19" t="n">
        <v>1</v>
      </c>
      <c r="M223" s="19" t="n">
        <v>0</v>
      </c>
      <c r="N223" s="19" t="n">
        <v>0</v>
      </c>
      <c r="O223" s="19" t="n">
        <v>0</v>
      </c>
      <c r="P223" s="19" t="n">
        <v>0</v>
      </c>
      <c r="Q223" s="19" t="n">
        <v>3</v>
      </c>
      <c r="R223" s="19" t="n">
        <v>0</v>
      </c>
      <c r="S223" s="19" t="n">
        <v>0</v>
      </c>
      <c r="T223" s="19" t="n">
        <v>0</v>
      </c>
      <c r="U223" s="15" t="n">
        <f aca="false">AVERAGE(M223:T223)</f>
        <v>0.375</v>
      </c>
      <c r="V223" s="19" t="n">
        <v>2</v>
      </c>
      <c r="W223" s="19" t="n">
        <v>3</v>
      </c>
      <c r="X223" s="19" t="n">
        <v>4</v>
      </c>
      <c r="Y223" s="19" t="n">
        <v>4</v>
      </c>
      <c r="Z223" s="19" t="n">
        <v>2</v>
      </c>
      <c r="AA223" s="19" t="n">
        <v>3</v>
      </c>
      <c r="AB223" s="19" t="n">
        <v>2</v>
      </c>
      <c r="AC223" s="19" t="n">
        <v>2</v>
      </c>
      <c r="AD223" s="19" t="n">
        <v>2</v>
      </c>
      <c r="AE223" s="19" t="n">
        <v>3</v>
      </c>
      <c r="AF223" s="19" t="n">
        <v>2</v>
      </c>
      <c r="AG223" s="19" t="n">
        <v>5</v>
      </c>
      <c r="AH223" s="19" t="n">
        <v>3</v>
      </c>
      <c r="AI223" s="19"/>
      <c r="AJ223" s="19" t="n">
        <v>4</v>
      </c>
      <c r="AK223" s="19" t="n">
        <v>4</v>
      </c>
      <c r="AL223" s="19" t="n">
        <v>4</v>
      </c>
      <c r="AM223" s="19" t="n">
        <v>4</v>
      </c>
      <c r="AN223" s="19" t="n">
        <v>3</v>
      </c>
      <c r="AO223" s="19" t="n">
        <v>7</v>
      </c>
      <c r="AP223" s="0" t="n">
        <v>28.5</v>
      </c>
      <c r="AQ223" s="16" t="n">
        <v>78.4</v>
      </c>
      <c r="AR223" s="16" t="n">
        <v>80.4</v>
      </c>
      <c r="AS223" s="16" t="n">
        <v>16</v>
      </c>
      <c r="AT223" s="0" t="n">
        <v>95.22</v>
      </c>
      <c r="AU223" s="17" t="n">
        <v>0</v>
      </c>
      <c r="AV223" s="0" t="n">
        <v>4.23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9.77</v>
      </c>
      <c r="BF223" s="0" t="n">
        <v>2.18</v>
      </c>
      <c r="BG223" s="0" t="n">
        <v>46.81</v>
      </c>
      <c r="BH223" s="0" t="n">
        <v>10.57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16" t="n">
        <v>4.23</v>
      </c>
      <c r="BP223" s="16" t="n">
        <v>1</v>
      </c>
      <c r="BQ223" s="16" t="n">
        <v>5.41</v>
      </c>
      <c r="BR223" s="16" t="n">
        <v>8.96</v>
      </c>
      <c r="BS223" s="16" t="n">
        <v>0</v>
      </c>
      <c r="BT223" s="16" t="n">
        <v>0</v>
      </c>
      <c r="BU223" s="16" t="n">
        <v>0</v>
      </c>
      <c r="BV223" s="0" t="n">
        <v>0</v>
      </c>
    </row>
    <row r="224" customFormat="false" ht="13.8" hidden="false" customHeight="false" outlineLevel="0" collapsed="false">
      <c r="A224" s="0" t="n">
        <v>2</v>
      </c>
      <c r="B224" s="0" t="n">
        <v>36.8980150581793</v>
      </c>
      <c r="C224" s="0" t="n">
        <v>0.229979466119096</v>
      </c>
      <c r="D224" s="0" t="n">
        <v>4</v>
      </c>
      <c r="F224" s="0" t="n">
        <v>1.76</v>
      </c>
      <c r="G224" s="0" t="n">
        <v>0</v>
      </c>
      <c r="H224" s="0" t="n">
        <v>0</v>
      </c>
      <c r="I224" s="0" t="n">
        <v>0</v>
      </c>
      <c r="J224" s="19" t="n">
        <v>0</v>
      </c>
      <c r="K224" s="19" t="n">
        <v>1</v>
      </c>
      <c r="L224" s="19" t="n">
        <v>0</v>
      </c>
      <c r="M224" s="19"/>
      <c r="N224" s="19" t="n">
        <v>0</v>
      </c>
      <c r="O224" s="19" t="n">
        <v>0</v>
      </c>
      <c r="P224" s="19" t="n">
        <v>0</v>
      </c>
      <c r="Q224" s="19" t="n">
        <v>0</v>
      </c>
      <c r="R224" s="19" t="n">
        <v>0</v>
      </c>
      <c r="S224" s="19" t="n">
        <v>0</v>
      </c>
      <c r="T224" s="19" t="n">
        <v>0</v>
      </c>
      <c r="U224" s="15" t="n">
        <f aca="false">AVERAGE(M224:T224)</f>
        <v>0</v>
      </c>
      <c r="V224" s="19" t="n">
        <v>3</v>
      </c>
      <c r="W224" s="19" t="n">
        <v>3</v>
      </c>
      <c r="X224" s="19" t="n">
        <v>4</v>
      </c>
      <c r="Y224" s="19" t="n">
        <v>4</v>
      </c>
      <c r="Z224" s="19" t="n">
        <v>3</v>
      </c>
      <c r="AA224" s="19" t="n">
        <v>2</v>
      </c>
      <c r="AB224" s="19" t="n">
        <v>3</v>
      </c>
      <c r="AC224" s="19" t="n">
        <v>3</v>
      </c>
      <c r="AD224" s="19" t="n">
        <v>5</v>
      </c>
      <c r="AE224" s="19" t="n">
        <v>4</v>
      </c>
      <c r="AF224" s="19" t="n">
        <v>4</v>
      </c>
      <c r="AG224" s="19" t="n">
        <v>5</v>
      </c>
      <c r="AH224" s="19" t="n">
        <v>3</v>
      </c>
      <c r="AI224" s="19" t="n">
        <v>4</v>
      </c>
      <c r="AJ224" s="19" t="n">
        <v>4</v>
      </c>
      <c r="AK224" s="19" t="n">
        <v>4</v>
      </c>
      <c r="AL224" s="19" t="n">
        <v>4</v>
      </c>
      <c r="AM224" s="19" t="n">
        <v>4</v>
      </c>
      <c r="AN224" s="19" t="n">
        <v>4</v>
      </c>
      <c r="AO224" s="19" t="n">
        <v>8</v>
      </c>
      <c r="AP224" s="0" t="n">
        <v>39.5</v>
      </c>
      <c r="AQ224" s="16" t="n">
        <v>89.8</v>
      </c>
      <c r="AR224" s="16" t="n">
        <v>80.4</v>
      </c>
      <c r="AS224" s="16" t="n">
        <v>5.1</v>
      </c>
      <c r="AT224" s="0" t="n">
        <v>100</v>
      </c>
      <c r="AU224" s="17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50.37</v>
      </c>
      <c r="BG224" s="0" t="n">
        <v>16.55</v>
      </c>
      <c r="BH224" s="0" t="n">
        <v>0.4</v>
      </c>
      <c r="BI224" s="0" t="n">
        <v>0</v>
      </c>
      <c r="BJ224" s="0" t="n">
        <v>27.4</v>
      </c>
      <c r="BK224" s="0" t="n">
        <v>1</v>
      </c>
      <c r="BL224" s="0" t="n">
        <v>0.1</v>
      </c>
      <c r="BM224" s="0" t="n">
        <v>1</v>
      </c>
      <c r="BN224" s="0" t="n">
        <v>0</v>
      </c>
      <c r="BO224" s="16" t="n">
        <v>1.49</v>
      </c>
      <c r="BP224" s="16" t="n">
        <v>1</v>
      </c>
      <c r="BQ224" s="16" t="n">
        <v>5.01</v>
      </c>
      <c r="BR224" s="16" t="n">
        <v>5.13</v>
      </c>
      <c r="BS224" s="16" t="n">
        <v>0</v>
      </c>
      <c r="BT224" s="16" t="n">
        <v>0</v>
      </c>
      <c r="BU224" s="16" t="n">
        <v>0</v>
      </c>
      <c r="BV224" s="0" t="n">
        <v>0</v>
      </c>
    </row>
    <row r="225" customFormat="false" ht="13.8" hidden="false" customHeight="false" outlineLevel="0" collapsed="false">
      <c r="A225" s="0" t="n">
        <v>1</v>
      </c>
      <c r="B225" s="0" t="n">
        <v>19.6167008898015</v>
      </c>
      <c r="C225" s="0" t="n">
        <v>0.323066392881588</v>
      </c>
      <c r="D225" s="0" t="n">
        <v>4</v>
      </c>
      <c r="E225" s="0" t="n">
        <v>60</v>
      </c>
      <c r="F225" s="0" t="n">
        <v>1.6</v>
      </c>
      <c r="G225" s="0" t="n">
        <v>23.4375</v>
      </c>
      <c r="H225" s="0" t="n">
        <v>0</v>
      </c>
      <c r="I225" s="0" t="n">
        <v>0</v>
      </c>
      <c r="J225" s="19" t="n">
        <v>0</v>
      </c>
      <c r="K225" s="19" t="n">
        <v>0</v>
      </c>
      <c r="L225" s="19" t="n">
        <v>0</v>
      </c>
      <c r="M225" s="19" t="n">
        <v>0</v>
      </c>
      <c r="N225" s="19" t="n">
        <v>0</v>
      </c>
      <c r="O225" s="19" t="n">
        <v>0</v>
      </c>
      <c r="P225" s="19" t="n">
        <v>0</v>
      </c>
      <c r="Q225" s="19" t="n">
        <v>0</v>
      </c>
      <c r="R225" s="19" t="n">
        <v>0</v>
      </c>
      <c r="S225" s="19" t="n">
        <v>0</v>
      </c>
      <c r="T225" s="19" t="n">
        <v>0</v>
      </c>
      <c r="U225" s="15" t="n">
        <f aca="false">AVERAGE(M225:T225)</f>
        <v>0</v>
      </c>
      <c r="V225" s="19" t="n">
        <v>3</v>
      </c>
      <c r="W225" s="19" t="n">
        <v>1</v>
      </c>
      <c r="X225" s="19" t="n">
        <v>2</v>
      </c>
      <c r="Y225" s="19" t="n">
        <v>3</v>
      </c>
      <c r="Z225" s="19" t="n">
        <v>1</v>
      </c>
      <c r="AA225" s="19" t="n">
        <v>1</v>
      </c>
      <c r="AB225" s="19" t="n">
        <v>4</v>
      </c>
      <c r="AC225" s="19" t="n">
        <v>5</v>
      </c>
      <c r="AD225" s="19" t="n">
        <v>5</v>
      </c>
      <c r="AE225" s="19" t="n">
        <v>5</v>
      </c>
      <c r="AF225" s="19" t="n">
        <v>5</v>
      </c>
      <c r="AG225" s="19" t="n">
        <v>5</v>
      </c>
      <c r="AH225" s="19" t="n">
        <v>5</v>
      </c>
      <c r="AI225" s="19" t="n">
        <v>5</v>
      </c>
      <c r="AJ225" s="19" t="n">
        <v>5</v>
      </c>
      <c r="AK225" s="19" t="n">
        <v>5</v>
      </c>
      <c r="AL225" s="19" t="n">
        <v>5</v>
      </c>
      <c r="AM225" s="19" t="n">
        <v>5</v>
      </c>
      <c r="AN225" s="19" t="n">
        <v>5</v>
      </c>
      <c r="AO225" s="19" t="n">
        <v>10</v>
      </c>
      <c r="AP225" s="0" t="n">
        <v>28.5</v>
      </c>
      <c r="AQ225" s="16" t="n">
        <v>78.4</v>
      </c>
      <c r="AR225" s="16" t="n">
        <v>80.4</v>
      </c>
      <c r="AS225" s="16" t="n">
        <v>16</v>
      </c>
      <c r="AT225" s="0" t="n">
        <v>95.22</v>
      </c>
      <c r="AU225" s="17" t="n">
        <v>0</v>
      </c>
      <c r="AV225" s="0" t="n">
        <v>4.23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9.77</v>
      </c>
      <c r="BF225" s="0" t="n">
        <v>2.18</v>
      </c>
      <c r="BG225" s="0" t="n">
        <v>46.81</v>
      </c>
      <c r="BH225" s="0" t="n">
        <v>10.57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16" t="n">
        <v>4.23</v>
      </c>
      <c r="BP225" s="16" t="n">
        <v>1</v>
      </c>
      <c r="BQ225" s="16" t="n">
        <v>5.41</v>
      </c>
      <c r="BR225" s="16" t="n">
        <v>8.96</v>
      </c>
      <c r="BS225" s="16" t="n">
        <v>0</v>
      </c>
      <c r="BT225" s="16" t="n">
        <v>0</v>
      </c>
      <c r="BU225" s="16" t="n">
        <v>0</v>
      </c>
      <c r="BV225" s="0" t="n">
        <v>0</v>
      </c>
    </row>
    <row r="226" customFormat="false" ht="13.8" hidden="false" customHeight="false" outlineLevel="0" collapsed="false">
      <c r="A226" s="0" t="n">
        <v>2</v>
      </c>
      <c r="B226" s="0" t="n">
        <v>41.3333333333333</v>
      </c>
      <c r="C226" s="0" t="n">
        <v>21.7522245037645</v>
      </c>
      <c r="D226" s="0" t="n">
        <v>4</v>
      </c>
      <c r="E226" s="0" t="n">
        <v>82</v>
      </c>
      <c r="F226" s="0" t="n">
        <v>1.81</v>
      </c>
      <c r="G226" s="0" t="n">
        <v>25.0297609963066</v>
      </c>
      <c r="H226" s="0" t="n">
        <v>0</v>
      </c>
      <c r="I226" s="0" t="n">
        <v>0</v>
      </c>
      <c r="J226" s="19" t="n">
        <v>1</v>
      </c>
      <c r="K226" s="19" t="n">
        <v>2</v>
      </c>
      <c r="L226" s="19" t="n">
        <v>0</v>
      </c>
      <c r="M226" s="19"/>
      <c r="N226" s="19" t="n">
        <v>3</v>
      </c>
      <c r="O226" s="19"/>
      <c r="P226" s="19"/>
      <c r="Q226" s="19"/>
      <c r="R226" s="19"/>
      <c r="S226" s="19"/>
      <c r="T226" s="19"/>
      <c r="U226" s="15" t="n">
        <f aca="false">AVERAGE(M226:T226)</f>
        <v>3</v>
      </c>
      <c r="V226" s="19" t="n">
        <v>4</v>
      </c>
      <c r="W226" s="19" t="n">
        <v>4</v>
      </c>
      <c r="X226" s="19" t="n">
        <v>4</v>
      </c>
      <c r="Y226" s="19" t="n">
        <v>5</v>
      </c>
      <c r="Z226" s="19" t="n">
        <v>5</v>
      </c>
      <c r="AA226" s="19" t="n">
        <v>5</v>
      </c>
      <c r="AB226" s="19" t="n">
        <v>4</v>
      </c>
      <c r="AC226" s="19" t="n">
        <v>5</v>
      </c>
      <c r="AD226" s="19" t="n">
        <v>1</v>
      </c>
      <c r="AE226" s="19" t="n">
        <v>4</v>
      </c>
      <c r="AF226" s="19" t="n">
        <v>3</v>
      </c>
      <c r="AG226" s="19" t="n">
        <v>5</v>
      </c>
      <c r="AH226" s="19" t="n">
        <v>1</v>
      </c>
      <c r="AI226" s="19" t="n">
        <v>1</v>
      </c>
      <c r="AJ226" s="19" t="n">
        <v>3</v>
      </c>
      <c r="AK226" s="19" t="n">
        <v>3</v>
      </c>
      <c r="AL226" s="19" t="n">
        <v>5</v>
      </c>
      <c r="AM226" s="19" t="n">
        <v>3</v>
      </c>
      <c r="AN226" s="19" t="n">
        <v>1</v>
      </c>
      <c r="AO226" s="19" t="n">
        <v>4</v>
      </c>
      <c r="AP226" s="0" t="n">
        <v>37.5</v>
      </c>
      <c r="AQ226" s="16" t="n">
        <v>87.4</v>
      </c>
      <c r="AR226" s="16" t="n">
        <v>80.4</v>
      </c>
      <c r="AS226" s="16" t="n">
        <v>18.5</v>
      </c>
      <c r="AT226" s="0" t="n">
        <v>84.21</v>
      </c>
      <c r="AU226" s="17" t="n">
        <v>0</v>
      </c>
      <c r="AV226" s="0" t="n">
        <v>0</v>
      </c>
      <c r="AW226" s="0" t="n">
        <v>0</v>
      </c>
      <c r="AX226" s="0" t="n">
        <v>15.79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26.71</v>
      </c>
      <c r="BF226" s="0" t="n">
        <v>13.13</v>
      </c>
      <c r="BG226" s="0" t="n">
        <v>49.12</v>
      </c>
      <c r="BH226" s="0" t="n">
        <v>14.67</v>
      </c>
      <c r="BI226" s="0" t="n">
        <v>0</v>
      </c>
      <c r="BJ226" s="0" t="n">
        <v>0</v>
      </c>
      <c r="BK226" s="0" t="n">
        <v>0</v>
      </c>
      <c r="BL226" s="0" t="n">
        <v>1.1</v>
      </c>
      <c r="BM226" s="0" t="n">
        <v>1</v>
      </c>
      <c r="BN226" s="0" t="n">
        <v>0</v>
      </c>
      <c r="BO226" s="16" t="n">
        <v>4.3</v>
      </c>
      <c r="BP226" s="16" t="n">
        <v>1</v>
      </c>
      <c r="BQ226" s="16" t="n">
        <v>10.31</v>
      </c>
      <c r="BR226" s="16" t="n">
        <v>34.85</v>
      </c>
      <c r="BS226" s="16" t="n">
        <v>0</v>
      </c>
      <c r="BT226" s="16" t="n">
        <v>0</v>
      </c>
      <c r="BU226" s="16" t="n">
        <v>0</v>
      </c>
      <c r="BV226" s="0" t="n">
        <v>0</v>
      </c>
    </row>
    <row r="227" customFormat="false" ht="13.8" hidden="false" customHeight="false" outlineLevel="0" collapsed="false">
      <c r="A227" s="0" t="n">
        <v>2</v>
      </c>
      <c r="B227" s="0" t="n">
        <v>25.8809034907598</v>
      </c>
      <c r="C227" s="0" t="n">
        <v>0.109514031485284</v>
      </c>
      <c r="D227" s="0" t="n">
        <v>4</v>
      </c>
      <c r="E227" s="0" t="n">
        <v>68</v>
      </c>
      <c r="F227" s="0" t="n">
        <v>1.75</v>
      </c>
      <c r="G227" s="0" t="n">
        <v>22.2040816326531</v>
      </c>
      <c r="H227" s="0" t="n">
        <v>0</v>
      </c>
      <c r="I227" s="0" t="n">
        <v>0</v>
      </c>
      <c r="J227" s="19" t="n">
        <v>0</v>
      </c>
      <c r="K227" s="19" t="n">
        <v>0</v>
      </c>
      <c r="L227" s="19" t="n">
        <v>0</v>
      </c>
      <c r="M227" s="19" t="n">
        <v>0</v>
      </c>
      <c r="N227" s="19" t="n">
        <v>0</v>
      </c>
      <c r="O227" s="19" t="n">
        <v>0</v>
      </c>
      <c r="P227" s="19" t="n">
        <v>0</v>
      </c>
      <c r="Q227" s="19" t="n">
        <v>0</v>
      </c>
      <c r="R227" s="19" t="n">
        <v>0</v>
      </c>
      <c r="S227" s="19" t="n">
        <v>0</v>
      </c>
      <c r="T227" s="19" t="n">
        <v>0</v>
      </c>
      <c r="U227" s="15" t="n">
        <f aca="false">AVERAGE(M227:T227)</f>
        <v>0</v>
      </c>
      <c r="V227" s="19" t="n">
        <v>1</v>
      </c>
      <c r="W227" s="19" t="n">
        <v>1</v>
      </c>
      <c r="X227" s="19" t="n">
        <v>5</v>
      </c>
      <c r="Y227" s="19" t="n">
        <v>5</v>
      </c>
      <c r="Z227" s="19" t="n">
        <v>3</v>
      </c>
      <c r="AA227" s="19" t="n">
        <v>1</v>
      </c>
      <c r="AB227" s="19" t="n">
        <v>4</v>
      </c>
      <c r="AC227" s="19" t="n">
        <v>5</v>
      </c>
      <c r="AD227" s="19" t="n">
        <v>2</v>
      </c>
      <c r="AE227" s="19" t="n">
        <v>5</v>
      </c>
      <c r="AF227" s="19" t="n">
        <v>3</v>
      </c>
      <c r="AG227" s="19" t="n">
        <v>5</v>
      </c>
      <c r="AH227" s="19" t="n">
        <v>5</v>
      </c>
      <c r="AI227" s="19" t="n">
        <v>5</v>
      </c>
      <c r="AJ227" s="19" t="n">
        <v>1</v>
      </c>
      <c r="AK227" s="19" t="n">
        <v>5</v>
      </c>
      <c r="AL227" s="19" t="n">
        <v>5</v>
      </c>
      <c r="AM227" s="19" t="n">
        <v>4</v>
      </c>
      <c r="AN227" s="19" t="n">
        <v>5</v>
      </c>
      <c r="AO227" s="19" t="n">
        <v>10</v>
      </c>
      <c r="AP227" s="0" t="n">
        <v>48.5</v>
      </c>
      <c r="AQ227" s="16" t="n">
        <v>89.7</v>
      </c>
      <c r="AR227" s="16" t="n">
        <v>80.4</v>
      </c>
      <c r="AS227" s="16" t="n">
        <v>9.3</v>
      </c>
      <c r="AT227" s="0" t="n">
        <v>100</v>
      </c>
      <c r="AU227" s="17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1.65</v>
      </c>
      <c r="BF227" s="0" t="n">
        <v>2.69</v>
      </c>
      <c r="BG227" s="0" t="n">
        <v>54.55</v>
      </c>
      <c r="BH227" s="0" t="n">
        <v>11.29</v>
      </c>
      <c r="BI227" s="0" t="n">
        <v>0</v>
      </c>
      <c r="BJ227" s="0" t="n">
        <v>0</v>
      </c>
      <c r="BK227" s="0" t="n">
        <v>0</v>
      </c>
      <c r="BL227" s="0" t="n">
        <v>30.6</v>
      </c>
      <c r="BM227" s="0" t="n">
        <v>1</v>
      </c>
      <c r="BN227" s="0" t="n">
        <v>0</v>
      </c>
      <c r="BO227" s="16" t="n">
        <v>3.34</v>
      </c>
      <c r="BP227" s="16" t="n">
        <v>1</v>
      </c>
      <c r="BQ227" s="16" t="n">
        <v>1.45</v>
      </c>
      <c r="BR227" s="16" t="n">
        <v>1.46</v>
      </c>
      <c r="BS227" s="16" t="n">
        <v>0</v>
      </c>
      <c r="BT227" s="16" t="n">
        <v>0</v>
      </c>
      <c r="BU227" s="16" t="n">
        <v>0</v>
      </c>
      <c r="BV227" s="0" t="n">
        <v>0</v>
      </c>
    </row>
    <row r="228" customFormat="false" ht="13.8" hidden="false" customHeight="false" outlineLevel="0" collapsed="false">
      <c r="A228" s="0" t="n">
        <v>2</v>
      </c>
      <c r="B228" s="0" t="n">
        <v>36.1368925393566</v>
      </c>
      <c r="C228" s="0" t="n">
        <v>0.317590691307324</v>
      </c>
      <c r="D228" s="0" t="n">
        <v>4</v>
      </c>
      <c r="E228" s="0" t="n">
        <v>75</v>
      </c>
      <c r="F228" s="0" t="n">
        <v>1.7</v>
      </c>
      <c r="G228" s="0" t="n">
        <v>25.9515570934256</v>
      </c>
      <c r="H228" s="0" t="n">
        <v>0</v>
      </c>
      <c r="I228" s="0" t="n">
        <v>0</v>
      </c>
      <c r="J228" s="19" t="n">
        <v>0</v>
      </c>
      <c r="K228" s="19" t="n">
        <v>0</v>
      </c>
      <c r="L228" s="19" t="n">
        <v>1</v>
      </c>
      <c r="M228" s="19" t="n">
        <v>0</v>
      </c>
      <c r="N228" s="19" t="n">
        <v>0</v>
      </c>
      <c r="O228" s="19" t="n">
        <v>0</v>
      </c>
      <c r="P228" s="19" t="n">
        <v>0</v>
      </c>
      <c r="Q228" s="19" t="n">
        <v>0</v>
      </c>
      <c r="R228" s="19" t="n">
        <v>0</v>
      </c>
      <c r="S228" s="19" t="n">
        <v>0</v>
      </c>
      <c r="T228" s="19" t="n">
        <v>0</v>
      </c>
      <c r="U228" s="15" t="n">
        <f aca="false">AVERAGE(M228:T228)</f>
        <v>0</v>
      </c>
      <c r="V228" s="19" t="n">
        <v>2</v>
      </c>
      <c r="W228" s="19" t="n">
        <v>2</v>
      </c>
      <c r="X228" s="19" t="n">
        <v>3</v>
      </c>
      <c r="Y228" s="19" t="n">
        <v>5</v>
      </c>
      <c r="Z228" s="19" t="n">
        <v>2</v>
      </c>
      <c r="AA228" s="19" t="n">
        <v>5</v>
      </c>
      <c r="AB228" s="19" t="n">
        <v>5</v>
      </c>
      <c r="AC228" s="19" t="n">
        <v>4</v>
      </c>
      <c r="AD228" s="19" t="n">
        <v>3</v>
      </c>
      <c r="AE228" s="19" t="n">
        <v>5</v>
      </c>
      <c r="AF228" s="19" t="n">
        <v>5</v>
      </c>
      <c r="AG228" s="19" t="n">
        <v>5</v>
      </c>
      <c r="AH228" s="19" t="n">
        <v>5</v>
      </c>
      <c r="AI228" s="19" t="n">
        <v>5</v>
      </c>
      <c r="AJ228" s="19" t="n">
        <v>5</v>
      </c>
      <c r="AK228" s="19" t="n">
        <v>5</v>
      </c>
      <c r="AL228" s="19" t="n">
        <v>5</v>
      </c>
      <c r="AM228" s="19" t="n">
        <v>5</v>
      </c>
      <c r="AN228" s="19" t="n">
        <v>4</v>
      </c>
      <c r="AO228" s="19" t="n">
        <v>10</v>
      </c>
      <c r="AP228" s="0" t="n">
        <v>52.5</v>
      </c>
      <c r="AQ228" s="16" t="n">
        <v>78.3</v>
      </c>
      <c r="AR228" s="16" t="n">
        <v>80.4</v>
      </c>
      <c r="AS228" s="16" t="n">
        <v>33.2</v>
      </c>
      <c r="AT228" s="0" t="n">
        <v>67.5</v>
      </c>
      <c r="AU228" s="17" t="n">
        <v>0</v>
      </c>
      <c r="AV228" s="0" t="n">
        <v>21.37</v>
      </c>
      <c r="AW228" s="0" t="n">
        <v>0</v>
      </c>
      <c r="AX228" s="0" t="n">
        <v>3.99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5.93</v>
      </c>
      <c r="BG228" s="0" t="n">
        <v>42.2</v>
      </c>
      <c r="BH228" s="0" t="n">
        <v>15.97</v>
      </c>
      <c r="BI228" s="0" t="n">
        <v>7.14</v>
      </c>
      <c r="BJ228" s="0" t="n">
        <v>0</v>
      </c>
      <c r="BK228" s="0" t="n">
        <v>0</v>
      </c>
      <c r="BL228" s="0" t="n">
        <v>1.7</v>
      </c>
      <c r="BM228" s="0" t="n">
        <v>1</v>
      </c>
      <c r="BN228" s="0" t="n">
        <v>0</v>
      </c>
      <c r="BO228" s="16" t="n">
        <v>1.04</v>
      </c>
      <c r="BP228" s="16" t="n">
        <v>1</v>
      </c>
      <c r="BQ228" s="16" t="n">
        <v>8.9</v>
      </c>
      <c r="BR228" s="16" t="n">
        <v>9.79</v>
      </c>
      <c r="BS228" s="16" t="n">
        <v>2.99</v>
      </c>
      <c r="BT228" s="16" t="n">
        <v>4</v>
      </c>
      <c r="BU228" s="16" t="n">
        <v>3</v>
      </c>
      <c r="BV228" s="0" t="n">
        <v>0</v>
      </c>
    </row>
    <row r="229" customFormat="false" ht="13.8" hidden="false" customHeight="false" outlineLevel="0" collapsed="false">
      <c r="A229" s="0" t="n">
        <v>2</v>
      </c>
      <c r="B229" s="0" t="n">
        <v>43.772758384668</v>
      </c>
      <c r="C229" s="0" t="n">
        <v>0.175222450376454</v>
      </c>
      <c r="D229" s="0" t="n">
        <v>4</v>
      </c>
      <c r="E229" s="0" t="n">
        <v>72</v>
      </c>
      <c r="F229" s="0" t="n">
        <v>1.6</v>
      </c>
      <c r="G229" s="0" t="n">
        <v>28.125</v>
      </c>
      <c r="H229" s="0" t="n">
        <v>0</v>
      </c>
      <c r="I229" s="0" t="n">
        <v>0</v>
      </c>
      <c r="J229" s="19" t="n">
        <v>0</v>
      </c>
      <c r="K229" s="19" t="n">
        <v>2</v>
      </c>
      <c r="L229" s="19" t="n">
        <v>0</v>
      </c>
      <c r="M229" s="19" t="n">
        <v>0</v>
      </c>
      <c r="N229" s="19" t="n">
        <v>0</v>
      </c>
      <c r="O229" s="19" t="n">
        <v>0</v>
      </c>
      <c r="P229" s="19" t="n">
        <v>0</v>
      </c>
      <c r="Q229" s="19" t="n">
        <v>0</v>
      </c>
      <c r="R229" s="19" t="n">
        <v>0</v>
      </c>
      <c r="S229" s="19" t="n">
        <v>0</v>
      </c>
      <c r="T229" s="19" t="n">
        <v>0</v>
      </c>
      <c r="U229" s="15" t="n">
        <f aca="false">AVERAGE(M229:T229)</f>
        <v>0</v>
      </c>
      <c r="V229" s="19" t="n">
        <v>2</v>
      </c>
      <c r="W229" s="19" t="n">
        <v>2</v>
      </c>
      <c r="X229" s="19" t="n">
        <v>2</v>
      </c>
      <c r="Y229" s="19" t="n">
        <v>5</v>
      </c>
      <c r="Z229" s="19" t="n">
        <v>2</v>
      </c>
      <c r="AA229" s="19" t="n">
        <v>2</v>
      </c>
      <c r="AB229" s="19" t="n">
        <v>2</v>
      </c>
      <c r="AC229" s="19" t="n">
        <v>4</v>
      </c>
      <c r="AD229" s="19" t="n">
        <v>5</v>
      </c>
      <c r="AE229" s="19"/>
      <c r="AF229" s="19" t="n">
        <v>5</v>
      </c>
      <c r="AG229" s="19" t="n">
        <v>5</v>
      </c>
      <c r="AH229" s="19" t="n">
        <v>5</v>
      </c>
      <c r="AI229" s="19" t="n">
        <v>5</v>
      </c>
      <c r="AJ229" s="19" t="n">
        <v>5</v>
      </c>
      <c r="AK229" s="19" t="n">
        <v>5</v>
      </c>
      <c r="AL229" s="19" t="n">
        <v>5</v>
      </c>
      <c r="AM229" s="19" t="n">
        <v>5</v>
      </c>
      <c r="AN229" s="19" t="n">
        <v>5</v>
      </c>
      <c r="AO229" s="19" t="n">
        <v>9</v>
      </c>
      <c r="AP229" s="0" t="n">
        <v>21.5</v>
      </c>
      <c r="AQ229" s="16" t="n">
        <v>54.9</v>
      </c>
      <c r="AR229" s="16" t="n">
        <v>80.4</v>
      </c>
      <c r="AS229" s="16" t="n">
        <v>17.9</v>
      </c>
      <c r="AT229" s="0" t="n">
        <v>90.61</v>
      </c>
      <c r="AU229" s="17" t="n">
        <v>0</v>
      </c>
      <c r="AV229" s="0" t="n">
        <v>0</v>
      </c>
      <c r="AW229" s="0" t="n">
        <v>2.45</v>
      </c>
      <c r="AX229" s="0" t="n">
        <v>6.94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12.16</v>
      </c>
      <c r="BF229" s="0" t="n">
        <v>24.45</v>
      </c>
      <c r="BG229" s="0" t="n">
        <v>4.8</v>
      </c>
      <c r="BH229" s="0" t="n">
        <v>5.11</v>
      </c>
      <c r="BI229" s="0" t="n">
        <v>0</v>
      </c>
      <c r="BJ229" s="0" t="n">
        <v>0</v>
      </c>
      <c r="BK229" s="0" t="n">
        <v>0</v>
      </c>
      <c r="BL229" s="0" t="n">
        <v>2.9</v>
      </c>
      <c r="BM229" s="0" t="n">
        <v>1</v>
      </c>
      <c r="BN229" s="0" t="n">
        <v>1</v>
      </c>
      <c r="BO229" s="16" t="n">
        <v>0</v>
      </c>
      <c r="BP229" s="16" t="n">
        <v>0</v>
      </c>
      <c r="BQ229" s="16" t="n">
        <v>0.67</v>
      </c>
      <c r="BR229" s="16" t="n">
        <v>0.65</v>
      </c>
      <c r="BS229" s="16" t="n">
        <v>0</v>
      </c>
      <c r="BT229" s="16" t="n">
        <v>0</v>
      </c>
      <c r="BU229" s="16" t="n">
        <v>0</v>
      </c>
      <c r="BV229" s="0" t="n">
        <v>0</v>
      </c>
    </row>
    <row r="230" customFormat="false" ht="13.8" hidden="false" customHeight="false" outlineLevel="0" collapsed="false">
      <c r="A230" s="0" t="n">
        <v>1</v>
      </c>
      <c r="B230" s="0" t="n">
        <v>37.5824777549624</v>
      </c>
      <c r="C230" s="0" t="n">
        <v>0.32580424366872</v>
      </c>
      <c r="D230" s="0" t="n">
        <v>4</v>
      </c>
      <c r="E230" s="0" t="n">
        <v>57</v>
      </c>
      <c r="F230" s="0" t="n">
        <v>1.6</v>
      </c>
      <c r="G230" s="0" t="n">
        <v>22.265625</v>
      </c>
      <c r="H230" s="0" t="n">
        <v>0</v>
      </c>
      <c r="I230" s="0" t="n">
        <v>0</v>
      </c>
      <c r="J230" s="19" t="n">
        <v>0</v>
      </c>
      <c r="K230" s="19" t="n">
        <v>0</v>
      </c>
      <c r="L230" s="19" t="n">
        <v>1</v>
      </c>
      <c r="M230" s="19"/>
      <c r="N230" s="19" t="n">
        <v>0</v>
      </c>
      <c r="O230" s="19" t="n">
        <v>0</v>
      </c>
      <c r="P230" s="19" t="n">
        <v>0</v>
      </c>
      <c r="Q230" s="19" t="n">
        <v>0</v>
      </c>
      <c r="R230" s="19" t="n">
        <v>0</v>
      </c>
      <c r="S230" s="19"/>
      <c r="T230" s="19"/>
      <c r="U230" s="15" t="n">
        <f aca="false">AVERAGE(M230:T230)</f>
        <v>0</v>
      </c>
      <c r="V230" s="19" t="n">
        <v>1</v>
      </c>
      <c r="W230" s="19" t="n">
        <v>1</v>
      </c>
      <c r="X230" s="19" t="n">
        <v>3</v>
      </c>
      <c r="Y230" s="19" t="n">
        <v>5</v>
      </c>
      <c r="Z230" s="19" t="n">
        <v>1</v>
      </c>
      <c r="AA230" s="19" t="n">
        <v>1</v>
      </c>
      <c r="AB230" s="19" t="n">
        <v>5</v>
      </c>
      <c r="AC230" s="19" t="n">
        <v>5</v>
      </c>
      <c r="AD230" s="19" t="n">
        <v>5</v>
      </c>
      <c r="AE230" s="19" t="n">
        <v>5</v>
      </c>
      <c r="AF230" s="19" t="n">
        <v>5</v>
      </c>
      <c r="AG230" s="19" t="n">
        <v>5</v>
      </c>
      <c r="AH230" s="19" t="n">
        <v>3</v>
      </c>
      <c r="AI230" s="19" t="n">
        <v>3</v>
      </c>
      <c r="AJ230" s="19" t="n">
        <v>5</v>
      </c>
      <c r="AK230" s="19" t="n">
        <v>4</v>
      </c>
      <c r="AL230" s="19" t="n">
        <v>4</v>
      </c>
      <c r="AM230" s="19" t="n">
        <v>5</v>
      </c>
      <c r="AN230" s="19" t="n">
        <v>5</v>
      </c>
      <c r="AO230" s="19" t="n">
        <v>10</v>
      </c>
      <c r="AP230" s="0" t="n">
        <v>21.5</v>
      </c>
      <c r="AQ230" s="16" t="n">
        <v>54.9</v>
      </c>
      <c r="AR230" s="16" t="n">
        <v>80.4</v>
      </c>
      <c r="AS230" s="16" t="n">
        <v>17.9</v>
      </c>
      <c r="AT230" s="0" t="n">
        <v>90.61</v>
      </c>
      <c r="AU230" s="17" t="n">
        <v>0</v>
      </c>
      <c r="AV230" s="0" t="n">
        <v>0</v>
      </c>
      <c r="AW230" s="0" t="n">
        <v>2.45</v>
      </c>
      <c r="AX230" s="0" t="n">
        <v>6.94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12.16</v>
      </c>
      <c r="BF230" s="0" t="n">
        <v>24.45</v>
      </c>
      <c r="BG230" s="0" t="n">
        <v>4.8</v>
      </c>
      <c r="BH230" s="0" t="n">
        <v>5.11</v>
      </c>
      <c r="BI230" s="0" t="n">
        <v>0</v>
      </c>
      <c r="BJ230" s="0" t="n">
        <v>0</v>
      </c>
      <c r="BK230" s="0" t="n">
        <v>0</v>
      </c>
      <c r="BL230" s="0" t="n">
        <v>2.9</v>
      </c>
      <c r="BM230" s="0" t="n">
        <v>1</v>
      </c>
      <c r="BN230" s="0" t="n">
        <v>1</v>
      </c>
      <c r="BO230" s="16" t="n">
        <v>0</v>
      </c>
      <c r="BP230" s="16" t="n">
        <v>0</v>
      </c>
      <c r="BQ230" s="16" t="n">
        <v>0.67</v>
      </c>
      <c r="BR230" s="16" t="n">
        <v>0.65</v>
      </c>
      <c r="BS230" s="16" t="n">
        <v>0</v>
      </c>
      <c r="BT230" s="16" t="n">
        <v>0</v>
      </c>
      <c r="BU230" s="16" t="n">
        <v>0</v>
      </c>
      <c r="BV230" s="0" t="n">
        <v>0</v>
      </c>
    </row>
    <row r="231" customFormat="false" ht="13.8" hidden="false" customHeight="false" outlineLevel="0" collapsed="false">
      <c r="A231" s="0" t="n">
        <v>2</v>
      </c>
      <c r="B231" s="0" t="n">
        <v>32.0930869267625</v>
      </c>
      <c r="C231" s="0" t="n">
        <v>0.306639288158795</v>
      </c>
      <c r="D231" s="0" t="n">
        <v>4</v>
      </c>
      <c r="E231" s="0" t="n">
        <v>65</v>
      </c>
      <c r="F231" s="0" t="n">
        <v>1.68</v>
      </c>
      <c r="G231" s="0" t="n">
        <v>23.0300453514739</v>
      </c>
      <c r="H231" s="0" t="n">
        <v>0</v>
      </c>
      <c r="I231" s="0" t="n">
        <v>0</v>
      </c>
      <c r="J231" s="19" t="n">
        <v>0</v>
      </c>
      <c r="K231" s="19" t="n">
        <v>0</v>
      </c>
      <c r="L231" s="19" t="n">
        <v>1</v>
      </c>
      <c r="M231" s="19" t="n">
        <v>0</v>
      </c>
      <c r="N231" s="19" t="n">
        <v>0</v>
      </c>
      <c r="O231" s="19" t="n">
        <v>0</v>
      </c>
      <c r="P231" s="19" t="n">
        <v>0</v>
      </c>
      <c r="Q231" s="19" t="n">
        <v>0</v>
      </c>
      <c r="R231" s="19" t="n">
        <v>0</v>
      </c>
      <c r="S231" s="19" t="n">
        <v>0</v>
      </c>
      <c r="T231" s="19" t="n">
        <v>0</v>
      </c>
      <c r="U231" s="15" t="n">
        <f aca="false">AVERAGE(M231:T231)</f>
        <v>0</v>
      </c>
      <c r="V231" s="19" t="n">
        <v>1</v>
      </c>
      <c r="W231" s="19" t="n">
        <v>2</v>
      </c>
      <c r="X231" s="19" t="n">
        <v>2</v>
      </c>
      <c r="Y231" s="19" t="n">
        <v>4</v>
      </c>
      <c r="Z231" s="19" t="n">
        <v>2</v>
      </c>
      <c r="AA231" s="19" t="n">
        <v>2</v>
      </c>
      <c r="AB231" s="19" t="n">
        <v>4</v>
      </c>
      <c r="AC231" s="19" t="n">
        <v>4</v>
      </c>
      <c r="AD231" s="19" t="n">
        <v>4</v>
      </c>
      <c r="AE231" s="19" t="n">
        <v>5</v>
      </c>
      <c r="AF231" s="19" t="n">
        <v>5</v>
      </c>
      <c r="AG231" s="19" t="n">
        <v>4</v>
      </c>
      <c r="AH231" s="19" t="n">
        <v>4</v>
      </c>
      <c r="AI231" s="19" t="n">
        <v>5</v>
      </c>
      <c r="AJ231" s="19" t="n">
        <v>5</v>
      </c>
      <c r="AK231" s="19" t="n">
        <v>5</v>
      </c>
      <c r="AL231" s="19" t="n">
        <v>5</v>
      </c>
      <c r="AM231" s="19" t="n">
        <v>4</v>
      </c>
      <c r="AN231" s="19" t="n">
        <v>4</v>
      </c>
      <c r="AO231" s="19" t="n">
        <v>8</v>
      </c>
      <c r="AP231" s="0" t="n">
        <v>21.5</v>
      </c>
      <c r="AQ231" s="16" t="n">
        <v>54.9</v>
      </c>
      <c r="AR231" s="16" t="n">
        <v>80.4</v>
      </c>
      <c r="AS231" s="16" t="n">
        <v>17.9</v>
      </c>
      <c r="AT231" s="0" t="n">
        <v>90.61</v>
      </c>
      <c r="AU231" s="17" t="n">
        <v>0</v>
      </c>
      <c r="AV231" s="0" t="n">
        <v>0</v>
      </c>
      <c r="AW231" s="0" t="n">
        <v>2.45</v>
      </c>
      <c r="AX231" s="0" t="n">
        <v>6.94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12.16</v>
      </c>
      <c r="BF231" s="0" t="n">
        <v>24.45</v>
      </c>
      <c r="BG231" s="0" t="n">
        <v>4.8</v>
      </c>
      <c r="BH231" s="0" t="n">
        <v>5.11</v>
      </c>
      <c r="BI231" s="0" t="n">
        <v>0</v>
      </c>
      <c r="BJ231" s="0" t="n">
        <v>0</v>
      </c>
      <c r="BK231" s="0" t="n">
        <v>0</v>
      </c>
      <c r="BL231" s="0" t="n">
        <v>2.9</v>
      </c>
      <c r="BM231" s="0" t="n">
        <v>1</v>
      </c>
      <c r="BN231" s="0" t="n">
        <v>1</v>
      </c>
      <c r="BO231" s="16" t="n">
        <v>0</v>
      </c>
      <c r="BP231" s="16" t="n">
        <v>0</v>
      </c>
      <c r="BQ231" s="16" t="n">
        <v>0.67</v>
      </c>
      <c r="BR231" s="16" t="n">
        <v>0.65</v>
      </c>
      <c r="BS231" s="16" t="n">
        <v>0</v>
      </c>
      <c r="BT231" s="16" t="n">
        <v>0</v>
      </c>
      <c r="BU231" s="16" t="n">
        <v>0</v>
      </c>
      <c r="BV231" s="0" t="n">
        <v>0</v>
      </c>
    </row>
    <row r="232" customFormat="false" ht="13.8" hidden="false" customHeight="false" outlineLevel="0" collapsed="false">
      <c r="A232" s="0" t="n">
        <v>2</v>
      </c>
      <c r="B232" s="0" t="n">
        <v>28.7063655030801</v>
      </c>
      <c r="C232" s="0" t="n">
        <v>6.04791238877481</v>
      </c>
      <c r="D232" s="0" t="n">
        <v>4</v>
      </c>
      <c r="E232" s="0" t="n">
        <v>87</v>
      </c>
      <c r="F232" s="0" t="n">
        <v>1.74</v>
      </c>
      <c r="G232" s="0" t="n">
        <v>28.735632183908</v>
      </c>
      <c r="H232" s="0" t="n">
        <v>0</v>
      </c>
      <c r="I232" s="0" t="n">
        <v>0</v>
      </c>
      <c r="J232" s="19" t="n">
        <v>1</v>
      </c>
      <c r="K232" s="19" t="n">
        <v>3</v>
      </c>
      <c r="L232" s="19" t="n">
        <v>1</v>
      </c>
      <c r="M232" s="19" t="n">
        <v>0</v>
      </c>
      <c r="N232" s="19" t="n">
        <v>5</v>
      </c>
      <c r="O232" s="19" t="n">
        <v>0</v>
      </c>
      <c r="P232" s="19" t="n">
        <v>0</v>
      </c>
      <c r="Q232" s="19" t="n">
        <v>6</v>
      </c>
      <c r="R232" s="19" t="n">
        <v>0</v>
      </c>
      <c r="S232" s="19" t="n">
        <v>0</v>
      </c>
      <c r="T232" s="19" t="n">
        <v>0</v>
      </c>
      <c r="U232" s="15" t="n">
        <f aca="false">AVERAGE(M232:T232)</f>
        <v>1.375</v>
      </c>
      <c r="V232" s="19" t="n">
        <v>2</v>
      </c>
      <c r="W232" s="19" t="n">
        <v>2</v>
      </c>
      <c r="X232" s="19" t="n">
        <v>3</v>
      </c>
      <c r="Y232" s="19" t="n">
        <v>5</v>
      </c>
      <c r="Z232" s="19" t="n">
        <v>4</v>
      </c>
      <c r="AA232" s="19" t="n">
        <v>3</v>
      </c>
      <c r="AB232" s="19" t="n">
        <v>4</v>
      </c>
      <c r="AC232" s="19" t="n">
        <v>4</v>
      </c>
      <c r="AD232" s="19" t="n">
        <v>5</v>
      </c>
      <c r="AE232" s="19" t="n">
        <v>3</v>
      </c>
      <c r="AF232" s="19" t="n">
        <v>4</v>
      </c>
      <c r="AG232" s="19" t="n">
        <v>4</v>
      </c>
      <c r="AH232" s="19" t="n">
        <v>4</v>
      </c>
      <c r="AI232" s="19" t="n">
        <v>4</v>
      </c>
      <c r="AJ232" s="19" t="n">
        <v>5</v>
      </c>
      <c r="AK232" s="19" t="n">
        <v>4</v>
      </c>
      <c r="AL232" s="19" t="n">
        <v>4</v>
      </c>
      <c r="AM232" s="19" t="n">
        <v>4</v>
      </c>
      <c r="AN232" s="19" t="n">
        <v>3</v>
      </c>
      <c r="AO232" s="19" t="n">
        <v>8</v>
      </c>
      <c r="AP232" s="0" t="n">
        <v>21.5</v>
      </c>
      <c r="AQ232" s="16" t="n">
        <v>54.9</v>
      </c>
      <c r="AR232" s="16" t="n">
        <v>80.4</v>
      </c>
      <c r="AS232" s="16" t="n">
        <v>17.9</v>
      </c>
      <c r="AT232" s="0" t="n">
        <v>90.61</v>
      </c>
      <c r="AU232" s="17" t="n">
        <v>0</v>
      </c>
      <c r="AV232" s="0" t="n">
        <v>0</v>
      </c>
      <c r="AW232" s="0" t="n">
        <v>2.45</v>
      </c>
      <c r="AX232" s="0" t="n">
        <v>6.94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12.16</v>
      </c>
      <c r="BF232" s="0" t="n">
        <v>24.45</v>
      </c>
      <c r="BG232" s="0" t="n">
        <v>4.8</v>
      </c>
      <c r="BH232" s="0" t="n">
        <v>5.11</v>
      </c>
      <c r="BI232" s="0" t="n">
        <v>0</v>
      </c>
      <c r="BJ232" s="0" t="n">
        <v>0</v>
      </c>
      <c r="BK232" s="0" t="n">
        <v>0</v>
      </c>
      <c r="BL232" s="0" t="n">
        <v>2.9</v>
      </c>
      <c r="BM232" s="0" t="n">
        <v>1</v>
      </c>
      <c r="BN232" s="0" t="n">
        <v>1</v>
      </c>
      <c r="BO232" s="16" t="n">
        <v>0</v>
      </c>
      <c r="BP232" s="16" t="n">
        <v>0</v>
      </c>
      <c r="BQ232" s="16" t="n">
        <v>0.67</v>
      </c>
      <c r="BR232" s="16" t="n">
        <v>0.65</v>
      </c>
      <c r="BS232" s="16" t="n">
        <v>0</v>
      </c>
      <c r="BT232" s="16" t="n">
        <v>0</v>
      </c>
      <c r="BU232" s="16" t="n">
        <v>0</v>
      </c>
      <c r="BV232" s="0" t="n">
        <v>0</v>
      </c>
    </row>
    <row r="233" customFormat="false" ht="13.8" hidden="false" customHeight="false" outlineLevel="0" collapsed="false">
      <c r="A233" s="0" t="n">
        <v>1</v>
      </c>
      <c r="B233" s="0" t="n">
        <v>29.9794661190965</v>
      </c>
      <c r="C233" s="0" t="n">
        <v>0.287474332648871</v>
      </c>
      <c r="D233" s="0" t="n">
        <v>4</v>
      </c>
      <c r="E233" s="0" t="n">
        <v>57</v>
      </c>
      <c r="F233" s="0" t="n">
        <v>1.61</v>
      </c>
      <c r="G233" s="0" t="n">
        <v>21.9898923652637</v>
      </c>
      <c r="H233" s="0" t="n">
        <v>0</v>
      </c>
      <c r="I233" s="0" t="n">
        <v>0</v>
      </c>
      <c r="J233" s="19" t="n">
        <v>0</v>
      </c>
      <c r="K233" s="19" t="n">
        <v>0</v>
      </c>
      <c r="L233" s="19" t="n">
        <v>1</v>
      </c>
      <c r="M233" s="19" t="n">
        <v>0</v>
      </c>
      <c r="N233" s="19" t="n">
        <v>0</v>
      </c>
      <c r="O233" s="19" t="n">
        <v>0</v>
      </c>
      <c r="P233" s="19" t="n">
        <v>0</v>
      </c>
      <c r="Q233" s="19" t="n">
        <v>0</v>
      </c>
      <c r="R233" s="19" t="n">
        <v>0</v>
      </c>
      <c r="S233" s="19" t="n">
        <v>0</v>
      </c>
      <c r="T233" s="19" t="n">
        <v>0</v>
      </c>
      <c r="U233" s="15" t="n">
        <f aca="false">AVERAGE(M233:T233)</f>
        <v>0</v>
      </c>
      <c r="V233" s="19" t="n">
        <v>1</v>
      </c>
      <c r="W233" s="19" t="n">
        <v>1</v>
      </c>
      <c r="X233" s="19" t="n">
        <v>3</v>
      </c>
      <c r="Y233" s="19" t="n">
        <v>4</v>
      </c>
      <c r="Z233" s="19" t="n">
        <v>1</v>
      </c>
      <c r="AA233" s="19" t="n">
        <v>1</v>
      </c>
      <c r="AB233" s="19" t="n">
        <v>2</v>
      </c>
      <c r="AC233" s="19" t="n">
        <v>3</v>
      </c>
      <c r="AD233" s="19" t="n">
        <v>3</v>
      </c>
      <c r="AE233" s="19" t="n">
        <v>3</v>
      </c>
      <c r="AF233" s="19" t="n">
        <v>3</v>
      </c>
      <c r="AG233" s="19" t="n">
        <v>5</v>
      </c>
      <c r="AH233" s="19" t="n">
        <v>3</v>
      </c>
      <c r="AI233" s="19" t="n">
        <v>3</v>
      </c>
      <c r="AJ233" s="19" t="n">
        <v>4</v>
      </c>
      <c r="AK233" s="19" t="n">
        <v>5</v>
      </c>
      <c r="AL233" s="19" t="n">
        <v>3</v>
      </c>
      <c r="AM233" s="19" t="n">
        <v>3</v>
      </c>
      <c r="AN233" s="19" t="n">
        <v>4</v>
      </c>
      <c r="AO233" s="19" t="n">
        <v>10</v>
      </c>
      <c r="AP233" s="0" t="n">
        <v>21.5</v>
      </c>
      <c r="AQ233" s="16" t="n">
        <v>54.9</v>
      </c>
      <c r="AR233" s="16" t="n">
        <v>80.4</v>
      </c>
      <c r="AS233" s="16" t="n">
        <v>17.9</v>
      </c>
      <c r="AT233" s="0" t="n">
        <v>90.61</v>
      </c>
      <c r="AU233" s="17" t="n">
        <v>0</v>
      </c>
      <c r="AV233" s="0" t="n">
        <v>0</v>
      </c>
      <c r="AW233" s="0" t="n">
        <v>2.45</v>
      </c>
      <c r="AX233" s="0" t="n">
        <v>6.94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12.16</v>
      </c>
      <c r="BF233" s="0" t="n">
        <v>24.45</v>
      </c>
      <c r="BG233" s="0" t="n">
        <v>4.8</v>
      </c>
      <c r="BH233" s="0" t="n">
        <v>5.11</v>
      </c>
      <c r="BI233" s="0" t="n">
        <v>0</v>
      </c>
      <c r="BJ233" s="0" t="n">
        <v>0</v>
      </c>
      <c r="BK233" s="0" t="n">
        <v>0</v>
      </c>
      <c r="BL233" s="0" t="n">
        <v>2.9</v>
      </c>
      <c r="BM233" s="0" t="n">
        <v>1</v>
      </c>
      <c r="BN233" s="0" t="n">
        <v>1</v>
      </c>
      <c r="BO233" s="16" t="n">
        <v>0</v>
      </c>
      <c r="BP233" s="16" t="n">
        <v>0</v>
      </c>
      <c r="BQ233" s="16" t="n">
        <v>0.67</v>
      </c>
      <c r="BR233" s="16" t="n">
        <v>0.65</v>
      </c>
      <c r="BS233" s="16" t="n">
        <v>0</v>
      </c>
      <c r="BT233" s="16" t="n">
        <v>0</v>
      </c>
      <c r="BU233" s="16" t="n">
        <v>0</v>
      </c>
      <c r="BV233" s="0" t="n">
        <v>0</v>
      </c>
    </row>
    <row r="234" customFormat="false" ht="13.8" hidden="false" customHeight="false" outlineLevel="0" collapsed="false">
      <c r="A234" s="0" t="n">
        <v>1</v>
      </c>
      <c r="B234" s="0" t="n">
        <v>50.9322381930185</v>
      </c>
      <c r="C234" s="0" t="n">
        <v>6.56262833675565</v>
      </c>
      <c r="D234" s="0" t="n">
        <v>8</v>
      </c>
      <c r="E234" s="0" t="n">
        <v>83</v>
      </c>
      <c r="F234" s="0" t="n">
        <v>1.66</v>
      </c>
      <c r="G234" s="0" t="n">
        <v>30.1204819277108</v>
      </c>
      <c r="H234" s="0" t="n">
        <v>0</v>
      </c>
      <c r="I234" s="0" t="n">
        <v>0</v>
      </c>
      <c r="J234" s="19" t="n">
        <v>0</v>
      </c>
      <c r="K234" s="19" t="n">
        <v>0</v>
      </c>
      <c r="L234" s="19" t="n">
        <v>0</v>
      </c>
      <c r="M234" s="19"/>
      <c r="N234" s="19" t="n">
        <v>0</v>
      </c>
      <c r="O234" s="19" t="n">
        <v>0</v>
      </c>
      <c r="P234" s="19" t="n">
        <v>0</v>
      </c>
      <c r="Q234" s="19" t="n">
        <v>0</v>
      </c>
      <c r="R234" s="19" t="n">
        <v>0</v>
      </c>
      <c r="S234" s="19" t="n">
        <v>0</v>
      </c>
      <c r="T234" s="19" t="n">
        <v>2</v>
      </c>
      <c r="U234" s="15" t="n">
        <f aca="false">AVERAGE(M234:T234)</f>
        <v>0.285714285714286</v>
      </c>
      <c r="V234" s="19" t="n">
        <v>3</v>
      </c>
      <c r="W234" s="19" t="n">
        <v>2</v>
      </c>
      <c r="X234" s="19" t="n">
        <v>2</v>
      </c>
      <c r="Y234" s="19" t="n">
        <v>4</v>
      </c>
      <c r="Z234" s="19" t="n">
        <v>3</v>
      </c>
      <c r="AA234" s="19" t="n">
        <v>1</v>
      </c>
      <c r="AB234" s="19" t="n">
        <v>1</v>
      </c>
      <c r="AC234" s="19" t="n">
        <v>3</v>
      </c>
      <c r="AD234" s="19" t="n">
        <v>1</v>
      </c>
      <c r="AE234" s="19" t="n">
        <v>1</v>
      </c>
      <c r="AF234" s="19" t="n">
        <v>3</v>
      </c>
      <c r="AG234" s="19" t="n">
        <v>5</v>
      </c>
      <c r="AH234" s="19" t="n">
        <v>3</v>
      </c>
      <c r="AI234" s="19" t="n">
        <v>3</v>
      </c>
      <c r="AJ234" s="19" t="n">
        <v>3</v>
      </c>
      <c r="AK234" s="19" t="n">
        <v>5</v>
      </c>
      <c r="AL234" s="19" t="n">
        <v>2</v>
      </c>
      <c r="AM234" s="19" t="n">
        <v>3</v>
      </c>
      <c r="AN234" s="19" t="n">
        <v>3</v>
      </c>
      <c r="AO234" s="19" t="n">
        <v>5</v>
      </c>
      <c r="AP234" s="0" t="n">
        <v>35</v>
      </c>
      <c r="AQ234" s="16" t="n">
        <v>78.8</v>
      </c>
      <c r="AR234" s="16" t="n">
        <v>80.4</v>
      </c>
      <c r="AS234" s="16" t="n">
        <v>17.2</v>
      </c>
      <c r="AT234" s="0" t="n">
        <v>72.07</v>
      </c>
      <c r="AU234" s="0" t="n">
        <v>11.09</v>
      </c>
      <c r="AV234" s="0" t="n">
        <v>1.12</v>
      </c>
      <c r="AW234" s="0" t="n">
        <v>0</v>
      </c>
      <c r="AX234" s="0" t="n">
        <v>15.71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1.66</v>
      </c>
      <c r="BG234" s="0" t="n">
        <v>34.99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11.2</v>
      </c>
      <c r="BM234" s="0" t="n">
        <v>1</v>
      </c>
      <c r="BN234" s="0" t="n">
        <v>0</v>
      </c>
      <c r="BO234" s="16" t="n">
        <v>0</v>
      </c>
      <c r="BP234" s="16" t="n">
        <v>0</v>
      </c>
      <c r="BQ234" s="16" t="n">
        <v>6.16</v>
      </c>
      <c r="BR234" s="16" t="n">
        <v>7.21</v>
      </c>
      <c r="BS234" s="16" t="n">
        <v>0</v>
      </c>
      <c r="BT234" s="16" t="n">
        <v>0</v>
      </c>
      <c r="BU234" s="16" t="n">
        <v>0</v>
      </c>
      <c r="BV234" s="0" t="n">
        <v>0</v>
      </c>
    </row>
    <row r="235" customFormat="false" ht="13.8" hidden="false" customHeight="false" outlineLevel="0" collapsed="false">
      <c r="A235" s="0" t="n">
        <v>2</v>
      </c>
      <c r="B235" s="0" t="n">
        <v>51.8439425051335</v>
      </c>
      <c r="C235" s="0" t="n">
        <v>16.1095140314853</v>
      </c>
      <c r="D235" s="0" t="n">
        <v>8</v>
      </c>
      <c r="E235" s="0" t="n">
        <v>85</v>
      </c>
      <c r="F235" s="0" t="n">
        <v>1.84</v>
      </c>
      <c r="G235" s="0" t="n">
        <v>25.1063327032136</v>
      </c>
      <c r="H235" s="0" t="n">
        <v>0</v>
      </c>
      <c r="I235" s="0" t="n">
        <v>0</v>
      </c>
      <c r="J235" s="19" t="n">
        <v>0</v>
      </c>
      <c r="K235" s="19" t="n">
        <v>0</v>
      </c>
      <c r="L235" s="19" t="n">
        <v>0</v>
      </c>
      <c r="M235" s="19" t="n">
        <v>0</v>
      </c>
      <c r="N235" s="19"/>
      <c r="O235" s="19"/>
      <c r="P235" s="19"/>
      <c r="Q235" s="19"/>
      <c r="R235" s="19"/>
      <c r="S235" s="19"/>
      <c r="T235" s="19"/>
      <c r="U235" s="15" t="n">
        <f aca="false">AVERAGE(M235:T235)</f>
        <v>0</v>
      </c>
      <c r="V235" s="19" t="n">
        <v>4</v>
      </c>
      <c r="W235" s="19" t="n">
        <v>2</v>
      </c>
      <c r="X235" s="19" t="n">
        <v>5</v>
      </c>
      <c r="Y235" s="19" t="n">
        <v>4</v>
      </c>
      <c r="Z235" s="19" t="n">
        <v>3</v>
      </c>
      <c r="AA235" s="19" t="n">
        <v>1</v>
      </c>
      <c r="AB235" s="19" t="n">
        <v>4</v>
      </c>
      <c r="AC235" s="19" t="n">
        <v>4</v>
      </c>
      <c r="AD235" s="19" t="n">
        <v>2</v>
      </c>
      <c r="AE235" s="19" t="n">
        <v>4</v>
      </c>
      <c r="AF235" s="19" t="n">
        <v>2</v>
      </c>
      <c r="AG235" s="19" t="n">
        <v>5</v>
      </c>
      <c r="AH235" s="19" t="n">
        <v>2</v>
      </c>
      <c r="AI235" s="19" t="n">
        <v>5</v>
      </c>
      <c r="AJ235" s="19" t="n">
        <v>5</v>
      </c>
      <c r="AK235" s="19" t="n">
        <v>5</v>
      </c>
      <c r="AL235" s="19" t="n">
        <v>5</v>
      </c>
      <c r="AM235" s="19" t="n">
        <v>5</v>
      </c>
      <c r="AN235" s="19" t="n">
        <v>3</v>
      </c>
      <c r="AO235" s="19" t="n">
        <v>8</v>
      </c>
      <c r="AP235" s="0" t="n">
        <v>35</v>
      </c>
      <c r="AQ235" s="16" t="n">
        <v>78.8</v>
      </c>
      <c r="AR235" s="16" t="n">
        <v>80.4</v>
      </c>
      <c r="AS235" s="16" t="n">
        <v>17.2</v>
      </c>
      <c r="AT235" s="0" t="n">
        <v>72.07</v>
      </c>
      <c r="AU235" s="0" t="n">
        <v>11.09</v>
      </c>
      <c r="AV235" s="0" t="n">
        <v>1.12</v>
      </c>
      <c r="AW235" s="0" t="n">
        <v>0</v>
      </c>
      <c r="AX235" s="0" t="n">
        <v>15.71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1.66</v>
      </c>
      <c r="BG235" s="0" t="n">
        <v>34.99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11.2</v>
      </c>
      <c r="BM235" s="0" t="n">
        <v>1</v>
      </c>
      <c r="BN235" s="0" t="n">
        <v>0</v>
      </c>
      <c r="BO235" s="16" t="n">
        <v>0</v>
      </c>
      <c r="BP235" s="16" t="n">
        <v>0</v>
      </c>
      <c r="BQ235" s="16" t="n">
        <v>6.16</v>
      </c>
      <c r="BR235" s="16" t="n">
        <v>7.21</v>
      </c>
      <c r="BS235" s="16" t="n">
        <v>0</v>
      </c>
      <c r="BT235" s="16" t="n">
        <v>0</v>
      </c>
      <c r="BU235" s="16" t="n">
        <v>0</v>
      </c>
      <c r="BV235" s="0" t="n">
        <v>0</v>
      </c>
    </row>
    <row r="236" customFormat="false" ht="13.8" hidden="false" customHeight="false" outlineLevel="0" collapsed="false">
      <c r="A236" s="0" t="n">
        <v>2</v>
      </c>
      <c r="B236" s="0" t="n">
        <v>42.154688569473</v>
      </c>
      <c r="C236" s="0" t="n">
        <v>21.2073921971253</v>
      </c>
      <c r="D236" s="0" t="n">
        <v>8</v>
      </c>
      <c r="E236" s="0" t="n">
        <v>105</v>
      </c>
      <c r="F236" s="0" t="n">
        <v>1.78</v>
      </c>
      <c r="G236" s="0" t="n">
        <v>33.1397550814291</v>
      </c>
      <c r="H236" s="0" t="n">
        <v>0</v>
      </c>
      <c r="I236" s="0" t="n">
        <v>0</v>
      </c>
      <c r="J236" s="19" t="n">
        <v>1</v>
      </c>
      <c r="K236" s="19" t="n">
        <v>0</v>
      </c>
      <c r="L236" s="19" t="n">
        <v>1</v>
      </c>
      <c r="M236" s="19" t="n">
        <v>0</v>
      </c>
      <c r="N236" s="19" t="n">
        <v>0</v>
      </c>
      <c r="O236" s="19" t="n">
        <v>0</v>
      </c>
      <c r="P236" s="19" t="n">
        <v>0</v>
      </c>
      <c r="Q236" s="19" t="n">
        <v>0</v>
      </c>
      <c r="R236" s="19" t="n">
        <v>0</v>
      </c>
      <c r="S236" s="19" t="n">
        <v>0</v>
      </c>
      <c r="T236" s="19" t="n">
        <v>0</v>
      </c>
      <c r="U236" s="15" t="n">
        <f aca="false">AVERAGE(M236:T236)</f>
        <v>0</v>
      </c>
      <c r="V236" s="19" t="n">
        <v>3</v>
      </c>
      <c r="W236" s="19" t="n">
        <v>2</v>
      </c>
      <c r="X236" s="19" t="n">
        <v>2</v>
      </c>
      <c r="Y236" s="19" t="n">
        <v>5</v>
      </c>
      <c r="Z236" s="19" t="n">
        <v>3</v>
      </c>
      <c r="AA236" s="19" t="n">
        <v>1</v>
      </c>
      <c r="AB236" s="19" t="n">
        <v>4</v>
      </c>
      <c r="AC236" s="19" t="n">
        <v>4</v>
      </c>
      <c r="AD236" s="19" t="n">
        <v>4</v>
      </c>
      <c r="AE236" s="19" t="n">
        <v>2</v>
      </c>
      <c r="AF236" s="19" t="n">
        <v>5</v>
      </c>
      <c r="AG236" s="19" t="n">
        <v>5</v>
      </c>
      <c r="AH236" s="19" t="n">
        <v>4</v>
      </c>
      <c r="AI236" s="19" t="n">
        <v>5</v>
      </c>
      <c r="AJ236" s="19" t="n">
        <v>4</v>
      </c>
      <c r="AK236" s="19" t="n">
        <v>5</v>
      </c>
      <c r="AL236" s="19" t="n">
        <v>5</v>
      </c>
      <c r="AM236" s="19" t="n">
        <v>4</v>
      </c>
      <c r="AN236" s="19" t="n">
        <v>2</v>
      </c>
      <c r="AO236" s="19" t="n">
        <v>5</v>
      </c>
      <c r="AP236" s="0" t="n">
        <v>35</v>
      </c>
      <c r="AQ236" s="16" t="n">
        <v>78.8</v>
      </c>
      <c r="AR236" s="16" t="n">
        <v>80.4</v>
      </c>
      <c r="AS236" s="16" t="n">
        <v>17.2</v>
      </c>
      <c r="AT236" s="0" t="n">
        <v>72.07</v>
      </c>
      <c r="AU236" s="0" t="n">
        <v>11.09</v>
      </c>
      <c r="AV236" s="0" t="n">
        <v>1.12</v>
      </c>
      <c r="AW236" s="0" t="n">
        <v>0</v>
      </c>
      <c r="AX236" s="0" t="n">
        <v>15.71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1.66</v>
      </c>
      <c r="BG236" s="0" t="n">
        <v>34.99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11.2</v>
      </c>
      <c r="BM236" s="0" t="n">
        <v>1</v>
      </c>
      <c r="BN236" s="0" t="n">
        <v>0</v>
      </c>
      <c r="BO236" s="16" t="n">
        <v>0</v>
      </c>
      <c r="BP236" s="16" t="n">
        <v>0</v>
      </c>
      <c r="BQ236" s="16" t="n">
        <v>6.16</v>
      </c>
      <c r="BR236" s="16" t="n">
        <v>7.21</v>
      </c>
      <c r="BS236" s="16" t="n">
        <v>0</v>
      </c>
      <c r="BT236" s="16" t="n">
        <v>0</v>
      </c>
      <c r="BU236" s="16" t="n">
        <v>0</v>
      </c>
      <c r="BV236" s="0" t="n">
        <v>0</v>
      </c>
    </row>
    <row r="237" customFormat="false" ht="13.8" hidden="false" customHeight="false" outlineLevel="0" collapsed="false">
      <c r="A237" s="0" t="n">
        <v>2</v>
      </c>
      <c r="B237" s="0" t="n">
        <v>21.9739904175222</v>
      </c>
      <c r="C237" s="0" t="n">
        <v>0.295687885010267</v>
      </c>
      <c r="D237" s="0" t="n">
        <v>8</v>
      </c>
      <c r="E237" s="0" t="n">
        <v>60</v>
      </c>
      <c r="F237" s="0" t="n">
        <v>1.74</v>
      </c>
      <c r="G237" s="0" t="n">
        <v>19.8176773682124</v>
      </c>
      <c r="H237" s="0" t="n">
        <v>0</v>
      </c>
      <c r="I237" s="0" t="n">
        <v>0</v>
      </c>
      <c r="J237" s="19" t="n">
        <v>0</v>
      </c>
      <c r="K237" s="19" t="n">
        <v>1</v>
      </c>
      <c r="L237" s="19" t="n">
        <v>0</v>
      </c>
      <c r="M237" s="19" t="n">
        <v>0</v>
      </c>
      <c r="N237" s="19" t="n">
        <v>0</v>
      </c>
      <c r="O237" s="19" t="n">
        <v>0</v>
      </c>
      <c r="P237" s="19" t="n">
        <v>0</v>
      </c>
      <c r="Q237" s="19" t="n">
        <v>0</v>
      </c>
      <c r="R237" s="19" t="n">
        <v>0</v>
      </c>
      <c r="S237" s="19" t="n">
        <v>0</v>
      </c>
      <c r="T237" s="19" t="n">
        <v>0</v>
      </c>
      <c r="U237" s="15" t="n">
        <f aca="false">AVERAGE(M237:T237)</f>
        <v>0</v>
      </c>
      <c r="V237" s="19" t="n">
        <v>2</v>
      </c>
      <c r="W237" s="19" t="n">
        <v>2</v>
      </c>
      <c r="X237" s="19" t="n">
        <v>3</v>
      </c>
      <c r="Y237" s="19" t="n">
        <v>1</v>
      </c>
      <c r="Z237" s="19" t="n">
        <v>1</v>
      </c>
      <c r="AA237" s="19" t="n">
        <v>1</v>
      </c>
      <c r="AB237" s="19" t="n">
        <v>3</v>
      </c>
      <c r="AC237" s="19" t="n">
        <v>3</v>
      </c>
      <c r="AD237" s="19" t="n">
        <v>3</v>
      </c>
      <c r="AE237" s="19" t="n">
        <v>4</v>
      </c>
      <c r="AF237" s="19" t="n">
        <v>4</v>
      </c>
      <c r="AG237" s="19" t="n">
        <v>4</v>
      </c>
      <c r="AH237" s="19" t="n">
        <v>3</v>
      </c>
      <c r="AI237" s="19" t="n">
        <v>4</v>
      </c>
      <c r="AJ237" s="19" t="n">
        <v>4</v>
      </c>
      <c r="AK237" s="19" t="n">
        <v>5</v>
      </c>
      <c r="AL237" s="19" t="n">
        <v>4</v>
      </c>
      <c r="AM237" s="19" t="n">
        <v>4</v>
      </c>
      <c r="AN237" s="19" t="n">
        <v>4</v>
      </c>
      <c r="AO237" s="19" t="n">
        <v>8</v>
      </c>
      <c r="AP237" s="0" t="n">
        <v>35</v>
      </c>
      <c r="AQ237" s="16" t="n">
        <v>78.8</v>
      </c>
      <c r="AR237" s="16" t="n">
        <v>80.4</v>
      </c>
      <c r="AS237" s="16" t="n">
        <v>17.2</v>
      </c>
      <c r="AT237" s="0" t="n">
        <v>72.07</v>
      </c>
      <c r="AU237" s="0" t="n">
        <v>11.09</v>
      </c>
      <c r="AV237" s="0" t="n">
        <v>1.12</v>
      </c>
      <c r="AW237" s="0" t="n">
        <v>0</v>
      </c>
      <c r="AX237" s="0" t="n">
        <v>15.71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1.66</v>
      </c>
      <c r="BG237" s="0" t="n">
        <v>34.99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11.2</v>
      </c>
      <c r="BM237" s="0" t="n">
        <v>1</v>
      </c>
      <c r="BN237" s="0" t="n">
        <v>0</v>
      </c>
      <c r="BO237" s="16" t="n">
        <v>0</v>
      </c>
      <c r="BP237" s="16" t="n">
        <v>0</v>
      </c>
      <c r="BQ237" s="16" t="n">
        <v>6.16</v>
      </c>
      <c r="BR237" s="16" t="n">
        <v>7.21</v>
      </c>
      <c r="BS237" s="16" t="n">
        <v>0</v>
      </c>
      <c r="BT237" s="16" t="n">
        <v>0</v>
      </c>
      <c r="BU237" s="16" t="n">
        <v>0</v>
      </c>
      <c r="BV237" s="0" t="n">
        <v>0</v>
      </c>
    </row>
    <row r="238" customFormat="false" ht="13.8" hidden="false" customHeight="false" outlineLevel="0" collapsed="false">
      <c r="A238" s="0" t="n">
        <v>2</v>
      </c>
      <c r="B238" s="0" t="n">
        <v>26.6913073237509</v>
      </c>
      <c r="C238" s="0" t="n">
        <v>0.344969199178645</v>
      </c>
      <c r="D238" s="0" t="n">
        <v>8</v>
      </c>
      <c r="E238" s="0" t="n">
        <v>60</v>
      </c>
      <c r="F238" s="0" t="n">
        <v>1.78</v>
      </c>
      <c r="G238" s="0" t="n">
        <v>18.9370029036738</v>
      </c>
      <c r="H238" s="0" t="n">
        <v>0</v>
      </c>
      <c r="I238" s="0" t="n">
        <v>0</v>
      </c>
      <c r="J238" s="19" t="n">
        <v>0</v>
      </c>
      <c r="K238" s="19" t="n">
        <v>3</v>
      </c>
      <c r="L238" s="19" t="n">
        <v>0</v>
      </c>
      <c r="M238" s="19" t="n">
        <v>0</v>
      </c>
      <c r="N238" s="19" t="n">
        <v>0</v>
      </c>
      <c r="O238" s="19" t="n">
        <v>0</v>
      </c>
      <c r="P238" s="19" t="n">
        <v>0</v>
      </c>
      <c r="Q238" s="19" t="n">
        <v>0</v>
      </c>
      <c r="R238" s="19" t="n">
        <v>0</v>
      </c>
      <c r="S238" s="19" t="n">
        <v>0</v>
      </c>
      <c r="T238" s="19" t="n">
        <v>0</v>
      </c>
      <c r="U238" s="15" t="n">
        <f aca="false">AVERAGE(M238:T238)</f>
        <v>0</v>
      </c>
      <c r="V238" s="19" t="n">
        <v>1</v>
      </c>
      <c r="W238" s="19" t="n">
        <v>2</v>
      </c>
      <c r="X238" s="19" t="n">
        <v>5</v>
      </c>
      <c r="Y238" s="19" t="n">
        <v>2</v>
      </c>
      <c r="Z238" s="19" t="n">
        <v>5</v>
      </c>
      <c r="AA238" s="19" t="n">
        <v>5</v>
      </c>
      <c r="AB238" s="19" t="n">
        <v>5</v>
      </c>
      <c r="AC238" s="19" t="n">
        <v>5</v>
      </c>
      <c r="AD238" s="19" t="n">
        <v>5</v>
      </c>
      <c r="AE238" s="19" t="n">
        <v>5</v>
      </c>
      <c r="AF238" s="19" t="n">
        <v>5</v>
      </c>
      <c r="AG238" s="19" t="n">
        <v>5</v>
      </c>
      <c r="AH238" s="19" t="n">
        <v>5</v>
      </c>
      <c r="AI238" s="19" t="n">
        <v>5</v>
      </c>
      <c r="AJ238" s="19" t="n">
        <v>5</v>
      </c>
      <c r="AK238" s="19" t="n">
        <v>5</v>
      </c>
      <c r="AL238" s="19" t="n">
        <v>5</v>
      </c>
      <c r="AM238" s="19" t="n">
        <v>5</v>
      </c>
      <c r="AN238" s="19" t="n">
        <v>5</v>
      </c>
      <c r="AO238" s="19" t="n">
        <v>10</v>
      </c>
      <c r="AP238" s="0" t="n">
        <v>35</v>
      </c>
      <c r="AQ238" s="16" t="n">
        <v>78.8</v>
      </c>
      <c r="AR238" s="16" t="n">
        <v>80.4</v>
      </c>
      <c r="AS238" s="16" t="n">
        <v>17.2</v>
      </c>
      <c r="AT238" s="0" t="n">
        <v>72.07</v>
      </c>
      <c r="AU238" s="0" t="n">
        <v>11.09</v>
      </c>
      <c r="AV238" s="0" t="n">
        <v>1.12</v>
      </c>
      <c r="AW238" s="0" t="n">
        <v>0</v>
      </c>
      <c r="AX238" s="0" t="n">
        <v>15.71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1.66</v>
      </c>
      <c r="BG238" s="0" t="n">
        <v>34.99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11.2</v>
      </c>
      <c r="BM238" s="0" t="n">
        <v>1</v>
      </c>
      <c r="BN238" s="0" t="n">
        <v>0</v>
      </c>
      <c r="BO238" s="16" t="n">
        <v>0</v>
      </c>
      <c r="BP238" s="16" t="n">
        <v>0</v>
      </c>
      <c r="BQ238" s="16" t="n">
        <v>6.16</v>
      </c>
      <c r="BR238" s="16" t="n">
        <v>7.21</v>
      </c>
      <c r="BS238" s="16" t="n">
        <v>0</v>
      </c>
      <c r="BT238" s="16" t="n">
        <v>0</v>
      </c>
      <c r="BU238" s="16" t="n">
        <v>0</v>
      </c>
      <c r="BV238" s="0" t="n">
        <v>0</v>
      </c>
    </row>
    <row r="239" customFormat="false" ht="13.8" hidden="false" customHeight="false" outlineLevel="0" collapsed="false">
      <c r="A239" s="0" t="n">
        <v>2</v>
      </c>
      <c r="B239" s="0" t="n">
        <v>31.8193018480493</v>
      </c>
      <c r="C239" s="0" t="n">
        <v>10.5872689938398</v>
      </c>
      <c r="D239" s="0" t="n">
        <v>8</v>
      </c>
      <c r="H239" s="0" t="n">
        <v>0</v>
      </c>
      <c r="I239" s="0" t="n">
        <v>0</v>
      </c>
      <c r="J239" s="19" t="n">
        <v>1</v>
      </c>
      <c r="K239" s="19" t="n">
        <v>2</v>
      </c>
      <c r="L239" s="19" t="n">
        <v>0</v>
      </c>
      <c r="M239" s="19" t="n">
        <v>0</v>
      </c>
      <c r="N239" s="19" t="n">
        <v>0</v>
      </c>
      <c r="O239" s="19" t="n">
        <v>0</v>
      </c>
      <c r="P239" s="19" t="n">
        <v>0</v>
      </c>
      <c r="Q239" s="19" t="n">
        <v>0</v>
      </c>
      <c r="R239" s="19" t="n">
        <v>0</v>
      </c>
      <c r="S239" s="19" t="n">
        <v>0</v>
      </c>
      <c r="T239" s="19" t="n">
        <v>4</v>
      </c>
      <c r="U239" s="15" t="n">
        <f aca="false">AVERAGE(M239:T239)</f>
        <v>0.5</v>
      </c>
      <c r="V239" s="19" t="n">
        <v>3</v>
      </c>
      <c r="W239" s="19" t="n">
        <v>2</v>
      </c>
      <c r="X239" s="19" t="n">
        <v>2</v>
      </c>
      <c r="Y239" s="19" t="n">
        <v>5</v>
      </c>
      <c r="Z239" s="19" t="n">
        <v>2</v>
      </c>
      <c r="AA239" s="19" t="n">
        <v>5</v>
      </c>
      <c r="AB239" s="19" t="n">
        <v>3</v>
      </c>
      <c r="AC239" s="19" t="n">
        <v>5</v>
      </c>
      <c r="AD239" s="19" t="n">
        <v>3</v>
      </c>
      <c r="AE239" s="19" t="n">
        <v>4</v>
      </c>
      <c r="AF239" s="19" t="n">
        <v>4</v>
      </c>
      <c r="AG239" s="19" t="n">
        <v>5</v>
      </c>
      <c r="AH239" s="19" t="n">
        <v>1</v>
      </c>
      <c r="AI239" s="19" t="n">
        <v>4</v>
      </c>
      <c r="AJ239" s="19" t="n">
        <v>4</v>
      </c>
      <c r="AK239" s="19" t="n">
        <v>5</v>
      </c>
      <c r="AL239" s="19" t="n">
        <v>3</v>
      </c>
      <c r="AM239" s="19" t="n">
        <v>3</v>
      </c>
      <c r="AN239" s="19" t="n">
        <v>4</v>
      </c>
      <c r="AO239" s="19"/>
      <c r="AP239" s="0" t="n">
        <v>35</v>
      </c>
      <c r="AQ239" s="16" t="n">
        <v>78.8</v>
      </c>
      <c r="AR239" s="16" t="n">
        <v>80.4</v>
      </c>
      <c r="AS239" s="16" t="n">
        <v>17.2</v>
      </c>
      <c r="AT239" s="0" t="n">
        <v>72.07</v>
      </c>
      <c r="AU239" s="0" t="n">
        <v>11.09</v>
      </c>
      <c r="AV239" s="0" t="n">
        <v>1.12</v>
      </c>
      <c r="AW239" s="0" t="n">
        <v>0</v>
      </c>
      <c r="AX239" s="0" t="n">
        <v>15.71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1.66</v>
      </c>
      <c r="BG239" s="0" t="n">
        <v>34.99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11.2</v>
      </c>
      <c r="BM239" s="0" t="n">
        <v>1</v>
      </c>
      <c r="BN239" s="0" t="n">
        <v>0</v>
      </c>
      <c r="BO239" s="16" t="n">
        <v>0</v>
      </c>
      <c r="BP239" s="16" t="n">
        <v>0</v>
      </c>
      <c r="BQ239" s="16" t="n">
        <v>6.16</v>
      </c>
      <c r="BR239" s="16" t="n">
        <v>7.21</v>
      </c>
      <c r="BS239" s="16" t="n">
        <v>0</v>
      </c>
      <c r="BT239" s="16" t="n">
        <v>0</v>
      </c>
      <c r="BU239" s="16" t="n">
        <v>0</v>
      </c>
      <c r="BV239" s="0" t="n">
        <v>0</v>
      </c>
    </row>
    <row r="240" customFormat="false" ht="13.8" hidden="false" customHeight="false" outlineLevel="0" collapsed="false">
      <c r="A240" s="24" t="n">
        <v>2</v>
      </c>
      <c r="B240" s="0" t="n">
        <v>19.7125256673511</v>
      </c>
      <c r="C240" s="0" t="n">
        <v>0.276522929500342</v>
      </c>
      <c r="D240" s="0" t="n">
        <v>8</v>
      </c>
      <c r="E240" s="0" t="n">
        <v>68</v>
      </c>
      <c r="F240" s="0" t="n">
        <v>1.87</v>
      </c>
      <c r="G240" s="0" t="n">
        <v>19.4457948468644</v>
      </c>
      <c r="H240" s="0" t="n">
        <v>0</v>
      </c>
      <c r="I240" s="0" t="n">
        <v>0</v>
      </c>
      <c r="J240" s="26" t="n">
        <v>0</v>
      </c>
      <c r="K240" s="26" t="n">
        <v>0</v>
      </c>
      <c r="L240" s="26" t="n">
        <v>0</v>
      </c>
      <c r="M240" s="26" t="n">
        <v>0</v>
      </c>
      <c r="N240" s="26" t="n">
        <v>0</v>
      </c>
      <c r="O240" s="26" t="n">
        <v>0</v>
      </c>
      <c r="P240" s="26" t="n">
        <v>0</v>
      </c>
      <c r="Q240" s="26" t="n">
        <v>0</v>
      </c>
      <c r="R240" s="26" t="n">
        <v>0</v>
      </c>
      <c r="S240" s="19" t="n">
        <v>0</v>
      </c>
      <c r="T240" s="26" t="n">
        <v>0</v>
      </c>
      <c r="U240" s="15" t="n">
        <f aca="false">AVERAGE(M240:T240)</f>
        <v>0</v>
      </c>
      <c r="V240" s="26" t="n">
        <v>1</v>
      </c>
      <c r="W240" s="26" t="n">
        <v>1</v>
      </c>
      <c r="X240" s="26" t="n">
        <v>1</v>
      </c>
      <c r="Y240" s="26" t="n">
        <v>5</v>
      </c>
      <c r="Z240" s="26" t="n">
        <v>2</v>
      </c>
      <c r="AA240" s="26" t="n">
        <v>1</v>
      </c>
      <c r="AB240" s="26" t="n">
        <v>3</v>
      </c>
      <c r="AC240" s="26" t="n">
        <v>5</v>
      </c>
      <c r="AD240" s="26" t="n">
        <v>5</v>
      </c>
      <c r="AE240" s="26" t="n">
        <v>4</v>
      </c>
      <c r="AF240" s="26" t="n">
        <v>5</v>
      </c>
      <c r="AG240" s="26" t="n">
        <v>5</v>
      </c>
      <c r="AH240" s="26" t="n">
        <v>3</v>
      </c>
      <c r="AI240" s="26" t="n">
        <v>4</v>
      </c>
      <c r="AJ240" s="26" t="n">
        <v>4</v>
      </c>
      <c r="AK240" s="26" t="n">
        <v>5</v>
      </c>
      <c r="AL240" s="26"/>
      <c r="AM240" s="26"/>
      <c r="AN240" s="26"/>
      <c r="AO240" s="26"/>
      <c r="AP240" s="24" t="n">
        <v>95.5</v>
      </c>
      <c r="AQ240" s="27" t="n">
        <v>99.1</v>
      </c>
      <c r="AR240" s="27" t="n">
        <v>80.4</v>
      </c>
      <c r="AS240" s="27" t="n">
        <v>90.4</v>
      </c>
      <c r="AT240" s="24" t="n">
        <v>24.15</v>
      </c>
      <c r="AU240" s="29" t="n">
        <v>0</v>
      </c>
      <c r="AV240" s="24" t="n">
        <v>31.26</v>
      </c>
      <c r="AW240" s="24" t="n">
        <v>44.6</v>
      </c>
      <c r="AX240" s="24" t="n">
        <v>0</v>
      </c>
      <c r="AY240" s="24" t="n">
        <v>0</v>
      </c>
      <c r="AZ240" s="24" t="n">
        <v>0</v>
      </c>
      <c r="BA240" s="24" t="n">
        <v>0</v>
      </c>
      <c r="BB240" s="24" t="n">
        <v>0</v>
      </c>
      <c r="BC240" s="24" t="n">
        <v>0</v>
      </c>
      <c r="BD240" s="24" t="n">
        <v>0</v>
      </c>
      <c r="BE240" s="24" t="n">
        <v>0</v>
      </c>
      <c r="BF240" s="24" t="n">
        <v>0</v>
      </c>
      <c r="BG240" s="24" t="n">
        <v>24.75</v>
      </c>
      <c r="BH240" s="24" t="n">
        <v>2.47</v>
      </c>
      <c r="BI240" s="24" t="n">
        <v>0</v>
      </c>
      <c r="BJ240" s="24" t="n">
        <v>0</v>
      </c>
      <c r="BK240" s="24" t="n">
        <v>0</v>
      </c>
      <c r="BL240" s="24" t="n">
        <v>0.2</v>
      </c>
      <c r="BM240" s="24" t="n">
        <v>1</v>
      </c>
      <c r="BN240" s="24" t="n">
        <v>0</v>
      </c>
      <c r="BO240" s="27" t="n">
        <v>0.63</v>
      </c>
      <c r="BP240" s="27" t="n">
        <v>1</v>
      </c>
      <c r="BQ240" s="27" t="n">
        <v>0</v>
      </c>
      <c r="BR240" s="27" t="n">
        <v>0</v>
      </c>
      <c r="BS240" s="27" t="n">
        <v>0</v>
      </c>
      <c r="BT240" s="27" t="n">
        <v>0</v>
      </c>
      <c r="BU240" s="27" t="n">
        <v>0</v>
      </c>
      <c r="BV240" s="24" t="n">
        <v>0</v>
      </c>
    </row>
    <row r="241" customFormat="false" ht="13.8" hidden="false" customHeight="false" outlineLevel="0" collapsed="false">
      <c r="A241" s="0" t="n">
        <v>2</v>
      </c>
      <c r="B241" s="0" t="n">
        <v>52.4572210814511</v>
      </c>
      <c r="C241" s="0" t="n">
        <v>21.1498973305955</v>
      </c>
      <c r="D241" s="0" t="n">
        <v>4</v>
      </c>
      <c r="E241" s="0" t="n">
        <v>62</v>
      </c>
      <c r="F241" s="0" t="n">
        <v>1.66</v>
      </c>
      <c r="G241" s="0" t="n">
        <v>22.4996371026274</v>
      </c>
      <c r="H241" s="0" t="n">
        <v>1</v>
      </c>
      <c r="I241" s="0" t="n">
        <v>1</v>
      </c>
      <c r="J241" s="19" t="n">
        <v>1</v>
      </c>
      <c r="K241" s="19" t="n">
        <v>0</v>
      </c>
      <c r="L241" s="19" t="n">
        <v>0</v>
      </c>
      <c r="M241" s="19" t="n">
        <v>7</v>
      </c>
      <c r="N241" s="19" t="n">
        <v>0</v>
      </c>
      <c r="O241" s="19" t="n">
        <v>0</v>
      </c>
      <c r="P241" s="19" t="n">
        <v>0</v>
      </c>
      <c r="Q241" s="19" t="n">
        <v>0</v>
      </c>
      <c r="R241" s="19" t="n">
        <v>0</v>
      </c>
      <c r="S241" s="19" t="n">
        <v>0</v>
      </c>
      <c r="T241" s="19" t="n">
        <v>0</v>
      </c>
      <c r="U241" s="15" t="n">
        <f aca="false">AVERAGE(M241:T241)</f>
        <v>0.875</v>
      </c>
      <c r="V241" s="19" t="n">
        <v>2</v>
      </c>
      <c r="W241" s="19" t="n">
        <v>2</v>
      </c>
      <c r="X241" s="19" t="n">
        <v>4</v>
      </c>
      <c r="Y241" s="19" t="n">
        <v>3</v>
      </c>
      <c r="Z241" s="19" t="n">
        <v>2</v>
      </c>
      <c r="AA241" s="19" t="n">
        <v>3</v>
      </c>
      <c r="AB241" s="19" t="n">
        <v>2</v>
      </c>
      <c r="AC241" s="19" t="n">
        <v>2</v>
      </c>
      <c r="AD241" s="19" t="n">
        <v>2</v>
      </c>
      <c r="AE241" s="19" t="n">
        <v>3</v>
      </c>
      <c r="AF241" s="19" t="n">
        <v>3</v>
      </c>
      <c r="AG241" s="19" t="n">
        <v>5</v>
      </c>
      <c r="AH241" s="19" t="n">
        <v>1</v>
      </c>
      <c r="AI241" s="19" t="n">
        <v>3</v>
      </c>
      <c r="AJ241" s="19" t="n">
        <v>4</v>
      </c>
      <c r="AK241" s="19" t="n">
        <v>4</v>
      </c>
      <c r="AL241" s="19" t="n">
        <v>3</v>
      </c>
      <c r="AM241" s="19" t="n">
        <v>4</v>
      </c>
      <c r="AN241" s="19" t="n">
        <v>2</v>
      </c>
      <c r="AO241" s="19" t="n">
        <v>7</v>
      </c>
      <c r="AP241" s="15" t="n">
        <v>38.5</v>
      </c>
      <c r="AQ241" s="17" t="n">
        <v>55</v>
      </c>
      <c r="AR241" s="17" t="n">
        <v>114</v>
      </c>
      <c r="AS241" s="17" t="n">
        <v>7.8</v>
      </c>
      <c r="AT241" s="17" t="n">
        <v>95.15</v>
      </c>
      <c r="AU241" s="17" t="n">
        <v>0</v>
      </c>
      <c r="AV241" s="17" t="n">
        <v>3.78</v>
      </c>
      <c r="AW241" s="17" t="n">
        <v>0</v>
      </c>
      <c r="AX241" s="17" t="n">
        <v>1.07</v>
      </c>
      <c r="AY241" s="17" t="n">
        <v>0</v>
      </c>
      <c r="AZ241" s="17" t="n">
        <v>0</v>
      </c>
      <c r="BA241" s="17" t="n">
        <v>0</v>
      </c>
      <c r="BB241" s="17" t="n">
        <v>0</v>
      </c>
      <c r="BC241" s="17" t="n">
        <v>0</v>
      </c>
      <c r="BD241" s="17" t="n">
        <v>0</v>
      </c>
      <c r="BE241" s="17" t="n">
        <v>0</v>
      </c>
      <c r="BF241" s="17" t="n">
        <v>15.05</v>
      </c>
      <c r="BG241" s="17" t="n">
        <v>4.58</v>
      </c>
      <c r="BH241" s="17" t="n">
        <v>0.1</v>
      </c>
      <c r="BI241" s="17" t="n">
        <v>0</v>
      </c>
      <c r="BJ241" s="17" t="n">
        <v>0</v>
      </c>
      <c r="BK241" s="17" t="n">
        <v>0</v>
      </c>
      <c r="BL241" s="15" t="n">
        <v>22.8</v>
      </c>
      <c r="BM241" s="15" t="n">
        <v>1</v>
      </c>
      <c r="BN241" s="15" t="n">
        <v>0</v>
      </c>
      <c r="BO241" s="15" t="n">
        <v>0</v>
      </c>
      <c r="BP241" s="15" t="n">
        <v>0</v>
      </c>
      <c r="BQ241" s="15" t="n">
        <v>7.84</v>
      </c>
      <c r="BR241" s="15" t="n">
        <v>3.54</v>
      </c>
      <c r="BS241" s="15" t="n">
        <v>0</v>
      </c>
      <c r="BT241" s="15" t="n">
        <v>0</v>
      </c>
      <c r="BU241" s="15" t="n">
        <v>0</v>
      </c>
      <c r="BV241" s="15" t="n">
        <v>0</v>
      </c>
    </row>
    <row r="242" customFormat="false" ht="13.8" hidden="false" customHeight="false" outlineLevel="0" collapsed="false">
      <c r="A242" s="0" t="n">
        <v>1</v>
      </c>
      <c r="B242" s="0" t="n">
        <v>39.4250513347023</v>
      </c>
      <c r="C242" s="0" t="n">
        <v>8.99657768651609</v>
      </c>
      <c r="D242" s="0" t="n">
        <v>8</v>
      </c>
      <c r="F242" s="0" t="n">
        <v>1.61</v>
      </c>
      <c r="G242" s="0" t="n">
        <v>0</v>
      </c>
      <c r="H242" s="0" t="n">
        <v>0</v>
      </c>
      <c r="I242" s="0" t="n">
        <v>0</v>
      </c>
      <c r="J242" s="19" t="n">
        <v>1</v>
      </c>
      <c r="K242" s="19" t="n">
        <v>0</v>
      </c>
      <c r="L242" s="19" t="n">
        <v>1</v>
      </c>
      <c r="M242" s="19" t="n">
        <v>0</v>
      </c>
      <c r="N242" s="19" t="n">
        <v>0</v>
      </c>
      <c r="O242" s="19" t="n">
        <v>0</v>
      </c>
      <c r="P242" s="19" t="n">
        <v>0</v>
      </c>
      <c r="Q242" s="19" t="n">
        <v>0</v>
      </c>
      <c r="R242" s="19" t="n">
        <v>0</v>
      </c>
      <c r="S242" s="19" t="n">
        <v>0</v>
      </c>
      <c r="T242" s="19" t="n">
        <v>0</v>
      </c>
      <c r="U242" s="15" t="n">
        <f aca="false">AVERAGE(M242:T242)</f>
        <v>0</v>
      </c>
      <c r="V242" s="19" t="n">
        <v>3</v>
      </c>
      <c r="W242" s="19" t="n">
        <v>2</v>
      </c>
      <c r="X242" s="19" t="n">
        <v>4</v>
      </c>
      <c r="Y242" s="19" t="n">
        <v>5</v>
      </c>
      <c r="Z242" s="19" t="n">
        <v>2</v>
      </c>
      <c r="AA242" s="19" t="n">
        <v>1</v>
      </c>
      <c r="AB242" s="19" t="n">
        <v>1</v>
      </c>
      <c r="AC242" s="19" t="n">
        <v>2</v>
      </c>
      <c r="AD242" s="19" t="n">
        <v>1</v>
      </c>
      <c r="AE242" s="19" t="n">
        <v>3</v>
      </c>
      <c r="AF242" s="19" t="n">
        <v>2</v>
      </c>
      <c r="AG242" s="19" t="n">
        <v>3</v>
      </c>
      <c r="AH242" s="19" t="n">
        <v>2</v>
      </c>
      <c r="AI242" s="19" t="n">
        <v>3</v>
      </c>
      <c r="AJ242" s="19" t="n">
        <v>5</v>
      </c>
      <c r="AK242" s="19" t="n">
        <v>4</v>
      </c>
      <c r="AL242" s="19" t="n">
        <v>4</v>
      </c>
      <c r="AM242" s="19" t="n">
        <v>4</v>
      </c>
      <c r="AN242" s="19" t="n">
        <v>4</v>
      </c>
      <c r="AO242" s="19" t="n">
        <v>5</v>
      </c>
      <c r="AP242" s="0" t="n">
        <v>19.5</v>
      </c>
      <c r="AQ242" s="16" t="n">
        <v>74.3</v>
      </c>
      <c r="AR242" s="16" t="n">
        <v>80.4</v>
      </c>
      <c r="AS242" s="16" t="n">
        <v>7.8</v>
      </c>
      <c r="AT242" s="0" t="n">
        <v>89.52</v>
      </c>
      <c r="AU242" s="0" t="n">
        <v>8.69</v>
      </c>
      <c r="AV242" s="0" t="n">
        <v>1.79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18.73</v>
      </c>
      <c r="BG242" s="0" t="n">
        <v>9.35</v>
      </c>
      <c r="BH242" s="0" t="n">
        <v>0</v>
      </c>
      <c r="BI242" s="0" t="n">
        <v>0</v>
      </c>
      <c r="BJ242" s="0" t="n">
        <v>0</v>
      </c>
      <c r="BK242" s="0"/>
      <c r="BL242" s="0" t="n">
        <v>3.92</v>
      </c>
      <c r="BM242" s="0" t="n">
        <v>1</v>
      </c>
      <c r="BN242" s="0" t="n">
        <v>1</v>
      </c>
      <c r="BO242" s="16" t="n">
        <v>2.24</v>
      </c>
      <c r="BP242" s="16" t="n">
        <v>1</v>
      </c>
      <c r="BQ242" s="16" t="n">
        <v>5.49</v>
      </c>
      <c r="BR242" s="16" t="n">
        <v>7.22</v>
      </c>
      <c r="BS242" s="16" t="n">
        <v>0</v>
      </c>
      <c r="BT242" s="16" t="n">
        <v>0</v>
      </c>
      <c r="BU242" s="16" t="n">
        <v>0</v>
      </c>
      <c r="BV242" s="0" t="n">
        <v>0</v>
      </c>
    </row>
    <row r="243" customFormat="false" ht="13.8" hidden="false" customHeight="false" outlineLevel="0" collapsed="false">
      <c r="A243" s="0" t="n">
        <v>2</v>
      </c>
      <c r="B243" s="0" t="n">
        <v>27.1841204654346</v>
      </c>
      <c r="C243" s="0" t="n">
        <v>0.361396303901437</v>
      </c>
      <c r="D243" s="0" t="n">
        <v>8</v>
      </c>
      <c r="E243" s="0" t="n">
        <v>59</v>
      </c>
      <c r="F243" s="0" t="n">
        <v>1.76</v>
      </c>
      <c r="G243" s="0" t="n">
        <v>19.0470041322314</v>
      </c>
      <c r="H243" s="0" t="n">
        <v>0</v>
      </c>
      <c r="I243" s="0" t="n">
        <v>0</v>
      </c>
      <c r="J243" s="19" t="n">
        <v>1</v>
      </c>
      <c r="K243" s="19" t="n">
        <v>2</v>
      </c>
      <c r="L243" s="19" t="n">
        <v>1</v>
      </c>
      <c r="M243" s="19" t="n">
        <v>0</v>
      </c>
      <c r="N243" s="19" t="n">
        <v>0</v>
      </c>
      <c r="O243" s="19" t="n">
        <v>0</v>
      </c>
      <c r="P243" s="19" t="n">
        <v>0</v>
      </c>
      <c r="Q243" s="19" t="n">
        <v>5</v>
      </c>
      <c r="R243" s="19" t="n">
        <v>0</v>
      </c>
      <c r="S243" s="19" t="n">
        <v>0</v>
      </c>
      <c r="T243" s="19" t="n">
        <v>7</v>
      </c>
      <c r="U243" s="15" t="n">
        <f aca="false">AVERAGE(M243:T243)</f>
        <v>1.5</v>
      </c>
      <c r="V243" s="19" t="n">
        <v>1</v>
      </c>
      <c r="W243" s="19" t="n">
        <v>1</v>
      </c>
      <c r="X243" s="19" t="n">
        <v>4</v>
      </c>
      <c r="Y243" s="19" t="n">
        <v>5</v>
      </c>
      <c r="Z243" s="19" t="n">
        <v>2</v>
      </c>
      <c r="AA243" s="19" t="n">
        <v>2</v>
      </c>
      <c r="AB243" s="19" t="n">
        <v>4</v>
      </c>
      <c r="AC243" s="19" t="n">
        <v>4</v>
      </c>
      <c r="AD243" s="19" t="n">
        <v>4</v>
      </c>
      <c r="AE243" s="19" t="n">
        <v>5</v>
      </c>
      <c r="AF243" s="19" t="n">
        <v>5</v>
      </c>
      <c r="AG243" s="19" t="n">
        <v>5</v>
      </c>
      <c r="AH243" s="19" t="n">
        <v>4</v>
      </c>
      <c r="AI243" s="19" t="n">
        <v>5</v>
      </c>
      <c r="AJ243" s="19" t="n">
        <v>5</v>
      </c>
      <c r="AK243" s="19" t="n">
        <v>5</v>
      </c>
      <c r="AL243" s="19" t="n">
        <v>5</v>
      </c>
      <c r="AM243" s="19" t="n">
        <v>5</v>
      </c>
      <c r="AN243" s="19" t="n">
        <v>1</v>
      </c>
      <c r="AO243" s="19" t="n">
        <v>10</v>
      </c>
      <c r="AP243" s="0" t="n">
        <v>19.5</v>
      </c>
      <c r="AQ243" s="16" t="n">
        <v>74.3</v>
      </c>
      <c r="AR243" s="16" t="n">
        <v>80.4</v>
      </c>
      <c r="AS243" s="16" t="n">
        <v>7.8</v>
      </c>
      <c r="AT243" s="0" t="n">
        <v>89.52</v>
      </c>
      <c r="AU243" s="0" t="n">
        <v>8.69</v>
      </c>
      <c r="AV243" s="0" t="n">
        <v>1.79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18.73</v>
      </c>
      <c r="BG243" s="0" t="n">
        <v>9.35</v>
      </c>
      <c r="BH243" s="0" t="n">
        <v>0</v>
      </c>
      <c r="BI243" s="0" t="n">
        <v>0</v>
      </c>
      <c r="BJ243" s="0" t="n">
        <v>0</v>
      </c>
      <c r="BK243" s="0"/>
      <c r="BL243" s="0" t="n">
        <v>3.92</v>
      </c>
      <c r="BM243" s="0" t="n">
        <v>1</v>
      </c>
      <c r="BN243" s="0" t="n">
        <v>1</v>
      </c>
      <c r="BO243" s="16" t="n">
        <v>2.24</v>
      </c>
      <c r="BP243" s="16" t="n">
        <v>1</v>
      </c>
      <c r="BQ243" s="16" t="n">
        <v>5.49</v>
      </c>
      <c r="BR243" s="16" t="n">
        <v>7.22</v>
      </c>
      <c r="BS243" s="16" t="n">
        <v>0</v>
      </c>
      <c r="BT243" s="16" t="n">
        <v>0</v>
      </c>
      <c r="BU243" s="16" t="n">
        <v>0</v>
      </c>
      <c r="BV243" s="0" t="n">
        <v>0</v>
      </c>
    </row>
    <row r="244" customFormat="false" ht="13.8" hidden="false" customHeight="false" outlineLevel="0" collapsed="false">
      <c r="A244" s="0" t="n">
        <v>2</v>
      </c>
      <c r="B244" s="0" t="n">
        <v>48.6981519507187</v>
      </c>
      <c r="C244" s="0" t="n">
        <v>21.8042436687201</v>
      </c>
      <c r="D244" s="0" t="n">
        <v>8</v>
      </c>
      <c r="E244" s="0" t="n">
        <v>80</v>
      </c>
      <c r="F244" s="0" t="n">
        <v>1.8</v>
      </c>
      <c r="G244" s="0" t="n">
        <v>24.6913580246914</v>
      </c>
      <c r="H244" s="0" t="n">
        <v>0</v>
      </c>
      <c r="I244" s="0" t="n">
        <v>0</v>
      </c>
      <c r="J244" s="19" t="n">
        <v>1</v>
      </c>
      <c r="K244" s="19" t="n">
        <v>0</v>
      </c>
      <c r="L244" s="19" t="n">
        <v>1</v>
      </c>
      <c r="M244" s="19" t="n">
        <v>0</v>
      </c>
      <c r="N244" s="19" t="n">
        <v>0</v>
      </c>
      <c r="O244" s="19" t="n">
        <v>0</v>
      </c>
      <c r="P244" s="19" t="n">
        <v>0</v>
      </c>
      <c r="Q244" s="19" t="n">
        <v>0</v>
      </c>
      <c r="R244" s="19" t="n">
        <v>0</v>
      </c>
      <c r="S244" s="19" t="n">
        <v>0</v>
      </c>
      <c r="T244" s="19" t="n">
        <v>10</v>
      </c>
      <c r="U244" s="15" t="n">
        <f aca="false">AVERAGE(M244:T244)</f>
        <v>1.25</v>
      </c>
      <c r="V244" s="19" t="n">
        <v>4</v>
      </c>
      <c r="W244" s="19" t="n">
        <v>4</v>
      </c>
      <c r="X244" s="19" t="n">
        <v>5</v>
      </c>
      <c r="Y244" s="19" t="n">
        <v>5</v>
      </c>
      <c r="Z244" s="19" t="n">
        <v>5</v>
      </c>
      <c r="AA244" s="19" t="n">
        <v>4</v>
      </c>
      <c r="AB244" s="19" t="n">
        <v>5</v>
      </c>
      <c r="AC244" s="19" t="n">
        <v>5</v>
      </c>
      <c r="AD244" s="19" t="n">
        <v>3</v>
      </c>
      <c r="AE244" s="19" t="n">
        <v>3</v>
      </c>
      <c r="AF244" s="19" t="n">
        <v>3</v>
      </c>
      <c r="AG244" s="19" t="n">
        <v>3</v>
      </c>
      <c r="AH244" s="19" t="n">
        <v>2</v>
      </c>
      <c r="AI244" s="19" t="n">
        <v>3</v>
      </c>
      <c r="AJ244" s="19" t="n">
        <v>4</v>
      </c>
      <c r="AK244" s="19" t="n">
        <v>4</v>
      </c>
      <c r="AL244" s="19" t="n">
        <v>2</v>
      </c>
      <c r="AM244" s="19" t="n">
        <v>3</v>
      </c>
      <c r="AN244" s="19" t="n">
        <v>3</v>
      </c>
      <c r="AO244" s="19" t="n">
        <v>10</v>
      </c>
      <c r="AP244" s="0" t="n">
        <v>19.5</v>
      </c>
      <c r="AQ244" s="16" t="n">
        <v>74.3</v>
      </c>
      <c r="AR244" s="16" t="n">
        <v>80.4</v>
      </c>
      <c r="AS244" s="16" t="n">
        <v>7.8</v>
      </c>
      <c r="AT244" s="0" t="n">
        <v>89.52</v>
      </c>
      <c r="AU244" s="0" t="n">
        <v>8.69</v>
      </c>
      <c r="AV244" s="0" t="n">
        <v>1.79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18.73</v>
      </c>
      <c r="BG244" s="0" t="n">
        <v>9.35</v>
      </c>
      <c r="BH244" s="0" t="n">
        <v>0</v>
      </c>
      <c r="BI244" s="0" t="n">
        <v>0</v>
      </c>
      <c r="BJ244" s="0" t="n">
        <v>0</v>
      </c>
      <c r="BK244" s="0"/>
      <c r="BL244" s="0" t="n">
        <v>3.92</v>
      </c>
      <c r="BM244" s="0" t="n">
        <v>1</v>
      </c>
      <c r="BN244" s="0" t="n">
        <v>1</v>
      </c>
      <c r="BO244" s="16" t="n">
        <v>2.24</v>
      </c>
      <c r="BP244" s="16" t="n">
        <v>1</v>
      </c>
      <c r="BQ244" s="16" t="n">
        <v>5.49</v>
      </c>
      <c r="BR244" s="16" t="n">
        <v>7.22</v>
      </c>
      <c r="BS244" s="16" t="n">
        <v>0</v>
      </c>
      <c r="BT244" s="16" t="n">
        <v>0</v>
      </c>
      <c r="BU244" s="16" t="n">
        <v>0</v>
      </c>
      <c r="BV244" s="0" t="n">
        <v>0</v>
      </c>
    </row>
    <row r="245" customFormat="false" ht="13.8" hidden="false" customHeight="false" outlineLevel="0" collapsed="false">
      <c r="A245" s="0" t="n">
        <v>1</v>
      </c>
      <c r="B245" s="0" t="n">
        <v>45.0239561943874</v>
      </c>
      <c r="C245" s="0" t="n">
        <v>0.268309377138946</v>
      </c>
      <c r="D245" s="0" t="n">
        <v>8</v>
      </c>
      <c r="E245" s="0" t="n">
        <v>72</v>
      </c>
      <c r="F245" s="0" t="n">
        <v>1.65</v>
      </c>
      <c r="G245" s="0" t="n">
        <v>26.4462809917355</v>
      </c>
      <c r="H245" s="0" t="n">
        <v>0</v>
      </c>
      <c r="I245" s="0" t="n">
        <v>0</v>
      </c>
      <c r="J245" s="19" t="n">
        <v>0</v>
      </c>
      <c r="K245" s="19" t="n">
        <v>0</v>
      </c>
      <c r="L245" s="19" t="n">
        <v>0</v>
      </c>
      <c r="M245" s="19" t="n">
        <v>0</v>
      </c>
      <c r="N245" s="19" t="n">
        <v>0</v>
      </c>
      <c r="O245" s="19" t="n">
        <v>0</v>
      </c>
      <c r="P245" s="19" t="n">
        <v>0</v>
      </c>
      <c r="Q245" s="19" t="n">
        <v>0</v>
      </c>
      <c r="R245" s="19" t="n">
        <v>0</v>
      </c>
      <c r="S245" s="19" t="n">
        <v>0</v>
      </c>
      <c r="T245" s="19" t="n">
        <v>0</v>
      </c>
      <c r="U245" s="15" t="n">
        <f aca="false">AVERAGE(M245:T245)</f>
        <v>0</v>
      </c>
      <c r="V245" s="19" t="n">
        <v>1</v>
      </c>
      <c r="W245" s="19" t="n">
        <v>1</v>
      </c>
      <c r="X245" s="19" t="n">
        <v>4</v>
      </c>
      <c r="Y245" s="19" t="n">
        <v>4</v>
      </c>
      <c r="Z245" s="19" t="n">
        <v>1</v>
      </c>
      <c r="AA245" s="19" t="n">
        <v>1</v>
      </c>
      <c r="AB245" s="19" t="n">
        <v>1</v>
      </c>
      <c r="AC245" s="19" t="n">
        <v>2</v>
      </c>
      <c r="AD245" s="19" t="n">
        <v>4</v>
      </c>
      <c r="AE245" s="19" t="n">
        <v>4</v>
      </c>
      <c r="AF245" s="19" t="n">
        <v>4</v>
      </c>
      <c r="AG245" s="19" t="n">
        <v>5</v>
      </c>
      <c r="AH245" s="19" t="n">
        <v>5</v>
      </c>
      <c r="AI245" s="19" t="n">
        <v>5</v>
      </c>
      <c r="AJ245" s="19" t="n">
        <v>5</v>
      </c>
      <c r="AK245" s="19" t="n">
        <v>5</v>
      </c>
      <c r="AL245" s="19" t="n">
        <v>5</v>
      </c>
      <c r="AM245" s="19" t="n">
        <v>5</v>
      </c>
      <c r="AN245" s="19" t="n">
        <v>5</v>
      </c>
      <c r="AO245" s="19" t="n">
        <v>10</v>
      </c>
      <c r="AP245" s="0" t="n">
        <v>19.5</v>
      </c>
      <c r="AQ245" s="16" t="n">
        <v>74.3</v>
      </c>
      <c r="AR245" s="16" t="n">
        <v>80.4</v>
      </c>
      <c r="AS245" s="16" t="n">
        <v>7.8</v>
      </c>
      <c r="AT245" s="0" t="n">
        <v>89.52</v>
      </c>
      <c r="AU245" s="0" t="n">
        <v>8.69</v>
      </c>
      <c r="AV245" s="0" t="n">
        <v>1.79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18.73</v>
      </c>
      <c r="BG245" s="0" t="n">
        <v>9.35</v>
      </c>
      <c r="BH245" s="0" t="n">
        <v>0</v>
      </c>
      <c r="BI245" s="0" t="n">
        <v>0</v>
      </c>
      <c r="BJ245" s="0" t="n">
        <v>0</v>
      </c>
      <c r="BK245" s="0"/>
      <c r="BL245" s="0" t="n">
        <v>3.92</v>
      </c>
      <c r="BM245" s="0" t="n">
        <v>1</v>
      </c>
      <c r="BN245" s="0" t="n">
        <v>1</v>
      </c>
      <c r="BO245" s="16" t="n">
        <v>2.24</v>
      </c>
      <c r="BP245" s="16" t="n">
        <v>1</v>
      </c>
      <c r="BQ245" s="16" t="n">
        <v>5.49</v>
      </c>
      <c r="BR245" s="16" t="n">
        <v>7.22</v>
      </c>
      <c r="BS245" s="16" t="n">
        <v>0</v>
      </c>
      <c r="BT245" s="16" t="n">
        <v>0</v>
      </c>
      <c r="BU245" s="16" t="n">
        <v>0</v>
      </c>
      <c r="BV245" s="0" t="n">
        <v>0</v>
      </c>
    </row>
    <row r="246" customFormat="false" ht="13.8" hidden="false" customHeight="false" outlineLevel="0" collapsed="false">
      <c r="A246" s="0" t="n">
        <v>2</v>
      </c>
      <c r="B246" s="0" t="n">
        <v>47.9315537303217</v>
      </c>
      <c r="C246" s="0" t="n">
        <v>21.7248459958932</v>
      </c>
      <c r="D246" s="0" t="n">
        <v>8</v>
      </c>
      <c r="E246" s="0" t="n">
        <v>62</v>
      </c>
      <c r="F246" s="0" t="n">
        <v>1.7</v>
      </c>
      <c r="G246" s="0" t="n">
        <v>21.4532871972318</v>
      </c>
      <c r="H246" s="0" t="n">
        <v>0</v>
      </c>
      <c r="I246" s="0" t="n">
        <v>0</v>
      </c>
      <c r="J246" s="19" t="n">
        <v>1</v>
      </c>
      <c r="K246" s="19" t="n">
        <v>0</v>
      </c>
      <c r="L246" s="19" t="n">
        <v>1</v>
      </c>
      <c r="M246" s="19" t="n">
        <v>4</v>
      </c>
      <c r="N246" s="19" t="n">
        <v>0</v>
      </c>
      <c r="O246" s="19" t="n">
        <v>0</v>
      </c>
      <c r="P246" s="19" t="n">
        <v>4</v>
      </c>
      <c r="Q246" s="19" t="n">
        <v>0</v>
      </c>
      <c r="R246" s="19" t="n">
        <v>0</v>
      </c>
      <c r="S246" s="19" t="n">
        <v>8</v>
      </c>
      <c r="T246" s="19" t="n">
        <v>8</v>
      </c>
      <c r="U246" s="15" t="n">
        <f aca="false">AVERAGE(M246:T246)</f>
        <v>3</v>
      </c>
      <c r="V246" s="19" t="n">
        <v>3</v>
      </c>
      <c r="W246" s="19" t="n">
        <v>3</v>
      </c>
      <c r="X246" s="19" t="n">
        <v>4</v>
      </c>
      <c r="Y246" s="19" t="n">
        <v>5</v>
      </c>
      <c r="Z246" s="19" t="n">
        <v>3</v>
      </c>
      <c r="AA246" s="19" t="n">
        <v>5</v>
      </c>
      <c r="AB246" s="19" t="n">
        <v>4</v>
      </c>
      <c r="AC246" s="19" t="n">
        <v>4</v>
      </c>
      <c r="AD246" s="19" t="n">
        <v>3</v>
      </c>
      <c r="AE246" s="19" t="n">
        <v>2</v>
      </c>
      <c r="AF246" s="19" t="n">
        <v>4</v>
      </c>
      <c r="AG246" s="19" t="n">
        <v>5</v>
      </c>
      <c r="AH246" s="19" t="n">
        <v>2</v>
      </c>
      <c r="AI246" s="19" t="n">
        <v>2</v>
      </c>
      <c r="AJ246" s="19" t="n">
        <v>3</v>
      </c>
      <c r="AK246" s="19" t="n">
        <v>4</v>
      </c>
      <c r="AL246" s="19" t="n">
        <v>2</v>
      </c>
      <c r="AM246" s="19" t="n">
        <v>3</v>
      </c>
      <c r="AN246" s="19" t="n">
        <v>2</v>
      </c>
      <c r="AO246" s="19" t="n">
        <v>4</v>
      </c>
      <c r="AP246" s="0" t="n">
        <v>21.5</v>
      </c>
      <c r="AQ246" s="16" t="n">
        <v>78.4</v>
      </c>
      <c r="AR246" s="16" t="n">
        <v>80.4</v>
      </c>
      <c r="AS246" s="16" t="n">
        <v>9.6</v>
      </c>
      <c r="AT246" s="0" t="n">
        <v>84.68</v>
      </c>
      <c r="AU246" s="0" t="n">
        <v>14.18</v>
      </c>
      <c r="AV246" s="0" t="n">
        <v>1.12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9.51</v>
      </c>
      <c r="BG246" s="0" t="n">
        <v>25.42</v>
      </c>
      <c r="BH246" s="0" t="n">
        <v>0</v>
      </c>
      <c r="BI246" s="0" t="n">
        <v>0</v>
      </c>
      <c r="BJ246" s="0" t="n">
        <v>0</v>
      </c>
      <c r="BK246" s="0" t="n">
        <v>2</v>
      </c>
      <c r="BL246" s="0" t="n">
        <v>3.2</v>
      </c>
      <c r="BM246" s="0" t="n">
        <v>1</v>
      </c>
      <c r="BN246" s="0" t="n">
        <v>0</v>
      </c>
      <c r="BO246" s="16" t="n">
        <v>0.36</v>
      </c>
      <c r="BP246" s="16" t="n">
        <v>1</v>
      </c>
      <c r="BQ246" s="16" t="n">
        <v>8.32</v>
      </c>
      <c r="BR246" s="16" t="n">
        <v>8.31</v>
      </c>
      <c r="BS246" s="16" t="n">
        <v>0</v>
      </c>
      <c r="BT246" s="16" t="n">
        <v>0</v>
      </c>
      <c r="BU246" s="16" t="n">
        <v>0</v>
      </c>
      <c r="BV246" s="0" t="n">
        <v>0</v>
      </c>
    </row>
    <row r="247" customFormat="false" ht="13.8" hidden="false" customHeight="false" outlineLevel="0" collapsed="false">
      <c r="A247" s="0" t="n">
        <v>2</v>
      </c>
      <c r="B247" s="0" t="n">
        <v>27.1676933607118</v>
      </c>
      <c r="C247" s="0" t="n">
        <v>6.0643394934976</v>
      </c>
      <c r="D247" s="0" t="n">
        <v>8</v>
      </c>
      <c r="E247" s="0" t="n">
        <v>80</v>
      </c>
      <c r="F247" s="0" t="n">
        <v>1.68</v>
      </c>
      <c r="G247" s="0" t="n">
        <v>28.3446712018141</v>
      </c>
      <c r="H247" s="0" t="n">
        <v>0</v>
      </c>
      <c r="I247" s="0" t="n">
        <v>0</v>
      </c>
      <c r="J247" s="19" t="n">
        <v>0</v>
      </c>
      <c r="K247" s="19" t="n">
        <v>0</v>
      </c>
      <c r="L247" s="19" t="n">
        <v>0</v>
      </c>
      <c r="M247" s="19" t="n">
        <v>0</v>
      </c>
      <c r="N247" s="19" t="n">
        <v>0</v>
      </c>
      <c r="O247" s="19" t="n">
        <v>0</v>
      </c>
      <c r="P247" s="19" t="n">
        <v>0</v>
      </c>
      <c r="Q247" s="19" t="n">
        <v>0</v>
      </c>
      <c r="R247" s="19" t="n">
        <v>0</v>
      </c>
      <c r="S247" s="19" t="n">
        <v>0</v>
      </c>
      <c r="T247" s="19" t="n">
        <v>0</v>
      </c>
      <c r="U247" s="15" t="n">
        <f aca="false">AVERAGE(M247:T247)</f>
        <v>0</v>
      </c>
      <c r="V247" s="19" t="n">
        <v>3</v>
      </c>
      <c r="W247" s="19" t="n">
        <v>3</v>
      </c>
      <c r="X247" s="19" t="n">
        <v>2</v>
      </c>
      <c r="Y247" s="19" t="n">
        <v>2</v>
      </c>
      <c r="Z247" s="19" t="n">
        <v>1</v>
      </c>
      <c r="AA247" s="19" t="n">
        <v>1</v>
      </c>
      <c r="AB247" s="19" t="n">
        <v>1</v>
      </c>
      <c r="AC247" s="19" t="n">
        <v>2</v>
      </c>
      <c r="AD247" s="19" t="n">
        <v>1</v>
      </c>
      <c r="AE247" s="19" t="n">
        <v>2</v>
      </c>
      <c r="AF247" s="19" t="n">
        <v>3</v>
      </c>
      <c r="AG247" s="19" t="n">
        <v>4</v>
      </c>
      <c r="AH247" s="19" t="n">
        <v>1</v>
      </c>
      <c r="AI247" s="19" t="n">
        <v>3</v>
      </c>
      <c r="AJ247" s="19" t="n">
        <v>4</v>
      </c>
      <c r="AK247" s="19" t="n">
        <v>3</v>
      </c>
      <c r="AL247" s="19" t="n">
        <v>3</v>
      </c>
      <c r="AM247" s="19" t="n">
        <v>3</v>
      </c>
      <c r="AN247" s="19" t="n">
        <v>3</v>
      </c>
      <c r="AO247" s="19" t="n">
        <v>10</v>
      </c>
      <c r="AP247" s="0" t="n">
        <v>21.5</v>
      </c>
      <c r="AQ247" s="16" t="n">
        <v>78.4</v>
      </c>
      <c r="AR247" s="16" t="n">
        <v>80.4</v>
      </c>
      <c r="AS247" s="16" t="n">
        <v>9.6</v>
      </c>
      <c r="AT247" s="0" t="n">
        <v>84.68</v>
      </c>
      <c r="AU247" s="0" t="n">
        <v>14.18</v>
      </c>
      <c r="AV247" s="0" t="n">
        <v>1.12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9.51</v>
      </c>
      <c r="BG247" s="0" t="n">
        <v>25.42</v>
      </c>
      <c r="BH247" s="0" t="n">
        <v>0</v>
      </c>
      <c r="BI247" s="0" t="n">
        <v>0</v>
      </c>
      <c r="BJ247" s="0" t="n">
        <v>0</v>
      </c>
      <c r="BK247" s="0" t="n">
        <v>2</v>
      </c>
      <c r="BL247" s="0" t="n">
        <v>3.2</v>
      </c>
      <c r="BM247" s="0" t="n">
        <v>1</v>
      </c>
      <c r="BN247" s="0" t="n">
        <v>0</v>
      </c>
      <c r="BO247" s="16" t="n">
        <v>0.36</v>
      </c>
      <c r="BP247" s="16" t="n">
        <v>1</v>
      </c>
      <c r="BQ247" s="16" t="n">
        <v>8.32</v>
      </c>
      <c r="BR247" s="16" t="n">
        <v>8.31</v>
      </c>
      <c r="BS247" s="16" t="n">
        <v>0</v>
      </c>
      <c r="BT247" s="16" t="n">
        <v>0</v>
      </c>
      <c r="BU247" s="16" t="n">
        <v>0</v>
      </c>
      <c r="BV247" s="0" t="n">
        <v>0</v>
      </c>
    </row>
    <row r="248" customFormat="false" ht="13.8" hidden="false" customHeight="false" outlineLevel="0" collapsed="false">
      <c r="A248" s="0" t="n">
        <v>2</v>
      </c>
      <c r="B248" s="0" t="n">
        <v>48.4462696783025</v>
      </c>
      <c r="C248" s="0" t="n">
        <v>22.1054072553046</v>
      </c>
      <c r="D248" s="0" t="n">
        <v>8</v>
      </c>
      <c r="E248" s="0" t="n">
        <v>92</v>
      </c>
      <c r="F248" s="0" t="n">
        <v>1.83</v>
      </c>
      <c r="G248" s="0" t="n">
        <v>27.4717071277136</v>
      </c>
      <c r="H248" s="0" t="n">
        <v>0</v>
      </c>
      <c r="I248" s="0" t="n">
        <v>0</v>
      </c>
      <c r="J248" s="19" t="n">
        <v>0</v>
      </c>
      <c r="K248" s="19" t="n">
        <v>2</v>
      </c>
      <c r="L248" s="19" t="n">
        <v>0</v>
      </c>
      <c r="M248" s="19" t="n">
        <v>0</v>
      </c>
      <c r="N248" s="19" t="n">
        <v>0</v>
      </c>
      <c r="O248" s="19" t="n">
        <v>0</v>
      </c>
      <c r="P248" s="19" t="n">
        <v>0</v>
      </c>
      <c r="Q248" s="19" t="n">
        <v>0</v>
      </c>
      <c r="R248" s="19" t="n">
        <v>0</v>
      </c>
      <c r="S248" s="19" t="n">
        <v>0</v>
      </c>
      <c r="T248" s="19" t="n">
        <v>0</v>
      </c>
      <c r="U248" s="15" t="n">
        <f aca="false">AVERAGE(M248:T248)</f>
        <v>0</v>
      </c>
      <c r="V248" s="19" t="n">
        <v>3</v>
      </c>
      <c r="W248" s="19" t="n">
        <v>3</v>
      </c>
      <c r="X248" s="19" t="n">
        <v>5</v>
      </c>
      <c r="Y248" s="19" t="n">
        <v>5</v>
      </c>
      <c r="Z248" s="19" t="n">
        <v>3</v>
      </c>
      <c r="AA248" s="19" t="n">
        <v>5</v>
      </c>
      <c r="AB248" s="19" t="n">
        <v>5</v>
      </c>
      <c r="AC248" s="19" t="n">
        <v>4</v>
      </c>
      <c r="AD248" s="19" t="n">
        <v>3</v>
      </c>
      <c r="AE248" s="19" t="n">
        <v>2</v>
      </c>
      <c r="AF248" s="19" t="n">
        <v>5</v>
      </c>
      <c r="AG248" s="19" t="n">
        <v>5</v>
      </c>
      <c r="AH248" s="19" t="n">
        <v>3</v>
      </c>
      <c r="AI248" s="19" t="n">
        <v>3</v>
      </c>
      <c r="AJ248" s="19" t="n">
        <v>4</v>
      </c>
      <c r="AK248" s="19" t="n">
        <v>5</v>
      </c>
      <c r="AL248" s="19" t="n">
        <v>2</v>
      </c>
      <c r="AM248" s="19" t="n">
        <v>5</v>
      </c>
      <c r="AN248" s="19" t="n">
        <v>4</v>
      </c>
      <c r="AO248" s="19" t="n">
        <v>9</v>
      </c>
      <c r="AP248" s="0" t="n">
        <v>21.5</v>
      </c>
      <c r="AQ248" s="16" t="n">
        <v>78.4</v>
      </c>
      <c r="AR248" s="16" t="n">
        <v>80.4</v>
      </c>
      <c r="AS248" s="16" t="n">
        <v>9.6</v>
      </c>
      <c r="AT248" s="0" t="n">
        <v>84.68</v>
      </c>
      <c r="AU248" s="0" t="n">
        <v>14.18</v>
      </c>
      <c r="AV248" s="0" t="n">
        <v>1.12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9.51</v>
      </c>
      <c r="BG248" s="0" t="n">
        <v>25.42</v>
      </c>
      <c r="BH248" s="0" t="n">
        <v>0</v>
      </c>
      <c r="BI248" s="0" t="n">
        <v>0</v>
      </c>
      <c r="BJ248" s="0" t="n">
        <v>0</v>
      </c>
      <c r="BK248" s="0" t="n">
        <v>2</v>
      </c>
      <c r="BL248" s="0" t="n">
        <v>3.2</v>
      </c>
      <c r="BM248" s="0" t="n">
        <v>1</v>
      </c>
      <c r="BN248" s="0" t="n">
        <v>0</v>
      </c>
      <c r="BO248" s="16" t="n">
        <v>0.36</v>
      </c>
      <c r="BP248" s="16" t="n">
        <v>1</v>
      </c>
      <c r="BQ248" s="16" t="n">
        <v>8.32</v>
      </c>
      <c r="BR248" s="16" t="n">
        <v>8.31</v>
      </c>
      <c r="BS248" s="16" t="n">
        <v>0</v>
      </c>
      <c r="BT248" s="16" t="n">
        <v>0</v>
      </c>
      <c r="BU248" s="16" t="n">
        <v>0</v>
      </c>
      <c r="BV248" s="0" t="n">
        <v>0</v>
      </c>
    </row>
    <row r="249" customFormat="false" ht="13.8" hidden="false" customHeight="false" outlineLevel="0" collapsed="false">
      <c r="A249" s="0" t="n">
        <v>1</v>
      </c>
      <c r="B249" s="0" t="n">
        <v>24.6187542778919</v>
      </c>
      <c r="C249" s="0" t="n">
        <v>0.268309377138946</v>
      </c>
      <c r="D249" s="0" t="n">
        <v>8</v>
      </c>
      <c r="E249" s="0" t="n">
        <v>50</v>
      </c>
      <c r="F249" s="0" t="n">
        <v>1.58</v>
      </c>
      <c r="G249" s="0" t="n">
        <v>20.0288415318058</v>
      </c>
      <c r="H249" s="0" t="n">
        <v>0</v>
      </c>
      <c r="I249" s="0" t="n">
        <v>0</v>
      </c>
      <c r="J249" s="19" t="n">
        <v>1</v>
      </c>
      <c r="K249" s="19" t="n">
        <v>0</v>
      </c>
      <c r="L249" s="19" t="n">
        <v>1</v>
      </c>
      <c r="M249" s="19" t="n">
        <v>0</v>
      </c>
      <c r="N249" s="19" t="n">
        <v>0</v>
      </c>
      <c r="O249" s="19" t="n">
        <v>0</v>
      </c>
      <c r="P249" s="19" t="n">
        <v>0</v>
      </c>
      <c r="Q249" s="19" t="n">
        <v>0</v>
      </c>
      <c r="R249" s="19" t="n">
        <v>0</v>
      </c>
      <c r="S249" s="19" t="n">
        <v>0</v>
      </c>
      <c r="T249" s="19" t="n">
        <v>0</v>
      </c>
      <c r="U249" s="15" t="n">
        <f aca="false">AVERAGE(M249:T249)</f>
        <v>0</v>
      </c>
      <c r="V249" s="19" t="n">
        <v>1</v>
      </c>
      <c r="W249" s="19" t="n">
        <v>3</v>
      </c>
      <c r="X249" s="19" t="n">
        <v>4</v>
      </c>
      <c r="Y249" s="19" t="n">
        <v>5</v>
      </c>
      <c r="Z249" s="19" t="n">
        <v>3</v>
      </c>
      <c r="AA249" s="19" t="n">
        <v>2</v>
      </c>
      <c r="AB249" s="19" t="n">
        <v>2</v>
      </c>
      <c r="AC249" s="19" t="n">
        <v>5</v>
      </c>
      <c r="AD249" s="19" t="n">
        <v>5</v>
      </c>
      <c r="AE249" s="19" t="n">
        <v>5</v>
      </c>
      <c r="AF249" s="19" t="n">
        <v>5</v>
      </c>
      <c r="AG249" s="19" t="n">
        <v>5</v>
      </c>
      <c r="AH249" s="19" t="n">
        <v>4</v>
      </c>
      <c r="AI249" s="19" t="n">
        <v>5</v>
      </c>
      <c r="AJ249" s="19" t="n">
        <v>5</v>
      </c>
      <c r="AK249" s="19" t="n">
        <v>5</v>
      </c>
      <c r="AL249" s="19" t="n">
        <v>5</v>
      </c>
      <c r="AM249" s="19" t="n">
        <v>5</v>
      </c>
      <c r="AN249" s="19" t="n">
        <v>5</v>
      </c>
      <c r="AO249" s="19" t="n">
        <v>10</v>
      </c>
      <c r="AP249" s="0" t="n">
        <v>21.5</v>
      </c>
      <c r="AQ249" s="16" t="n">
        <v>78.4</v>
      </c>
      <c r="AR249" s="16" t="n">
        <v>80.4</v>
      </c>
      <c r="AS249" s="16" t="n">
        <v>9.6</v>
      </c>
      <c r="AT249" s="0" t="n">
        <v>84.68</v>
      </c>
      <c r="AU249" s="0" t="n">
        <v>14.18</v>
      </c>
      <c r="AV249" s="0" t="n">
        <v>1.12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9.51</v>
      </c>
      <c r="BG249" s="0" t="n">
        <v>25.42</v>
      </c>
      <c r="BH249" s="0" t="n">
        <v>0</v>
      </c>
      <c r="BI249" s="0" t="n">
        <v>0</v>
      </c>
      <c r="BJ249" s="0" t="n">
        <v>0</v>
      </c>
      <c r="BK249" s="0" t="n">
        <v>2</v>
      </c>
      <c r="BL249" s="0" t="n">
        <v>3.2</v>
      </c>
      <c r="BM249" s="0" t="n">
        <v>1</v>
      </c>
      <c r="BN249" s="0" t="n">
        <v>0</v>
      </c>
      <c r="BO249" s="16" t="n">
        <v>0.36</v>
      </c>
      <c r="BP249" s="16" t="n">
        <v>1</v>
      </c>
      <c r="BQ249" s="16" t="n">
        <v>8.32</v>
      </c>
      <c r="BR249" s="16" t="n">
        <v>8.31</v>
      </c>
      <c r="BS249" s="16" t="n">
        <v>0</v>
      </c>
      <c r="BT249" s="16" t="n">
        <v>0</v>
      </c>
      <c r="BU249" s="16" t="n">
        <v>0</v>
      </c>
      <c r="BV249" s="0" t="n">
        <v>0</v>
      </c>
    </row>
    <row r="250" customFormat="false" ht="13.8" hidden="false" customHeight="false" outlineLevel="0" collapsed="false">
      <c r="A250" s="0" t="n">
        <v>2</v>
      </c>
      <c r="B250" s="0" t="n">
        <v>33.7987679671458</v>
      </c>
      <c r="C250" s="0" t="n">
        <v>0.279260780287474</v>
      </c>
      <c r="D250" s="0" t="n">
        <v>8</v>
      </c>
      <c r="E250" s="0" t="n">
        <v>64</v>
      </c>
      <c r="F250" s="0" t="n">
        <v>1.7</v>
      </c>
      <c r="G250" s="0" t="n">
        <v>22.1453287197232</v>
      </c>
      <c r="H250" s="0" t="n">
        <v>0</v>
      </c>
      <c r="I250" s="0" t="n">
        <v>0</v>
      </c>
      <c r="J250" s="19" t="n">
        <v>0</v>
      </c>
      <c r="K250" s="19" t="n">
        <v>0</v>
      </c>
      <c r="L250" s="19" t="n">
        <v>1</v>
      </c>
      <c r="M250" s="19" t="n">
        <v>0</v>
      </c>
      <c r="N250" s="19" t="n">
        <v>0</v>
      </c>
      <c r="O250" s="19" t="n">
        <v>0</v>
      </c>
      <c r="P250" s="19" t="n">
        <v>0</v>
      </c>
      <c r="Q250" s="19" t="n">
        <v>0</v>
      </c>
      <c r="R250" s="19" t="n">
        <v>0</v>
      </c>
      <c r="S250" s="19" t="n">
        <v>0</v>
      </c>
      <c r="T250" s="19" t="n">
        <v>0</v>
      </c>
      <c r="U250" s="15" t="n">
        <f aca="false">AVERAGE(M250:T250)</f>
        <v>0</v>
      </c>
      <c r="V250" s="19" t="n">
        <v>2</v>
      </c>
      <c r="W250" s="19" t="n">
        <v>2</v>
      </c>
      <c r="X250" s="19" t="n">
        <v>5</v>
      </c>
      <c r="Y250" s="19" t="n">
        <v>5</v>
      </c>
      <c r="Z250" s="19" t="n">
        <v>2</v>
      </c>
      <c r="AA250" s="19" t="n">
        <v>2</v>
      </c>
      <c r="AB250" s="19" t="n">
        <v>3</v>
      </c>
      <c r="AC250" s="19" t="n">
        <v>3</v>
      </c>
      <c r="AD250" s="19" t="n">
        <v>4</v>
      </c>
      <c r="AE250" s="19" t="n">
        <v>3</v>
      </c>
      <c r="AF250" s="19" t="n">
        <v>5</v>
      </c>
      <c r="AG250" s="19" t="n">
        <v>5</v>
      </c>
      <c r="AH250" s="19" t="n">
        <v>5</v>
      </c>
      <c r="AI250" s="19" t="n">
        <v>5</v>
      </c>
      <c r="AJ250" s="19" t="n">
        <v>5</v>
      </c>
      <c r="AK250" s="19" t="n">
        <v>5</v>
      </c>
      <c r="AL250" s="19" t="n">
        <v>5</v>
      </c>
      <c r="AM250" s="19" t="n">
        <v>5</v>
      </c>
      <c r="AN250" s="19" t="n">
        <v>5</v>
      </c>
      <c r="AO250" s="19" t="n">
        <v>10</v>
      </c>
      <c r="AP250" s="0" t="n">
        <v>21.5</v>
      </c>
      <c r="AQ250" s="16" t="n">
        <v>78.4</v>
      </c>
      <c r="AR250" s="16" t="n">
        <v>80.4</v>
      </c>
      <c r="AS250" s="16" t="n">
        <v>9.6</v>
      </c>
      <c r="AT250" s="0" t="n">
        <v>84.68</v>
      </c>
      <c r="AU250" s="0" t="n">
        <v>14.18</v>
      </c>
      <c r="AV250" s="0" t="n">
        <v>1.12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9.51</v>
      </c>
      <c r="BG250" s="0" t="n">
        <v>25.42</v>
      </c>
      <c r="BH250" s="0" t="n">
        <v>0</v>
      </c>
      <c r="BI250" s="0" t="n">
        <v>0</v>
      </c>
      <c r="BJ250" s="0" t="n">
        <v>0</v>
      </c>
      <c r="BK250" s="0" t="n">
        <v>2</v>
      </c>
      <c r="BL250" s="0" t="n">
        <v>3.2</v>
      </c>
      <c r="BM250" s="0" t="n">
        <v>1</v>
      </c>
      <c r="BN250" s="0" t="n">
        <v>0</v>
      </c>
      <c r="BO250" s="16" t="n">
        <v>0.36</v>
      </c>
      <c r="BP250" s="16" t="n">
        <v>1</v>
      </c>
      <c r="BQ250" s="16" t="n">
        <v>8.32</v>
      </c>
      <c r="BR250" s="16" t="n">
        <v>8.31</v>
      </c>
      <c r="BS250" s="16" t="n">
        <v>0</v>
      </c>
      <c r="BT250" s="16" t="n">
        <v>0</v>
      </c>
      <c r="BU250" s="16" t="n">
        <v>0</v>
      </c>
      <c r="BV250" s="0" t="n">
        <v>0</v>
      </c>
    </row>
    <row r="251" customFormat="false" ht="13.8" hidden="false" customHeight="false" outlineLevel="0" collapsed="false">
      <c r="A251" s="0" t="n">
        <v>2</v>
      </c>
      <c r="B251" s="0" t="n">
        <v>42.6721423682409</v>
      </c>
      <c r="C251" s="0" t="n">
        <v>20.3778234086242</v>
      </c>
      <c r="D251" s="0" t="n">
        <v>8</v>
      </c>
      <c r="E251" s="0" t="n">
        <v>102</v>
      </c>
      <c r="F251" s="0" t="n">
        <v>1.79</v>
      </c>
      <c r="G251" s="0" t="n">
        <v>31.8342124153428</v>
      </c>
      <c r="H251" s="0" t="n">
        <v>0</v>
      </c>
      <c r="I251" s="0" t="n">
        <v>0</v>
      </c>
      <c r="J251" s="19"/>
      <c r="K251" s="19" t="n">
        <v>0</v>
      </c>
      <c r="L251" s="19" t="n">
        <v>0</v>
      </c>
      <c r="M251" s="19" t="n">
        <v>0</v>
      </c>
      <c r="N251" s="19" t="n">
        <v>0</v>
      </c>
      <c r="O251" s="19" t="n">
        <v>0</v>
      </c>
      <c r="P251" s="19" t="n">
        <v>0</v>
      </c>
      <c r="Q251" s="19" t="n">
        <v>0</v>
      </c>
      <c r="R251" s="19" t="n">
        <v>0</v>
      </c>
      <c r="S251" s="19" t="n">
        <v>0</v>
      </c>
      <c r="T251" s="19" t="n">
        <v>0</v>
      </c>
      <c r="U251" s="15" t="n">
        <f aca="false">AVERAGE(M251:T251)</f>
        <v>0</v>
      </c>
      <c r="V251" s="19" t="n">
        <v>3</v>
      </c>
      <c r="W251" s="19" t="n">
        <v>2</v>
      </c>
      <c r="X251" s="19" t="n">
        <v>3</v>
      </c>
      <c r="Y251" s="19" t="n">
        <v>4</v>
      </c>
      <c r="Z251" s="19" t="n">
        <v>3</v>
      </c>
      <c r="AA251" s="19" t="n">
        <v>3</v>
      </c>
      <c r="AB251" s="19" t="n">
        <v>3</v>
      </c>
      <c r="AC251" s="19" t="n">
        <v>3</v>
      </c>
      <c r="AD251" s="19" t="n">
        <v>3</v>
      </c>
      <c r="AE251" s="19" t="n">
        <v>3</v>
      </c>
      <c r="AF251" s="19" t="n">
        <v>3</v>
      </c>
      <c r="AG251" s="19" t="n">
        <v>4</v>
      </c>
      <c r="AH251" s="19" t="n">
        <v>3</v>
      </c>
      <c r="AI251" s="19" t="n">
        <v>3</v>
      </c>
      <c r="AJ251" s="19" t="n">
        <v>3</v>
      </c>
      <c r="AK251" s="19" t="n">
        <v>4</v>
      </c>
      <c r="AL251" s="19" t="n">
        <v>3</v>
      </c>
      <c r="AM251" s="19" t="n">
        <v>3</v>
      </c>
      <c r="AN251" s="19" t="n">
        <v>3</v>
      </c>
      <c r="AO251" s="19" t="n">
        <v>9</v>
      </c>
      <c r="AP251" s="0" t="n">
        <v>33.5</v>
      </c>
      <c r="AQ251" s="16" t="n">
        <v>91.5</v>
      </c>
      <c r="AR251" s="16" t="n">
        <v>80.4</v>
      </c>
      <c r="AS251" s="16" t="n">
        <v>20</v>
      </c>
      <c r="AT251" s="0" t="n">
        <v>84.58</v>
      </c>
      <c r="AU251" s="17" t="n">
        <v>0</v>
      </c>
      <c r="AV251" s="0" t="n">
        <v>15.42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13.79</v>
      </c>
      <c r="BG251" s="0" t="n">
        <v>2.67</v>
      </c>
      <c r="BH251" s="0" t="n">
        <v>11.54</v>
      </c>
      <c r="BI251" s="0" t="n">
        <v>0</v>
      </c>
      <c r="BJ251" s="0" t="n">
        <v>12.3</v>
      </c>
      <c r="BK251" s="0" t="n">
        <v>2</v>
      </c>
      <c r="BL251" s="0" t="n">
        <v>0</v>
      </c>
      <c r="BM251" s="0" t="n">
        <v>1</v>
      </c>
      <c r="BN251" s="0" t="n">
        <v>0</v>
      </c>
      <c r="BO251" s="16" t="n">
        <v>0.25</v>
      </c>
      <c r="BP251" s="16" t="n">
        <v>1</v>
      </c>
      <c r="BQ251" s="16" t="n">
        <v>0.55</v>
      </c>
      <c r="BR251" s="16" t="n">
        <v>0.55</v>
      </c>
      <c r="BS251" s="16" t="n">
        <v>0</v>
      </c>
      <c r="BT251" s="16" t="n">
        <v>0</v>
      </c>
      <c r="BU251" s="16" t="n">
        <v>0</v>
      </c>
      <c r="BV251" s="0" t="n">
        <v>0</v>
      </c>
    </row>
    <row r="252" customFormat="false" ht="13.8" hidden="false" customHeight="false" outlineLevel="0" collapsed="false">
      <c r="A252" s="0" t="n">
        <v>2</v>
      </c>
      <c r="B252" s="0" t="n">
        <v>43.0362765229295</v>
      </c>
      <c r="C252" s="0" t="n">
        <v>21.6290212183436</v>
      </c>
      <c r="D252" s="0" t="n">
        <v>8</v>
      </c>
      <c r="E252" s="0" t="n">
        <v>80</v>
      </c>
      <c r="F252" s="0" t="n">
        <v>1.6</v>
      </c>
      <c r="G252" s="0" t="n">
        <v>31.25</v>
      </c>
      <c r="H252" s="0" t="n">
        <v>0</v>
      </c>
      <c r="I252" s="0" t="n">
        <v>0</v>
      </c>
      <c r="J252" s="19" t="n">
        <v>1</v>
      </c>
      <c r="K252" s="19" t="n">
        <v>0</v>
      </c>
      <c r="L252" s="19" t="n">
        <v>1</v>
      </c>
      <c r="M252" s="19" t="n">
        <v>0</v>
      </c>
      <c r="N252" s="19" t="n">
        <v>5</v>
      </c>
      <c r="O252" s="19" t="n">
        <v>0</v>
      </c>
      <c r="P252" s="19" t="n">
        <v>0</v>
      </c>
      <c r="Q252" s="19" t="n">
        <v>0</v>
      </c>
      <c r="R252" s="19" t="n">
        <v>0</v>
      </c>
      <c r="S252" s="19" t="n">
        <v>0</v>
      </c>
      <c r="T252" s="19" t="n">
        <v>0</v>
      </c>
      <c r="U252" s="15" t="n">
        <f aca="false">AVERAGE(M252:T252)</f>
        <v>0.625</v>
      </c>
      <c r="V252" s="19" t="n">
        <v>4</v>
      </c>
      <c r="W252" s="19" t="n">
        <v>3</v>
      </c>
      <c r="X252" s="19" t="n">
        <v>4</v>
      </c>
      <c r="Y252" s="19" t="n">
        <v>5</v>
      </c>
      <c r="Z252" s="19" t="n">
        <v>2</v>
      </c>
      <c r="AA252" s="19" t="n">
        <v>2</v>
      </c>
      <c r="AB252" s="19" t="n">
        <v>4</v>
      </c>
      <c r="AC252" s="19" t="n">
        <v>5</v>
      </c>
      <c r="AD252" s="19" t="n">
        <v>5</v>
      </c>
      <c r="AE252" s="19" t="n">
        <v>3</v>
      </c>
      <c r="AF252" s="19" t="n">
        <v>3</v>
      </c>
      <c r="AG252" s="19" t="n">
        <v>5</v>
      </c>
      <c r="AH252" s="19" t="n">
        <v>3</v>
      </c>
      <c r="AI252" s="19" t="n">
        <v>3</v>
      </c>
      <c r="AJ252" s="19" t="n">
        <v>3</v>
      </c>
      <c r="AK252" s="19" t="n">
        <v>4</v>
      </c>
      <c r="AL252" s="19" t="n">
        <v>4</v>
      </c>
      <c r="AM252" s="19" t="n">
        <v>4</v>
      </c>
      <c r="AN252" s="19" t="n">
        <v>3</v>
      </c>
      <c r="AO252" s="19" t="n">
        <v>10</v>
      </c>
      <c r="AP252" s="0" t="n">
        <v>33.5</v>
      </c>
      <c r="AQ252" s="16" t="n">
        <v>91.5</v>
      </c>
      <c r="AR252" s="16" t="n">
        <v>80.4</v>
      </c>
      <c r="AS252" s="16" t="n">
        <v>20</v>
      </c>
      <c r="AT252" s="0" t="n">
        <v>84.58</v>
      </c>
      <c r="AU252" s="17" t="n">
        <v>0</v>
      </c>
      <c r="AV252" s="0" t="n">
        <v>15.42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13.79</v>
      </c>
      <c r="BG252" s="0" t="n">
        <v>2.67</v>
      </c>
      <c r="BH252" s="0" t="n">
        <v>11.54</v>
      </c>
      <c r="BI252" s="0" t="n">
        <v>0</v>
      </c>
      <c r="BJ252" s="0" t="n">
        <v>12.3</v>
      </c>
      <c r="BK252" s="0" t="n">
        <v>2</v>
      </c>
      <c r="BL252" s="0" t="n">
        <v>0</v>
      </c>
      <c r="BM252" s="0" t="n">
        <v>1</v>
      </c>
      <c r="BN252" s="0" t="n">
        <v>0</v>
      </c>
      <c r="BO252" s="16" t="n">
        <v>0.25</v>
      </c>
      <c r="BP252" s="16" t="n">
        <v>1</v>
      </c>
      <c r="BQ252" s="16" t="n">
        <v>0.55</v>
      </c>
      <c r="BR252" s="16" t="n">
        <v>0.55</v>
      </c>
      <c r="BS252" s="16" t="n">
        <v>0</v>
      </c>
      <c r="BT252" s="16" t="n">
        <v>0</v>
      </c>
      <c r="BU252" s="16" t="n">
        <v>0</v>
      </c>
      <c r="BV252" s="0" t="n">
        <v>0</v>
      </c>
    </row>
    <row r="253" customFormat="false" ht="13.8" hidden="false" customHeight="false" outlineLevel="0" collapsed="false">
      <c r="A253" s="24" t="n">
        <v>2</v>
      </c>
      <c r="B253" s="0" t="n">
        <v>42.9815195071869</v>
      </c>
      <c r="C253" s="0" t="n">
        <v>14.4175222450376</v>
      </c>
      <c r="D253" s="0" t="n">
        <v>4</v>
      </c>
      <c r="E253" s="0" t="n">
        <v>80</v>
      </c>
      <c r="F253" s="0" t="n">
        <v>1.75</v>
      </c>
      <c r="G253" s="0" t="n">
        <v>26.1224489795918</v>
      </c>
      <c r="H253" s="0" t="n">
        <v>0</v>
      </c>
      <c r="I253" s="0" t="n">
        <v>0</v>
      </c>
      <c r="J253" s="26"/>
      <c r="K253" s="26" t="n">
        <v>0</v>
      </c>
      <c r="L253" s="26" t="n">
        <v>1</v>
      </c>
      <c r="M253" s="26" t="n">
        <v>0</v>
      </c>
      <c r="N253" s="26" t="n">
        <v>0</v>
      </c>
      <c r="O253" s="26" t="n">
        <v>0</v>
      </c>
      <c r="P253" s="26" t="n">
        <v>0</v>
      </c>
      <c r="Q253" s="26" t="n">
        <v>0</v>
      </c>
      <c r="R253" s="26" t="n">
        <v>0</v>
      </c>
      <c r="S253" s="26" t="n">
        <v>0</v>
      </c>
      <c r="T253" s="26" t="n">
        <v>0</v>
      </c>
      <c r="U253" s="15" t="n">
        <f aca="false">AVERAGE(M253:T253)</f>
        <v>0</v>
      </c>
      <c r="V253" s="26"/>
      <c r="W253" s="26" t="n">
        <v>3</v>
      </c>
      <c r="X253" s="26" t="n">
        <v>5</v>
      </c>
      <c r="Y253" s="26" t="n">
        <v>5</v>
      </c>
      <c r="Z253" s="26" t="n">
        <v>3</v>
      </c>
      <c r="AA253" s="26" t="n">
        <v>3</v>
      </c>
      <c r="AB253" s="26" t="n">
        <v>3</v>
      </c>
      <c r="AC253" s="26" t="n">
        <v>3</v>
      </c>
      <c r="AD253" s="26" t="n">
        <v>3</v>
      </c>
      <c r="AE253" s="26" t="n">
        <v>3</v>
      </c>
      <c r="AF253" s="26" t="n">
        <v>4</v>
      </c>
      <c r="AG253" s="26" t="n">
        <v>5</v>
      </c>
      <c r="AH253" s="26" t="n">
        <v>3</v>
      </c>
      <c r="AI253" s="26" t="n">
        <v>4</v>
      </c>
      <c r="AJ253" s="26" t="n">
        <v>5</v>
      </c>
      <c r="AK253" s="26" t="n">
        <v>5</v>
      </c>
      <c r="AL253" s="26" t="n">
        <v>5</v>
      </c>
      <c r="AM253" s="26" t="n">
        <v>5</v>
      </c>
      <c r="AN253" s="26" t="n">
        <v>4</v>
      </c>
      <c r="AO253" s="26" t="n">
        <v>9</v>
      </c>
      <c r="AP253" s="24" t="n">
        <v>95.5</v>
      </c>
      <c r="AQ253" s="27" t="n">
        <v>99.1</v>
      </c>
      <c r="AR253" s="27" t="n">
        <v>80.4</v>
      </c>
      <c r="AS253" s="27" t="n">
        <v>90.4</v>
      </c>
      <c r="AT253" s="24" t="n">
        <v>24.15</v>
      </c>
      <c r="AU253" s="29" t="n">
        <v>0</v>
      </c>
      <c r="AV253" s="24" t="n">
        <v>31.26</v>
      </c>
      <c r="AW253" s="24" t="n">
        <v>44.6</v>
      </c>
      <c r="AX253" s="24" t="n">
        <v>0</v>
      </c>
      <c r="AY253" s="24" t="n">
        <v>0</v>
      </c>
      <c r="AZ253" s="24" t="n">
        <v>0</v>
      </c>
      <c r="BA253" s="24" t="n">
        <v>0</v>
      </c>
      <c r="BB253" s="24" t="n">
        <v>0</v>
      </c>
      <c r="BC253" s="24" t="n">
        <v>0</v>
      </c>
      <c r="BD253" s="24" t="n">
        <v>0</v>
      </c>
      <c r="BE253" s="24" t="n">
        <v>0</v>
      </c>
      <c r="BF253" s="24" t="n">
        <v>0</v>
      </c>
      <c r="BG253" s="24" t="n">
        <v>24.75</v>
      </c>
      <c r="BH253" s="24" t="n">
        <v>2.47</v>
      </c>
      <c r="BI253" s="24" t="n">
        <v>0</v>
      </c>
      <c r="BJ253" s="24" t="n">
        <v>0</v>
      </c>
      <c r="BK253" s="24" t="n">
        <v>0</v>
      </c>
      <c r="BL253" s="24" t="n">
        <v>0.2</v>
      </c>
      <c r="BM253" s="24" t="n">
        <v>1</v>
      </c>
      <c r="BN253" s="24" t="n">
        <v>0</v>
      </c>
      <c r="BO253" s="27" t="n">
        <v>0.63</v>
      </c>
      <c r="BP253" s="27" t="n">
        <v>1</v>
      </c>
      <c r="BQ253" s="27" t="n">
        <v>0</v>
      </c>
      <c r="BR253" s="27" t="n">
        <v>0</v>
      </c>
      <c r="BS253" s="27" t="n">
        <v>0</v>
      </c>
      <c r="BT253" s="27" t="n">
        <v>0</v>
      </c>
      <c r="BU253" s="27" t="n">
        <v>0</v>
      </c>
      <c r="BV253" s="24" t="n">
        <v>0</v>
      </c>
    </row>
    <row r="254" customFormat="false" ht="13.8" hidden="false" customHeight="false" outlineLevel="0" collapsed="false">
      <c r="A254" s="24" t="n">
        <v>2</v>
      </c>
      <c r="B254" s="0" t="n">
        <v>23.3100616016427</v>
      </c>
      <c r="C254" s="0" t="n">
        <v>0.295687885010267</v>
      </c>
      <c r="D254" s="0" t="n">
        <v>8</v>
      </c>
      <c r="E254" s="0" t="n">
        <v>76</v>
      </c>
      <c r="F254" s="0" t="n">
        <v>1.8</v>
      </c>
      <c r="G254" s="0" t="n">
        <v>23.4567901234568</v>
      </c>
      <c r="H254" s="0" t="n">
        <v>0</v>
      </c>
      <c r="I254" s="0" t="n">
        <v>0</v>
      </c>
      <c r="J254" s="26" t="n">
        <v>0</v>
      </c>
      <c r="K254" s="26" t="n">
        <v>0</v>
      </c>
      <c r="L254" s="26" t="n">
        <v>0</v>
      </c>
      <c r="M254" s="26" t="n">
        <v>0</v>
      </c>
      <c r="N254" s="26" t="n">
        <v>0</v>
      </c>
      <c r="O254" s="26" t="n">
        <v>0</v>
      </c>
      <c r="P254" s="26" t="n">
        <v>0</v>
      </c>
      <c r="Q254" s="26" t="n">
        <v>0</v>
      </c>
      <c r="R254" s="26" t="n">
        <v>0</v>
      </c>
      <c r="S254" s="26" t="n">
        <v>0</v>
      </c>
      <c r="T254" s="26" t="n">
        <v>0</v>
      </c>
      <c r="U254" s="15" t="n">
        <f aca="false">AVERAGE(M254:T254)</f>
        <v>0</v>
      </c>
      <c r="V254" s="26" t="n">
        <v>3</v>
      </c>
      <c r="W254" s="26" t="n">
        <v>2</v>
      </c>
      <c r="X254" s="26" t="n">
        <v>2</v>
      </c>
      <c r="Y254" s="26" t="n">
        <v>4</v>
      </c>
      <c r="Z254" s="26" t="n">
        <v>2</v>
      </c>
      <c r="AA254" s="26" t="n">
        <v>1</v>
      </c>
      <c r="AB254" s="26" t="n">
        <v>3</v>
      </c>
      <c r="AC254" s="26" t="n">
        <v>2</v>
      </c>
      <c r="AD254" s="26" t="n">
        <v>3</v>
      </c>
      <c r="AE254" s="26" t="n">
        <v>3</v>
      </c>
      <c r="AF254" s="26" t="n">
        <v>3</v>
      </c>
      <c r="AG254" s="26" t="n">
        <v>3</v>
      </c>
      <c r="AH254" s="26" t="n">
        <v>2</v>
      </c>
      <c r="AI254" s="26" t="n">
        <v>4</v>
      </c>
      <c r="AJ254" s="26" t="n">
        <v>3</v>
      </c>
      <c r="AK254" s="26" t="n">
        <v>4</v>
      </c>
      <c r="AL254" s="26" t="n">
        <v>3</v>
      </c>
      <c r="AM254" s="26" t="n">
        <v>3</v>
      </c>
      <c r="AN254" s="26" t="n">
        <v>4</v>
      </c>
      <c r="AO254" s="26" t="n">
        <v>7</v>
      </c>
      <c r="AP254" s="24" t="n">
        <v>95.5</v>
      </c>
      <c r="AQ254" s="27" t="n">
        <v>99.1</v>
      </c>
      <c r="AR254" s="27" t="n">
        <v>80.4</v>
      </c>
      <c r="AS254" s="27" t="n">
        <v>90.4</v>
      </c>
      <c r="AT254" s="24" t="n">
        <v>24.15</v>
      </c>
      <c r="AU254" s="29" t="n">
        <v>0</v>
      </c>
      <c r="AV254" s="24" t="n">
        <v>31.26</v>
      </c>
      <c r="AW254" s="24" t="n">
        <v>44.6</v>
      </c>
      <c r="AX254" s="24" t="n">
        <v>0</v>
      </c>
      <c r="AY254" s="24" t="n">
        <v>0</v>
      </c>
      <c r="AZ254" s="24" t="n">
        <v>0</v>
      </c>
      <c r="BA254" s="24" t="n">
        <v>0</v>
      </c>
      <c r="BB254" s="24" t="n">
        <v>0</v>
      </c>
      <c r="BC254" s="24" t="n">
        <v>0</v>
      </c>
      <c r="BD254" s="24" t="n">
        <v>0</v>
      </c>
      <c r="BE254" s="24" t="n">
        <v>0</v>
      </c>
      <c r="BF254" s="24" t="n">
        <v>0</v>
      </c>
      <c r="BG254" s="24" t="n">
        <v>24.75</v>
      </c>
      <c r="BH254" s="24" t="n">
        <v>2.47</v>
      </c>
      <c r="BI254" s="24" t="n">
        <v>0</v>
      </c>
      <c r="BJ254" s="24" t="n">
        <v>0</v>
      </c>
      <c r="BK254" s="24" t="n">
        <v>0</v>
      </c>
      <c r="BL254" s="24" t="n">
        <v>0.2</v>
      </c>
      <c r="BM254" s="24" t="n">
        <v>1</v>
      </c>
      <c r="BN254" s="24" t="n">
        <v>0</v>
      </c>
      <c r="BO254" s="27" t="n">
        <v>0.63</v>
      </c>
      <c r="BP254" s="27" t="n">
        <v>1</v>
      </c>
      <c r="BQ254" s="27" t="n">
        <v>0</v>
      </c>
      <c r="BR254" s="27" t="n">
        <v>0</v>
      </c>
      <c r="BS254" s="27" t="n">
        <v>0</v>
      </c>
      <c r="BT254" s="27" t="n">
        <v>0</v>
      </c>
      <c r="BU254" s="27" t="n">
        <v>0</v>
      </c>
      <c r="BV254" s="24" t="n">
        <v>0</v>
      </c>
    </row>
    <row r="255" customFormat="false" ht="13.8" hidden="false" customHeight="false" outlineLevel="0" collapsed="false">
      <c r="A255" s="24" t="n">
        <v>2</v>
      </c>
      <c r="B255" s="0" t="n">
        <v>37.2785763175907</v>
      </c>
      <c r="C255" s="0" t="n">
        <v>15.64681724846</v>
      </c>
      <c r="D255" s="0" t="n">
        <v>8</v>
      </c>
      <c r="E255" s="0" t="n">
        <v>107</v>
      </c>
      <c r="F255" s="0" t="n">
        <v>1.84</v>
      </c>
      <c r="G255" s="0" t="n">
        <v>31.6044423440454</v>
      </c>
      <c r="H255" s="0" t="n">
        <v>0</v>
      </c>
      <c r="I255" s="0" t="n">
        <v>0</v>
      </c>
      <c r="J255" s="26" t="n">
        <v>1</v>
      </c>
      <c r="K255" s="26" t="n">
        <v>2</v>
      </c>
      <c r="L255" s="26" t="n">
        <v>0</v>
      </c>
      <c r="M255" s="26" t="n">
        <v>0</v>
      </c>
      <c r="N255" s="26" t="n">
        <v>6</v>
      </c>
      <c r="O255" s="26" t="n">
        <v>3</v>
      </c>
      <c r="P255" s="26" t="n">
        <v>4</v>
      </c>
      <c r="Q255" s="26" t="n">
        <v>8</v>
      </c>
      <c r="R255" s="26" t="n">
        <v>9</v>
      </c>
      <c r="S255" s="26" t="n">
        <v>0</v>
      </c>
      <c r="T255" s="26" t="n">
        <v>0</v>
      </c>
      <c r="U255" s="15" t="n">
        <f aca="false">AVERAGE(M255:T255)</f>
        <v>3.75</v>
      </c>
      <c r="V255" s="26" t="n">
        <v>5</v>
      </c>
      <c r="W255" s="26" t="n">
        <v>2</v>
      </c>
      <c r="X255" s="26" t="n">
        <v>5</v>
      </c>
      <c r="Y255" s="26" t="n">
        <v>5</v>
      </c>
      <c r="Z255" s="26" t="n">
        <v>1</v>
      </c>
      <c r="AA255" s="26" t="n">
        <v>5</v>
      </c>
      <c r="AB255" s="26" t="n">
        <v>1</v>
      </c>
      <c r="AC255" s="26" t="n">
        <v>1</v>
      </c>
      <c r="AD255" s="26" t="n">
        <v>1</v>
      </c>
      <c r="AE255" s="26" t="n">
        <v>1</v>
      </c>
      <c r="AF255" s="26" t="n">
        <v>1</v>
      </c>
      <c r="AG255" s="26" t="n">
        <v>5</v>
      </c>
      <c r="AH255" s="26" t="n">
        <v>1</v>
      </c>
      <c r="AI255" s="26" t="n">
        <v>1</v>
      </c>
      <c r="AJ255" s="26" t="n">
        <v>1</v>
      </c>
      <c r="AK255" s="26" t="n">
        <v>3</v>
      </c>
      <c r="AL255" s="26" t="n">
        <v>1</v>
      </c>
      <c r="AM255" s="26" t="n">
        <v>1</v>
      </c>
      <c r="AN255" s="26" t="n">
        <v>1</v>
      </c>
      <c r="AO255" s="26" t="n">
        <v>8</v>
      </c>
      <c r="AP255" s="24" t="n">
        <v>43</v>
      </c>
      <c r="AQ255" s="27" t="n">
        <v>91.8</v>
      </c>
      <c r="AR255" s="27" t="n">
        <v>83.4</v>
      </c>
      <c r="AS255" s="27" t="n">
        <v>25.8</v>
      </c>
      <c r="AT255" s="24" t="n">
        <v>68.3</v>
      </c>
      <c r="AU255" s="24" t="n">
        <v>0</v>
      </c>
      <c r="AV255" s="24" t="n">
        <v>0</v>
      </c>
      <c r="AW255" s="24" t="n">
        <v>0</v>
      </c>
      <c r="AX255" s="24" t="n">
        <v>31.54</v>
      </c>
      <c r="AY255" s="24" t="n">
        <v>0</v>
      </c>
      <c r="AZ255" s="24" t="n">
        <v>0</v>
      </c>
      <c r="BA255" s="24" t="n">
        <v>0</v>
      </c>
      <c r="BB255" s="24" t="n">
        <v>0</v>
      </c>
      <c r="BC255" s="24" t="n">
        <v>0</v>
      </c>
      <c r="BD255" s="24" t="n">
        <v>0</v>
      </c>
      <c r="BE255" s="24" t="n">
        <v>48.27</v>
      </c>
      <c r="BF255" s="24" t="n">
        <v>58.3</v>
      </c>
      <c r="BG255" s="24" t="n">
        <v>1.34</v>
      </c>
      <c r="BH255" s="24" t="n">
        <v>0</v>
      </c>
      <c r="BI255" s="24" t="n">
        <v>0.16</v>
      </c>
      <c r="BJ255" s="24" t="n">
        <v>0</v>
      </c>
      <c r="BK255" s="24" t="n">
        <v>0</v>
      </c>
      <c r="BL255" s="24" t="n">
        <v>11</v>
      </c>
      <c r="BM255" s="24" t="n">
        <v>1</v>
      </c>
      <c r="BN255" s="24" t="n">
        <v>1</v>
      </c>
      <c r="BO255" s="27" t="n">
        <v>2.45</v>
      </c>
      <c r="BP255" s="27" t="n">
        <v>1</v>
      </c>
      <c r="BQ255" s="27" t="n">
        <v>3.68</v>
      </c>
      <c r="BR255" s="27" t="n">
        <v>1.63</v>
      </c>
      <c r="BS255" s="27" t="n">
        <v>0</v>
      </c>
      <c r="BT255" s="27" t="n">
        <v>0</v>
      </c>
      <c r="BU255" s="27" t="n">
        <v>0</v>
      </c>
      <c r="BV255" s="24" t="n">
        <v>0</v>
      </c>
    </row>
    <row r="256" customFormat="false" ht="13.8" hidden="false" customHeight="false" outlineLevel="0" collapsed="false">
      <c r="A256" s="24" t="n">
        <v>2</v>
      </c>
      <c r="B256" s="0" t="n">
        <v>39.3538672142368</v>
      </c>
      <c r="C256" s="0" t="n">
        <v>18.2067077344285</v>
      </c>
      <c r="D256" s="0" t="n">
        <v>8</v>
      </c>
      <c r="E256" s="0" t="n">
        <v>85</v>
      </c>
      <c r="F256" s="0" t="n">
        <v>1.87</v>
      </c>
      <c r="G256" s="0" t="n">
        <v>24.3072435585805</v>
      </c>
      <c r="H256" s="0" t="n">
        <v>0</v>
      </c>
      <c r="I256" s="0" t="n">
        <v>0</v>
      </c>
      <c r="J256" s="26" t="n">
        <v>0</v>
      </c>
      <c r="K256" s="26" t="n">
        <v>1</v>
      </c>
      <c r="L256" s="26" t="n">
        <v>0</v>
      </c>
      <c r="M256" s="26" t="n">
        <v>0</v>
      </c>
      <c r="N256" s="26" t="n">
        <v>0</v>
      </c>
      <c r="O256" s="26" t="n">
        <v>0</v>
      </c>
      <c r="P256" s="26" t="n">
        <v>0</v>
      </c>
      <c r="Q256" s="26" t="n">
        <v>0</v>
      </c>
      <c r="R256" s="26" t="n">
        <v>0</v>
      </c>
      <c r="S256" s="26" t="n">
        <v>0</v>
      </c>
      <c r="T256" s="26" t="n">
        <v>0</v>
      </c>
      <c r="U256" s="15" t="n">
        <f aca="false">AVERAGE(M256:T256)</f>
        <v>0</v>
      </c>
      <c r="V256" s="26" t="n">
        <v>4</v>
      </c>
      <c r="W256" s="26" t="n">
        <v>3</v>
      </c>
      <c r="X256" s="26" t="n">
        <v>4</v>
      </c>
      <c r="Y256" s="26" t="n">
        <v>5</v>
      </c>
      <c r="Z256" s="26" t="n">
        <v>2</v>
      </c>
      <c r="AA256" s="26" t="n">
        <v>1</v>
      </c>
      <c r="AB256" s="26" t="n">
        <v>2</v>
      </c>
      <c r="AC256" s="26" t="n">
        <v>3</v>
      </c>
      <c r="AD256" s="26" t="n">
        <v>3</v>
      </c>
      <c r="AE256" s="26" t="n">
        <v>3</v>
      </c>
      <c r="AF256" s="26" t="n">
        <v>3</v>
      </c>
      <c r="AG256" s="26" t="n">
        <v>5</v>
      </c>
      <c r="AH256" s="26" t="n">
        <v>5</v>
      </c>
      <c r="AI256" s="26" t="n">
        <v>3</v>
      </c>
      <c r="AJ256" s="26" t="n">
        <v>3</v>
      </c>
      <c r="AK256" s="26" t="n">
        <v>5</v>
      </c>
      <c r="AL256" s="26" t="n">
        <v>4</v>
      </c>
      <c r="AM256" s="26" t="n">
        <v>4</v>
      </c>
      <c r="AN256" s="26" t="n">
        <v>4</v>
      </c>
      <c r="AO256" s="26" t="n">
        <v>10</v>
      </c>
      <c r="AP256" s="24" t="n">
        <v>43</v>
      </c>
      <c r="AQ256" s="27" t="n">
        <v>91.8</v>
      </c>
      <c r="AR256" s="27" t="n">
        <v>83.4</v>
      </c>
      <c r="AS256" s="27" t="n">
        <v>25.8</v>
      </c>
      <c r="AT256" s="24" t="n">
        <v>68.3</v>
      </c>
      <c r="AU256" s="24" t="n">
        <v>0</v>
      </c>
      <c r="AV256" s="24" t="n">
        <v>0</v>
      </c>
      <c r="AW256" s="24" t="n">
        <v>0</v>
      </c>
      <c r="AX256" s="24" t="n">
        <v>31.54</v>
      </c>
      <c r="AY256" s="24" t="n">
        <v>0</v>
      </c>
      <c r="AZ256" s="24" t="n">
        <v>0</v>
      </c>
      <c r="BA256" s="24" t="n">
        <v>0</v>
      </c>
      <c r="BB256" s="24" t="n">
        <v>0</v>
      </c>
      <c r="BC256" s="24" t="n">
        <v>0</v>
      </c>
      <c r="BD256" s="24" t="n">
        <v>0</v>
      </c>
      <c r="BE256" s="24" t="n">
        <v>48.27</v>
      </c>
      <c r="BF256" s="24" t="n">
        <v>58.3</v>
      </c>
      <c r="BG256" s="24" t="n">
        <v>1.34</v>
      </c>
      <c r="BH256" s="24" t="n">
        <v>0</v>
      </c>
      <c r="BI256" s="24" t="n">
        <v>0.16</v>
      </c>
      <c r="BJ256" s="24" t="n">
        <v>0</v>
      </c>
      <c r="BK256" s="24" t="n">
        <v>0</v>
      </c>
      <c r="BL256" s="24" t="n">
        <v>11</v>
      </c>
      <c r="BM256" s="24" t="n">
        <v>1</v>
      </c>
      <c r="BN256" s="24" t="n">
        <v>1</v>
      </c>
      <c r="BO256" s="27" t="n">
        <v>2.45</v>
      </c>
      <c r="BP256" s="27" t="n">
        <v>1</v>
      </c>
      <c r="BQ256" s="27" t="n">
        <v>3.68</v>
      </c>
      <c r="BR256" s="27" t="n">
        <v>1.63</v>
      </c>
      <c r="BS256" s="27" t="n">
        <v>0</v>
      </c>
      <c r="BT256" s="27" t="n">
        <v>0</v>
      </c>
      <c r="BU256" s="27" t="n">
        <v>0</v>
      </c>
      <c r="BV256" s="24" t="n">
        <v>0</v>
      </c>
    </row>
    <row r="257" customFormat="false" ht="13.8" hidden="false" customHeight="false" outlineLevel="0" collapsed="false">
      <c r="A257" s="24" t="n">
        <v>2</v>
      </c>
      <c r="B257" s="0" t="n">
        <v>0.232717316906229</v>
      </c>
      <c r="C257" s="0" t="n">
        <v>5.97125256673511</v>
      </c>
      <c r="D257" s="0" t="n">
        <v>8</v>
      </c>
      <c r="E257" s="0" t="n">
        <v>67</v>
      </c>
      <c r="F257" s="0" t="n">
        <v>1.72</v>
      </c>
      <c r="G257" s="0" t="n">
        <v>22.6473769605192</v>
      </c>
      <c r="H257" s="0" t="n">
        <v>0</v>
      </c>
      <c r="I257" s="0" t="n">
        <v>0</v>
      </c>
      <c r="J257" s="26" t="n">
        <v>0</v>
      </c>
      <c r="K257" s="26" t="n">
        <v>2</v>
      </c>
      <c r="L257" s="26" t="n">
        <v>0</v>
      </c>
      <c r="M257" s="26" t="n">
        <v>0</v>
      </c>
      <c r="N257" s="26" t="n">
        <v>0</v>
      </c>
      <c r="O257" s="26" t="n">
        <v>0</v>
      </c>
      <c r="P257" s="26" t="n">
        <v>0</v>
      </c>
      <c r="Q257" s="26" t="n">
        <v>6</v>
      </c>
      <c r="R257" s="26" t="n">
        <v>4</v>
      </c>
      <c r="S257" s="26" t="n">
        <v>0</v>
      </c>
      <c r="T257" s="26" t="n">
        <v>0</v>
      </c>
      <c r="U257" s="15" t="n">
        <f aca="false">AVERAGE(M257:T257)</f>
        <v>1.25</v>
      </c>
      <c r="V257" s="26" t="n">
        <v>3</v>
      </c>
      <c r="W257" s="26" t="n">
        <v>3</v>
      </c>
      <c r="X257" s="26" t="n">
        <v>4</v>
      </c>
      <c r="Y257" s="26" t="n">
        <v>4</v>
      </c>
      <c r="Z257" s="26" t="n">
        <v>3</v>
      </c>
      <c r="AA257" s="26" t="n">
        <v>3</v>
      </c>
      <c r="AB257" s="26" t="n">
        <v>4</v>
      </c>
      <c r="AC257" s="26" t="n">
        <v>4</v>
      </c>
      <c r="AD257" s="26" t="n">
        <v>5</v>
      </c>
      <c r="AE257" s="26" t="n">
        <v>5</v>
      </c>
      <c r="AF257" s="26" t="n">
        <v>5</v>
      </c>
      <c r="AG257" s="26" t="n">
        <v>5</v>
      </c>
      <c r="AH257" s="26" t="n">
        <v>3</v>
      </c>
      <c r="AI257" s="26" t="n">
        <v>4</v>
      </c>
      <c r="AJ257" s="26" t="n">
        <v>4</v>
      </c>
      <c r="AK257" s="26" t="n">
        <v>4</v>
      </c>
      <c r="AL257" s="26" t="n">
        <v>4</v>
      </c>
      <c r="AM257" s="26" t="n">
        <v>4</v>
      </c>
      <c r="AN257" s="26" t="n">
        <v>5</v>
      </c>
      <c r="AO257" s="26" t="n">
        <v>8</v>
      </c>
      <c r="AP257" s="24" t="n">
        <v>43</v>
      </c>
      <c r="AQ257" s="27" t="n">
        <v>91.8</v>
      </c>
      <c r="AR257" s="27" t="n">
        <v>83.4</v>
      </c>
      <c r="AS257" s="27" t="n">
        <v>25.8</v>
      </c>
      <c r="AT257" s="24" t="n">
        <v>68.3</v>
      </c>
      <c r="AU257" s="24" t="n">
        <v>0</v>
      </c>
      <c r="AV257" s="24" t="n">
        <v>0</v>
      </c>
      <c r="AW257" s="24" t="n">
        <v>0</v>
      </c>
      <c r="AX257" s="24" t="n">
        <v>31.54</v>
      </c>
      <c r="AY257" s="24" t="n">
        <v>0</v>
      </c>
      <c r="AZ257" s="24" t="n">
        <v>0</v>
      </c>
      <c r="BA257" s="24" t="n">
        <v>0</v>
      </c>
      <c r="BB257" s="24" t="n">
        <v>0</v>
      </c>
      <c r="BC257" s="24" t="n">
        <v>0</v>
      </c>
      <c r="BD257" s="24" t="n">
        <v>0</v>
      </c>
      <c r="BE257" s="24" t="n">
        <v>48.27</v>
      </c>
      <c r="BF257" s="24" t="n">
        <v>58.3</v>
      </c>
      <c r="BG257" s="24" t="n">
        <v>1.34</v>
      </c>
      <c r="BH257" s="24" t="n">
        <v>0</v>
      </c>
      <c r="BI257" s="24" t="n">
        <v>0.16</v>
      </c>
      <c r="BJ257" s="24" t="n">
        <v>0</v>
      </c>
      <c r="BK257" s="24" t="n">
        <v>0</v>
      </c>
      <c r="BL257" s="24" t="n">
        <v>11</v>
      </c>
      <c r="BM257" s="24" t="n">
        <v>1</v>
      </c>
      <c r="BN257" s="24" t="n">
        <v>1</v>
      </c>
      <c r="BO257" s="27" t="n">
        <v>2.45</v>
      </c>
      <c r="BP257" s="27" t="n">
        <v>1</v>
      </c>
      <c r="BQ257" s="27" t="n">
        <v>3.68</v>
      </c>
      <c r="BR257" s="27" t="n">
        <v>1.63</v>
      </c>
      <c r="BS257" s="27" t="n">
        <v>0</v>
      </c>
      <c r="BT257" s="27" t="n">
        <v>0</v>
      </c>
      <c r="BU257" s="27" t="n">
        <v>0</v>
      </c>
      <c r="BV257" s="24" t="n">
        <v>0</v>
      </c>
    </row>
    <row r="258" customFormat="false" ht="13.8" hidden="false" customHeight="false" outlineLevel="0" collapsed="false">
      <c r="A258" s="24" t="n">
        <v>2</v>
      </c>
      <c r="B258" s="0" t="n">
        <v>29.5058179329227</v>
      </c>
      <c r="C258" s="0" t="n">
        <v>6.06707734428474</v>
      </c>
      <c r="D258" s="0" t="n">
        <v>8</v>
      </c>
      <c r="E258" s="0" t="n">
        <v>90</v>
      </c>
      <c r="F258" s="0" t="n">
        <v>1.67</v>
      </c>
      <c r="G258" s="0" t="n">
        <v>32.2707877657858</v>
      </c>
      <c r="H258" s="0" t="n">
        <v>0</v>
      </c>
      <c r="I258" s="0" t="n">
        <v>0</v>
      </c>
      <c r="J258" s="26" t="n">
        <v>1</v>
      </c>
      <c r="K258" s="26" t="n">
        <v>0</v>
      </c>
      <c r="L258" s="26" t="n">
        <v>0</v>
      </c>
      <c r="M258" s="26" t="n">
        <v>0</v>
      </c>
      <c r="N258" s="26" t="n">
        <v>6</v>
      </c>
      <c r="O258" s="26" t="n">
        <v>6</v>
      </c>
      <c r="P258" s="26" t="n">
        <v>6</v>
      </c>
      <c r="Q258" s="26" t="n">
        <v>6</v>
      </c>
      <c r="R258" s="26" t="n">
        <v>6</v>
      </c>
      <c r="S258" s="26" t="n">
        <v>6</v>
      </c>
      <c r="T258" s="26" t="n">
        <v>6</v>
      </c>
      <c r="U258" s="15" t="n">
        <f aca="false">AVERAGE(M258:T258)</f>
        <v>5.25</v>
      </c>
      <c r="V258" s="26" t="n">
        <v>1</v>
      </c>
      <c r="W258" s="26" t="n">
        <v>2</v>
      </c>
      <c r="X258" s="26" t="n">
        <v>4</v>
      </c>
      <c r="Y258" s="26" t="n">
        <v>5</v>
      </c>
      <c r="Z258" s="26" t="n">
        <v>4</v>
      </c>
      <c r="AA258" s="26" t="n">
        <v>4</v>
      </c>
      <c r="AB258" s="26" t="n">
        <v>5</v>
      </c>
      <c r="AC258" s="26" t="n">
        <v>5</v>
      </c>
      <c r="AD258" s="26" t="n">
        <v>5</v>
      </c>
      <c r="AE258" s="26" t="n">
        <v>3</v>
      </c>
      <c r="AF258" s="26" t="n">
        <v>3</v>
      </c>
      <c r="AG258" s="26" t="n">
        <v>5</v>
      </c>
      <c r="AH258" s="26" t="n">
        <v>5</v>
      </c>
      <c r="AI258" s="26" t="n">
        <v>3</v>
      </c>
      <c r="AJ258" s="26" t="n">
        <v>4</v>
      </c>
      <c r="AK258" s="26" t="n">
        <v>4</v>
      </c>
      <c r="AL258" s="26" t="n">
        <v>3</v>
      </c>
      <c r="AM258" s="26" t="n">
        <v>3</v>
      </c>
      <c r="AN258" s="26" t="n">
        <v>4</v>
      </c>
      <c r="AO258" s="26" t="n">
        <v>10</v>
      </c>
      <c r="AP258" s="24" t="n">
        <v>43</v>
      </c>
      <c r="AQ258" s="27" t="n">
        <v>91.8</v>
      </c>
      <c r="AR258" s="27" t="n">
        <v>83.4</v>
      </c>
      <c r="AS258" s="27" t="n">
        <v>25.8</v>
      </c>
      <c r="AT258" s="24" t="n">
        <v>68.3</v>
      </c>
      <c r="AU258" s="24" t="n">
        <v>0</v>
      </c>
      <c r="AV258" s="24" t="n">
        <v>0</v>
      </c>
      <c r="AW258" s="24" t="n">
        <v>0</v>
      </c>
      <c r="AX258" s="24" t="n">
        <v>31.54</v>
      </c>
      <c r="AY258" s="24" t="n">
        <v>0</v>
      </c>
      <c r="AZ258" s="24" t="n">
        <v>0</v>
      </c>
      <c r="BA258" s="24" t="n">
        <v>0</v>
      </c>
      <c r="BB258" s="24" t="n">
        <v>0</v>
      </c>
      <c r="BC258" s="24" t="n">
        <v>0</v>
      </c>
      <c r="BD258" s="24" t="n">
        <v>0</v>
      </c>
      <c r="BE258" s="24" t="n">
        <v>48.27</v>
      </c>
      <c r="BF258" s="24" t="n">
        <v>58.3</v>
      </c>
      <c r="BG258" s="24" t="n">
        <v>1.34</v>
      </c>
      <c r="BH258" s="24" t="n">
        <v>0</v>
      </c>
      <c r="BI258" s="24" t="n">
        <v>0.16</v>
      </c>
      <c r="BJ258" s="24" t="n">
        <v>0</v>
      </c>
      <c r="BK258" s="24" t="n">
        <v>0</v>
      </c>
      <c r="BL258" s="24" t="n">
        <v>11</v>
      </c>
      <c r="BM258" s="24" t="n">
        <v>1</v>
      </c>
      <c r="BN258" s="24" t="n">
        <v>1</v>
      </c>
      <c r="BO258" s="27" t="n">
        <v>2.45</v>
      </c>
      <c r="BP258" s="27" t="n">
        <v>1</v>
      </c>
      <c r="BQ258" s="27" t="n">
        <v>3.68</v>
      </c>
      <c r="BR258" s="27" t="n">
        <v>1.63</v>
      </c>
      <c r="BS258" s="27" t="n">
        <v>0</v>
      </c>
      <c r="BT258" s="27" t="n">
        <v>0</v>
      </c>
      <c r="BU258" s="27" t="n">
        <v>0</v>
      </c>
      <c r="BV258" s="24" t="n">
        <v>0</v>
      </c>
    </row>
    <row r="259" customFormat="false" ht="13.8" hidden="false" customHeight="false" outlineLevel="0" collapsed="false">
      <c r="A259" s="24" t="n">
        <v>2</v>
      </c>
      <c r="B259" s="0" t="n">
        <v>18.7241615331964</v>
      </c>
      <c r="C259" s="0" t="n">
        <v>0.32580424366872</v>
      </c>
      <c r="D259" s="0" t="n">
        <v>8</v>
      </c>
      <c r="E259" s="0" t="n">
        <v>65</v>
      </c>
      <c r="F259" s="0" t="n">
        <v>1.72</v>
      </c>
      <c r="G259" s="0" t="n">
        <v>21.9713358572201</v>
      </c>
      <c r="H259" s="0" t="n">
        <v>0</v>
      </c>
      <c r="I259" s="0" t="n">
        <v>0</v>
      </c>
      <c r="J259" s="26" t="n">
        <v>1</v>
      </c>
      <c r="K259" s="26" t="n">
        <v>0</v>
      </c>
      <c r="L259" s="26" t="n">
        <v>1</v>
      </c>
      <c r="M259" s="26" t="n">
        <v>0</v>
      </c>
      <c r="N259" s="26"/>
      <c r="O259" s="26" t="n">
        <v>0</v>
      </c>
      <c r="P259" s="26" t="n">
        <v>0</v>
      </c>
      <c r="Q259" s="26" t="n">
        <v>0</v>
      </c>
      <c r="R259" s="26" t="n">
        <v>0</v>
      </c>
      <c r="S259" s="26" t="n">
        <v>0</v>
      </c>
      <c r="T259" s="26" t="n">
        <v>0</v>
      </c>
      <c r="U259" s="15" t="n">
        <f aca="false">AVERAGE(M259:T259)</f>
        <v>0</v>
      </c>
      <c r="V259" s="26" t="n">
        <v>2</v>
      </c>
      <c r="W259" s="26" t="n">
        <v>2</v>
      </c>
      <c r="X259" s="26" t="n">
        <v>3</v>
      </c>
      <c r="Y259" s="26" t="n">
        <v>3</v>
      </c>
      <c r="Z259" s="26" t="n">
        <v>2</v>
      </c>
      <c r="AA259" s="26" t="n">
        <v>1</v>
      </c>
      <c r="AB259" s="26" t="n">
        <v>3</v>
      </c>
      <c r="AC259" s="26" t="n">
        <v>3</v>
      </c>
      <c r="AD259" s="26" t="n">
        <v>4</v>
      </c>
      <c r="AE259" s="26" t="n">
        <v>3</v>
      </c>
      <c r="AF259" s="26" t="n">
        <v>4</v>
      </c>
      <c r="AG259" s="26" t="n">
        <v>5</v>
      </c>
      <c r="AH259" s="26" t="n">
        <v>2</v>
      </c>
      <c r="AI259" s="26" t="n">
        <v>2</v>
      </c>
      <c r="AJ259" s="26" t="n">
        <v>2</v>
      </c>
      <c r="AK259" s="26" t="n">
        <v>4</v>
      </c>
      <c r="AL259" s="26" t="n">
        <v>3</v>
      </c>
      <c r="AM259" s="26" t="n">
        <v>2</v>
      </c>
      <c r="AN259" s="26" t="n">
        <v>3</v>
      </c>
      <c r="AO259" s="26" t="n">
        <v>6</v>
      </c>
      <c r="AP259" s="24" t="n">
        <v>43</v>
      </c>
      <c r="AQ259" s="27" t="n">
        <v>91.8</v>
      </c>
      <c r="AR259" s="27" t="n">
        <v>83.4</v>
      </c>
      <c r="AS259" s="27" t="n">
        <v>25.8</v>
      </c>
      <c r="AT259" s="24" t="n">
        <v>68.3</v>
      </c>
      <c r="AU259" s="24" t="n">
        <v>0</v>
      </c>
      <c r="AV259" s="24" t="n">
        <v>0</v>
      </c>
      <c r="AW259" s="24" t="n">
        <v>0</v>
      </c>
      <c r="AX259" s="24" t="n">
        <v>31.54</v>
      </c>
      <c r="AY259" s="24" t="n">
        <v>0</v>
      </c>
      <c r="AZ259" s="24" t="n">
        <v>0</v>
      </c>
      <c r="BA259" s="24" t="n">
        <v>0</v>
      </c>
      <c r="BB259" s="24" t="n">
        <v>0</v>
      </c>
      <c r="BC259" s="24" t="n">
        <v>0</v>
      </c>
      <c r="BD259" s="24" t="n">
        <v>0</v>
      </c>
      <c r="BE259" s="24" t="n">
        <v>48.27</v>
      </c>
      <c r="BF259" s="24" t="n">
        <v>58.3</v>
      </c>
      <c r="BG259" s="24" t="n">
        <v>1.34</v>
      </c>
      <c r="BH259" s="24" t="n">
        <v>0</v>
      </c>
      <c r="BI259" s="24" t="n">
        <v>0.16</v>
      </c>
      <c r="BJ259" s="24" t="n">
        <v>0</v>
      </c>
      <c r="BK259" s="24" t="n">
        <v>0</v>
      </c>
      <c r="BL259" s="24" t="n">
        <v>11</v>
      </c>
      <c r="BM259" s="24" t="n">
        <v>1</v>
      </c>
      <c r="BN259" s="24" t="n">
        <v>1</v>
      </c>
      <c r="BO259" s="27" t="n">
        <v>2.45</v>
      </c>
      <c r="BP259" s="27" t="n">
        <v>1</v>
      </c>
      <c r="BQ259" s="27" t="n">
        <v>3.68</v>
      </c>
      <c r="BR259" s="27" t="n">
        <v>1.63</v>
      </c>
      <c r="BS259" s="27" t="n">
        <v>0</v>
      </c>
      <c r="BT259" s="27" t="n">
        <v>0</v>
      </c>
      <c r="BU259" s="27" t="n">
        <v>0</v>
      </c>
      <c r="BV259" s="24" t="n">
        <v>0</v>
      </c>
    </row>
    <row r="260" customFormat="false" ht="13.8" hidden="false" customHeight="false" outlineLevel="0" collapsed="false">
      <c r="A260" s="24" t="n">
        <v>2</v>
      </c>
      <c r="B260" s="0" t="n">
        <v>28.0219028062971</v>
      </c>
      <c r="C260" s="0" t="n">
        <v>0.26009582477755</v>
      </c>
      <c r="D260" s="0" t="n">
        <v>8</v>
      </c>
      <c r="E260" s="0" t="n">
        <v>65</v>
      </c>
      <c r="F260" s="0" t="n">
        <v>1.75</v>
      </c>
      <c r="G260" s="0" t="n">
        <v>21.2244897959184</v>
      </c>
      <c r="H260" s="0" t="n">
        <v>0</v>
      </c>
      <c r="I260" s="0" t="n">
        <v>0</v>
      </c>
      <c r="J260" s="26" t="n">
        <v>0</v>
      </c>
      <c r="K260" s="26" t="n">
        <v>0</v>
      </c>
      <c r="L260" s="26" t="n">
        <v>1</v>
      </c>
      <c r="M260" s="26" t="n">
        <v>0</v>
      </c>
      <c r="N260" s="26" t="n">
        <v>0</v>
      </c>
      <c r="O260" s="26" t="n">
        <v>0</v>
      </c>
      <c r="P260" s="26" t="n">
        <v>0</v>
      </c>
      <c r="Q260" s="26" t="n">
        <v>0</v>
      </c>
      <c r="R260" s="26" t="n">
        <v>0</v>
      </c>
      <c r="S260" s="26" t="n">
        <v>0</v>
      </c>
      <c r="T260" s="26" t="n">
        <v>0</v>
      </c>
      <c r="U260" s="15" t="n">
        <f aca="false">AVERAGE(M260:T260)</f>
        <v>0</v>
      </c>
      <c r="V260" s="26" t="n">
        <v>1</v>
      </c>
      <c r="W260" s="26" t="n">
        <v>1</v>
      </c>
      <c r="X260" s="26" t="n">
        <v>2</v>
      </c>
      <c r="Y260" s="26" t="n">
        <v>5</v>
      </c>
      <c r="Z260" s="26" t="n">
        <v>3</v>
      </c>
      <c r="AA260" s="26" t="n">
        <v>1</v>
      </c>
      <c r="AB260" s="26" t="n">
        <v>4</v>
      </c>
      <c r="AC260" s="26" t="n">
        <v>5</v>
      </c>
      <c r="AD260" s="26" t="n">
        <v>5</v>
      </c>
      <c r="AE260" s="26" t="n">
        <v>2</v>
      </c>
      <c r="AF260" s="26" t="n">
        <v>5</v>
      </c>
      <c r="AG260" s="26" t="n">
        <v>5</v>
      </c>
      <c r="AH260" s="26" t="n">
        <v>5</v>
      </c>
      <c r="AI260" s="26" t="n">
        <v>5</v>
      </c>
      <c r="AJ260" s="26" t="n">
        <v>5</v>
      </c>
      <c r="AK260" s="26" t="n">
        <v>5</v>
      </c>
      <c r="AL260" s="26" t="n">
        <v>4</v>
      </c>
      <c r="AM260" s="26" t="n">
        <v>4</v>
      </c>
      <c r="AN260" s="26" t="n">
        <v>4</v>
      </c>
      <c r="AO260" s="26" t="n">
        <v>10</v>
      </c>
      <c r="AP260" s="24" t="n">
        <v>43</v>
      </c>
      <c r="AQ260" s="27" t="n">
        <v>91.8</v>
      </c>
      <c r="AR260" s="27" t="n">
        <v>83.4</v>
      </c>
      <c r="AS260" s="27" t="n">
        <v>25.8</v>
      </c>
      <c r="AT260" s="24" t="n">
        <v>68.3</v>
      </c>
      <c r="AU260" s="24" t="n">
        <v>0</v>
      </c>
      <c r="AV260" s="24" t="n">
        <v>0</v>
      </c>
      <c r="AW260" s="24" t="n">
        <v>0</v>
      </c>
      <c r="AX260" s="24" t="n">
        <v>31.54</v>
      </c>
      <c r="AY260" s="24" t="n">
        <v>0</v>
      </c>
      <c r="AZ260" s="24" t="n">
        <v>0</v>
      </c>
      <c r="BA260" s="24" t="n">
        <v>0</v>
      </c>
      <c r="BB260" s="24" t="n">
        <v>0</v>
      </c>
      <c r="BC260" s="24" t="n">
        <v>0</v>
      </c>
      <c r="BD260" s="24" t="n">
        <v>0</v>
      </c>
      <c r="BE260" s="24" t="n">
        <v>48.27</v>
      </c>
      <c r="BF260" s="24" t="n">
        <v>58.3</v>
      </c>
      <c r="BG260" s="24" t="n">
        <v>1.34</v>
      </c>
      <c r="BH260" s="24" t="n">
        <v>0</v>
      </c>
      <c r="BI260" s="24" t="n">
        <v>0.16</v>
      </c>
      <c r="BJ260" s="24" t="n">
        <v>0</v>
      </c>
      <c r="BK260" s="24" t="n">
        <v>0</v>
      </c>
      <c r="BL260" s="24" t="n">
        <v>11</v>
      </c>
      <c r="BM260" s="24" t="n">
        <v>1</v>
      </c>
      <c r="BN260" s="24" t="n">
        <v>1</v>
      </c>
      <c r="BO260" s="27" t="n">
        <v>2.45</v>
      </c>
      <c r="BP260" s="27" t="n">
        <v>1</v>
      </c>
      <c r="BQ260" s="27" t="n">
        <v>3.68</v>
      </c>
      <c r="BR260" s="27" t="n">
        <v>1.63</v>
      </c>
      <c r="BS260" s="27" t="n">
        <v>0</v>
      </c>
      <c r="BT260" s="27" t="n">
        <v>0</v>
      </c>
      <c r="BU260" s="27" t="n">
        <v>0</v>
      </c>
      <c r="BV260" s="24" t="n">
        <v>0</v>
      </c>
    </row>
    <row r="261" customFormat="false" ht="13.8" hidden="false" customHeight="false" outlineLevel="0" collapsed="false">
      <c r="A261" s="24" t="n">
        <v>2</v>
      </c>
      <c r="B261" s="0" t="n">
        <v>28.0848733744011</v>
      </c>
      <c r="C261" s="0" t="n">
        <v>0.32580424366872</v>
      </c>
      <c r="D261" s="0" t="n">
        <v>8</v>
      </c>
      <c r="E261" s="0" t="n">
        <v>90</v>
      </c>
      <c r="F261" s="0" t="n">
        <v>1.86</v>
      </c>
      <c r="G261" s="0" t="n">
        <v>26.0145681581686</v>
      </c>
      <c r="H261" s="0" t="n">
        <v>0</v>
      </c>
      <c r="I261" s="0" t="n">
        <v>0</v>
      </c>
      <c r="J261" s="26" t="n">
        <v>0</v>
      </c>
      <c r="K261" s="26" t="n">
        <v>1</v>
      </c>
      <c r="L261" s="26" t="n">
        <v>0</v>
      </c>
      <c r="M261" s="26" t="n">
        <v>0</v>
      </c>
      <c r="N261" s="26" t="n">
        <v>0</v>
      </c>
      <c r="O261" s="26" t="n">
        <v>0</v>
      </c>
      <c r="P261" s="26" t="n">
        <v>0</v>
      </c>
      <c r="Q261" s="26" t="n">
        <v>0</v>
      </c>
      <c r="R261" s="26" t="n">
        <v>0</v>
      </c>
      <c r="S261" s="26" t="n">
        <v>0</v>
      </c>
      <c r="T261" s="26" t="n">
        <v>0</v>
      </c>
      <c r="U261" s="15" t="n">
        <f aca="false">AVERAGE(M261:T261)</f>
        <v>0</v>
      </c>
      <c r="V261" s="26" t="n">
        <v>1</v>
      </c>
      <c r="W261" s="26" t="n">
        <v>1</v>
      </c>
      <c r="X261" s="26" t="n">
        <v>2</v>
      </c>
      <c r="Y261" s="26" t="n">
        <v>5</v>
      </c>
      <c r="Z261" s="26" t="n">
        <v>1</v>
      </c>
      <c r="AA261" s="26" t="n">
        <v>1</v>
      </c>
      <c r="AB261" s="26" t="n">
        <v>4</v>
      </c>
      <c r="AC261" s="26" t="n">
        <v>3</v>
      </c>
      <c r="AD261" s="26" t="n">
        <v>4</v>
      </c>
      <c r="AE261" s="26" t="n">
        <v>5</v>
      </c>
      <c r="AF261" s="26" t="n">
        <v>5</v>
      </c>
      <c r="AG261" s="26" t="n">
        <v>5</v>
      </c>
      <c r="AH261" s="26" t="n">
        <v>5</v>
      </c>
      <c r="AI261" s="26" t="n">
        <v>5</v>
      </c>
      <c r="AJ261" s="26" t="n">
        <v>5</v>
      </c>
      <c r="AK261" s="26" t="n">
        <v>5</v>
      </c>
      <c r="AL261" s="26" t="n">
        <v>5</v>
      </c>
      <c r="AM261" s="26" t="n">
        <v>5</v>
      </c>
      <c r="AN261" s="26" t="n">
        <v>5</v>
      </c>
      <c r="AO261" s="26" t="n">
        <v>10</v>
      </c>
      <c r="AP261" s="24" t="n">
        <v>43</v>
      </c>
      <c r="AQ261" s="27" t="n">
        <v>91.8</v>
      </c>
      <c r="AR261" s="27" t="n">
        <v>83.4</v>
      </c>
      <c r="AS261" s="27" t="n">
        <v>25.8</v>
      </c>
      <c r="AT261" s="24" t="n">
        <v>68.3</v>
      </c>
      <c r="AU261" s="24" t="n">
        <v>0</v>
      </c>
      <c r="AV261" s="24" t="n">
        <v>0</v>
      </c>
      <c r="AW261" s="24" t="n">
        <v>0</v>
      </c>
      <c r="AX261" s="24" t="n">
        <v>31.54</v>
      </c>
      <c r="AY261" s="24" t="n">
        <v>0</v>
      </c>
      <c r="AZ261" s="24" t="n">
        <v>0</v>
      </c>
      <c r="BA261" s="24" t="n">
        <v>0</v>
      </c>
      <c r="BB261" s="24" t="n">
        <v>0</v>
      </c>
      <c r="BC261" s="24" t="n">
        <v>0</v>
      </c>
      <c r="BD261" s="24" t="n">
        <v>0</v>
      </c>
      <c r="BE261" s="24" t="n">
        <v>48.27</v>
      </c>
      <c r="BF261" s="24" t="n">
        <v>58.3</v>
      </c>
      <c r="BG261" s="24" t="n">
        <v>1.34</v>
      </c>
      <c r="BH261" s="24" t="n">
        <v>0</v>
      </c>
      <c r="BI261" s="24" t="n">
        <v>0.16</v>
      </c>
      <c r="BJ261" s="24" t="n">
        <v>0</v>
      </c>
      <c r="BK261" s="24" t="n">
        <v>0</v>
      </c>
      <c r="BL261" s="24" t="n">
        <v>11</v>
      </c>
      <c r="BM261" s="24" t="n">
        <v>1</v>
      </c>
      <c r="BN261" s="24" t="n">
        <v>1</v>
      </c>
      <c r="BO261" s="27" t="n">
        <v>2.45</v>
      </c>
      <c r="BP261" s="27" t="n">
        <v>1</v>
      </c>
      <c r="BQ261" s="27" t="n">
        <v>3.68</v>
      </c>
      <c r="BR261" s="27" t="n">
        <v>1.63</v>
      </c>
      <c r="BS261" s="27" t="n">
        <v>0</v>
      </c>
      <c r="BT261" s="27" t="n">
        <v>0</v>
      </c>
      <c r="BU261" s="27" t="n">
        <v>0</v>
      </c>
      <c r="BV261" s="24" t="n">
        <v>0</v>
      </c>
    </row>
    <row r="262" customFormat="false" ht="13.8" hidden="false" customHeight="false" outlineLevel="0" collapsed="false">
      <c r="A262" s="0" t="n">
        <v>2</v>
      </c>
      <c r="B262" s="0" t="n">
        <v>36.8980150581793</v>
      </c>
      <c r="C262" s="0" t="n">
        <v>0.106776180698152</v>
      </c>
      <c r="D262" s="0" t="n">
        <v>8</v>
      </c>
      <c r="E262" s="0" t="n">
        <v>75</v>
      </c>
      <c r="F262" s="0" t="n">
        <v>1.74</v>
      </c>
      <c r="G262" s="0" t="n">
        <v>24.7720967102656</v>
      </c>
      <c r="H262" s="0" t="n">
        <v>0</v>
      </c>
      <c r="I262" s="0" t="n">
        <v>0</v>
      </c>
      <c r="J262" s="19" t="n">
        <v>0</v>
      </c>
      <c r="K262" s="19" t="n">
        <v>2</v>
      </c>
      <c r="L262" s="19" t="n">
        <v>0</v>
      </c>
      <c r="M262" s="19" t="n">
        <v>0</v>
      </c>
      <c r="N262" s="19" t="n">
        <v>0</v>
      </c>
      <c r="O262" s="19" t="n">
        <v>0</v>
      </c>
      <c r="P262" s="19" t="n">
        <v>0</v>
      </c>
      <c r="Q262" s="19" t="n">
        <v>0</v>
      </c>
      <c r="R262" s="19" t="n">
        <v>0</v>
      </c>
      <c r="S262" s="19" t="n">
        <v>0</v>
      </c>
      <c r="T262" s="19" t="n">
        <v>0</v>
      </c>
      <c r="U262" s="15" t="n">
        <f aca="false">AVERAGE(M262:T262)</f>
        <v>0</v>
      </c>
      <c r="V262" s="19" t="n">
        <v>2</v>
      </c>
      <c r="W262" s="19" t="n">
        <v>3</v>
      </c>
      <c r="X262" s="19" t="n">
        <v>4</v>
      </c>
      <c r="Y262" s="19" t="n">
        <v>4</v>
      </c>
      <c r="Z262" s="19" t="n">
        <v>2</v>
      </c>
      <c r="AA262" s="19" t="n">
        <v>1</v>
      </c>
      <c r="AB262" s="19" t="n">
        <v>3</v>
      </c>
      <c r="AC262" s="19" t="n">
        <v>3</v>
      </c>
      <c r="AD262" s="19" t="n">
        <v>3</v>
      </c>
      <c r="AE262" s="19" t="n">
        <v>4</v>
      </c>
      <c r="AF262" s="19" t="n">
        <v>4</v>
      </c>
      <c r="AG262" s="19" t="n">
        <v>4</v>
      </c>
      <c r="AH262" s="19" t="n">
        <v>3</v>
      </c>
      <c r="AI262" s="19" t="n">
        <v>4</v>
      </c>
      <c r="AJ262" s="19" t="n">
        <v>3</v>
      </c>
      <c r="AK262" s="19" t="n">
        <v>4</v>
      </c>
      <c r="AL262" s="19" t="n">
        <v>4</v>
      </c>
      <c r="AM262" s="19" t="n">
        <v>4</v>
      </c>
      <c r="AN262" s="19" t="n">
        <v>4</v>
      </c>
      <c r="AO262" s="19" t="n">
        <v>9</v>
      </c>
      <c r="AP262" s="0" t="n">
        <v>41.5</v>
      </c>
      <c r="AQ262" s="16" t="n">
        <v>70</v>
      </c>
      <c r="AR262" s="16" t="n">
        <v>83.4</v>
      </c>
      <c r="AS262" s="16" t="n">
        <v>33.4</v>
      </c>
      <c r="AT262" s="0" t="n">
        <v>67.05</v>
      </c>
      <c r="AU262" s="0" t="n">
        <v>0</v>
      </c>
      <c r="AV262" s="0" t="n">
        <v>5.87</v>
      </c>
      <c r="AW262" s="0" t="n">
        <v>12.48</v>
      </c>
      <c r="AX262" s="0" t="n">
        <v>14.6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18.75</v>
      </c>
      <c r="BG262" s="0" t="n">
        <v>14.73</v>
      </c>
      <c r="BH262" s="0" t="n">
        <v>5.87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1</v>
      </c>
      <c r="BN262" s="0" t="n">
        <v>1</v>
      </c>
      <c r="BO262" s="16" t="n">
        <v>1.6</v>
      </c>
      <c r="BP262" s="16" t="n">
        <v>1</v>
      </c>
      <c r="BQ262" s="16" t="n">
        <v>6.47</v>
      </c>
      <c r="BR262" s="16" t="n">
        <v>6.24</v>
      </c>
      <c r="BS262" s="16" t="n">
        <v>0</v>
      </c>
      <c r="BT262" s="16" t="n">
        <v>0</v>
      </c>
      <c r="BU262" s="16" t="n">
        <v>0</v>
      </c>
      <c r="BV262" s="0" t="n">
        <v>0</v>
      </c>
    </row>
    <row r="263" customFormat="false" ht="13.8" hidden="false" customHeight="false" outlineLevel="0" collapsed="false">
      <c r="A263" s="0" t="n">
        <v>2</v>
      </c>
      <c r="B263" s="0" t="n">
        <v>26.0150581793292</v>
      </c>
      <c r="C263" s="0" t="n">
        <v>0.323066392881588</v>
      </c>
      <c r="D263" s="0" t="n">
        <v>8</v>
      </c>
      <c r="E263" s="0" t="n">
        <v>88</v>
      </c>
      <c r="F263" s="0" t="n">
        <v>1.82</v>
      </c>
      <c r="G263" s="0" t="n">
        <v>26.5668397536529</v>
      </c>
      <c r="H263" s="0" t="n">
        <v>0</v>
      </c>
      <c r="I263" s="0" t="n">
        <v>0</v>
      </c>
      <c r="J263" s="19" t="n">
        <v>0</v>
      </c>
      <c r="K263" s="19" t="n">
        <v>0</v>
      </c>
      <c r="L263" s="19" t="n">
        <v>0</v>
      </c>
      <c r="M263" s="19" t="n">
        <v>0</v>
      </c>
      <c r="N263" s="19" t="n">
        <v>0</v>
      </c>
      <c r="O263" s="19" t="n">
        <v>0</v>
      </c>
      <c r="P263" s="19" t="n">
        <v>0</v>
      </c>
      <c r="Q263" s="19" t="n">
        <v>0</v>
      </c>
      <c r="R263" s="19" t="n">
        <v>0</v>
      </c>
      <c r="S263" s="19" t="n">
        <v>0</v>
      </c>
      <c r="T263" s="19" t="n">
        <v>0</v>
      </c>
      <c r="U263" s="15" t="n">
        <f aca="false">AVERAGE(M263:T263)</f>
        <v>0</v>
      </c>
      <c r="V263" s="19" t="n">
        <v>1</v>
      </c>
      <c r="W263" s="19" t="n">
        <v>2</v>
      </c>
      <c r="X263" s="19" t="n">
        <v>2</v>
      </c>
      <c r="Y263" s="19" t="n">
        <v>5</v>
      </c>
      <c r="Z263" s="19" t="n">
        <v>3</v>
      </c>
      <c r="AA263" s="19" t="n">
        <v>4</v>
      </c>
      <c r="AB263" s="19" t="n">
        <v>3</v>
      </c>
      <c r="AC263" s="19" t="n">
        <v>5</v>
      </c>
      <c r="AD263" s="19" t="n">
        <v>5</v>
      </c>
      <c r="AE263" s="19" t="n">
        <v>4</v>
      </c>
      <c r="AF263" s="19" t="n">
        <v>4</v>
      </c>
      <c r="AG263" s="19" t="n">
        <v>4</v>
      </c>
      <c r="AH263" s="19" t="n">
        <v>4</v>
      </c>
      <c r="AI263" s="19" t="n">
        <v>4</v>
      </c>
      <c r="AJ263" s="19" t="n">
        <v>4</v>
      </c>
      <c r="AK263" s="19" t="n">
        <v>5</v>
      </c>
      <c r="AL263" s="19" t="n">
        <v>4</v>
      </c>
      <c r="AM263" s="19" t="n">
        <v>4</v>
      </c>
      <c r="AN263" s="19" t="n">
        <v>4</v>
      </c>
      <c r="AO263" s="19" t="n">
        <v>7</v>
      </c>
      <c r="AP263" s="0" t="n">
        <v>41.5</v>
      </c>
      <c r="AQ263" s="16" t="n">
        <v>70</v>
      </c>
      <c r="AR263" s="16" t="n">
        <v>83.4</v>
      </c>
      <c r="AS263" s="16" t="n">
        <v>33.4</v>
      </c>
      <c r="AT263" s="0" t="n">
        <v>67.05</v>
      </c>
      <c r="AU263" s="0" t="n">
        <v>0</v>
      </c>
      <c r="AV263" s="0" t="n">
        <v>5.87</v>
      </c>
      <c r="AW263" s="0" t="n">
        <v>12.48</v>
      </c>
      <c r="AX263" s="0" t="n">
        <v>14.6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18.75</v>
      </c>
      <c r="BG263" s="0" t="n">
        <v>14.73</v>
      </c>
      <c r="BH263" s="0" t="n">
        <v>5.87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1</v>
      </c>
      <c r="BN263" s="0" t="n">
        <v>1</v>
      </c>
      <c r="BO263" s="16" t="n">
        <v>1.6</v>
      </c>
      <c r="BP263" s="16" t="n">
        <v>1</v>
      </c>
      <c r="BQ263" s="16" t="n">
        <v>6.47</v>
      </c>
      <c r="BR263" s="16" t="n">
        <v>6.24</v>
      </c>
      <c r="BS263" s="16" t="n">
        <v>0</v>
      </c>
      <c r="BT263" s="16" t="n">
        <v>0</v>
      </c>
      <c r="BU263" s="16" t="n">
        <v>0</v>
      </c>
      <c r="BV263" s="0" t="n">
        <v>0</v>
      </c>
    </row>
    <row r="264" customFormat="false" ht="13.8" hidden="false" customHeight="false" outlineLevel="0" collapsed="false">
      <c r="A264" s="0" t="n">
        <v>2</v>
      </c>
      <c r="B264" s="0" t="n">
        <v>36.7583846680356</v>
      </c>
      <c r="C264" s="0" t="n">
        <v>0.314852840520192</v>
      </c>
      <c r="D264" s="0" t="n">
        <v>8</v>
      </c>
      <c r="E264" s="0" t="n">
        <v>89</v>
      </c>
      <c r="F264" s="0" t="n">
        <v>1.84</v>
      </c>
      <c r="G264" s="0" t="n">
        <v>26.2878071833648</v>
      </c>
      <c r="H264" s="0" t="n">
        <v>0</v>
      </c>
      <c r="I264" s="0" t="n">
        <v>0</v>
      </c>
      <c r="J264" s="19" t="n">
        <v>0</v>
      </c>
      <c r="K264" s="19" t="n">
        <v>3</v>
      </c>
      <c r="L264" s="19" t="n">
        <v>0</v>
      </c>
      <c r="M264" s="19" t="n">
        <v>0</v>
      </c>
      <c r="N264" s="19" t="n">
        <v>0</v>
      </c>
      <c r="O264" s="19" t="n">
        <v>0</v>
      </c>
      <c r="P264" s="19" t="n">
        <v>0</v>
      </c>
      <c r="Q264" s="19" t="n">
        <v>0</v>
      </c>
      <c r="R264" s="19" t="n">
        <v>0</v>
      </c>
      <c r="S264" s="19" t="n">
        <v>0</v>
      </c>
      <c r="T264" s="19" t="n">
        <v>0</v>
      </c>
      <c r="U264" s="15" t="n">
        <f aca="false">AVERAGE(M264:T264)</f>
        <v>0</v>
      </c>
      <c r="V264" s="19" t="n">
        <v>2</v>
      </c>
      <c r="W264" s="19" t="n">
        <v>2</v>
      </c>
      <c r="X264" s="19" t="n">
        <v>3</v>
      </c>
      <c r="Y264" s="19" t="n">
        <v>5</v>
      </c>
      <c r="Z264" s="19" t="n">
        <v>3</v>
      </c>
      <c r="AA264" s="19" t="n">
        <v>1</v>
      </c>
      <c r="AB264" s="19" t="n">
        <v>1</v>
      </c>
      <c r="AC264" s="19" t="n">
        <v>4</v>
      </c>
      <c r="AD264" s="19" t="n">
        <v>4</v>
      </c>
      <c r="AE264" s="19" t="n">
        <v>2</v>
      </c>
      <c r="AF264" s="19" t="n">
        <v>4</v>
      </c>
      <c r="AG264" s="19" t="n">
        <v>4</v>
      </c>
      <c r="AH264" s="19" t="n">
        <v>2</v>
      </c>
      <c r="AI264" s="19" t="n">
        <v>4</v>
      </c>
      <c r="AJ264" s="19" t="n">
        <v>4</v>
      </c>
      <c r="AK264" s="19" t="n">
        <v>5</v>
      </c>
      <c r="AL264" s="19" t="n">
        <v>3</v>
      </c>
      <c r="AM264" s="19" t="n">
        <v>3</v>
      </c>
      <c r="AN264" s="19" t="n">
        <v>4</v>
      </c>
      <c r="AO264" s="19" t="n">
        <v>9</v>
      </c>
      <c r="AP264" s="0" t="n">
        <v>41.5</v>
      </c>
      <c r="AQ264" s="16" t="n">
        <v>70</v>
      </c>
      <c r="AR264" s="16" t="n">
        <v>83.4</v>
      </c>
      <c r="AS264" s="16" t="n">
        <v>33.4</v>
      </c>
      <c r="AT264" s="0" t="n">
        <v>67.05</v>
      </c>
      <c r="AU264" s="0" t="n">
        <v>0</v>
      </c>
      <c r="AV264" s="0" t="n">
        <v>5.87</v>
      </c>
      <c r="AW264" s="0" t="n">
        <v>12.48</v>
      </c>
      <c r="AX264" s="0" t="n">
        <v>14.6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18.75</v>
      </c>
      <c r="BG264" s="0" t="n">
        <v>14.73</v>
      </c>
      <c r="BH264" s="0" t="n">
        <v>5.87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1</v>
      </c>
      <c r="BN264" s="0" t="n">
        <v>1</v>
      </c>
      <c r="BO264" s="16" t="n">
        <v>1.6</v>
      </c>
      <c r="BP264" s="16" t="n">
        <v>1</v>
      </c>
      <c r="BQ264" s="16" t="n">
        <v>6.47</v>
      </c>
      <c r="BR264" s="16" t="n">
        <v>6.24</v>
      </c>
      <c r="BS264" s="16" t="n">
        <v>0</v>
      </c>
      <c r="BT264" s="16" t="n">
        <v>0</v>
      </c>
      <c r="BU264" s="16" t="n">
        <v>0</v>
      </c>
      <c r="BV264" s="0" t="n">
        <v>0</v>
      </c>
    </row>
    <row r="265" customFormat="false" ht="13.8" hidden="false" customHeight="false" outlineLevel="0" collapsed="false">
      <c r="A265" s="0" t="n">
        <v>2</v>
      </c>
      <c r="B265" s="0" t="n">
        <v>45.2402464065708</v>
      </c>
      <c r="C265" s="0" t="n">
        <v>20.1232032854209</v>
      </c>
      <c r="D265" s="0" t="n">
        <v>8</v>
      </c>
      <c r="E265" s="0" t="n">
        <v>80</v>
      </c>
      <c r="F265" s="0" t="n">
        <v>1.72</v>
      </c>
      <c r="G265" s="0" t="n">
        <v>27.0416441319632</v>
      </c>
      <c r="H265" s="0" t="n">
        <v>0</v>
      </c>
      <c r="I265" s="0" t="n">
        <v>0</v>
      </c>
      <c r="J265" s="19" t="n">
        <v>0</v>
      </c>
      <c r="K265" s="19" t="n">
        <v>0</v>
      </c>
      <c r="L265" s="19" t="n">
        <v>1</v>
      </c>
      <c r="M265" s="19" t="n">
        <v>0</v>
      </c>
      <c r="N265" s="19" t="n">
        <v>6</v>
      </c>
      <c r="O265" s="19" t="n">
        <v>0</v>
      </c>
      <c r="P265" s="19" t="n">
        <v>0</v>
      </c>
      <c r="Q265" s="19" t="n">
        <v>0</v>
      </c>
      <c r="R265" s="19" t="n">
        <v>0</v>
      </c>
      <c r="S265" s="19" t="n">
        <v>0</v>
      </c>
      <c r="T265" s="19" t="n">
        <v>0</v>
      </c>
      <c r="U265" s="15" t="n">
        <f aca="false">AVERAGE(M265:T265)</f>
        <v>0.75</v>
      </c>
      <c r="V265" s="19" t="n">
        <v>3</v>
      </c>
      <c r="W265" s="19" t="n">
        <v>2</v>
      </c>
      <c r="X265" s="19" t="n">
        <v>3</v>
      </c>
      <c r="Y265" s="19" t="n">
        <v>5</v>
      </c>
      <c r="Z265" s="19" t="n">
        <v>1</v>
      </c>
      <c r="AA265" s="19" t="n">
        <v>1</v>
      </c>
      <c r="AB265" s="19" t="n">
        <v>3</v>
      </c>
      <c r="AC265" s="19" t="n">
        <v>3</v>
      </c>
      <c r="AD265" s="19" t="n">
        <v>4</v>
      </c>
      <c r="AE265" s="19" t="n">
        <v>4</v>
      </c>
      <c r="AF265" s="19" t="n">
        <v>5</v>
      </c>
      <c r="AG265" s="19" t="n">
        <v>5</v>
      </c>
      <c r="AH265" s="19" t="n">
        <v>3</v>
      </c>
      <c r="AI265" s="19" t="n">
        <v>4</v>
      </c>
      <c r="AJ265" s="19" t="n">
        <v>4</v>
      </c>
      <c r="AK265" s="19" t="n">
        <v>4</v>
      </c>
      <c r="AL265" s="19" t="n">
        <v>3</v>
      </c>
      <c r="AM265" s="19" t="n">
        <v>3</v>
      </c>
      <c r="AN265" s="19" t="n">
        <v>3</v>
      </c>
      <c r="AO265" s="19" t="n">
        <v>5</v>
      </c>
      <c r="AP265" s="0" t="n">
        <v>41.5</v>
      </c>
      <c r="AQ265" s="16" t="n">
        <v>70</v>
      </c>
      <c r="AR265" s="16" t="n">
        <v>83.4</v>
      </c>
      <c r="AS265" s="16" t="n">
        <v>33.4</v>
      </c>
      <c r="AT265" s="0" t="n">
        <v>67.05</v>
      </c>
      <c r="AU265" s="0" t="n">
        <v>0</v>
      </c>
      <c r="AV265" s="0" t="n">
        <v>5.87</v>
      </c>
      <c r="AW265" s="0" t="n">
        <v>12.48</v>
      </c>
      <c r="AX265" s="0" t="n">
        <v>14.6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18.75</v>
      </c>
      <c r="BG265" s="0" t="n">
        <v>14.73</v>
      </c>
      <c r="BH265" s="0" t="n">
        <v>5.87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1</v>
      </c>
      <c r="BN265" s="0" t="n">
        <v>1</v>
      </c>
      <c r="BO265" s="16" t="n">
        <v>1.6</v>
      </c>
      <c r="BP265" s="16" t="n">
        <v>1</v>
      </c>
      <c r="BQ265" s="16" t="n">
        <v>6.47</v>
      </c>
      <c r="BR265" s="16" t="n">
        <v>6.24</v>
      </c>
      <c r="BS265" s="16" t="n">
        <v>0</v>
      </c>
      <c r="BT265" s="16" t="n">
        <v>0</v>
      </c>
      <c r="BU265" s="16" t="n">
        <v>0</v>
      </c>
      <c r="BV265" s="0" t="n">
        <v>0</v>
      </c>
    </row>
    <row r="266" customFormat="false" ht="13.8" hidden="false" customHeight="false" outlineLevel="0" collapsed="false">
      <c r="A266" s="0" t="n">
        <v>2</v>
      </c>
      <c r="B266" s="0" t="n">
        <v>19.6522929500342</v>
      </c>
      <c r="C266" s="0" t="n">
        <v>0.257357973990418</v>
      </c>
      <c r="D266" s="0" t="n">
        <v>8</v>
      </c>
      <c r="E266" s="0" t="n">
        <v>90</v>
      </c>
      <c r="F266" s="0" t="n">
        <v>1.8</v>
      </c>
      <c r="G266" s="0" t="n">
        <v>27.7777777777778</v>
      </c>
      <c r="H266" s="0" t="n">
        <v>0</v>
      </c>
      <c r="I266" s="0" t="n">
        <v>0</v>
      </c>
      <c r="J266" s="19" t="n">
        <v>1</v>
      </c>
      <c r="K266" s="19" t="n">
        <v>0</v>
      </c>
      <c r="L266" s="19" t="n">
        <v>0</v>
      </c>
      <c r="M266" s="19" t="n">
        <v>0</v>
      </c>
      <c r="N266" s="19" t="n">
        <v>0</v>
      </c>
      <c r="O266" s="19" t="n">
        <v>0</v>
      </c>
      <c r="P266" s="19" t="n">
        <v>0</v>
      </c>
      <c r="Q266" s="19" t="n">
        <v>0</v>
      </c>
      <c r="R266" s="19" t="n">
        <v>0</v>
      </c>
      <c r="S266" s="19" t="n">
        <v>0</v>
      </c>
      <c r="T266" s="19" t="n">
        <v>0</v>
      </c>
      <c r="U266" s="15" t="n">
        <f aca="false">AVERAGE(M266:T266)</f>
        <v>0</v>
      </c>
      <c r="V266" s="19" t="n">
        <v>3</v>
      </c>
      <c r="W266" s="19" t="n">
        <v>2</v>
      </c>
      <c r="X266" s="19" t="n">
        <v>3</v>
      </c>
      <c r="Y266" s="19" t="n">
        <v>5</v>
      </c>
      <c r="Z266" s="19" t="n">
        <v>2</v>
      </c>
      <c r="AA266" s="19" t="n">
        <v>3</v>
      </c>
      <c r="AB266" s="19" t="n">
        <v>3</v>
      </c>
      <c r="AC266" s="19" t="n">
        <v>5</v>
      </c>
      <c r="AD266" s="19" t="n">
        <v>5</v>
      </c>
      <c r="AE266" s="19" t="n">
        <v>4</v>
      </c>
      <c r="AF266" s="19" t="n">
        <v>4</v>
      </c>
      <c r="AG266" s="19" t="n">
        <v>5</v>
      </c>
      <c r="AH266" s="19" t="n">
        <v>5</v>
      </c>
      <c r="AI266" s="19" t="n">
        <v>5</v>
      </c>
      <c r="AJ266" s="19" t="n">
        <v>4</v>
      </c>
      <c r="AK266" s="19" t="n">
        <v>5</v>
      </c>
      <c r="AL266" s="19" t="n">
        <v>4</v>
      </c>
      <c r="AM266" s="19" t="n">
        <v>3</v>
      </c>
      <c r="AN266" s="19" t="n">
        <v>5</v>
      </c>
      <c r="AO266" s="19" t="n">
        <v>10</v>
      </c>
      <c r="AP266" s="0" t="n">
        <v>41.5</v>
      </c>
      <c r="AQ266" s="16" t="n">
        <v>70</v>
      </c>
      <c r="AR266" s="16" t="n">
        <v>83.4</v>
      </c>
      <c r="AS266" s="16" t="n">
        <v>33.4</v>
      </c>
      <c r="AT266" s="0" t="n">
        <v>67.05</v>
      </c>
      <c r="AU266" s="0" t="n">
        <v>0</v>
      </c>
      <c r="AV266" s="0" t="n">
        <v>5.87</v>
      </c>
      <c r="AW266" s="0" t="n">
        <v>12.48</v>
      </c>
      <c r="AX266" s="0" t="n">
        <v>14.6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18.75</v>
      </c>
      <c r="BG266" s="0" t="n">
        <v>14.73</v>
      </c>
      <c r="BH266" s="0" t="n">
        <v>5.87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1</v>
      </c>
      <c r="BN266" s="0" t="n">
        <v>1</v>
      </c>
      <c r="BO266" s="16" t="n">
        <v>1.6</v>
      </c>
      <c r="BP266" s="16" t="n">
        <v>1</v>
      </c>
      <c r="BQ266" s="16" t="n">
        <v>6.47</v>
      </c>
      <c r="BR266" s="16" t="n">
        <v>6.24</v>
      </c>
      <c r="BS266" s="16" t="n">
        <v>0</v>
      </c>
      <c r="BT266" s="16" t="n">
        <v>0</v>
      </c>
      <c r="BU266" s="16" t="n">
        <v>0</v>
      </c>
      <c r="BV266" s="0" t="n">
        <v>0</v>
      </c>
    </row>
    <row r="267" customFormat="false" ht="13.8" hidden="false" customHeight="false" outlineLevel="0" collapsed="false">
      <c r="A267" s="0" t="n">
        <v>2</v>
      </c>
      <c r="B267" s="0" t="n">
        <v>33.2457221081451</v>
      </c>
      <c r="C267" s="0" t="n">
        <v>0.287474332648871</v>
      </c>
      <c r="D267" s="0" t="n">
        <v>8</v>
      </c>
      <c r="E267" s="0" t="n">
        <v>110</v>
      </c>
      <c r="F267" s="0" t="n">
        <v>1.83</v>
      </c>
      <c r="G267" s="0" t="n">
        <v>32.8466063483532</v>
      </c>
      <c r="H267" s="0" t="n">
        <v>0</v>
      </c>
      <c r="I267" s="0" t="n">
        <v>0</v>
      </c>
      <c r="J267" s="19" t="n">
        <v>0</v>
      </c>
      <c r="K267" s="19" t="n">
        <v>2</v>
      </c>
      <c r="L267" s="19" t="n">
        <v>1</v>
      </c>
      <c r="M267" s="19" t="n">
        <v>0</v>
      </c>
      <c r="N267" s="19" t="n">
        <v>0</v>
      </c>
      <c r="O267" s="19" t="n">
        <v>0</v>
      </c>
      <c r="P267" s="19" t="n">
        <v>0</v>
      </c>
      <c r="Q267" s="19" t="n">
        <v>0</v>
      </c>
      <c r="R267" s="19" t="n">
        <v>0</v>
      </c>
      <c r="S267" s="19" t="n">
        <v>0</v>
      </c>
      <c r="T267" s="19" t="n">
        <v>0</v>
      </c>
      <c r="U267" s="15" t="n">
        <f aca="false">AVERAGE(M267:T267)</f>
        <v>0</v>
      </c>
      <c r="V267" s="19" t="n">
        <v>1</v>
      </c>
      <c r="W267" s="19" t="n">
        <v>2</v>
      </c>
      <c r="X267" s="19" t="n">
        <v>5</v>
      </c>
      <c r="Y267" s="19" t="n">
        <v>5</v>
      </c>
      <c r="Z267" s="19" t="n">
        <v>3</v>
      </c>
      <c r="AA267" s="19" t="n">
        <v>1</v>
      </c>
      <c r="AB267" s="19" t="n">
        <v>2</v>
      </c>
      <c r="AC267" s="19" t="n">
        <v>3</v>
      </c>
      <c r="AD267" s="19" t="n">
        <v>4</v>
      </c>
      <c r="AE267" s="19" t="n">
        <v>4</v>
      </c>
      <c r="AF267" s="19" t="n">
        <v>4</v>
      </c>
      <c r="AG267" s="19" t="n">
        <v>5</v>
      </c>
      <c r="AH267" s="19" t="n">
        <v>3</v>
      </c>
      <c r="AI267" s="19" t="n">
        <v>5</v>
      </c>
      <c r="AJ267" s="19" t="n">
        <v>4</v>
      </c>
      <c r="AK267" s="19" t="n">
        <v>5</v>
      </c>
      <c r="AL267" s="19" t="n">
        <v>4</v>
      </c>
      <c r="AM267" s="19" t="n">
        <v>4</v>
      </c>
      <c r="AN267" s="19" t="n">
        <v>4</v>
      </c>
      <c r="AO267" s="19" t="n">
        <v>8</v>
      </c>
      <c r="AP267" s="0" t="n">
        <v>41.5</v>
      </c>
      <c r="AQ267" s="16" t="n">
        <v>70</v>
      </c>
      <c r="AR267" s="16" t="n">
        <v>83.4</v>
      </c>
      <c r="AS267" s="16" t="n">
        <v>33.4</v>
      </c>
      <c r="AT267" s="0" t="n">
        <v>67.05</v>
      </c>
      <c r="AU267" s="0" t="n">
        <v>0</v>
      </c>
      <c r="AV267" s="0" t="n">
        <v>5.87</v>
      </c>
      <c r="AW267" s="0" t="n">
        <v>12.48</v>
      </c>
      <c r="AX267" s="0" t="n">
        <v>14.6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18.75</v>
      </c>
      <c r="BG267" s="0" t="n">
        <v>14.73</v>
      </c>
      <c r="BH267" s="0" t="n">
        <v>5.87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1</v>
      </c>
      <c r="BN267" s="0" t="n">
        <v>1</v>
      </c>
      <c r="BO267" s="16" t="n">
        <v>1.6</v>
      </c>
      <c r="BP267" s="16" t="n">
        <v>1</v>
      </c>
      <c r="BQ267" s="16" t="n">
        <v>6.47</v>
      </c>
      <c r="BR267" s="16" t="n">
        <v>6.24</v>
      </c>
      <c r="BS267" s="16" t="n">
        <v>0</v>
      </c>
      <c r="BT267" s="16" t="n">
        <v>0</v>
      </c>
      <c r="BU267" s="16" t="n">
        <v>0</v>
      </c>
      <c r="BV267" s="0" t="n">
        <v>0</v>
      </c>
    </row>
    <row r="268" customFormat="false" ht="13.8" hidden="false" customHeight="false" outlineLevel="0" collapsed="false">
      <c r="A268" s="0" t="n">
        <v>2</v>
      </c>
      <c r="B268" s="0" t="n">
        <v>20.8459958932238</v>
      </c>
      <c r="C268" s="0" t="n">
        <v>0.317590691307324</v>
      </c>
      <c r="D268" s="0" t="n">
        <v>8</v>
      </c>
      <c r="F268" s="0" t="n">
        <v>1.6</v>
      </c>
      <c r="G268" s="0" t="n">
        <v>0</v>
      </c>
      <c r="H268" s="0" t="n">
        <v>0</v>
      </c>
      <c r="I268" s="0" t="n">
        <v>0</v>
      </c>
      <c r="J268" s="19" t="n">
        <v>0</v>
      </c>
      <c r="K268" s="19" t="n">
        <v>2</v>
      </c>
      <c r="L268" s="19" t="n">
        <v>0</v>
      </c>
      <c r="M268" s="19" t="n">
        <v>0</v>
      </c>
      <c r="N268" s="19" t="n">
        <v>0</v>
      </c>
      <c r="O268" s="19" t="n">
        <v>0</v>
      </c>
      <c r="P268" s="19" t="n">
        <v>0</v>
      </c>
      <c r="Q268" s="19" t="n">
        <v>0</v>
      </c>
      <c r="R268" s="19" t="n">
        <v>0</v>
      </c>
      <c r="S268" s="19" t="n">
        <v>0</v>
      </c>
      <c r="T268" s="19" t="n">
        <v>0</v>
      </c>
      <c r="U268" s="15" t="n">
        <f aca="false">AVERAGE(M268:T268)</f>
        <v>0</v>
      </c>
      <c r="V268" s="19" t="n">
        <v>1</v>
      </c>
      <c r="W268" s="19" t="n">
        <v>1</v>
      </c>
      <c r="X268" s="19" t="n">
        <v>3</v>
      </c>
      <c r="Y268" s="19" t="n">
        <v>5</v>
      </c>
      <c r="Z268" s="19" t="n">
        <v>1</v>
      </c>
      <c r="AA268" s="19" t="n">
        <v>2</v>
      </c>
      <c r="AB268" s="19" t="n">
        <v>1</v>
      </c>
      <c r="AC268" s="19" t="n">
        <v>3</v>
      </c>
      <c r="AD268" s="19" t="n">
        <v>5</v>
      </c>
      <c r="AE268" s="19" t="n">
        <v>5</v>
      </c>
      <c r="AF268" s="19" t="n">
        <v>5</v>
      </c>
      <c r="AG268" s="19" t="n">
        <v>5</v>
      </c>
      <c r="AH268" s="19" t="n">
        <v>4</v>
      </c>
      <c r="AI268" s="19" t="n">
        <v>5</v>
      </c>
      <c r="AJ268" s="19" t="n">
        <v>2</v>
      </c>
      <c r="AK268" s="19" t="n">
        <v>5</v>
      </c>
      <c r="AL268" s="19" t="n">
        <v>5</v>
      </c>
      <c r="AM268" s="19" t="n">
        <v>5</v>
      </c>
      <c r="AN268" s="19" t="n">
        <v>5</v>
      </c>
      <c r="AO268" s="19" t="n">
        <v>8</v>
      </c>
      <c r="AP268" s="0" t="n">
        <v>52.5</v>
      </c>
      <c r="AQ268" s="16" t="n">
        <v>84.4</v>
      </c>
      <c r="AR268" s="16" t="n">
        <v>83.4</v>
      </c>
      <c r="AS268" s="16" t="n">
        <v>45.2</v>
      </c>
      <c r="AT268" s="0" t="n">
        <v>36.52</v>
      </c>
      <c r="AU268" s="0" t="n">
        <v>0</v>
      </c>
      <c r="AV268" s="0" t="n">
        <v>24.46</v>
      </c>
      <c r="AW268" s="0" t="n">
        <v>5.81</v>
      </c>
      <c r="AX268" s="0" t="n">
        <v>9.54</v>
      </c>
      <c r="AY268" s="0" t="n">
        <v>0</v>
      </c>
      <c r="AZ268" s="0" t="n">
        <v>22.12</v>
      </c>
      <c r="BA268" s="0" t="n">
        <v>2.71</v>
      </c>
      <c r="BB268" s="0" t="n">
        <v>5.34</v>
      </c>
      <c r="BC268" s="0" t="n">
        <v>3.86</v>
      </c>
      <c r="BD268" s="0" t="n">
        <v>0</v>
      </c>
      <c r="BE268" s="0" t="n">
        <v>0</v>
      </c>
      <c r="BF268" s="0" t="n">
        <v>4.3</v>
      </c>
      <c r="BG268" s="0" t="n">
        <v>3.92</v>
      </c>
      <c r="BH268" s="0" t="n">
        <v>7.14</v>
      </c>
      <c r="BI268" s="0" t="n">
        <v>0.77</v>
      </c>
      <c r="BJ268" s="0" t="n">
        <v>0</v>
      </c>
      <c r="BK268" s="0" t="n">
        <v>0</v>
      </c>
      <c r="BL268" s="0" t="n">
        <v>1.4</v>
      </c>
      <c r="BM268" s="0" t="n">
        <v>1</v>
      </c>
      <c r="BN268" s="0" t="n">
        <v>1</v>
      </c>
      <c r="BO268" s="16" t="n">
        <v>0.07</v>
      </c>
      <c r="BP268" s="16" t="n">
        <v>1</v>
      </c>
      <c r="BQ268" s="16" t="n">
        <v>0.05</v>
      </c>
      <c r="BR268" s="16" t="n">
        <v>0.05</v>
      </c>
      <c r="BS268" s="16" t="n">
        <v>5.76</v>
      </c>
      <c r="BT268" s="16" t="n">
        <v>0</v>
      </c>
      <c r="BU268" s="16" t="n">
        <v>0</v>
      </c>
      <c r="BV268" s="0" t="n">
        <v>1</v>
      </c>
    </row>
    <row r="269" customFormat="false" ht="13.8" hidden="false" customHeight="false" outlineLevel="0" collapsed="false">
      <c r="A269" s="0" t="n">
        <v>2</v>
      </c>
      <c r="B269" s="0" t="n">
        <v>21.5249828884326</v>
      </c>
      <c r="C269" s="0" t="n">
        <v>0.238193018480493</v>
      </c>
      <c r="D269" s="0" t="n">
        <v>8</v>
      </c>
      <c r="E269" s="0" t="n">
        <v>76</v>
      </c>
      <c r="F269" s="0" t="n">
        <v>1.8</v>
      </c>
      <c r="G269" s="0" t="n">
        <v>23.4567901234568</v>
      </c>
      <c r="H269" s="0" t="n">
        <v>0</v>
      </c>
      <c r="I269" s="0" t="n">
        <v>0</v>
      </c>
      <c r="J269" s="19" t="n">
        <v>0</v>
      </c>
      <c r="K269" s="19" t="n">
        <v>1</v>
      </c>
      <c r="L269" s="19" t="n">
        <v>0</v>
      </c>
      <c r="M269" s="19" t="n">
        <v>0</v>
      </c>
      <c r="N269" s="19" t="n">
        <v>0</v>
      </c>
      <c r="O269" s="19" t="n">
        <v>0</v>
      </c>
      <c r="P269" s="19" t="n">
        <v>0</v>
      </c>
      <c r="Q269" s="19" t="n">
        <v>0</v>
      </c>
      <c r="R269" s="19" t="n">
        <v>0</v>
      </c>
      <c r="S269" s="19" t="n">
        <v>0</v>
      </c>
      <c r="T269" s="19" t="n">
        <v>0</v>
      </c>
      <c r="U269" s="15" t="n">
        <f aca="false">AVERAGE(M269:T269)</f>
        <v>0</v>
      </c>
      <c r="V269" s="19" t="n">
        <v>1</v>
      </c>
      <c r="W269" s="19" t="n">
        <v>1</v>
      </c>
      <c r="X269" s="19" t="n">
        <v>1</v>
      </c>
      <c r="Y269" s="19" t="n">
        <v>4</v>
      </c>
      <c r="Z269" s="19" t="n">
        <v>2</v>
      </c>
      <c r="AA269" s="19" t="n">
        <v>1</v>
      </c>
      <c r="AB269" s="19" t="n">
        <v>3</v>
      </c>
      <c r="AC269" s="19" t="n">
        <v>3</v>
      </c>
      <c r="AD269" s="19" t="n">
        <v>3</v>
      </c>
      <c r="AE269" s="19" t="n">
        <v>5</v>
      </c>
      <c r="AF269" s="19" t="n">
        <v>5</v>
      </c>
      <c r="AG269" s="19" t="n">
        <v>5</v>
      </c>
      <c r="AH269" s="19" t="n">
        <v>5</v>
      </c>
      <c r="AI269" s="19" t="n">
        <v>5</v>
      </c>
      <c r="AJ269" s="19" t="n">
        <v>5</v>
      </c>
      <c r="AK269" s="19" t="n">
        <v>5</v>
      </c>
      <c r="AL269" s="19" t="n">
        <v>5</v>
      </c>
      <c r="AM269" s="19" t="n">
        <v>5</v>
      </c>
      <c r="AN269" s="19" t="n">
        <v>5</v>
      </c>
      <c r="AO269" s="19" t="n">
        <v>10</v>
      </c>
      <c r="AP269" s="0" t="n">
        <v>35</v>
      </c>
      <c r="AQ269" s="16" t="n">
        <v>78.8</v>
      </c>
      <c r="AR269" s="16" t="n">
        <v>80.4</v>
      </c>
      <c r="AS269" s="16" t="n">
        <v>17.2</v>
      </c>
      <c r="AT269" s="0" t="n">
        <v>72.07</v>
      </c>
      <c r="AU269" s="0" t="n">
        <v>11.09</v>
      </c>
      <c r="AV269" s="0" t="n">
        <v>1.12</v>
      </c>
      <c r="AW269" s="0" t="n">
        <v>0</v>
      </c>
      <c r="AX269" s="0" t="n">
        <v>15.71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1.66</v>
      </c>
      <c r="BG269" s="0" t="n">
        <v>34.99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11.2</v>
      </c>
      <c r="BM269" s="0" t="n">
        <v>1</v>
      </c>
      <c r="BN269" s="0" t="n">
        <v>0</v>
      </c>
      <c r="BO269" s="16" t="n">
        <v>0</v>
      </c>
      <c r="BP269" s="16" t="n">
        <v>0</v>
      </c>
      <c r="BQ269" s="16" t="n">
        <v>6.16</v>
      </c>
      <c r="BR269" s="16" t="n">
        <v>7.21</v>
      </c>
      <c r="BS269" s="16" t="n">
        <v>0</v>
      </c>
      <c r="BT269" s="16" t="n">
        <v>0</v>
      </c>
      <c r="BU269" s="16" t="n">
        <v>0</v>
      </c>
      <c r="BV269" s="0" t="n">
        <v>0</v>
      </c>
    </row>
    <row r="270" customFormat="false" ht="13.8" hidden="false" customHeight="false" outlineLevel="0" collapsed="false">
      <c r="A270" s="0" t="n">
        <v>2</v>
      </c>
      <c r="B270" s="0" t="n">
        <v>40.2135523613963</v>
      </c>
      <c r="C270" s="0" t="n">
        <v>19.5975359342916</v>
      </c>
      <c r="D270" s="0" t="n">
        <v>8</v>
      </c>
      <c r="E270" s="0" t="n">
        <v>82</v>
      </c>
      <c r="F270" s="0" t="n">
        <v>1.77</v>
      </c>
      <c r="G270" s="0" t="n">
        <v>26.1738325513103</v>
      </c>
      <c r="H270" s="0" t="n">
        <v>0</v>
      </c>
      <c r="I270" s="0" t="n">
        <v>0</v>
      </c>
      <c r="J270" s="19" t="n">
        <v>0</v>
      </c>
      <c r="K270" s="19" t="n">
        <v>0</v>
      </c>
      <c r="L270" s="19" t="n">
        <v>0</v>
      </c>
      <c r="M270" s="19" t="n">
        <v>0</v>
      </c>
      <c r="N270" s="19" t="n">
        <v>0</v>
      </c>
      <c r="O270" s="19" t="n">
        <v>0</v>
      </c>
      <c r="P270" s="19" t="n">
        <v>0</v>
      </c>
      <c r="Q270" s="19" t="n">
        <v>0</v>
      </c>
      <c r="R270" s="19" t="n">
        <v>0</v>
      </c>
      <c r="S270" s="19" t="n">
        <v>0</v>
      </c>
      <c r="T270" s="19" t="n">
        <v>0</v>
      </c>
      <c r="U270" s="15" t="n">
        <f aca="false">AVERAGE(M270:T270)</f>
        <v>0</v>
      </c>
      <c r="V270" s="19" t="n">
        <v>5</v>
      </c>
      <c r="W270" s="19" t="n">
        <v>2</v>
      </c>
      <c r="X270" s="19" t="n">
        <v>4</v>
      </c>
      <c r="Y270" s="19" t="n">
        <v>5</v>
      </c>
      <c r="Z270" s="19" t="n">
        <v>2</v>
      </c>
      <c r="AA270" s="19" t="n">
        <v>1</v>
      </c>
      <c r="AB270" s="19" t="n">
        <v>2</v>
      </c>
      <c r="AC270" s="19" t="n">
        <v>3</v>
      </c>
      <c r="AD270" s="19" t="n">
        <v>4</v>
      </c>
      <c r="AE270" s="19" t="n">
        <v>2</v>
      </c>
      <c r="AF270" s="19" t="n">
        <v>2</v>
      </c>
      <c r="AG270" s="19" t="n">
        <v>5</v>
      </c>
      <c r="AH270" s="19" t="n">
        <v>1</v>
      </c>
      <c r="AI270" s="19" t="n">
        <v>4</v>
      </c>
      <c r="AJ270" s="19" t="n">
        <v>4</v>
      </c>
      <c r="AK270" s="19" t="n">
        <v>4</v>
      </c>
      <c r="AL270" s="19" t="n">
        <v>3</v>
      </c>
      <c r="AM270" s="19" t="n">
        <v>4</v>
      </c>
      <c r="AN270" s="19" t="n">
        <v>2</v>
      </c>
      <c r="AO270" s="19" t="n">
        <v>9</v>
      </c>
      <c r="AP270" s="0" t="n">
        <v>35</v>
      </c>
      <c r="AQ270" s="16" t="n">
        <v>78.8</v>
      </c>
      <c r="AR270" s="16" t="n">
        <v>80.4</v>
      </c>
      <c r="AS270" s="16" t="n">
        <v>17.2</v>
      </c>
      <c r="AT270" s="0" t="n">
        <v>72.07</v>
      </c>
      <c r="AU270" s="0" t="n">
        <v>11.09</v>
      </c>
      <c r="AV270" s="0" t="n">
        <v>1.12</v>
      </c>
      <c r="AW270" s="0" t="n">
        <v>0</v>
      </c>
      <c r="AX270" s="0" t="n">
        <v>15.71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1.66</v>
      </c>
      <c r="BG270" s="0" t="n">
        <v>34.99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11.2</v>
      </c>
      <c r="BM270" s="0" t="n">
        <v>1</v>
      </c>
      <c r="BN270" s="0" t="n">
        <v>0</v>
      </c>
      <c r="BO270" s="16" t="n">
        <v>0</v>
      </c>
      <c r="BP270" s="16" t="n">
        <v>0</v>
      </c>
      <c r="BQ270" s="16" t="n">
        <v>6.16</v>
      </c>
      <c r="BR270" s="16" t="n">
        <v>7.21</v>
      </c>
      <c r="BS270" s="16" t="n">
        <v>0</v>
      </c>
      <c r="BT270" s="16" t="n">
        <v>0</v>
      </c>
      <c r="BU270" s="16" t="n">
        <v>0</v>
      </c>
      <c r="BV270" s="0" t="n">
        <v>0</v>
      </c>
    </row>
    <row r="271" customFormat="false" ht="13.8" hidden="false" customHeight="false" outlineLevel="0" collapsed="false">
      <c r="A271" s="0" t="n">
        <v>1</v>
      </c>
      <c r="B271" s="0" t="n">
        <v>28.4243668720055</v>
      </c>
      <c r="C271" s="0" t="n">
        <v>0.249144421629021</v>
      </c>
      <c r="D271" s="0" t="n">
        <v>8</v>
      </c>
      <c r="E271" s="0" t="n">
        <v>70</v>
      </c>
      <c r="F271" s="0" t="n">
        <v>1.62</v>
      </c>
      <c r="G271" s="0" t="n">
        <v>26.6727632982777</v>
      </c>
      <c r="H271" s="0" t="n">
        <v>0</v>
      </c>
      <c r="I271" s="0" t="n">
        <v>0</v>
      </c>
      <c r="J271" s="19" t="n">
        <v>1</v>
      </c>
      <c r="K271" s="19" t="n">
        <v>1</v>
      </c>
      <c r="L271" s="19" t="n">
        <v>1</v>
      </c>
      <c r="M271" s="19" t="n">
        <v>2</v>
      </c>
      <c r="N271" s="19" t="n">
        <v>0</v>
      </c>
      <c r="O271" s="19" t="n">
        <v>0</v>
      </c>
      <c r="P271" s="19" t="n">
        <v>0</v>
      </c>
      <c r="Q271" s="19" t="n">
        <v>8</v>
      </c>
      <c r="R271" s="19" t="n">
        <v>8</v>
      </c>
      <c r="S271" s="19" t="n">
        <v>0</v>
      </c>
      <c r="T271" s="19" t="n">
        <v>0</v>
      </c>
      <c r="U271" s="15" t="n">
        <f aca="false">AVERAGE(M271:T271)</f>
        <v>2.25</v>
      </c>
      <c r="V271" s="19" t="n">
        <v>3</v>
      </c>
      <c r="W271" s="19" t="n">
        <v>2</v>
      </c>
      <c r="X271" s="19" t="n">
        <v>2</v>
      </c>
      <c r="Y271" s="19" t="n">
        <v>5</v>
      </c>
      <c r="Z271" s="19" t="n">
        <v>1</v>
      </c>
      <c r="AA271" s="19" t="n">
        <v>1</v>
      </c>
      <c r="AB271" s="19" t="n">
        <v>2</v>
      </c>
      <c r="AC271" s="19" t="n">
        <v>3</v>
      </c>
      <c r="AD271" s="19" t="n">
        <v>2</v>
      </c>
      <c r="AE271" s="19" t="n">
        <v>3</v>
      </c>
      <c r="AF271" s="19" t="n">
        <v>5</v>
      </c>
      <c r="AG271" s="19" t="n">
        <v>5</v>
      </c>
      <c r="AH271" s="19" t="n">
        <v>2</v>
      </c>
      <c r="AI271" s="19"/>
      <c r="AJ271" s="19" t="n">
        <v>4</v>
      </c>
      <c r="AK271" s="19" t="n">
        <v>5</v>
      </c>
      <c r="AL271" s="19" t="n">
        <v>4</v>
      </c>
      <c r="AM271" s="19" t="n">
        <v>4</v>
      </c>
      <c r="AN271" s="19" t="n">
        <v>4</v>
      </c>
      <c r="AO271" s="19" t="n">
        <v>9</v>
      </c>
      <c r="AP271" s="0" t="n">
        <v>35</v>
      </c>
      <c r="AQ271" s="16" t="n">
        <v>78.8</v>
      </c>
      <c r="AR271" s="16" t="n">
        <v>80.4</v>
      </c>
      <c r="AS271" s="16" t="n">
        <v>17.2</v>
      </c>
      <c r="AT271" s="0" t="n">
        <v>72.07</v>
      </c>
      <c r="AU271" s="0" t="n">
        <v>11.09</v>
      </c>
      <c r="AV271" s="0" t="n">
        <v>1.12</v>
      </c>
      <c r="AW271" s="0" t="n">
        <v>0</v>
      </c>
      <c r="AX271" s="0" t="n">
        <v>15.71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1.66</v>
      </c>
      <c r="BG271" s="0" t="n">
        <v>34.99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11.2</v>
      </c>
      <c r="BM271" s="0" t="n">
        <v>1</v>
      </c>
      <c r="BN271" s="0" t="n">
        <v>0</v>
      </c>
      <c r="BO271" s="16" t="n">
        <v>0</v>
      </c>
      <c r="BP271" s="16" t="n">
        <v>0</v>
      </c>
      <c r="BQ271" s="16" t="n">
        <v>6.16</v>
      </c>
      <c r="BR271" s="16" t="n">
        <v>7.21</v>
      </c>
      <c r="BS271" s="16" t="n">
        <v>0</v>
      </c>
      <c r="BT271" s="16" t="n">
        <v>0</v>
      </c>
      <c r="BU271" s="16" t="n">
        <v>0</v>
      </c>
      <c r="BV271" s="0" t="n">
        <v>0</v>
      </c>
    </row>
    <row r="272" customFormat="false" ht="13.8" hidden="false" customHeight="false" outlineLevel="0" collapsed="false">
      <c r="A272" s="0" t="n">
        <v>1</v>
      </c>
      <c r="B272" s="0" t="n">
        <v>42.6666666666667</v>
      </c>
      <c r="C272" s="0" t="n">
        <v>6.55989048596851</v>
      </c>
      <c r="D272" s="0" t="n">
        <v>4</v>
      </c>
      <c r="E272" s="0" t="n">
        <v>62</v>
      </c>
      <c r="F272" s="0" t="n">
        <v>1.56</v>
      </c>
      <c r="G272" s="0" t="n">
        <v>25.4766600920447</v>
      </c>
      <c r="H272" s="0" t="n">
        <v>0</v>
      </c>
      <c r="I272" s="0" t="n">
        <v>0</v>
      </c>
      <c r="J272" s="19" t="n">
        <v>0</v>
      </c>
      <c r="K272" s="19" t="n">
        <v>3</v>
      </c>
      <c r="L272" s="19" t="n">
        <v>0</v>
      </c>
      <c r="M272" s="19" t="n">
        <v>0</v>
      </c>
      <c r="N272" s="19" t="n">
        <v>0</v>
      </c>
      <c r="O272" s="19"/>
      <c r="P272" s="19" t="n">
        <v>3</v>
      </c>
      <c r="Q272" s="19" t="n">
        <v>3</v>
      </c>
      <c r="R272" s="19"/>
      <c r="S272" s="19" t="n">
        <v>0</v>
      </c>
      <c r="T272" s="19" t="n">
        <v>0</v>
      </c>
      <c r="U272" s="15" t="n">
        <f aca="false">AVERAGE(M272:T272)</f>
        <v>1</v>
      </c>
      <c r="V272" s="19" t="n">
        <v>2</v>
      </c>
      <c r="W272" s="19" t="n">
        <v>3</v>
      </c>
      <c r="X272" s="19" t="n">
        <v>3</v>
      </c>
      <c r="Y272" s="19" t="n">
        <v>5</v>
      </c>
      <c r="Z272" s="19" t="n">
        <v>2</v>
      </c>
      <c r="AA272" s="19" t="n">
        <v>3</v>
      </c>
      <c r="AB272" s="19" t="n">
        <v>3</v>
      </c>
      <c r="AC272" s="19" t="n">
        <v>4</v>
      </c>
      <c r="AD272" s="19" t="n">
        <v>3</v>
      </c>
      <c r="AE272" s="19" t="n">
        <v>4</v>
      </c>
      <c r="AF272" s="19" t="n">
        <v>5</v>
      </c>
      <c r="AG272" s="19" t="n">
        <v>5</v>
      </c>
      <c r="AH272" s="19" t="n">
        <v>3</v>
      </c>
      <c r="AI272" s="19" t="n">
        <v>4</v>
      </c>
      <c r="AJ272" s="19" t="n">
        <v>5</v>
      </c>
      <c r="AK272" s="19" t="n">
        <v>5</v>
      </c>
      <c r="AL272" s="19" t="n">
        <v>3</v>
      </c>
      <c r="AM272" s="19" t="n">
        <v>4</v>
      </c>
      <c r="AN272" s="19" t="n">
        <v>5</v>
      </c>
      <c r="AO272" s="19" t="n">
        <v>10</v>
      </c>
      <c r="AP272" s="0" t="n">
        <v>24.5</v>
      </c>
      <c r="AQ272" s="16" t="n">
        <v>70</v>
      </c>
      <c r="AR272" s="16" t="n">
        <v>80.4</v>
      </c>
      <c r="AS272" s="16" t="n">
        <v>15.5</v>
      </c>
      <c r="AT272" s="0" t="n">
        <v>85.6</v>
      </c>
      <c r="AU272" s="0" t="n">
        <v>0</v>
      </c>
      <c r="AV272" s="0" t="n">
        <v>0</v>
      </c>
      <c r="AW272" s="0" t="n">
        <v>0</v>
      </c>
      <c r="AX272" s="0" t="n">
        <v>14.4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6.46</v>
      </c>
      <c r="BG272" s="0" t="n">
        <v>24.97</v>
      </c>
      <c r="BH272" s="0" t="n">
        <v>15</v>
      </c>
      <c r="BI272" s="0" t="n">
        <v>0</v>
      </c>
      <c r="BJ272" s="0" t="n">
        <v>0</v>
      </c>
      <c r="BK272" s="0" t="n">
        <v>0</v>
      </c>
      <c r="BL272" s="0" t="n">
        <v>3.6</v>
      </c>
      <c r="BM272" s="0" t="n">
        <v>1</v>
      </c>
      <c r="BN272" s="0" t="n">
        <v>1</v>
      </c>
      <c r="BO272" s="16" t="n">
        <v>0.63</v>
      </c>
      <c r="BP272" s="16" t="n">
        <v>1</v>
      </c>
      <c r="BQ272" s="16" t="n">
        <v>3.25</v>
      </c>
      <c r="BR272" s="16" t="n">
        <v>3.26</v>
      </c>
      <c r="BS272" s="16" t="n">
        <v>0</v>
      </c>
      <c r="BT272" s="16" t="n">
        <v>0</v>
      </c>
      <c r="BU272" s="16" t="n">
        <v>0</v>
      </c>
      <c r="BV272" s="0" t="n">
        <v>0</v>
      </c>
    </row>
    <row r="273" customFormat="false" ht="13.8" hidden="false" customHeight="false" outlineLevel="0" collapsed="false">
      <c r="A273" s="0" t="n">
        <v>2</v>
      </c>
      <c r="B273" s="0" t="n">
        <v>53.7577002053388</v>
      </c>
      <c r="C273" s="0" t="n">
        <v>22.0260095824778</v>
      </c>
      <c r="D273" s="0" t="n">
        <v>8</v>
      </c>
      <c r="E273" s="0" t="n">
        <v>79</v>
      </c>
      <c r="F273" s="0" t="n">
        <v>1.81</v>
      </c>
      <c r="G273" s="0" t="n">
        <v>24.1140380330271</v>
      </c>
      <c r="H273" s="0" t="n">
        <v>0</v>
      </c>
      <c r="I273" s="0" t="n">
        <v>0</v>
      </c>
      <c r="J273" s="19" t="n">
        <v>0</v>
      </c>
      <c r="K273" s="19" t="n">
        <v>3</v>
      </c>
      <c r="L273" s="19" t="n">
        <v>0</v>
      </c>
      <c r="M273" s="19" t="n">
        <v>0</v>
      </c>
      <c r="N273" s="19" t="n">
        <v>0</v>
      </c>
      <c r="O273" s="19" t="n">
        <v>0</v>
      </c>
      <c r="P273" s="19" t="n">
        <v>0</v>
      </c>
      <c r="Q273" s="19" t="n">
        <v>0</v>
      </c>
      <c r="R273" s="19" t="n">
        <v>0</v>
      </c>
      <c r="S273" s="19" t="n">
        <v>0</v>
      </c>
      <c r="T273" s="19" t="n">
        <v>0</v>
      </c>
      <c r="U273" s="15" t="n">
        <f aca="false">AVERAGE(M273:T273)</f>
        <v>0</v>
      </c>
      <c r="V273" s="19" t="n">
        <v>2</v>
      </c>
      <c r="W273" s="19" t="n">
        <v>3</v>
      </c>
      <c r="X273" s="19" t="n">
        <v>4</v>
      </c>
      <c r="Y273" s="19" t="n">
        <v>5</v>
      </c>
      <c r="Z273" s="19" t="n">
        <v>3</v>
      </c>
      <c r="AA273" s="19" t="n">
        <v>3</v>
      </c>
      <c r="AB273" s="19" t="n">
        <v>4</v>
      </c>
      <c r="AC273" s="19" t="n">
        <v>3</v>
      </c>
      <c r="AD273" s="19" t="n">
        <v>3</v>
      </c>
      <c r="AE273" s="19" t="n">
        <v>5</v>
      </c>
      <c r="AF273" s="19" t="n">
        <v>5</v>
      </c>
      <c r="AG273" s="19" t="n">
        <v>5</v>
      </c>
      <c r="AH273" s="19" t="n">
        <v>4</v>
      </c>
      <c r="AI273" s="19" t="n">
        <v>5</v>
      </c>
      <c r="AJ273" s="19" t="n">
        <v>5</v>
      </c>
      <c r="AK273" s="19" t="n">
        <v>5</v>
      </c>
      <c r="AL273" s="19" t="n">
        <v>5</v>
      </c>
      <c r="AM273" s="19" t="n">
        <v>5</v>
      </c>
      <c r="AN273" s="19" t="n">
        <v>4</v>
      </c>
      <c r="AO273" s="19" t="n">
        <v>8</v>
      </c>
      <c r="AP273" s="0" t="n">
        <v>34.5</v>
      </c>
      <c r="AQ273" s="16" t="n">
        <v>76.2</v>
      </c>
      <c r="AR273" s="16" t="n">
        <v>80.4</v>
      </c>
      <c r="AS273" s="16" t="n">
        <v>34.1</v>
      </c>
      <c r="AT273" s="0" t="n">
        <v>70.97</v>
      </c>
      <c r="AU273" s="17" t="n">
        <v>0</v>
      </c>
      <c r="AV273" s="0" t="n">
        <v>11.02</v>
      </c>
      <c r="AW273" s="0" t="n">
        <v>18.01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0" t="n">
        <v>0</v>
      </c>
    </row>
    <row r="274" customFormat="false" ht="13.8" hidden="false" customHeight="false" outlineLevel="0" collapsed="false">
      <c r="A274" s="0" t="n">
        <v>2</v>
      </c>
      <c r="B274" s="0" t="n">
        <v>42.2532511978097</v>
      </c>
      <c r="C274" s="0" t="n">
        <v>21.6098562628337</v>
      </c>
      <c r="D274" s="0" t="n">
        <v>8</v>
      </c>
      <c r="E274" s="0" t="n">
        <v>70</v>
      </c>
      <c r="F274" s="0" t="n">
        <v>1.75</v>
      </c>
      <c r="G274" s="0" t="n">
        <v>22.8571428571429</v>
      </c>
      <c r="H274" s="0" t="n">
        <v>0</v>
      </c>
      <c r="I274" s="0" t="n">
        <v>0</v>
      </c>
      <c r="J274" s="19" t="n">
        <v>0</v>
      </c>
      <c r="K274" s="19" t="n">
        <v>2</v>
      </c>
      <c r="L274" s="19" t="n">
        <v>1</v>
      </c>
      <c r="M274" s="19" t="n">
        <v>0</v>
      </c>
      <c r="N274" s="19" t="n">
        <v>0</v>
      </c>
      <c r="O274" s="19" t="n">
        <v>0</v>
      </c>
      <c r="P274" s="19" t="n">
        <v>0</v>
      </c>
      <c r="Q274" s="19" t="n">
        <v>0</v>
      </c>
      <c r="R274" s="19" t="n">
        <v>0</v>
      </c>
      <c r="S274" s="19" t="n">
        <v>0</v>
      </c>
      <c r="T274" s="19" t="n">
        <v>0</v>
      </c>
      <c r="U274" s="15" t="n">
        <f aca="false">AVERAGE(M274:T274)</f>
        <v>0</v>
      </c>
      <c r="V274" s="19" t="n">
        <v>1</v>
      </c>
      <c r="W274" s="19" t="n">
        <v>2</v>
      </c>
      <c r="X274" s="19" t="n">
        <v>3</v>
      </c>
      <c r="Y274" s="19" t="n">
        <v>5</v>
      </c>
      <c r="Z274" s="19" t="n">
        <v>3</v>
      </c>
      <c r="AA274" s="19" t="n">
        <v>1</v>
      </c>
      <c r="AB274" s="19" t="n">
        <v>5</v>
      </c>
      <c r="AC274" s="19" t="n">
        <v>4</v>
      </c>
      <c r="AD274" s="19" t="n">
        <v>5</v>
      </c>
      <c r="AE274" s="19" t="n">
        <v>5</v>
      </c>
      <c r="AF274" s="19" t="n">
        <v>5</v>
      </c>
      <c r="AG274" s="19" t="n">
        <v>5</v>
      </c>
      <c r="AH274" s="19" t="n">
        <v>3</v>
      </c>
      <c r="AI274" s="19" t="n">
        <v>5</v>
      </c>
      <c r="AJ274" s="19" t="n">
        <v>5</v>
      </c>
      <c r="AK274" s="19" t="n">
        <v>5</v>
      </c>
      <c r="AL274" s="19" t="n">
        <v>5</v>
      </c>
      <c r="AM274" s="19" t="n">
        <v>5</v>
      </c>
      <c r="AN274" s="19" t="n">
        <v>5</v>
      </c>
      <c r="AO274" s="19" t="n">
        <v>10</v>
      </c>
      <c r="AP274" s="0" t="n">
        <v>34.5</v>
      </c>
      <c r="AQ274" s="16" t="n">
        <v>76.2</v>
      </c>
      <c r="AR274" s="16" t="n">
        <v>80.4</v>
      </c>
      <c r="AS274" s="16" t="n">
        <v>34.1</v>
      </c>
      <c r="AT274" s="0" t="n">
        <v>70.97</v>
      </c>
      <c r="AU274" s="17" t="n">
        <v>0</v>
      </c>
      <c r="AV274" s="0" t="n">
        <v>11.02</v>
      </c>
      <c r="AW274" s="0" t="n">
        <v>18.01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0" t="n">
        <v>0</v>
      </c>
    </row>
    <row r="275" customFormat="false" ht="13.8" hidden="false" customHeight="false" outlineLevel="0" collapsed="false">
      <c r="A275" s="0" t="n">
        <v>2</v>
      </c>
      <c r="B275" s="0" t="n">
        <v>48.9801505817933</v>
      </c>
      <c r="C275" s="0" t="n">
        <v>22.1574264202601</v>
      </c>
      <c r="D275" s="0" t="n">
        <v>8</v>
      </c>
      <c r="F275" s="0" t="n">
        <v>1.77</v>
      </c>
      <c r="G275" s="0" t="n">
        <v>0</v>
      </c>
      <c r="H275" s="0" t="n">
        <v>0</v>
      </c>
      <c r="I275" s="0" t="n">
        <v>0</v>
      </c>
      <c r="J275" s="19" t="n">
        <v>1</v>
      </c>
      <c r="K275" s="19" t="n">
        <v>0</v>
      </c>
      <c r="L275" s="19" t="n">
        <v>1</v>
      </c>
      <c r="M275" s="19" t="n">
        <v>4</v>
      </c>
      <c r="N275" s="19"/>
      <c r="O275" s="19" t="n">
        <v>0</v>
      </c>
      <c r="P275" s="19" t="n">
        <v>0</v>
      </c>
      <c r="Q275" s="19" t="n">
        <v>0</v>
      </c>
      <c r="R275" s="19" t="n">
        <v>0</v>
      </c>
      <c r="S275" s="19" t="n">
        <v>0</v>
      </c>
      <c r="T275" s="19" t="n">
        <v>4</v>
      </c>
      <c r="U275" s="15" t="n">
        <f aca="false">AVERAGE(M275:T275)</f>
        <v>1.14285714285714</v>
      </c>
      <c r="V275" s="19" t="n">
        <v>2</v>
      </c>
      <c r="W275" s="19"/>
      <c r="X275" s="19" t="n">
        <v>4</v>
      </c>
      <c r="Y275" s="19" t="n">
        <v>4</v>
      </c>
      <c r="Z275" s="19" t="n">
        <v>3</v>
      </c>
      <c r="AA275" s="19" t="n">
        <v>3</v>
      </c>
      <c r="AB275" s="19" t="n">
        <v>3</v>
      </c>
      <c r="AC275" s="19" t="n">
        <v>3</v>
      </c>
      <c r="AD275" s="19" t="n">
        <v>2</v>
      </c>
      <c r="AE275" s="19" t="n">
        <v>3</v>
      </c>
      <c r="AF275" s="19" t="n">
        <v>3</v>
      </c>
      <c r="AG275" s="19" t="n">
        <v>4</v>
      </c>
      <c r="AH275" s="19" t="n">
        <v>3</v>
      </c>
      <c r="AI275" s="19" t="n">
        <v>3</v>
      </c>
      <c r="AJ275" s="19" t="n">
        <v>4</v>
      </c>
      <c r="AK275" s="19" t="n">
        <v>4</v>
      </c>
      <c r="AL275" s="19" t="n">
        <v>3</v>
      </c>
      <c r="AM275" s="19" t="n">
        <v>3</v>
      </c>
      <c r="AN275" s="19" t="n">
        <v>4</v>
      </c>
      <c r="AO275" s="19"/>
      <c r="AP275" s="0" t="n">
        <v>34.5</v>
      </c>
      <c r="AQ275" s="16" t="n">
        <v>76.2</v>
      </c>
      <c r="AR275" s="16" t="n">
        <v>80.4</v>
      </c>
      <c r="AS275" s="16" t="n">
        <v>34.1</v>
      </c>
      <c r="AT275" s="0" t="n">
        <v>70.97</v>
      </c>
      <c r="AU275" s="17" t="n">
        <v>0</v>
      </c>
      <c r="AV275" s="0" t="n">
        <v>11.02</v>
      </c>
      <c r="AW275" s="0" t="n">
        <v>18.01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0" t="n">
        <v>0</v>
      </c>
    </row>
    <row r="276" customFormat="false" ht="13.8" hidden="false" customHeight="false" outlineLevel="0" collapsed="false">
      <c r="A276" s="0" t="n">
        <v>2</v>
      </c>
      <c r="B276" s="0" t="n">
        <v>52.8898015058179</v>
      </c>
      <c r="C276" s="0" t="n">
        <v>21.5085557837098</v>
      </c>
      <c r="D276" s="0" t="n">
        <v>4</v>
      </c>
      <c r="E276" s="0" t="n">
        <v>97</v>
      </c>
      <c r="F276" s="0" t="n">
        <v>1.82</v>
      </c>
      <c r="G276" s="0" t="n">
        <v>29.2839029102765</v>
      </c>
      <c r="H276" s="0" t="n">
        <v>1</v>
      </c>
      <c r="I276" s="0" t="n">
        <v>1</v>
      </c>
      <c r="J276" s="19" t="n">
        <v>0</v>
      </c>
      <c r="K276" s="19" t="n">
        <v>0</v>
      </c>
      <c r="L276" s="19" t="n">
        <v>1</v>
      </c>
      <c r="M276" s="19" t="n">
        <v>4</v>
      </c>
      <c r="N276" s="19" t="n">
        <v>0</v>
      </c>
      <c r="O276" s="19" t="n">
        <v>0</v>
      </c>
      <c r="P276" s="19" t="n">
        <v>0</v>
      </c>
      <c r="Q276" s="19" t="n">
        <v>0</v>
      </c>
      <c r="R276" s="19" t="n">
        <v>0</v>
      </c>
      <c r="S276" s="19" t="n">
        <v>0</v>
      </c>
      <c r="T276" s="19" t="n">
        <v>5</v>
      </c>
      <c r="U276" s="15" t="n">
        <f aca="false">AVERAGE(M276:T276)</f>
        <v>1.125</v>
      </c>
      <c r="V276" s="19" t="n">
        <v>3</v>
      </c>
      <c r="W276" s="19" t="n">
        <v>3</v>
      </c>
      <c r="X276" s="19" t="n">
        <v>5</v>
      </c>
      <c r="Y276" s="19" t="n">
        <v>5</v>
      </c>
      <c r="Z276" s="19" t="n">
        <v>5</v>
      </c>
      <c r="AA276" s="19" t="n">
        <v>4</v>
      </c>
      <c r="AB276" s="19" t="n">
        <v>4</v>
      </c>
      <c r="AC276" s="19" t="n">
        <v>4</v>
      </c>
      <c r="AD276" s="19" t="n">
        <v>5</v>
      </c>
      <c r="AE276" s="19" t="n">
        <v>4</v>
      </c>
      <c r="AF276" s="19" t="n">
        <v>4</v>
      </c>
      <c r="AG276" s="19" t="n">
        <v>4</v>
      </c>
      <c r="AH276" s="19" t="n">
        <v>4</v>
      </c>
      <c r="AI276" s="19" t="n">
        <v>3</v>
      </c>
      <c r="AJ276" s="19" t="n">
        <v>4</v>
      </c>
      <c r="AK276" s="19" t="n">
        <v>4</v>
      </c>
      <c r="AL276" s="19" t="n">
        <v>4</v>
      </c>
      <c r="AM276" s="19" t="n">
        <v>4</v>
      </c>
      <c r="AN276" s="19" t="n">
        <v>4</v>
      </c>
      <c r="AO276" s="19" t="n">
        <v>8</v>
      </c>
      <c r="AP276" s="0" t="n">
        <v>34.5</v>
      </c>
      <c r="AQ276" s="16" t="n">
        <v>76.2</v>
      </c>
      <c r="AR276" s="16" t="n">
        <v>80.4</v>
      </c>
      <c r="AS276" s="16" t="n">
        <v>34.1</v>
      </c>
      <c r="AT276" s="0" t="n">
        <v>70.97</v>
      </c>
      <c r="AU276" s="17" t="n">
        <v>0</v>
      </c>
      <c r="AV276" s="0" t="n">
        <v>11.02</v>
      </c>
      <c r="AW276" s="0" t="n">
        <v>18.01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0" t="n">
        <v>0</v>
      </c>
    </row>
    <row r="277" customFormat="false" ht="13.8" hidden="false" customHeight="false" outlineLevel="0" collapsed="false">
      <c r="A277" s="0" t="n">
        <v>2</v>
      </c>
      <c r="B277" s="0" t="n">
        <v>43.3894592744695</v>
      </c>
      <c r="C277" s="0" t="n">
        <v>21.5989048596851</v>
      </c>
      <c r="D277" s="0" t="n">
        <v>8</v>
      </c>
      <c r="E277" s="0" t="n">
        <v>110</v>
      </c>
      <c r="F277" s="0" t="n">
        <v>1.74</v>
      </c>
      <c r="G277" s="0" t="n">
        <v>36.3324085083895</v>
      </c>
      <c r="H277" s="0" t="n">
        <v>1</v>
      </c>
      <c r="J277" s="19" t="n">
        <v>0</v>
      </c>
      <c r="K277" s="19" t="n">
        <v>0</v>
      </c>
      <c r="L277" s="19" t="n">
        <v>0</v>
      </c>
      <c r="M277" s="19" t="n">
        <v>0</v>
      </c>
      <c r="N277" s="19" t="n">
        <v>0</v>
      </c>
      <c r="O277" s="19" t="n">
        <v>5</v>
      </c>
      <c r="P277" s="19" t="n">
        <v>8</v>
      </c>
      <c r="Q277" s="19" t="n">
        <v>0</v>
      </c>
      <c r="R277" s="19" t="n">
        <v>0</v>
      </c>
      <c r="S277" s="19" t="n">
        <v>0</v>
      </c>
      <c r="T277" s="19" t="n">
        <v>0</v>
      </c>
      <c r="U277" s="15" t="n">
        <f aca="false">AVERAGE(M277:T277)</f>
        <v>1.625</v>
      </c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 t="n">
        <v>3</v>
      </c>
      <c r="AM277" s="19" t="n">
        <v>3</v>
      </c>
      <c r="AN277" s="19" t="n">
        <v>2</v>
      </c>
      <c r="AO277" s="19" t="n">
        <v>3</v>
      </c>
      <c r="AP277" s="0" t="n">
        <v>34.5</v>
      </c>
      <c r="AQ277" s="16" t="n">
        <v>76.2</v>
      </c>
      <c r="AR277" s="16" t="n">
        <v>80.4</v>
      </c>
      <c r="AS277" s="16" t="n">
        <v>34.1</v>
      </c>
      <c r="AT277" s="0" t="n">
        <v>70.97</v>
      </c>
      <c r="AU277" s="17" t="n">
        <v>0</v>
      </c>
      <c r="AV277" s="0" t="n">
        <v>11.02</v>
      </c>
      <c r="AW277" s="0" t="n">
        <v>18.01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0" t="n">
        <v>0</v>
      </c>
    </row>
    <row r="278" customFormat="false" ht="13.8" hidden="false" customHeight="false" outlineLevel="0" collapsed="false">
      <c r="A278" s="0" t="n">
        <v>2</v>
      </c>
      <c r="B278" s="0" t="n">
        <v>37.5249828884326</v>
      </c>
      <c r="C278" s="0" t="n">
        <v>0.344969199178645</v>
      </c>
      <c r="D278" s="0" t="n">
        <v>4</v>
      </c>
      <c r="E278" s="0" t="n">
        <v>85</v>
      </c>
      <c r="F278" s="0" t="n">
        <v>1.72</v>
      </c>
      <c r="G278" s="0" t="n">
        <v>28.7317468902109</v>
      </c>
      <c r="H278" s="0" t="n">
        <v>0</v>
      </c>
      <c r="I278" s="0" t="n">
        <v>0</v>
      </c>
      <c r="J278" s="19" t="n">
        <v>0</v>
      </c>
      <c r="K278" s="19" t="n">
        <v>0</v>
      </c>
      <c r="L278" s="19" t="n">
        <v>0</v>
      </c>
      <c r="M278" s="19" t="n">
        <v>0</v>
      </c>
      <c r="N278" s="19" t="n">
        <v>0</v>
      </c>
      <c r="O278" s="19" t="n">
        <v>0</v>
      </c>
      <c r="P278" s="19" t="n">
        <v>0</v>
      </c>
      <c r="Q278" s="19" t="n">
        <v>4</v>
      </c>
      <c r="R278" s="19" t="n">
        <v>2</v>
      </c>
      <c r="S278" s="19" t="n">
        <v>0</v>
      </c>
      <c r="T278" s="19" t="n">
        <v>5</v>
      </c>
      <c r="U278" s="15" t="n">
        <f aca="false">AVERAGE(M278:T278)</f>
        <v>1.375</v>
      </c>
      <c r="V278" s="19" t="n">
        <v>2</v>
      </c>
      <c r="W278" s="19" t="n">
        <v>3</v>
      </c>
      <c r="X278" s="19" t="n">
        <v>3</v>
      </c>
      <c r="Y278" s="19" t="n">
        <v>5</v>
      </c>
      <c r="Z278" s="19" t="n">
        <v>2</v>
      </c>
      <c r="AA278" s="19" t="n">
        <v>1</v>
      </c>
      <c r="AB278" s="19" t="n">
        <v>4</v>
      </c>
      <c r="AC278" s="19" t="n">
        <v>4</v>
      </c>
      <c r="AD278" s="19" t="n">
        <v>3</v>
      </c>
      <c r="AE278" s="19" t="n">
        <v>3</v>
      </c>
      <c r="AF278" s="19" t="n">
        <v>4</v>
      </c>
      <c r="AG278" s="19" t="n">
        <v>5</v>
      </c>
      <c r="AH278" s="19" t="n">
        <v>3</v>
      </c>
      <c r="AI278" s="19" t="n">
        <v>4</v>
      </c>
      <c r="AJ278" s="19" t="n">
        <v>5</v>
      </c>
      <c r="AK278" s="19" t="n">
        <v>4</v>
      </c>
      <c r="AL278" s="19" t="n">
        <v>4</v>
      </c>
      <c r="AM278" s="19" t="n">
        <v>4</v>
      </c>
      <c r="AN278" s="19" t="n">
        <v>5</v>
      </c>
      <c r="AO278" s="19" t="n">
        <v>10</v>
      </c>
      <c r="AP278" s="0" t="n">
        <v>31</v>
      </c>
      <c r="AQ278" s="16" t="n">
        <v>82.6</v>
      </c>
      <c r="AR278" s="16" t="n">
        <v>83.4</v>
      </c>
      <c r="AS278" s="16" t="n">
        <v>5.7</v>
      </c>
      <c r="AT278" s="0" t="n">
        <v>99.97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7.3</v>
      </c>
      <c r="BF278" s="0" t="n">
        <v>53.74</v>
      </c>
      <c r="BG278" s="0" t="n">
        <v>0</v>
      </c>
      <c r="BH278" s="0" t="n">
        <v>0</v>
      </c>
      <c r="BI278" s="0" t="n">
        <v>0</v>
      </c>
      <c r="BJ278" s="0" t="n">
        <v>17.6</v>
      </c>
      <c r="BK278" s="0" t="n">
        <v>1</v>
      </c>
      <c r="BL278" s="0" t="n">
        <v>2.4</v>
      </c>
      <c r="BM278" s="0" t="n">
        <v>0</v>
      </c>
      <c r="BN278" s="0" t="n">
        <v>1</v>
      </c>
      <c r="BO278" s="16" t="n">
        <v>0</v>
      </c>
      <c r="BP278" s="16" t="n">
        <v>0</v>
      </c>
      <c r="BQ278" s="16" t="n">
        <v>5.21</v>
      </c>
      <c r="BR278" s="16" t="n">
        <v>2.59</v>
      </c>
      <c r="BS278" s="16" t="n">
        <v>0</v>
      </c>
      <c r="BT278" s="16" t="n">
        <v>0</v>
      </c>
      <c r="BU278" s="16" t="n">
        <v>0</v>
      </c>
      <c r="BV278" s="0" t="n">
        <v>0</v>
      </c>
    </row>
    <row r="279" customFormat="false" ht="13.8" hidden="false" customHeight="false" outlineLevel="0" collapsed="false">
      <c r="A279" s="0" t="n">
        <v>2</v>
      </c>
      <c r="B279" s="0" t="n">
        <v>25.8343600273785</v>
      </c>
      <c r="C279" s="0" t="n">
        <v>0.284736481861739</v>
      </c>
      <c r="D279" s="0" t="n">
        <v>4</v>
      </c>
      <c r="E279" s="0" t="n">
        <v>68</v>
      </c>
      <c r="F279" s="0" t="n">
        <v>1.77</v>
      </c>
      <c r="G279" s="0" t="n">
        <v>21.7051294327939</v>
      </c>
      <c r="H279" s="0" t="n">
        <v>0</v>
      </c>
      <c r="I279" s="0" t="n">
        <v>0</v>
      </c>
      <c r="J279" s="19" t="n">
        <v>0</v>
      </c>
      <c r="K279" s="19" t="n">
        <v>1</v>
      </c>
      <c r="L279" s="19" t="n">
        <v>1</v>
      </c>
      <c r="M279" s="19" t="n">
        <v>0</v>
      </c>
      <c r="N279" s="19" t="n">
        <v>0</v>
      </c>
      <c r="O279" s="19" t="n">
        <v>0</v>
      </c>
      <c r="P279" s="19" t="n">
        <v>0</v>
      </c>
      <c r="Q279" s="19" t="n">
        <v>0</v>
      </c>
      <c r="R279" s="19" t="n">
        <v>0</v>
      </c>
      <c r="S279" s="19" t="n">
        <v>0</v>
      </c>
      <c r="T279" s="19" t="n">
        <v>0</v>
      </c>
      <c r="U279" s="15" t="n">
        <f aca="false">AVERAGE(M279:T279)</f>
        <v>0</v>
      </c>
      <c r="V279" s="19" t="n">
        <v>2</v>
      </c>
      <c r="W279" s="19"/>
      <c r="X279" s="19" t="n">
        <v>3</v>
      </c>
      <c r="Y279" s="19" t="n">
        <v>5</v>
      </c>
      <c r="Z279" s="19" t="n">
        <v>2</v>
      </c>
      <c r="AA279" s="19" t="n">
        <v>1</v>
      </c>
      <c r="AB279" s="19" t="n">
        <v>4</v>
      </c>
      <c r="AC279" s="19" t="n">
        <v>3</v>
      </c>
      <c r="AD279" s="19" t="n">
        <v>2</v>
      </c>
      <c r="AE279" s="19" t="n">
        <v>2</v>
      </c>
      <c r="AF279" s="19" t="n">
        <v>4</v>
      </c>
      <c r="AG279" s="19" t="n">
        <v>4</v>
      </c>
      <c r="AH279" s="19" t="n">
        <v>4</v>
      </c>
      <c r="AI279" s="19" t="n">
        <v>4</v>
      </c>
      <c r="AJ279" s="19" t="n">
        <v>4</v>
      </c>
      <c r="AK279" s="19" t="n">
        <v>5</v>
      </c>
      <c r="AL279" s="19" t="n">
        <v>4</v>
      </c>
      <c r="AM279" s="19" t="n">
        <v>5</v>
      </c>
      <c r="AN279" s="19" t="n">
        <v>4</v>
      </c>
      <c r="AO279" s="19" t="n">
        <v>8</v>
      </c>
      <c r="AP279" s="0" t="n">
        <v>31</v>
      </c>
      <c r="AQ279" s="16" t="n">
        <v>82.6</v>
      </c>
      <c r="AR279" s="16" t="n">
        <v>83.4</v>
      </c>
      <c r="AS279" s="16" t="n">
        <v>5.7</v>
      </c>
      <c r="AT279" s="0" t="n">
        <v>99.97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7.3</v>
      </c>
      <c r="BF279" s="0" t="n">
        <v>53.74</v>
      </c>
      <c r="BG279" s="0" t="n">
        <v>0</v>
      </c>
      <c r="BH279" s="0" t="n">
        <v>0</v>
      </c>
      <c r="BI279" s="0" t="n">
        <v>0</v>
      </c>
      <c r="BJ279" s="0" t="n">
        <v>17.6</v>
      </c>
      <c r="BK279" s="0" t="n">
        <v>1</v>
      </c>
      <c r="BL279" s="0" t="n">
        <v>2.4</v>
      </c>
      <c r="BM279" s="0" t="n">
        <v>0</v>
      </c>
      <c r="BN279" s="0" t="n">
        <v>1</v>
      </c>
      <c r="BO279" s="16" t="n">
        <v>0</v>
      </c>
      <c r="BP279" s="16" t="n">
        <v>0</v>
      </c>
      <c r="BQ279" s="16" t="n">
        <v>5.21</v>
      </c>
      <c r="BR279" s="16" t="n">
        <v>2.59</v>
      </c>
      <c r="BS279" s="16" t="n">
        <v>0</v>
      </c>
      <c r="BT279" s="16" t="n">
        <v>0</v>
      </c>
      <c r="BU279" s="16" t="n">
        <v>0</v>
      </c>
      <c r="BV279" s="0" t="n">
        <v>0</v>
      </c>
    </row>
    <row r="280" customFormat="false" ht="13.8" hidden="false" customHeight="false" outlineLevel="0" collapsed="false">
      <c r="A280" s="0" t="n">
        <v>1</v>
      </c>
      <c r="B280" s="0" t="n">
        <v>25.0266940451745</v>
      </c>
      <c r="C280" s="0" t="n">
        <v>0.268309377138946</v>
      </c>
      <c r="D280" s="0" t="n">
        <v>8</v>
      </c>
      <c r="E280" s="0" t="n">
        <v>69</v>
      </c>
      <c r="F280" s="0" t="n">
        <v>1.63</v>
      </c>
      <c r="G280" s="0" t="n">
        <v>25.9701155481953</v>
      </c>
      <c r="H280" s="0" t="n">
        <v>0</v>
      </c>
      <c r="I280" s="0" t="n">
        <v>0</v>
      </c>
      <c r="J280" s="19" t="n">
        <v>0</v>
      </c>
      <c r="K280" s="19" t="n">
        <v>0</v>
      </c>
      <c r="L280" s="19" t="n">
        <v>1</v>
      </c>
      <c r="M280" s="19" t="n">
        <v>0</v>
      </c>
      <c r="N280" s="19" t="n">
        <v>0</v>
      </c>
      <c r="O280" s="19" t="n">
        <v>0</v>
      </c>
      <c r="P280" s="19" t="n">
        <v>0</v>
      </c>
      <c r="Q280" s="19" t="n">
        <v>0</v>
      </c>
      <c r="R280" s="19" t="n">
        <v>0</v>
      </c>
      <c r="S280" s="19" t="n">
        <v>0</v>
      </c>
      <c r="T280" s="19" t="n">
        <v>0</v>
      </c>
      <c r="U280" s="15" t="n">
        <f aca="false">AVERAGE(M280:T280)</f>
        <v>0</v>
      </c>
      <c r="V280" s="19" t="n">
        <v>1</v>
      </c>
      <c r="W280" s="19" t="n">
        <v>2</v>
      </c>
      <c r="X280" s="19" t="n">
        <v>3</v>
      </c>
      <c r="Y280" s="19" t="n">
        <v>5</v>
      </c>
      <c r="Z280" s="19" t="n">
        <v>3</v>
      </c>
      <c r="AA280" s="19" t="n">
        <v>3</v>
      </c>
      <c r="AB280" s="19" t="n">
        <v>3</v>
      </c>
      <c r="AC280" s="19" t="n">
        <v>4</v>
      </c>
      <c r="AD280" s="19" t="n">
        <v>5</v>
      </c>
      <c r="AE280" s="19" t="n">
        <v>5</v>
      </c>
      <c r="AF280" s="19" t="n">
        <v>5</v>
      </c>
      <c r="AG280" s="19" t="n">
        <v>5</v>
      </c>
      <c r="AH280" s="19" t="n">
        <v>5</v>
      </c>
      <c r="AI280" s="19" t="n">
        <v>5</v>
      </c>
      <c r="AJ280" s="19" t="n">
        <v>5</v>
      </c>
      <c r="AK280" s="19" t="n">
        <v>5</v>
      </c>
      <c r="AL280" s="19" t="n">
        <v>5</v>
      </c>
      <c r="AM280" s="19" t="n">
        <v>5</v>
      </c>
      <c r="AN280" s="19" t="n">
        <v>4</v>
      </c>
      <c r="AO280" s="19" t="n">
        <v>8</v>
      </c>
      <c r="AP280" s="0" t="n">
        <v>31</v>
      </c>
      <c r="AQ280" s="16" t="n">
        <v>82.6</v>
      </c>
      <c r="AR280" s="16" t="n">
        <v>83.4</v>
      </c>
      <c r="AS280" s="16" t="n">
        <v>5.7</v>
      </c>
      <c r="AT280" s="0" t="n">
        <v>99.97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7.3</v>
      </c>
      <c r="BF280" s="0" t="n">
        <v>53.74</v>
      </c>
      <c r="BG280" s="0" t="n">
        <v>0</v>
      </c>
      <c r="BH280" s="0" t="n">
        <v>0</v>
      </c>
      <c r="BI280" s="0" t="n">
        <v>0</v>
      </c>
      <c r="BJ280" s="0" t="n">
        <v>17.6</v>
      </c>
      <c r="BK280" s="0" t="n">
        <v>1</v>
      </c>
      <c r="BL280" s="0" t="n">
        <v>2.4</v>
      </c>
      <c r="BM280" s="0" t="n">
        <v>0</v>
      </c>
      <c r="BN280" s="0" t="n">
        <v>1</v>
      </c>
      <c r="BO280" s="16" t="n">
        <v>0</v>
      </c>
      <c r="BP280" s="16" t="n">
        <v>0</v>
      </c>
      <c r="BQ280" s="16" t="n">
        <v>5.21</v>
      </c>
      <c r="BR280" s="16" t="n">
        <v>2.59</v>
      </c>
      <c r="BS280" s="16" t="n">
        <v>0</v>
      </c>
      <c r="BT280" s="16" t="n">
        <v>0</v>
      </c>
      <c r="BU280" s="16" t="n">
        <v>0</v>
      </c>
      <c r="BV280" s="0" t="n">
        <v>0</v>
      </c>
    </row>
    <row r="281" customFormat="false" ht="13.8" hidden="false" customHeight="false" outlineLevel="0" collapsed="false">
      <c r="A281" s="0" t="n">
        <v>2</v>
      </c>
      <c r="B281" s="0" t="n">
        <v>22.3572895277207</v>
      </c>
      <c r="C281" s="0" t="n">
        <v>0.2217659137577</v>
      </c>
      <c r="D281" s="0" t="n">
        <v>4</v>
      </c>
      <c r="E281" s="0" t="n">
        <v>70</v>
      </c>
      <c r="F281" s="0" t="n">
        <v>1.67</v>
      </c>
      <c r="G281" s="0" t="n">
        <v>25.0995015956112</v>
      </c>
      <c r="H281" s="0" t="n">
        <v>0</v>
      </c>
      <c r="I281" s="0" t="n">
        <v>0</v>
      </c>
      <c r="J281" s="19" t="n">
        <v>0</v>
      </c>
      <c r="K281" s="19" t="n">
        <v>2</v>
      </c>
      <c r="L281" s="19" t="n">
        <v>1</v>
      </c>
      <c r="M281" s="19" t="n">
        <v>0</v>
      </c>
      <c r="N281" s="19" t="n">
        <v>0</v>
      </c>
      <c r="O281" s="19" t="n">
        <v>0</v>
      </c>
      <c r="P281" s="19" t="n">
        <v>0</v>
      </c>
      <c r="Q281" s="19" t="n">
        <v>0</v>
      </c>
      <c r="R281" s="19" t="n">
        <v>0</v>
      </c>
      <c r="S281" s="19" t="n">
        <v>0</v>
      </c>
      <c r="T281" s="19" t="n">
        <v>0</v>
      </c>
      <c r="U281" s="15" t="n">
        <f aca="false">AVERAGE(M281:T281)</f>
        <v>0</v>
      </c>
      <c r="V281" s="19" t="n">
        <v>1</v>
      </c>
      <c r="W281" s="19" t="n">
        <v>1</v>
      </c>
      <c r="X281" s="19" t="n">
        <v>2</v>
      </c>
      <c r="Y281" s="19" t="n">
        <v>3</v>
      </c>
      <c r="Z281" s="19" t="n">
        <v>2</v>
      </c>
      <c r="AA281" s="19" t="n">
        <v>1</v>
      </c>
      <c r="AB281" s="19" t="n">
        <v>2</v>
      </c>
      <c r="AC281" s="19" t="n">
        <v>4</v>
      </c>
      <c r="AD281" s="19" t="n">
        <v>4</v>
      </c>
      <c r="AE281" s="19" t="n">
        <v>5</v>
      </c>
      <c r="AF281" s="19" t="n">
        <v>5</v>
      </c>
      <c r="AG281" s="19" t="n">
        <v>5</v>
      </c>
      <c r="AH281" s="19" t="n">
        <v>5</v>
      </c>
      <c r="AI281" s="19" t="n">
        <v>5</v>
      </c>
      <c r="AJ281" s="19" t="n">
        <v>5</v>
      </c>
      <c r="AK281" s="19" t="n">
        <v>5</v>
      </c>
      <c r="AL281" s="19" t="n">
        <v>5</v>
      </c>
      <c r="AM281" s="19" t="n">
        <v>5</v>
      </c>
      <c r="AN281" s="19" t="n">
        <v>5</v>
      </c>
      <c r="AO281" s="19" t="n">
        <v>10</v>
      </c>
      <c r="AP281" s="0" t="n">
        <v>31</v>
      </c>
      <c r="AQ281" s="16" t="n">
        <v>82.6</v>
      </c>
      <c r="AR281" s="16" t="n">
        <v>83.4</v>
      </c>
      <c r="AS281" s="16" t="n">
        <v>5.7</v>
      </c>
      <c r="AT281" s="0" t="n">
        <v>99.97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7.3</v>
      </c>
      <c r="BF281" s="0" t="n">
        <v>53.74</v>
      </c>
      <c r="BG281" s="0" t="n">
        <v>0</v>
      </c>
      <c r="BH281" s="0" t="n">
        <v>0</v>
      </c>
      <c r="BI281" s="0" t="n">
        <v>0</v>
      </c>
      <c r="BJ281" s="0" t="n">
        <v>17.6</v>
      </c>
      <c r="BK281" s="0" t="n">
        <v>1</v>
      </c>
      <c r="BL281" s="0" t="n">
        <v>2.4</v>
      </c>
      <c r="BM281" s="0" t="n">
        <v>0</v>
      </c>
      <c r="BN281" s="0" t="n">
        <v>1</v>
      </c>
      <c r="BO281" s="16" t="n">
        <v>0</v>
      </c>
      <c r="BP281" s="16" t="n">
        <v>0</v>
      </c>
      <c r="BQ281" s="16" t="n">
        <v>5.21</v>
      </c>
      <c r="BR281" s="16" t="n">
        <v>2.59</v>
      </c>
      <c r="BS281" s="16" t="n">
        <v>0</v>
      </c>
      <c r="BT281" s="16" t="n">
        <v>0</v>
      </c>
      <c r="BU281" s="16" t="n">
        <v>0</v>
      </c>
      <c r="BV281" s="0" t="n">
        <v>0</v>
      </c>
    </row>
    <row r="282" customFormat="false" ht="13.8" hidden="false" customHeight="false" outlineLevel="0" collapsed="false">
      <c r="A282" s="0" t="n">
        <v>2</v>
      </c>
      <c r="B282" s="0" t="n">
        <v>28.4873374401095</v>
      </c>
      <c r="C282" s="0" t="n">
        <v>0.334017796030116</v>
      </c>
      <c r="D282" s="0" t="n">
        <v>4</v>
      </c>
      <c r="E282" s="0" t="n">
        <v>75</v>
      </c>
      <c r="H282" s="0" t="n">
        <v>0</v>
      </c>
      <c r="I282" s="0" t="n">
        <v>0</v>
      </c>
      <c r="J282" s="19" t="n">
        <v>1</v>
      </c>
      <c r="K282" s="19" t="n">
        <v>1</v>
      </c>
      <c r="L282" s="19" t="n">
        <v>0</v>
      </c>
      <c r="M282" s="19" t="n">
        <v>0</v>
      </c>
      <c r="N282" s="19" t="n">
        <v>0</v>
      </c>
      <c r="O282" s="19" t="n">
        <v>0</v>
      </c>
      <c r="P282" s="19" t="n">
        <v>0</v>
      </c>
      <c r="Q282" s="19" t="n">
        <v>3</v>
      </c>
      <c r="R282" s="19" t="n">
        <v>0</v>
      </c>
      <c r="S282" s="19" t="n">
        <v>0</v>
      </c>
      <c r="T282" s="19" t="n">
        <v>0</v>
      </c>
      <c r="U282" s="15" t="n">
        <f aca="false">AVERAGE(M282:T282)</f>
        <v>0.375</v>
      </c>
      <c r="V282" s="19" t="n">
        <v>1</v>
      </c>
      <c r="W282" s="19" t="n">
        <v>2</v>
      </c>
      <c r="X282" s="19" t="n">
        <v>4</v>
      </c>
      <c r="Y282" s="19" t="n">
        <v>5</v>
      </c>
      <c r="Z282" s="19" t="n">
        <v>2</v>
      </c>
      <c r="AA282" s="19" t="n">
        <v>2</v>
      </c>
      <c r="AB282" s="19" t="n">
        <v>5</v>
      </c>
      <c r="AC282" s="19" t="n">
        <v>4</v>
      </c>
      <c r="AD282" s="19" t="n">
        <v>5</v>
      </c>
      <c r="AE282" s="19" t="n">
        <v>4</v>
      </c>
      <c r="AF282" s="19" t="n">
        <v>5</v>
      </c>
      <c r="AG282" s="19" t="n">
        <v>5</v>
      </c>
      <c r="AH282" s="19" t="n">
        <v>5</v>
      </c>
      <c r="AI282" s="19" t="n">
        <v>4</v>
      </c>
      <c r="AJ282" s="19" t="n">
        <v>4</v>
      </c>
      <c r="AK282" s="19" t="n">
        <v>5</v>
      </c>
      <c r="AL282" s="19"/>
      <c r="AM282" s="19"/>
      <c r="AN282" s="19"/>
      <c r="AO282" s="19"/>
      <c r="AP282" s="0" t="n">
        <v>31</v>
      </c>
      <c r="AQ282" s="16" t="n">
        <v>82.6</v>
      </c>
      <c r="AR282" s="16" t="n">
        <v>83.4</v>
      </c>
      <c r="AS282" s="16" t="n">
        <v>5.7</v>
      </c>
      <c r="AT282" s="0" t="n">
        <v>99.97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7.3</v>
      </c>
      <c r="BF282" s="0" t="n">
        <v>53.74</v>
      </c>
      <c r="BG282" s="0" t="n">
        <v>0</v>
      </c>
      <c r="BH282" s="0" t="n">
        <v>0</v>
      </c>
      <c r="BI282" s="0" t="n">
        <v>0</v>
      </c>
      <c r="BJ282" s="0" t="n">
        <v>17.6</v>
      </c>
      <c r="BK282" s="0" t="n">
        <v>1</v>
      </c>
      <c r="BL282" s="0" t="n">
        <v>2.4</v>
      </c>
      <c r="BM282" s="0" t="n">
        <v>0</v>
      </c>
      <c r="BN282" s="0" t="n">
        <v>1</v>
      </c>
      <c r="BO282" s="16" t="n">
        <v>0</v>
      </c>
      <c r="BP282" s="16" t="n">
        <v>0</v>
      </c>
      <c r="BQ282" s="16" t="n">
        <v>5.21</v>
      </c>
      <c r="BR282" s="16" t="n">
        <v>2.59</v>
      </c>
      <c r="BS282" s="16" t="n">
        <v>0</v>
      </c>
      <c r="BT282" s="16" t="n">
        <v>0</v>
      </c>
      <c r="BU282" s="16" t="n">
        <v>0</v>
      </c>
      <c r="BV282" s="0" t="n">
        <v>0</v>
      </c>
    </row>
    <row r="283" customFormat="false" ht="13.8" hidden="false" customHeight="false" outlineLevel="0" collapsed="false">
      <c r="A283" s="0" t="n">
        <v>1</v>
      </c>
      <c r="B283" s="0" t="n">
        <v>23.3730321697467</v>
      </c>
      <c r="C283" s="0" t="n">
        <v>0.292950034223135</v>
      </c>
      <c r="D283" s="0" t="n">
        <v>4</v>
      </c>
      <c r="E283" s="0" t="n">
        <v>51</v>
      </c>
      <c r="F283" s="0" t="n">
        <v>1.65</v>
      </c>
      <c r="G283" s="0" t="n">
        <v>18.732782369146</v>
      </c>
      <c r="H283" s="0" t="n">
        <v>0</v>
      </c>
      <c r="I283" s="0" t="n">
        <v>0</v>
      </c>
      <c r="J283" s="19" t="n">
        <v>0</v>
      </c>
      <c r="K283" s="19" t="n">
        <v>0</v>
      </c>
      <c r="L283" s="19" t="n">
        <v>1</v>
      </c>
      <c r="M283" s="19" t="n">
        <v>0</v>
      </c>
      <c r="N283" s="19" t="n">
        <v>0</v>
      </c>
      <c r="O283" s="19" t="n">
        <v>0</v>
      </c>
      <c r="P283" s="19" t="n">
        <v>0</v>
      </c>
      <c r="Q283" s="19" t="n">
        <v>0</v>
      </c>
      <c r="R283" s="19" t="n">
        <v>0</v>
      </c>
      <c r="S283" s="19" t="n">
        <v>0</v>
      </c>
      <c r="T283" s="19" t="n">
        <v>0</v>
      </c>
      <c r="U283" s="15" t="n">
        <f aca="false">AVERAGE(M283:T283)</f>
        <v>0</v>
      </c>
      <c r="V283" s="19" t="n">
        <v>1</v>
      </c>
      <c r="W283" s="19" t="n">
        <v>1</v>
      </c>
      <c r="X283" s="19" t="n">
        <v>2</v>
      </c>
      <c r="Y283" s="19" t="n">
        <v>5</v>
      </c>
      <c r="Z283" s="19" t="n">
        <v>1</v>
      </c>
      <c r="AA283" s="19" t="n">
        <v>2</v>
      </c>
      <c r="AB283" s="19" t="n">
        <v>1</v>
      </c>
      <c r="AC283" s="19" t="n">
        <v>3</v>
      </c>
      <c r="AD283" s="19" t="n">
        <v>5</v>
      </c>
      <c r="AE283" s="19" t="n">
        <v>5</v>
      </c>
      <c r="AF283" s="19" t="n">
        <v>5</v>
      </c>
      <c r="AG283" s="19" t="n">
        <v>5</v>
      </c>
      <c r="AH283" s="19" t="n">
        <v>5</v>
      </c>
      <c r="AI283" s="19" t="n">
        <v>5</v>
      </c>
      <c r="AJ283" s="19" t="n">
        <v>5</v>
      </c>
      <c r="AK283" s="19" t="n">
        <v>5</v>
      </c>
      <c r="AL283" s="19" t="n">
        <v>5</v>
      </c>
      <c r="AM283" s="19" t="n">
        <v>5</v>
      </c>
      <c r="AN283" s="19" t="n">
        <v>5</v>
      </c>
      <c r="AO283" s="19" t="n">
        <v>8</v>
      </c>
      <c r="AP283" s="0" t="n">
        <v>38.5</v>
      </c>
      <c r="AQ283" s="16" t="n">
        <v>77.5</v>
      </c>
      <c r="AR283" s="16" t="n">
        <v>83.4</v>
      </c>
      <c r="AS283" s="16" t="n">
        <v>19.1</v>
      </c>
      <c r="AT283" s="0" t="n">
        <v>78.18</v>
      </c>
      <c r="AU283" s="0" t="n">
        <v>0</v>
      </c>
      <c r="AV283" s="0" t="n">
        <v>2.48</v>
      </c>
      <c r="AW283" s="0" t="n">
        <v>0</v>
      </c>
      <c r="AX283" s="0" t="n">
        <v>19.34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4.11</v>
      </c>
      <c r="BG283" s="0" t="n">
        <v>21.82</v>
      </c>
      <c r="BH283" s="0" t="n">
        <v>10.65</v>
      </c>
      <c r="BI283" s="0" t="n">
        <v>0</v>
      </c>
      <c r="BJ283" s="0" t="n">
        <v>16.9</v>
      </c>
      <c r="BK283" s="0" t="n">
        <v>1</v>
      </c>
      <c r="BL283" s="0" t="n">
        <v>0</v>
      </c>
      <c r="BM283" s="0" t="n">
        <v>0</v>
      </c>
      <c r="BN283" s="0" t="n">
        <v>0</v>
      </c>
      <c r="BO283" s="16" t="n">
        <v>0</v>
      </c>
      <c r="BP283" s="16" t="n">
        <v>0</v>
      </c>
      <c r="BQ283" s="16" t="n">
        <v>2.48</v>
      </c>
      <c r="BR283" s="16" t="n">
        <v>2.48</v>
      </c>
      <c r="BS283" s="16" t="n">
        <v>0</v>
      </c>
      <c r="BT283" s="16" t="n">
        <v>0</v>
      </c>
      <c r="BU283" s="16" t="n">
        <v>0</v>
      </c>
      <c r="BV283" s="0" t="n">
        <v>0</v>
      </c>
    </row>
    <row r="284" customFormat="false" ht="13.8" hidden="false" customHeight="false" outlineLevel="0" collapsed="false">
      <c r="A284" s="0" t="n">
        <v>1</v>
      </c>
      <c r="B284" s="0" t="n">
        <v>31.8001368925394</v>
      </c>
      <c r="C284" s="0" t="n">
        <v>0.284736481861739</v>
      </c>
      <c r="D284" s="0" t="n">
        <v>4</v>
      </c>
      <c r="E284" s="0" t="n">
        <v>62</v>
      </c>
      <c r="F284" s="0" t="n">
        <v>1.65</v>
      </c>
      <c r="G284" s="0" t="n">
        <v>22.77318640955</v>
      </c>
      <c r="H284" s="0" t="n">
        <v>0</v>
      </c>
      <c r="I284" s="0" t="n">
        <v>0</v>
      </c>
      <c r="J284" s="19" t="n">
        <v>1</v>
      </c>
      <c r="K284" s="19" t="n">
        <v>1</v>
      </c>
      <c r="L284" s="19" t="n">
        <v>0</v>
      </c>
      <c r="M284" s="19" t="n">
        <v>0</v>
      </c>
      <c r="N284" s="19" t="n">
        <v>0</v>
      </c>
      <c r="O284" s="19" t="n">
        <v>0</v>
      </c>
      <c r="P284" s="19" t="n">
        <v>0</v>
      </c>
      <c r="Q284" s="19" t="n">
        <v>6</v>
      </c>
      <c r="R284" s="19" t="n">
        <v>0</v>
      </c>
      <c r="S284" s="19" t="n">
        <v>0</v>
      </c>
      <c r="T284" s="19" t="n">
        <v>0</v>
      </c>
      <c r="U284" s="15" t="n">
        <f aca="false">AVERAGE(M284:T284)</f>
        <v>0.75</v>
      </c>
      <c r="V284" s="19" t="n">
        <v>2</v>
      </c>
      <c r="W284" s="19" t="n">
        <v>2</v>
      </c>
      <c r="X284" s="19" t="n">
        <v>2</v>
      </c>
      <c r="Y284" s="19" t="n">
        <v>4</v>
      </c>
      <c r="Z284" s="19"/>
      <c r="AA284" s="19" t="n">
        <v>2</v>
      </c>
      <c r="AB284" s="19" t="n">
        <v>3</v>
      </c>
      <c r="AC284" s="19" t="n">
        <v>3</v>
      </c>
      <c r="AD284" s="19" t="n">
        <v>5</v>
      </c>
      <c r="AE284" s="19" t="n">
        <v>5</v>
      </c>
      <c r="AF284" s="19" t="n">
        <v>5</v>
      </c>
      <c r="AG284" s="19" t="n">
        <v>5</v>
      </c>
      <c r="AH284" s="19" t="n">
        <v>5</v>
      </c>
      <c r="AI284" s="19" t="n">
        <v>5</v>
      </c>
      <c r="AJ284" s="19" t="n">
        <v>5</v>
      </c>
      <c r="AK284" s="19" t="n">
        <v>5</v>
      </c>
      <c r="AL284" s="19" t="n">
        <v>5</v>
      </c>
      <c r="AM284" s="19" t="n">
        <v>5</v>
      </c>
      <c r="AN284" s="19" t="n">
        <v>5</v>
      </c>
      <c r="AO284" s="19" t="n">
        <v>9</v>
      </c>
      <c r="AP284" s="0" t="n">
        <v>31</v>
      </c>
      <c r="AQ284" s="16" t="n">
        <v>82.6</v>
      </c>
      <c r="AR284" s="16" t="n">
        <v>83.4</v>
      </c>
      <c r="AS284" s="16" t="n">
        <v>5.7</v>
      </c>
      <c r="AT284" s="0" t="n">
        <v>99.97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7.3</v>
      </c>
      <c r="BF284" s="0" t="n">
        <v>53.74</v>
      </c>
      <c r="BG284" s="0" t="n">
        <v>0</v>
      </c>
      <c r="BH284" s="0" t="n">
        <v>0</v>
      </c>
      <c r="BI284" s="0" t="n">
        <v>0</v>
      </c>
      <c r="BJ284" s="0" t="n">
        <v>17.6</v>
      </c>
      <c r="BK284" s="0" t="n">
        <v>1</v>
      </c>
      <c r="BL284" s="0" t="n">
        <v>2.4</v>
      </c>
      <c r="BM284" s="0" t="n">
        <v>0</v>
      </c>
      <c r="BN284" s="0" t="n">
        <v>1</v>
      </c>
      <c r="BO284" s="16" t="n">
        <v>0</v>
      </c>
      <c r="BP284" s="16" t="n">
        <v>0</v>
      </c>
      <c r="BQ284" s="16" t="n">
        <v>5.21</v>
      </c>
      <c r="BR284" s="16" t="n">
        <v>2.59</v>
      </c>
      <c r="BS284" s="16" t="n">
        <v>0</v>
      </c>
      <c r="BT284" s="16" t="n">
        <v>0</v>
      </c>
      <c r="BU284" s="16" t="n">
        <v>0</v>
      </c>
      <c r="BV284" s="0" t="n">
        <v>0</v>
      </c>
    </row>
    <row r="285" customFormat="false" ht="13.8" hidden="false" customHeight="false" outlineLevel="0" collapsed="false">
      <c r="A285" s="0" t="n">
        <v>2</v>
      </c>
      <c r="B285" s="0" t="n">
        <v>0.386036960985626</v>
      </c>
      <c r="C285" s="0" t="n">
        <v>0.284736481861739</v>
      </c>
      <c r="D285" s="0" t="n">
        <v>4</v>
      </c>
      <c r="E285" s="0" t="n">
        <v>99.8</v>
      </c>
      <c r="F285" s="0" t="n">
        <v>1.74</v>
      </c>
      <c r="G285" s="0" t="n">
        <v>32.9634033557934</v>
      </c>
      <c r="H285" s="0" t="n">
        <v>0</v>
      </c>
      <c r="I285" s="0" t="n">
        <v>0</v>
      </c>
      <c r="J285" s="19" t="n">
        <v>0</v>
      </c>
      <c r="K285" s="19" t="n">
        <v>3</v>
      </c>
      <c r="L285" s="19" t="n">
        <v>0</v>
      </c>
      <c r="M285" s="19" t="n">
        <v>0</v>
      </c>
      <c r="N285" s="19" t="n">
        <v>0</v>
      </c>
      <c r="O285" s="19"/>
      <c r="P285" s="19"/>
      <c r="Q285" s="19" t="n">
        <v>0</v>
      </c>
      <c r="R285" s="19" t="n">
        <v>0</v>
      </c>
      <c r="S285" s="19" t="n">
        <v>0</v>
      </c>
      <c r="T285" s="19" t="n">
        <v>0</v>
      </c>
      <c r="U285" s="15" t="n">
        <f aca="false">AVERAGE(M285:T285)</f>
        <v>0</v>
      </c>
      <c r="V285" s="19" t="n">
        <v>1</v>
      </c>
      <c r="W285" s="19" t="n">
        <v>2</v>
      </c>
      <c r="X285" s="19" t="n">
        <v>2</v>
      </c>
      <c r="Y285" s="19" t="n">
        <v>4</v>
      </c>
      <c r="Z285" s="19" t="n">
        <v>2</v>
      </c>
      <c r="AA285" s="19" t="n">
        <v>1</v>
      </c>
      <c r="AB285" s="19" t="n">
        <v>2</v>
      </c>
      <c r="AC285" s="19" t="n">
        <v>3</v>
      </c>
      <c r="AD285" s="19" t="n">
        <v>5</v>
      </c>
      <c r="AE285" s="19" t="n">
        <v>5</v>
      </c>
      <c r="AF285" s="19" t="n">
        <v>5</v>
      </c>
      <c r="AG285" s="19" t="n">
        <v>5</v>
      </c>
      <c r="AH285" s="19" t="n">
        <v>4</v>
      </c>
      <c r="AI285" s="19" t="n">
        <v>5</v>
      </c>
      <c r="AJ285" s="19" t="n">
        <v>5</v>
      </c>
      <c r="AK285" s="19" t="n">
        <v>5</v>
      </c>
      <c r="AL285" s="19" t="n">
        <v>5</v>
      </c>
      <c r="AM285" s="19" t="n">
        <v>5</v>
      </c>
      <c r="AN285" s="19" t="n">
        <v>5</v>
      </c>
      <c r="AO285" s="19" t="n">
        <v>9</v>
      </c>
      <c r="AP285" s="0" t="n">
        <v>31</v>
      </c>
      <c r="AQ285" s="16" t="n">
        <v>82.6</v>
      </c>
      <c r="AR285" s="16" t="n">
        <v>83.4</v>
      </c>
      <c r="AS285" s="16" t="n">
        <v>5.7</v>
      </c>
      <c r="AT285" s="0" t="n">
        <v>99.97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7.3</v>
      </c>
      <c r="BF285" s="0" t="n">
        <v>53.74</v>
      </c>
      <c r="BG285" s="0" t="n">
        <v>0</v>
      </c>
      <c r="BH285" s="0" t="n">
        <v>0</v>
      </c>
      <c r="BI285" s="0" t="n">
        <v>0</v>
      </c>
      <c r="BJ285" s="0" t="n">
        <v>17.6</v>
      </c>
      <c r="BK285" s="0" t="n">
        <v>1</v>
      </c>
      <c r="BL285" s="0" t="n">
        <v>2.4</v>
      </c>
      <c r="BM285" s="0" t="n">
        <v>0</v>
      </c>
      <c r="BN285" s="0" t="n">
        <v>1</v>
      </c>
      <c r="BO285" s="16" t="n">
        <v>0</v>
      </c>
      <c r="BP285" s="16" t="n">
        <v>0</v>
      </c>
      <c r="BQ285" s="16" t="n">
        <v>5.21</v>
      </c>
      <c r="BR285" s="16" t="n">
        <v>2.59</v>
      </c>
      <c r="BS285" s="16" t="n">
        <v>0</v>
      </c>
      <c r="BT285" s="16" t="n">
        <v>0</v>
      </c>
      <c r="BU285" s="16" t="n">
        <v>0</v>
      </c>
      <c r="BV285" s="0" t="n">
        <v>0</v>
      </c>
    </row>
    <row r="286" customFormat="false" ht="13.8" hidden="false" customHeight="false" outlineLevel="0" collapsed="false">
      <c r="A286" s="0" t="n">
        <v>1</v>
      </c>
      <c r="B286" s="0" t="n">
        <v>29.3196440793977</v>
      </c>
      <c r="C286" s="0" t="n">
        <v>5.12251882272416</v>
      </c>
      <c r="D286" s="0" t="n">
        <v>4</v>
      </c>
      <c r="E286" s="0" t="n">
        <v>66</v>
      </c>
      <c r="F286" s="0" t="n">
        <v>1.66</v>
      </c>
      <c r="G286" s="0" t="n">
        <v>23.9512265931195</v>
      </c>
      <c r="H286" s="0" t="n">
        <v>0</v>
      </c>
      <c r="I286" s="0" t="n">
        <v>0</v>
      </c>
      <c r="J286" s="19" t="n">
        <v>0</v>
      </c>
      <c r="K286" s="19" t="n">
        <v>2</v>
      </c>
      <c r="L286" s="19" t="n">
        <v>0</v>
      </c>
      <c r="M286" s="19" t="n">
        <v>0</v>
      </c>
      <c r="N286" s="19" t="n">
        <v>0</v>
      </c>
      <c r="O286" s="19" t="n">
        <v>0</v>
      </c>
      <c r="P286" s="19" t="n">
        <v>0</v>
      </c>
      <c r="Q286" s="19" t="n">
        <v>0</v>
      </c>
      <c r="R286" s="19" t="n">
        <v>0</v>
      </c>
      <c r="S286" s="19" t="n">
        <v>0</v>
      </c>
      <c r="T286" s="19" t="n">
        <v>0</v>
      </c>
      <c r="U286" s="15" t="n">
        <f aca="false">AVERAGE(M286:T286)</f>
        <v>0</v>
      </c>
      <c r="V286" s="19" t="n">
        <v>2</v>
      </c>
      <c r="W286" s="19" t="n">
        <v>3</v>
      </c>
      <c r="X286" s="19" t="n">
        <v>3</v>
      </c>
      <c r="Y286" s="19" t="n">
        <v>3</v>
      </c>
      <c r="Z286" s="19" t="n">
        <v>3</v>
      </c>
      <c r="AA286" s="19" t="n">
        <v>3</v>
      </c>
      <c r="AB286" s="19" t="n">
        <v>3</v>
      </c>
      <c r="AC286" s="19" t="n">
        <v>3</v>
      </c>
      <c r="AD286" s="19" t="n">
        <v>3</v>
      </c>
      <c r="AE286" s="19" t="n">
        <v>3</v>
      </c>
      <c r="AF286" s="19" t="n">
        <v>3</v>
      </c>
      <c r="AG286" s="19" t="n">
        <v>5</v>
      </c>
      <c r="AH286" s="19" t="n">
        <v>4</v>
      </c>
      <c r="AI286" s="19" t="n">
        <v>5</v>
      </c>
      <c r="AJ286" s="19" t="n">
        <v>5</v>
      </c>
      <c r="AK286" s="19" t="n">
        <v>5</v>
      </c>
      <c r="AL286" s="19" t="n">
        <v>5</v>
      </c>
      <c r="AM286" s="19" t="n">
        <v>5</v>
      </c>
      <c r="AN286" s="19" t="n">
        <v>5</v>
      </c>
      <c r="AO286" s="19" t="n">
        <v>10</v>
      </c>
      <c r="AP286" s="0" t="n">
        <v>31</v>
      </c>
      <c r="AQ286" s="16" t="n">
        <v>82.6</v>
      </c>
      <c r="AR286" s="16" t="n">
        <v>83.4</v>
      </c>
      <c r="AS286" s="16" t="n">
        <v>5.7</v>
      </c>
      <c r="AT286" s="0" t="n">
        <v>99.97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7.3</v>
      </c>
      <c r="BF286" s="0" t="n">
        <v>53.74</v>
      </c>
      <c r="BG286" s="0" t="n">
        <v>0</v>
      </c>
      <c r="BH286" s="0" t="n">
        <v>0</v>
      </c>
      <c r="BI286" s="0" t="n">
        <v>0</v>
      </c>
      <c r="BJ286" s="0" t="n">
        <v>17.6</v>
      </c>
      <c r="BK286" s="0" t="n">
        <v>1</v>
      </c>
      <c r="BL286" s="0" t="n">
        <v>2.4</v>
      </c>
      <c r="BM286" s="0" t="n">
        <v>0</v>
      </c>
      <c r="BN286" s="0" t="n">
        <v>1</v>
      </c>
      <c r="BO286" s="16" t="n">
        <v>0</v>
      </c>
      <c r="BP286" s="16" t="n">
        <v>0</v>
      </c>
      <c r="BQ286" s="16" t="n">
        <v>5.21</v>
      </c>
      <c r="BR286" s="16" t="n">
        <v>2.59</v>
      </c>
      <c r="BS286" s="16" t="n">
        <v>0</v>
      </c>
      <c r="BT286" s="16" t="n">
        <v>0</v>
      </c>
      <c r="BU286" s="16" t="n">
        <v>0</v>
      </c>
      <c r="BV286" s="0" t="n">
        <v>0</v>
      </c>
    </row>
    <row r="287" customFormat="false" ht="13.8" hidden="false" customHeight="false" outlineLevel="0" collapsed="false">
      <c r="A287" s="0" t="n">
        <v>1</v>
      </c>
      <c r="B287" s="0" t="n">
        <v>21.7932922655715</v>
      </c>
      <c r="C287" s="0" t="n">
        <v>0.268309377138946</v>
      </c>
      <c r="D287" s="0" t="n">
        <v>4</v>
      </c>
      <c r="E287" s="0" t="n">
        <v>68</v>
      </c>
      <c r="F287" s="0" t="n">
        <v>1.63</v>
      </c>
      <c r="G287" s="0" t="n">
        <v>25.5937370619895</v>
      </c>
      <c r="H287" s="0" t="n">
        <v>0</v>
      </c>
      <c r="I287" s="0" t="n">
        <v>0</v>
      </c>
      <c r="J287" s="19" t="n">
        <v>0</v>
      </c>
      <c r="K287" s="19" t="n">
        <v>0</v>
      </c>
      <c r="L287" s="19" t="n">
        <v>1</v>
      </c>
      <c r="M287" s="19" t="n">
        <v>0</v>
      </c>
      <c r="N287" s="19" t="n">
        <v>0</v>
      </c>
      <c r="O287" s="19" t="n">
        <v>0</v>
      </c>
      <c r="P287" s="19" t="n">
        <v>0</v>
      </c>
      <c r="Q287" s="19" t="n">
        <v>0</v>
      </c>
      <c r="R287" s="19" t="n">
        <v>0</v>
      </c>
      <c r="S287" s="19" t="n">
        <v>0</v>
      </c>
      <c r="T287" s="19" t="n">
        <v>0</v>
      </c>
      <c r="U287" s="15" t="n">
        <f aca="false">AVERAGE(M287:T287)</f>
        <v>0</v>
      </c>
      <c r="V287" s="19" t="n">
        <v>2</v>
      </c>
      <c r="W287" s="19" t="n">
        <v>2</v>
      </c>
      <c r="X287" s="19" t="n">
        <v>3</v>
      </c>
      <c r="Y287" s="19" t="n">
        <v>5</v>
      </c>
      <c r="Z287" s="19" t="n">
        <v>2</v>
      </c>
      <c r="AA287" s="19" t="n">
        <v>2</v>
      </c>
      <c r="AB287" s="19" t="n">
        <v>3</v>
      </c>
      <c r="AC287" s="19" t="n">
        <v>3</v>
      </c>
      <c r="AD287" s="19" t="n">
        <v>4</v>
      </c>
      <c r="AE287" s="19" t="n">
        <v>4</v>
      </c>
      <c r="AF287" s="19" t="n">
        <v>5</v>
      </c>
      <c r="AG287" s="19" t="n">
        <v>5</v>
      </c>
      <c r="AH287" s="19" t="n">
        <v>4</v>
      </c>
      <c r="AI287" s="19" t="n">
        <v>5</v>
      </c>
      <c r="AJ287" s="19" t="n">
        <v>5</v>
      </c>
      <c r="AK287" s="19" t="n">
        <v>5</v>
      </c>
      <c r="AL287" s="19" t="n">
        <v>5</v>
      </c>
      <c r="AM287" s="19" t="n">
        <v>5</v>
      </c>
      <c r="AN287" s="19" t="n">
        <v>4</v>
      </c>
      <c r="AO287" s="19" t="n">
        <v>7</v>
      </c>
      <c r="AP287" s="0" t="n">
        <v>31</v>
      </c>
      <c r="AQ287" s="16" t="n">
        <v>82.6</v>
      </c>
      <c r="AR287" s="16" t="n">
        <v>83.4</v>
      </c>
      <c r="AS287" s="16" t="n">
        <v>5.7</v>
      </c>
      <c r="AT287" s="0" t="n">
        <v>99.97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7.3</v>
      </c>
      <c r="BF287" s="0" t="n">
        <v>53.74</v>
      </c>
      <c r="BG287" s="0" t="n">
        <v>0</v>
      </c>
      <c r="BH287" s="0" t="n">
        <v>0</v>
      </c>
      <c r="BI287" s="0" t="n">
        <v>0</v>
      </c>
      <c r="BJ287" s="0" t="n">
        <v>17.6</v>
      </c>
      <c r="BK287" s="0" t="n">
        <v>1</v>
      </c>
      <c r="BL287" s="0" t="n">
        <v>2.4</v>
      </c>
      <c r="BM287" s="0" t="n">
        <v>0</v>
      </c>
      <c r="BN287" s="0" t="n">
        <v>1</v>
      </c>
      <c r="BO287" s="16" t="n">
        <v>0</v>
      </c>
      <c r="BP287" s="16" t="n">
        <v>0</v>
      </c>
      <c r="BQ287" s="16" t="n">
        <v>5.21</v>
      </c>
      <c r="BR287" s="16" t="n">
        <v>2.59</v>
      </c>
      <c r="BS287" s="16" t="n">
        <v>0</v>
      </c>
      <c r="BT287" s="16" t="n">
        <v>0</v>
      </c>
      <c r="BU287" s="16" t="n">
        <v>0</v>
      </c>
      <c r="BV287" s="0" t="n">
        <v>0</v>
      </c>
    </row>
    <row r="288" customFormat="false" ht="13.8" hidden="false" customHeight="false" outlineLevel="0" collapsed="false">
      <c r="A288" s="24" t="n">
        <v>2</v>
      </c>
      <c r="B288" s="0" t="n">
        <v>35.9123887748118</v>
      </c>
      <c r="C288" s="0" t="n">
        <v>6.12183436002738</v>
      </c>
      <c r="D288" s="0" t="n">
        <v>8</v>
      </c>
      <c r="E288" s="0" t="n">
        <v>74</v>
      </c>
      <c r="F288" s="0" t="n">
        <v>1.84</v>
      </c>
      <c r="G288" s="0" t="n">
        <v>21.8572778827977</v>
      </c>
      <c r="H288" s="0" t="n">
        <v>1</v>
      </c>
      <c r="I288" s="0" t="n">
        <v>1</v>
      </c>
      <c r="J288" s="26" t="n">
        <v>0</v>
      </c>
      <c r="K288" s="26" t="n">
        <v>2</v>
      </c>
      <c r="L288" s="26" t="n">
        <v>1</v>
      </c>
      <c r="M288" s="26" t="n">
        <v>0</v>
      </c>
      <c r="N288" s="26" t="n">
        <v>0</v>
      </c>
      <c r="O288" s="26" t="n">
        <v>0</v>
      </c>
      <c r="P288" s="26" t="n">
        <v>0</v>
      </c>
      <c r="Q288" s="26" t="n">
        <v>0</v>
      </c>
      <c r="R288" s="26" t="n">
        <v>0</v>
      </c>
      <c r="S288" s="26" t="n">
        <v>0</v>
      </c>
      <c r="T288" s="26" t="n">
        <v>0</v>
      </c>
      <c r="U288" s="15" t="n">
        <f aca="false">AVERAGE(M288:T288)</f>
        <v>0</v>
      </c>
      <c r="V288" s="26" t="n">
        <v>3</v>
      </c>
      <c r="W288" s="26" t="n">
        <v>1</v>
      </c>
      <c r="X288" s="26" t="n">
        <v>3</v>
      </c>
      <c r="Y288" s="26" t="n">
        <v>4</v>
      </c>
      <c r="Z288" s="26" t="n">
        <v>2</v>
      </c>
      <c r="AA288" s="26" t="n">
        <v>1</v>
      </c>
      <c r="AB288" s="26" t="n">
        <v>3</v>
      </c>
      <c r="AC288" s="26" t="n">
        <v>4</v>
      </c>
      <c r="AD288" s="26" t="n">
        <v>3</v>
      </c>
      <c r="AE288" s="26" t="n">
        <v>3</v>
      </c>
      <c r="AF288" s="26" t="n">
        <v>4</v>
      </c>
      <c r="AG288" s="26" t="n">
        <v>5</v>
      </c>
      <c r="AH288" s="26" t="n">
        <v>2</v>
      </c>
      <c r="AI288" s="26" t="n">
        <v>3</v>
      </c>
      <c r="AJ288" s="26" t="n">
        <v>3</v>
      </c>
      <c r="AK288" s="26" t="n">
        <v>4</v>
      </c>
      <c r="AL288" s="26" t="n">
        <v>3</v>
      </c>
      <c r="AM288" s="26" t="n">
        <v>4</v>
      </c>
      <c r="AN288" s="26" t="n">
        <v>4</v>
      </c>
      <c r="AO288" s="26" t="n">
        <v>10</v>
      </c>
      <c r="AP288" s="24" t="n">
        <v>38</v>
      </c>
      <c r="AQ288" s="27" t="n">
        <v>85.5</v>
      </c>
      <c r="AR288" s="27" t="n">
        <v>83.4</v>
      </c>
      <c r="AS288" s="27" t="n">
        <v>28.7</v>
      </c>
      <c r="AT288" s="24" t="n">
        <v>61.84</v>
      </c>
      <c r="AU288" s="24" t="n">
        <v>0</v>
      </c>
      <c r="AV288" s="24" t="n">
        <v>0</v>
      </c>
      <c r="AW288" s="24" t="n">
        <v>0</v>
      </c>
      <c r="AX288" s="24" t="n">
        <v>37.42</v>
      </c>
      <c r="AY288" s="24" t="n">
        <v>0</v>
      </c>
      <c r="AZ288" s="24" t="n">
        <v>0.73</v>
      </c>
      <c r="BA288" s="24" t="n">
        <v>0</v>
      </c>
      <c r="BB288" s="24" t="n">
        <v>0</v>
      </c>
      <c r="BC288" s="24" t="n">
        <v>0.74</v>
      </c>
      <c r="BD288" s="24" t="n">
        <v>0</v>
      </c>
      <c r="BE288" s="24" t="n">
        <v>7.34</v>
      </c>
      <c r="BF288" s="24" t="n">
        <v>25.37</v>
      </c>
      <c r="BG288" s="24" t="n">
        <v>15.03</v>
      </c>
      <c r="BH288" s="24" t="n">
        <v>30.09</v>
      </c>
      <c r="BI288" s="24" t="n">
        <v>0</v>
      </c>
      <c r="BJ288" s="24" t="n">
        <v>0</v>
      </c>
      <c r="BK288" s="24" t="n">
        <v>0</v>
      </c>
      <c r="BL288" s="24" t="n">
        <v>1.7</v>
      </c>
      <c r="BM288" s="24" t="n">
        <v>0</v>
      </c>
      <c r="BN288" s="24" t="n">
        <v>1</v>
      </c>
      <c r="BO288" s="27" t="n">
        <v>1.55</v>
      </c>
      <c r="BP288" s="27" t="n">
        <v>1</v>
      </c>
      <c r="BQ288" s="27" t="n">
        <v>5.74</v>
      </c>
      <c r="BR288" s="27" t="n">
        <v>3.64</v>
      </c>
      <c r="BS288" s="27" t="n">
        <v>0</v>
      </c>
      <c r="BT288" s="27" t="n">
        <v>0</v>
      </c>
      <c r="BU288" s="27" t="n">
        <v>0</v>
      </c>
      <c r="BV288" s="24" t="n">
        <v>0</v>
      </c>
    </row>
    <row r="289" customFormat="false" ht="13.8" hidden="false" customHeight="false" outlineLevel="0" collapsed="false">
      <c r="A289" s="24" t="n">
        <v>1</v>
      </c>
      <c r="B289" s="0" t="n">
        <v>50.2532511978097</v>
      </c>
      <c r="C289" s="0" t="n">
        <v>6.04517453798768</v>
      </c>
      <c r="D289" s="0" t="n">
        <v>8</v>
      </c>
      <c r="E289" s="0" t="n">
        <v>67</v>
      </c>
      <c r="F289" s="0" t="n">
        <v>1.56</v>
      </c>
      <c r="G289" s="0" t="n">
        <v>27.5312294543064</v>
      </c>
      <c r="H289" s="0" t="n">
        <v>1</v>
      </c>
      <c r="I289" s="0" t="n">
        <v>1</v>
      </c>
      <c r="J289" s="26" t="n">
        <v>1</v>
      </c>
      <c r="K289" s="26" t="n">
        <v>1</v>
      </c>
      <c r="L289" s="26" t="n">
        <v>0</v>
      </c>
      <c r="M289" s="26" t="n">
        <v>7</v>
      </c>
      <c r="N289" s="26" t="n">
        <v>7</v>
      </c>
      <c r="O289" s="26" t="n">
        <v>0</v>
      </c>
      <c r="P289" s="26" t="n">
        <v>0</v>
      </c>
      <c r="Q289" s="26" t="n">
        <v>0</v>
      </c>
      <c r="R289" s="26" t="n">
        <v>0</v>
      </c>
      <c r="S289" s="26" t="n">
        <v>0</v>
      </c>
      <c r="T289" s="26" t="n">
        <v>0</v>
      </c>
      <c r="U289" s="15" t="n">
        <f aca="false">AVERAGE(M289:T289)</f>
        <v>1.75</v>
      </c>
      <c r="V289" s="26" t="n">
        <v>3</v>
      </c>
      <c r="W289" s="26" t="n">
        <v>2</v>
      </c>
      <c r="X289" s="26" t="n">
        <v>4</v>
      </c>
      <c r="Y289" s="26" t="n">
        <v>5</v>
      </c>
      <c r="Z289" s="26" t="n">
        <v>3</v>
      </c>
      <c r="AA289" s="26" t="n">
        <v>3</v>
      </c>
      <c r="AB289" s="26" t="n">
        <v>3</v>
      </c>
      <c r="AC289" s="26" t="n">
        <v>3</v>
      </c>
      <c r="AD289" s="26" t="n">
        <v>3</v>
      </c>
      <c r="AE289" s="26" t="n">
        <v>3</v>
      </c>
      <c r="AF289" s="26" t="n">
        <v>3</v>
      </c>
      <c r="AG289" s="26" t="n">
        <v>5</v>
      </c>
      <c r="AH289" s="26" t="n">
        <v>3</v>
      </c>
      <c r="AI289" s="26" t="n">
        <v>3</v>
      </c>
      <c r="AJ289" s="26" t="n">
        <v>3</v>
      </c>
      <c r="AK289" s="26" t="n">
        <v>5</v>
      </c>
      <c r="AL289" s="26" t="n">
        <v>2</v>
      </c>
      <c r="AM289" s="26" t="n">
        <v>3</v>
      </c>
      <c r="AN289" s="26" t="n">
        <v>3</v>
      </c>
      <c r="AO289" s="26" t="n">
        <v>5</v>
      </c>
      <c r="AP289" s="24" t="n">
        <v>38</v>
      </c>
      <c r="AQ289" s="27" t="n">
        <v>85.5</v>
      </c>
      <c r="AR289" s="27" t="n">
        <v>83.4</v>
      </c>
      <c r="AS289" s="27" t="n">
        <v>28.7</v>
      </c>
      <c r="AT289" s="24" t="n">
        <v>61.84</v>
      </c>
      <c r="AU289" s="24" t="n">
        <v>0</v>
      </c>
      <c r="AV289" s="24" t="n">
        <v>0</v>
      </c>
      <c r="AW289" s="24" t="n">
        <v>0</v>
      </c>
      <c r="AX289" s="24" t="n">
        <v>37.42</v>
      </c>
      <c r="AY289" s="24" t="n">
        <v>0</v>
      </c>
      <c r="AZ289" s="24" t="n">
        <v>0.73</v>
      </c>
      <c r="BA289" s="24" t="n">
        <v>0</v>
      </c>
      <c r="BB289" s="24" t="n">
        <v>0</v>
      </c>
      <c r="BC289" s="24" t="n">
        <v>0.74</v>
      </c>
      <c r="BD289" s="24" t="n">
        <v>0</v>
      </c>
      <c r="BE289" s="24" t="n">
        <v>7.34</v>
      </c>
      <c r="BF289" s="24" t="n">
        <v>25.37</v>
      </c>
      <c r="BG289" s="24" t="n">
        <v>15.03</v>
      </c>
      <c r="BH289" s="24" t="n">
        <v>30.09</v>
      </c>
      <c r="BI289" s="24" t="n">
        <v>0</v>
      </c>
      <c r="BJ289" s="24" t="n">
        <v>0</v>
      </c>
      <c r="BK289" s="24" t="n">
        <v>0</v>
      </c>
      <c r="BL289" s="24" t="n">
        <v>1.7</v>
      </c>
      <c r="BM289" s="24" t="n">
        <v>0</v>
      </c>
      <c r="BN289" s="24" t="n">
        <v>1</v>
      </c>
      <c r="BO289" s="27" t="n">
        <v>1.55</v>
      </c>
      <c r="BP289" s="27" t="n">
        <v>1</v>
      </c>
      <c r="BQ289" s="27" t="n">
        <v>5.74</v>
      </c>
      <c r="BR289" s="27" t="n">
        <v>3.64</v>
      </c>
      <c r="BS289" s="27" t="n">
        <v>0</v>
      </c>
      <c r="BT289" s="27" t="n">
        <v>0</v>
      </c>
      <c r="BU289" s="27" t="n">
        <v>0</v>
      </c>
      <c r="BV289" s="24" t="n">
        <v>0</v>
      </c>
    </row>
    <row r="290" customFormat="false" ht="13.8" hidden="false" customHeight="false" outlineLevel="0" collapsed="false">
      <c r="A290" s="24" t="n">
        <v>1</v>
      </c>
      <c r="B290" s="0" t="n">
        <v>38.9979466119097</v>
      </c>
      <c r="C290" s="0" t="n">
        <v>0.317590691307324</v>
      </c>
      <c r="D290" s="0" t="n">
        <v>8</v>
      </c>
      <c r="E290" s="0" t="n">
        <v>90</v>
      </c>
      <c r="F290" s="0" t="n">
        <v>1.65</v>
      </c>
      <c r="G290" s="0" t="n">
        <v>33.0578512396694</v>
      </c>
      <c r="H290" s="0" t="n">
        <v>0</v>
      </c>
      <c r="I290" s="0" t="n">
        <v>0</v>
      </c>
      <c r="J290" s="26" t="n">
        <v>0</v>
      </c>
      <c r="K290" s="26" t="n">
        <v>0</v>
      </c>
      <c r="L290" s="26" t="n">
        <v>0</v>
      </c>
      <c r="M290" s="26" t="n">
        <v>0</v>
      </c>
      <c r="N290" s="26" t="n">
        <v>0</v>
      </c>
      <c r="O290" s="26" t="n">
        <v>0</v>
      </c>
      <c r="P290" s="26" t="n">
        <v>0</v>
      </c>
      <c r="Q290" s="26" t="n">
        <v>0</v>
      </c>
      <c r="R290" s="26" t="n">
        <v>0</v>
      </c>
      <c r="S290" s="26" t="n">
        <v>0</v>
      </c>
      <c r="T290" s="26" t="n">
        <v>0</v>
      </c>
      <c r="U290" s="15" t="n">
        <f aca="false">AVERAGE(M290:T290)</f>
        <v>0</v>
      </c>
      <c r="V290" s="26" t="n">
        <v>2</v>
      </c>
      <c r="W290" s="26" t="n">
        <v>2</v>
      </c>
      <c r="X290" s="26" t="n">
        <v>4</v>
      </c>
      <c r="Y290" s="26" t="n">
        <v>4</v>
      </c>
      <c r="Z290" s="26" t="n">
        <v>4</v>
      </c>
      <c r="AA290" s="26" t="n">
        <v>4</v>
      </c>
      <c r="AB290" s="26" t="n">
        <v>2</v>
      </c>
      <c r="AC290" s="26" t="n">
        <v>2</v>
      </c>
      <c r="AD290" s="26" t="n">
        <v>4</v>
      </c>
      <c r="AE290" s="26" t="n">
        <v>4</v>
      </c>
      <c r="AF290" s="26" t="n">
        <v>3</v>
      </c>
      <c r="AG290" s="26" t="n">
        <v>3</v>
      </c>
      <c r="AH290" s="26" t="n">
        <v>3</v>
      </c>
      <c r="AI290" s="26" t="n">
        <v>3</v>
      </c>
      <c r="AJ290" s="26" t="n">
        <v>4</v>
      </c>
      <c r="AK290" s="26" t="n">
        <v>4</v>
      </c>
      <c r="AL290" s="26" t="n">
        <v>3</v>
      </c>
      <c r="AM290" s="26" t="n">
        <v>4</v>
      </c>
      <c r="AN290" s="26" t="n">
        <v>4</v>
      </c>
      <c r="AO290" s="26" t="n">
        <v>10</v>
      </c>
      <c r="AP290" s="24" t="n">
        <v>38</v>
      </c>
      <c r="AQ290" s="27" t="n">
        <v>85.5</v>
      </c>
      <c r="AR290" s="27" t="n">
        <v>83.4</v>
      </c>
      <c r="AS290" s="27" t="n">
        <v>28.7</v>
      </c>
      <c r="AT290" s="24" t="n">
        <v>61.84</v>
      </c>
      <c r="AU290" s="24" t="n">
        <v>0</v>
      </c>
      <c r="AV290" s="24" t="n">
        <v>0</v>
      </c>
      <c r="AW290" s="24" t="n">
        <v>0</v>
      </c>
      <c r="AX290" s="24" t="n">
        <v>37.42</v>
      </c>
      <c r="AY290" s="24" t="n">
        <v>0</v>
      </c>
      <c r="AZ290" s="24" t="n">
        <v>0.73</v>
      </c>
      <c r="BA290" s="24" t="n">
        <v>0</v>
      </c>
      <c r="BB290" s="24" t="n">
        <v>0</v>
      </c>
      <c r="BC290" s="24" t="n">
        <v>0.74</v>
      </c>
      <c r="BD290" s="24" t="n">
        <v>0</v>
      </c>
      <c r="BE290" s="24" t="n">
        <v>7.34</v>
      </c>
      <c r="BF290" s="24" t="n">
        <v>25.37</v>
      </c>
      <c r="BG290" s="24" t="n">
        <v>15.03</v>
      </c>
      <c r="BH290" s="24" t="n">
        <v>30.09</v>
      </c>
      <c r="BI290" s="24" t="n">
        <v>0</v>
      </c>
      <c r="BJ290" s="24" t="n">
        <v>0</v>
      </c>
      <c r="BK290" s="24" t="n">
        <v>0</v>
      </c>
      <c r="BL290" s="24" t="n">
        <v>1.7</v>
      </c>
      <c r="BM290" s="24" t="n">
        <v>0</v>
      </c>
      <c r="BN290" s="24" t="n">
        <v>1</v>
      </c>
      <c r="BO290" s="27" t="n">
        <v>1.55</v>
      </c>
      <c r="BP290" s="27" t="n">
        <v>1</v>
      </c>
      <c r="BQ290" s="27" t="n">
        <v>5.74</v>
      </c>
      <c r="BR290" s="27" t="n">
        <v>3.64</v>
      </c>
      <c r="BS290" s="27" t="n">
        <v>0</v>
      </c>
      <c r="BT290" s="27" t="n">
        <v>0</v>
      </c>
      <c r="BU290" s="27" t="n">
        <v>0</v>
      </c>
      <c r="BV290" s="24" t="n">
        <v>0</v>
      </c>
    </row>
    <row r="291" customFormat="false" ht="13.8" hidden="false" customHeight="false" outlineLevel="0" collapsed="false">
      <c r="A291" s="24" t="n">
        <v>2</v>
      </c>
      <c r="B291" s="0" t="n">
        <v>25.8945927446954</v>
      </c>
      <c r="C291" s="0" t="n">
        <v>0.317590691307324</v>
      </c>
      <c r="D291" s="0" t="n">
        <v>8</v>
      </c>
      <c r="E291" s="0" t="n">
        <v>69</v>
      </c>
      <c r="F291" s="0" t="n">
        <v>1.75</v>
      </c>
      <c r="G291" s="0" t="n">
        <v>22.530612244898</v>
      </c>
      <c r="H291" s="0" t="n">
        <v>0</v>
      </c>
      <c r="I291" s="0" t="n">
        <v>0</v>
      </c>
      <c r="J291" s="26" t="n">
        <v>0</v>
      </c>
      <c r="K291" s="26" t="n">
        <v>0</v>
      </c>
      <c r="L291" s="26" t="n">
        <v>1</v>
      </c>
      <c r="M291" s="26"/>
      <c r="N291" s="26"/>
      <c r="O291" s="26"/>
      <c r="P291" s="26"/>
      <c r="Q291" s="26" t="n">
        <v>0</v>
      </c>
      <c r="R291" s="26" t="n">
        <v>0</v>
      </c>
      <c r="S291" s="26"/>
      <c r="T291" s="26"/>
      <c r="U291" s="15" t="n">
        <f aca="false">AVERAGE(M291:T291)</f>
        <v>0</v>
      </c>
      <c r="V291" s="26" t="n">
        <v>2</v>
      </c>
      <c r="W291" s="26" t="n">
        <v>1</v>
      </c>
      <c r="X291" s="26" t="n">
        <v>3</v>
      </c>
      <c r="Y291" s="26" t="n">
        <v>5</v>
      </c>
      <c r="Z291" s="26" t="n">
        <v>3</v>
      </c>
      <c r="AA291" s="26" t="n">
        <v>1</v>
      </c>
      <c r="AB291" s="26" t="n">
        <v>5</v>
      </c>
      <c r="AC291" s="26" t="n">
        <v>5</v>
      </c>
      <c r="AD291" s="26" t="n">
        <v>5</v>
      </c>
      <c r="AE291" s="26" t="n">
        <v>3</v>
      </c>
      <c r="AF291" s="26" t="n">
        <v>4</v>
      </c>
      <c r="AG291" s="26" t="n">
        <v>5</v>
      </c>
      <c r="AH291" s="26" t="n">
        <v>3</v>
      </c>
      <c r="AI291" s="26" t="n">
        <v>5</v>
      </c>
      <c r="AJ291" s="26" t="n">
        <v>5</v>
      </c>
      <c r="AK291" s="26" t="n">
        <v>5</v>
      </c>
      <c r="AL291" s="26" t="n">
        <v>5</v>
      </c>
      <c r="AM291" s="26" t="n">
        <v>5</v>
      </c>
      <c r="AN291" s="26" t="n">
        <v>5</v>
      </c>
      <c r="AO291" s="26" t="n">
        <v>10</v>
      </c>
      <c r="AP291" s="24" t="n">
        <v>38</v>
      </c>
      <c r="AQ291" s="27" t="n">
        <v>85.5</v>
      </c>
      <c r="AR291" s="27" t="n">
        <v>83.4</v>
      </c>
      <c r="AS291" s="27" t="n">
        <v>28.7</v>
      </c>
      <c r="AT291" s="24" t="n">
        <v>61.84</v>
      </c>
      <c r="AU291" s="24" t="n">
        <v>0</v>
      </c>
      <c r="AV291" s="24" t="n">
        <v>0</v>
      </c>
      <c r="AW291" s="24" t="n">
        <v>0</v>
      </c>
      <c r="AX291" s="24" t="n">
        <v>37.42</v>
      </c>
      <c r="AY291" s="24" t="n">
        <v>0</v>
      </c>
      <c r="AZ291" s="24" t="n">
        <v>0.73</v>
      </c>
      <c r="BA291" s="24" t="n">
        <v>0</v>
      </c>
      <c r="BB291" s="24" t="n">
        <v>0</v>
      </c>
      <c r="BC291" s="24" t="n">
        <v>0.74</v>
      </c>
      <c r="BD291" s="24" t="n">
        <v>0</v>
      </c>
      <c r="BE291" s="24" t="n">
        <v>7.34</v>
      </c>
      <c r="BF291" s="24" t="n">
        <v>25.37</v>
      </c>
      <c r="BG291" s="24" t="n">
        <v>15.03</v>
      </c>
      <c r="BH291" s="24" t="n">
        <v>30.09</v>
      </c>
      <c r="BI291" s="24" t="n">
        <v>0</v>
      </c>
      <c r="BJ291" s="24" t="n">
        <v>0</v>
      </c>
      <c r="BK291" s="24" t="n">
        <v>0</v>
      </c>
      <c r="BL291" s="24" t="n">
        <v>1.7</v>
      </c>
      <c r="BM291" s="24" t="n">
        <v>0</v>
      </c>
      <c r="BN291" s="24" t="n">
        <v>1</v>
      </c>
      <c r="BO291" s="27" t="n">
        <v>1.55</v>
      </c>
      <c r="BP291" s="27" t="n">
        <v>1</v>
      </c>
      <c r="BQ291" s="27" t="n">
        <v>5.74</v>
      </c>
      <c r="BR291" s="27" t="n">
        <v>3.64</v>
      </c>
      <c r="BS291" s="27" t="n">
        <v>0</v>
      </c>
      <c r="BT291" s="27" t="n">
        <v>0</v>
      </c>
      <c r="BU291" s="27" t="n">
        <v>0</v>
      </c>
      <c r="BV291" s="24" t="n">
        <v>0</v>
      </c>
    </row>
    <row r="292" customFormat="false" ht="13.8" hidden="false" customHeight="false" outlineLevel="0" collapsed="false">
      <c r="A292" s="24" t="n">
        <v>2</v>
      </c>
      <c r="B292" s="0" t="n">
        <v>32.8104038329911</v>
      </c>
      <c r="C292" s="0" t="n">
        <v>10.3791923340178</v>
      </c>
      <c r="D292" s="0" t="n">
        <v>8</v>
      </c>
      <c r="E292" s="0" t="n">
        <v>95</v>
      </c>
      <c r="F292" s="0" t="n">
        <v>1.88</v>
      </c>
      <c r="G292" s="0" t="n">
        <v>26.8786781349027</v>
      </c>
      <c r="H292" s="0" t="n">
        <v>0</v>
      </c>
      <c r="I292" s="0" t="n">
        <v>0</v>
      </c>
      <c r="J292" s="26" t="n">
        <v>1</v>
      </c>
      <c r="K292" s="26" t="n">
        <v>0</v>
      </c>
      <c r="L292" s="26" t="n">
        <v>1</v>
      </c>
      <c r="M292" s="26" t="n">
        <v>0</v>
      </c>
      <c r="N292" s="26"/>
      <c r="O292" s="26" t="n">
        <v>0</v>
      </c>
      <c r="P292" s="26" t="n">
        <v>0</v>
      </c>
      <c r="Q292" s="26" t="n">
        <v>5</v>
      </c>
      <c r="R292" s="26" t="n">
        <v>0</v>
      </c>
      <c r="S292" s="26" t="n">
        <v>5</v>
      </c>
      <c r="T292" s="26" t="n">
        <v>9</v>
      </c>
      <c r="U292" s="15" t="n">
        <f aca="false">AVERAGE(M292:T292)</f>
        <v>2.71428571428571</v>
      </c>
      <c r="V292" s="26" t="n">
        <v>5</v>
      </c>
      <c r="W292" s="26" t="n">
        <v>4</v>
      </c>
      <c r="X292" s="26" t="n">
        <v>5</v>
      </c>
      <c r="Y292" s="26" t="n">
        <v>5</v>
      </c>
      <c r="Z292" s="26" t="n">
        <v>4</v>
      </c>
      <c r="AA292" s="26" t="n">
        <v>5</v>
      </c>
      <c r="AB292" s="26" t="n">
        <v>5</v>
      </c>
      <c r="AC292" s="26" t="n">
        <v>5</v>
      </c>
      <c r="AD292" s="26" t="n">
        <v>1</v>
      </c>
      <c r="AE292" s="26" t="n">
        <v>2</v>
      </c>
      <c r="AF292" s="26" t="n">
        <v>1</v>
      </c>
      <c r="AG292" s="26" t="n">
        <v>5</v>
      </c>
      <c r="AH292" s="26" t="n">
        <v>1</v>
      </c>
      <c r="AI292" s="26" t="n">
        <v>1</v>
      </c>
      <c r="AJ292" s="26" t="n">
        <v>3</v>
      </c>
      <c r="AK292" s="26" t="n">
        <v>4</v>
      </c>
      <c r="AL292" s="26" t="n">
        <v>4</v>
      </c>
      <c r="AM292" s="26" t="n">
        <v>5</v>
      </c>
      <c r="AN292" s="26" t="n">
        <v>2</v>
      </c>
      <c r="AO292" s="26" t="n">
        <v>10</v>
      </c>
      <c r="AP292" s="24" t="n">
        <v>38</v>
      </c>
      <c r="AQ292" s="27" t="n">
        <v>85.5</v>
      </c>
      <c r="AR292" s="27" t="n">
        <v>83.4</v>
      </c>
      <c r="AS292" s="27" t="n">
        <v>28.7</v>
      </c>
      <c r="AT292" s="24" t="n">
        <v>61.84</v>
      </c>
      <c r="AU292" s="24" t="n">
        <v>0</v>
      </c>
      <c r="AV292" s="24" t="n">
        <v>0</v>
      </c>
      <c r="AW292" s="24" t="n">
        <v>0</v>
      </c>
      <c r="AX292" s="24" t="n">
        <v>37.42</v>
      </c>
      <c r="AY292" s="24" t="n">
        <v>0</v>
      </c>
      <c r="AZ292" s="24" t="n">
        <v>0.73</v>
      </c>
      <c r="BA292" s="24" t="n">
        <v>0</v>
      </c>
      <c r="BB292" s="24" t="n">
        <v>0</v>
      </c>
      <c r="BC292" s="24" t="n">
        <v>0.74</v>
      </c>
      <c r="BD292" s="24" t="n">
        <v>0</v>
      </c>
      <c r="BE292" s="24" t="n">
        <v>7.34</v>
      </c>
      <c r="BF292" s="24" t="n">
        <v>25.37</v>
      </c>
      <c r="BG292" s="24" t="n">
        <v>15.03</v>
      </c>
      <c r="BH292" s="24" t="n">
        <v>30.09</v>
      </c>
      <c r="BI292" s="24" t="n">
        <v>0</v>
      </c>
      <c r="BJ292" s="24" t="n">
        <v>0</v>
      </c>
      <c r="BK292" s="24" t="n">
        <v>0</v>
      </c>
      <c r="BL292" s="24" t="n">
        <v>1.7</v>
      </c>
      <c r="BM292" s="24" t="n">
        <v>0</v>
      </c>
      <c r="BN292" s="24" t="n">
        <v>1</v>
      </c>
      <c r="BO292" s="27" t="n">
        <v>1.55</v>
      </c>
      <c r="BP292" s="27" t="n">
        <v>1</v>
      </c>
      <c r="BQ292" s="27" t="n">
        <v>5.74</v>
      </c>
      <c r="BR292" s="27" t="n">
        <v>3.64</v>
      </c>
      <c r="BS292" s="27" t="n">
        <v>0</v>
      </c>
      <c r="BT292" s="27" t="n">
        <v>0</v>
      </c>
      <c r="BU292" s="27" t="n">
        <v>0</v>
      </c>
      <c r="BV292" s="24" t="n">
        <v>0</v>
      </c>
    </row>
    <row r="293" customFormat="false" ht="13.8" hidden="false" customHeight="false" outlineLevel="0" collapsed="false">
      <c r="A293" s="24" t="n">
        <v>1</v>
      </c>
      <c r="B293" s="0" t="n">
        <v>24.8514715947981</v>
      </c>
      <c r="C293" s="0" t="n">
        <v>0.265571526351814</v>
      </c>
      <c r="D293" s="0" t="n">
        <v>8</v>
      </c>
      <c r="E293" s="0" t="n">
        <v>64</v>
      </c>
      <c r="F293" s="0" t="n">
        <v>1.64</v>
      </c>
      <c r="G293" s="0" t="n">
        <v>23.7953599048186</v>
      </c>
      <c r="H293" s="0" t="n">
        <v>0</v>
      </c>
      <c r="I293" s="0" t="n">
        <v>0</v>
      </c>
      <c r="J293" s="26" t="n">
        <v>0</v>
      </c>
      <c r="K293" s="26" t="n">
        <v>0</v>
      </c>
      <c r="L293" s="26" t="n">
        <v>1</v>
      </c>
      <c r="M293" s="26" t="n">
        <v>0</v>
      </c>
      <c r="N293" s="26" t="n">
        <v>7</v>
      </c>
      <c r="O293" s="26" t="n">
        <v>0</v>
      </c>
      <c r="P293" s="26" t="n">
        <v>0</v>
      </c>
      <c r="Q293" s="26" t="n">
        <v>0</v>
      </c>
      <c r="R293" s="26" t="n">
        <v>0</v>
      </c>
      <c r="S293" s="26" t="n">
        <v>7</v>
      </c>
      <c r="T293" s="26" t="n">
        <v>0</v>
      </c>
      <c r="U293" s="15" t="n">
        <f aca="false">AVERAGE(M293:T293)</f>
        <v>1.75</v>
      </c>
      <c r="V293" s="26" t="n">
        <v>2</v>
      </c>
      <c r="W293" s="26" t="n">
        <v>2</v>
      </c>
      <c r="X293" s="26" t="n">
        <v>4</v>
      </c>
      <c r="Y293" s="26" t="n">
        <v>5</v>
      </c>
      <c r="Z293" s="26" t="n">
        <v>1</v>
      </c>
      <c r="AA293" s="26" t="n">
        <v>1</v>
      </c>
      <c r="AB293" s="26" t="n">
        <v>3</v>
      </c>
      <c r="AC293" s="26" t="n">
        <v>2</v>
      </c>
      <c r="AD293" s="26" t="n">
        <v>4</v>
      </c>
      <c r="AE293" s="26" t="n">
        <v>4</v>
      </c>
      <c r="AF293" s="26" t="n">
        <v>5</v>
      </c>
      <c r="AG293" s="26" t="n">
        <v>5</v>
      </c>
      <c r="AH293" s="26" t="n">
        <v>4</v>
      </c>
      <c r="AI293" s="26" t="n">
        <v>5</v>
      </c>
      <c r="AJ293" s="26" t="n">
        <v>4</v>
      </c>
      <c r="AK293" s="26" t="n">
        <v>4</v>
      </c>
      <c r="AL293" s="26" t="n">
        <v>4</v>
      </c>
      <c r="AM293" s="26" t="n">
        <v>5</v>
      </c>
      <c r="AN293" s="26" t="n">
        <v>4</v>
      </c>
      <c r="AO293" s="26" t="n">
        <v>10</v>
      </c>
      <c r="AP293" s="24" t="n">
        <v>38</v>
      </c>
      <c r="AQ293" s="27" t="n">
        <v>85.5</v>
      </c>
      <c r="AR293" s="27" t="n">
        <v>83.4</v>
      </c>
      <c r="AS293" s="27" t="n">
        <v>28.7</v>
      </c>
      <c r="AT293" s="24" t="n">
        <v>61.84</v>
      </c>
      <c r="AU293" s="24" t="n">
        <v>0</v>
      </c>
      <c r="AV293" s="24" t="n">
        <v>0</v>
      </c>
      <c r="AW293" s="24" t="n">
        <v>0</v>
      </c>
      <c r="AX293" s="24" t="n">
        <v>37.42</v>
      </c>
      <c r="AY293" s="24" t="n">
        <v>0</v>
      </c>
      <c r="AZ293" s="24" t="n">
        <v>0.73</v>
      </c>
      <c r="BA293" s="24" t="n">
        <v>0</v>
      </c>
      <c r="BB293" s="24" t="n">
        <v>0</v>
      </c>
      <c r="BC293" s="24" t="n">
        <v>0.74</v>
      </c>
      <c r="BD293" s="24" t="n">
        <v>0</v>
      </c>
      <c r="BE293" s="24" t="n">
        <v>7.34</v>
      </c>
      <c r="BF293" s="24" t="n">
        <v>25.37</v>
      </c>
      <c r="BG293" s="24" t="n">
        <v>15.03</v>
      </c>
      <c r="BH293" s="24" t="n">
        <v>30.09</v>
      </c>
      <c r="BI293" s="24" t="n">
        <v>0</v>
      </c>
      <c r="BJ293" s="24" t="n">
        <v>0</v>
      </c>
      <c r="BK293" s="24" t="n">
        <v>0</v>
      </c>
      <c r="BL293" s="24" t="n">
        <v>1.7</v>
      </c>
      <c r="BM293" s="24" t="n">
        <v>0</v>
      </c>
      <c r="BN293" s="24" t="n">
        <v>1</v>
      </c>
      <c r="BO293" s="27" t="n">
        <v>1.55</v>
      </c>
      <c r="BP293" s="27" t="n">
        <v>1</v>
      </c>
      <c r="BQ293" s="27" t="n">
        <v>5.74</v>
      </c>
      <c r="BR293" s="27" t="n">
        <v>3.64</v>
      </c>
      <c r="BS293" s="27" t="n">
        <v>0</v>
      </c>
      <c r="BT293" s="27" t="n">
        <v>0</v>
      </c>
      <c r="BU293" s="27" t="n">
        <v>0</v>
      </c>
      <c r="BV293" s="24" t="n">
        <v>0</v>
      </c>
    </row>
    <row r="294" customFormat="false" ht="13.8" hidden="false" customHeight="false" outlineLevel="0" collapsed="false">
      <c r="A294" s="24" t="n">
        <v>1</v>
      </c>
      <c r="B294" s="0" t="n">
        <v>27.9014373716632</v>
      </c>
      <c r="C294" s="0" t="n">
        <v>0.287474332648871</v>
      </c>
      <c r="D294" s="0" t="n">
        <v>8</v>
      </c>
      <c r="E294" s="0" t="n">
        <v>67</v>
      </c>
      <c r="F294" s="0" t="n">
        <v>1.74</v>
      </c>
      <c r="G294" s="0" t="n">
        <v>22.1297397278372</v>
      </c>
      <c r="H294" s="0" t="n">
        <v>0</v>
      </c>
      <c r="I294" s="0" t="n">
        <v>0</v>
      </c>
      <c r="J294" s="26" t="n">
        <v>0</v>
      </c>
      <c r="K294" s="26" t="n">
        <v>1</v>
      </c>
      <c r="L294" s="26" t="n">
        <v>1</v>
      </c>
      <c r="M294" s="26" t="n">
        <v>0</v>
      </c>
      <c r="N294" s="26" t="n">
        <v>0</v>
      </c>
      <c r="O294" s="26" t="n">
        <v>0</v>
      </c>
      <c r="P294" s="26" t="n">
        <v>0</v>
      </c>
      <c r="Q294" s="26" t="n">
        <v>0</v>
      </c>
      <c r="R294" s="26" t="n">
        <v>0</v>
      </c>
      <c r="S294" s="26" t="n">
        <v>0</v>
      </c>
      <c r="T294" s="26" t="n">
        <v>0</v>
      </c>
      <c r="U294" s="15" t="n">
        <f aca="false">AVERAGE(M294:T294)</f>
        <v>0</v>
      </c>
      <c r="V294" s="26" t="n">
        <v>1</v>
      </c>
      <c r="W294" s="26" t="n">
        <v>2</v>
      </c>
      <c r="X294" s="26"/>
      <c r="Y294" s="26" t="n">
        <v>5</v>
      </c>
      <c r="Z294" s="26" t="n">
        <v>2</v>
      </c>
      <c r="AA294" s="26" t="n">
        <v>1</v>
      </c>
      <c r="AB294" s="26" t="n">
        <v>1</v>
      </c>
      <c r="AC294" s="26" t="n">
        <v>5</v>
      </c>
      <c r="AD294" s="26" t="n">
        <v>5</v>
      </c>
      <c r="AE294" s="26" t="n">
        <v>4</v>
      </c>
      <c r="AF294" s="26"/>
      <c r="AG294" s="26" t="n">
        <v>5</v>
      </c>
      <c r="AH294" s="26" t="n">
        <v>4</v>
      </c>
      <c r="AI294" s="26" t="n">
        <v>4</v>
      </c>
      <c r="AJ294" s="26" t="n">
        <v>5</v>
      </c>
      <c r="AK294" s="26" t="n">
        <v>3</v>
      </c>
      <c r="AL294" s="26" t="n">
        <v>4</v>
      </c>
      <c r="AM294" s="26" t="n">
        <v>4</v>
      </c>
      <c r="AN294" s="26" t="n">
        <v>5</v>
      </c>
      <c r="AO294" s="26" t="n">
        <v>9</v>
      </c>
      <c r="AP294" s="24" t="n">
        <v>38</v>
      </c>
      <c r="AQ294" s="27" t="n">
        <v>85.5</v>
      </c>
      <c r="AR294" s="27" t="n">
        <v>83.4</v>
      </c>
      <c r="AS294" s="27" t="n">
        <v>28.7</v>
      </c>
      <c r="AT294" s="24" t="n">
        <v>61.84</v>
      </c>
      <c r="AU294" s="24" t="n">
        <v>0</v>
      </c>
      <c r="AV294" s="24" t="n">
        <v>0</v>
      </c>
      <c r="AW294" s="24" t="n">
        <v>0</v>
      </c>
      <c r="AX294" s="24" t="n">
        <v>37.42</v>
      </c>
      <c r="AY294" s="24" t="n">
        <v>0</v>
      </c>
      <c r="AZ294" s="24" t="n">
        <v>0.73</v>
      </c>
      <c r="BA294" s="24" t="n">
        <v>0</v>
      </c>
      <c r="BB294" s="24" t="n">
        <v>0</v>
      </c>
      <c r="BC294" s="24" t="n">
        <v>0.74</v>
      </c>
      <c r="BD294" s="24" t="n">
        <v>0</v>
      </c>
      <c r="BE294" s="24" t="n">
        <v>7.34</v>
      </c>
      <c r="BF294" s="24" t="n">
        <v>25.37</v>
      </c>
      <c r="BG294" s="24" t="n">
        <v>15.03</v>
      </c>
      <c r="BH294" s="24" t="n">
        <v>30.09</v>
      </c>
      <c r="BI294" s="24" t="n">
        <v>0</v>
      </c>
      <c r="BJ294" s="24" t="n">
        <v>0</v>
      </c>
      <c r="BK294" s="24" t="n">
        <v>0</v>
      </c>
      <c r="BL294" s="24" t="n">
        <v>1.7</v>
      </c>
      <c r="BM294" s="24" t="n">
        <v>0</v>
      </c>
      <c r="BN294" s="24" t="n">
        <v>1</v>
      </c>
      <c r="BO294" s="27" t="n">
        <v>1.55</v>
      </c>
      <c r="BP294" s="27" t="n">
        <v>1</v>
      </c>
      <c r="BQ294" s="27" t="n">
        <v>5.74</v>
      </c>
      <c r="BR294" s="27" t="n">
        <v>3.64</v>
      </c>
      <c r="BS294" s="27" t="n">
        <v>0</v>
      </c>
      <c r="BT294" s="27" t="n">
        <v>0</v>
      </c>
      <c r="BU294" s="27" t="n">
        <v>0</v>
      </c>
      <c r="BV294" s="24" t="n">
        <v>0</v>
      </c>
    </row>
    <row r="295" customFormat="false" ht="13.8" hidden="false" customHeight="false" outlineLevel="0" collapsed="false">
      <c r="A295" s="24" t="n">
        <v>2</v>
      </c>
      <c r="B295" s="0" t="n">
        <v>29.9575633127994</v>
      </c>
      <c r="C295" s="0" t="n">
        <v>6.04791238877481</v>
      </c>
      <c r="D295" s="0" t="n">
        <v>8</v>
      </c>
      <c r="E295" s="0" t="n">
        <v>84</v>
      </c>
      <c r="F295" s="0" t="n">
        <v>1.83</v>
      </c>
      <c r="G295" s="0" t="n">
        <v>25.0828630296515</v>
      </c>
      <c r="H295" s="0" t="n">
        <v>0</v>
      </c>
      <c r="I295" s="0" t="n">
        <v>0</v>
      </c>
      <c r="J295" s="26" t="n">
        <v>0</v>
      </c>
      <c r="K295" s="26" t="n">
        <v>2</v>
      </c>
      <c r="L295" s="26" t="n">
        <v>0</v>
      </c>
      <c r="M295" s="26" t="n">
        <v>0</v>
      </c>
      <c r="N295" s="26" t="n">
        <v>0</v>
      </c>
      <c r="O295" s="26" t="n">
        <v>0</v>
      </c>
      <c r="P295" s="26" t="n">
        <v>0</v>
      </c>
      <c r="Q295" s="26" t="n">
        <v>0</v>
      </c>
      <c r="R295" s="26" t="n">
        <v>0</v>
      </c>
      <c r="S295" s="26" t="n">
        <v>0</v>
      </c>
      <c r="T295" s="26" t="n">
        <v>0</v>
      </c>
      <c r="U295" s="15" t="n">
        <f aca="false">AVERAGE(M295:T295)</f>
        <v>0</v>
      </c>
      <c r="V295" s="26" t="n">
        <v>3</v>
      </c>
      <c r="W295" s="26" t="n">
        <v>3</v>
      </c>
      <c r="X295" s="26" t="n">
        <v>3</v>
      </c>
      <c r="Y295" s="26" t="n">
        <v>4</v>
      </c>
      <c r="Z295" s="26" t="n">
        <v>3</v>
      </c>
      <c r="AA295" s="26"/>
      <c r="AB295" s="26" t="n">
        <v>5</v>
      </c>
      <c r="AC295" s="26" t="n">
        <v>5</v>
      </c>
      <c r="AD295" s="26" t="n">
        <v>5</v>
      </c>
      <c r="AE295" s="26" t="n">
        <v>4</v>
      </c>
      <c r="AF295" s="26" t="n">
        <v>2</v>
      </c>
      <c r="AG295" s="26" t="n">
        <v>5</v>
      </c>
      <c r="AH295" s="26" t="n">
        <v>3</v>
      </c>
      <c r="AI295" s="26" t="n">
        <v>4</v>
      </c>
      <c r="AJ295" s="26" t="n">
        <v>4</v>
      </c>
      <c r="AK295" s="26" t="n">
        <v>5</v>
      </c>
      <c r="AL295" s="26" t="n">
        <v>4</v>
      </c>
      <c r="AM295" s="26" t="n">
        <v>4</v>
      </c>
      <c r="AN295" s="26" t="n">
        <v>3</v>
      </c>
      <c r="AO295" s="26" t="n">
        <v>10</v>
      </c>
      <c r="AP295" s="24" t="n">
        <v>38</v>
      </c>
      <c r="AQ295" s="27" t="n">
        <v>85.5</v>
      </c>
      <c r="AR295" s="27" t="n">
        <v>83.4</v>
      </c>
      <c r="AS295" s="27" t="n">
        <v>28.7</v>
      </c>
      <c r="AT295" s="24" t="n">
        <v>61.84</v>
      </c>
      <c r="AU295" s="24" t="n">
        <v>0</v>
      </c>
      <c r="AV295" s="24" t="n">
        <v>0</v>
      </c>
      <c r="AW295" s="24" t="n">
        <v>0</v>
      </c>
      <c r="AX295" s="24" t="n">
        <v>37.42</v>
      </c>
      <c r="AY295" s="24" t="n">
        <v>0</v>
      </c>
      <c r="AZ295" s="24" t="n">
        <v>0.73</v>
      </c>
      <c r="BA295" s="24" t="n">
        <v>0</v>
      </c>
      <c r="BB295" s="24" t="n">
        <v>0</v>
      </c>
      <c r="BC295" s="24" t="n">
        <v>0.74</v>
      </c>
      <c r="BD295" s="24" t="n">
        <v>0</v>
      </c>
      <c r="BE295" s="24" t="n">
        <v>7.34</v>
      </c>
      <c r="BF295" s="24" t="n">
        <v>25.37</v>
      </c>
      <c r="BG295" s="24" t="n">
        <v>15.03</v>
      </c>
      <c r="BH295" s="24" t="n">
        <v>30.09</v>
      </c>
      <c r="BI295" s="24" t="n">
        <v>0</v>
      </c>
      <c r="BJ295" s="24" t="n">
        <v>0</v>
      </c>
      <c r="BK295" s="24" t="n">
        <v>0</v>
      </c>
      <c r="BL295" s="24" t="n">
        <v>1.7</v>
      </c>
      <c r="BM295" s="24" t="n">
        <v>0</v>
      </c>
      <c r="BN295" s="24" t="n">
        <v>1</v>
      </c>
      <c r="BO295" s="27" t="n">
        <v>1.55</v>
      </c>
      <c r="BP295" s="27" t="n">
        <v>1</v>
      </c>
      <c r="BQ295" s="27" t="n">
        <v>5.74</v>
      </c>
      <c r="BR295" s="27" t="n">
        <v>3.64</v>
      </c>
      <c r="BS295" s="27" t="n">
        <v>0</v>
      </c>
      <c r="BT295" s="27" t="n">
        <v>0</v>
      </c>
      <c r="BU295" s="27" t="n">
        <v>0</v>
      </c>
      <c r="BV295" s="24" t="n">
        <v>0</v>
      </c>
    </row>
    <row r="296" customFormat="false" ht="13.8" hidden="false" customHeight="false" outlineLevel="0" collapsed="false">
      <c r="A296" s="24" t="n">
        <v>2</v>
      </c>
      <c r="B296" s="0" t="n">
        <v>33.0677618069815</v>
      </c>
      <c r="C296" s="0" t="n">
        <v>0.268309377138946</v>
      </c>
      <c r="D296" s="0" t="n">
        <v>8</v>
      </c>
      <c r="E296" s="0" t="n">
        <v>78</v>
      </c>
      <c r="F296" s="0" t="n">
        <v>1.81</v>
      </c>
      <c r="G296" s="0" t="n">
        <v>23.8087970452672</v>
      </c>
      <c r="H296" s="0" t="n">
        <v>0</v>
      </c>
      <c r="I296" s="0" t="n">
        <v>0</v>
      </c>
      <c r="J296" s="26" t="n">
        <v>0</v>
      </c>
      <c r="K296" s="26" t="n">
        <v>1</v>
      </c>
      <c r="L296" s="26" t="n">
        <v>1</v>
      </c>
      <c r="M296" s="26" t="n">
        <v>0</v>
      </c>
      <c r="N296" s="26" t="n">
        <v>0</v>
      </c>
      <c r="O296" s="26" t="n">
        <v>0</v>
      </c>
      <c r="P296" s="26" t="n">
        <v>0</v>
      </c>
      <c r="Q296" s="26" t="n">
        <v>0</v>
      </c>
      <c r="R296" s="26" t="n">
        <v>0</v>
      </c>
      <c r="S296" s="26" t="n">
        <v>0</v>
      </c>
      <c r="T296" s="26" t="n">
        <v>0</v>
      </c>
      <c r="U296" s="15" t="n">
        <f aca="false">AVERAGE(M296:T296)</f>
        <v>0</v>
      </c>
      <c r="V296" s="26" t="n">
        <v>3</v>
      </c>
      <c r="W296" s="26" t="n">
        <v>2</v>
      </c>
      <c r="X296" s="26" t="n">
        <v>4</v>
      </c>
      <c r="Y296" s="26" t="n">
        <v>5</v>
      </c>
      <c r="Z296" s="26" t="n">
        <v>3</v>
      </c>
      <c r="AA296" s="26" t="n">
        <v>3</v>
      </c>
      <c r="AB296" s="26" t="n">
        <v>5</v>
      </c>
      <c r="AC296" s="26" t="n">
        <v>5</v>
      </c>
      <c r="AD296" s="26" t="n">
        <v>3</v>
      </c>
      <c r="AE296" s="26" t="n">
        <v>4</v>
      </c>
      <c r="AF296" s="26" t="n">
        <v>5</v>
      </c>
      <c r="AG296" s="26" t="n">
        <v>5</v>
      </c>
      <c r="AH296" s="26" t="n">
        <v>5</v>
      </c>
      <c r="AI296" s="26" t="n">
        <v>4</v>
      </c>
      <c r="AJ296" s="26" t="n">
        <v>4</v>
      </c>
      <c r="AK296" s="26" t="n">
        <v>4</v>
      </c>
      <c r="AL296" s="26" t="n">
        <v>4</v>
      </c>
      <c r="AM296" s="26" t="n">
        <v>4</v>
      </c>
      <c r="AN296" s="26" t="n">
        <v>4</v>
      </c>
      <c r="AO296" s="26" t="n">
        <v>10</v>
      </c>
      <c r="AP296" s="24" t="n">
        <v>38</v>
      </c>
      <c r="AQ296" s="27" t="n">
        <v>85.5</v>
      </c>
      <c r="AR296" s="27" t="n">
        <v>83.4</v>
      </c>
      <c r="AS296" s="27" t="n">
        <v>28.7</v>
      </c>
      <c r="AT296" s="24" t="n">
        <v>61.84</v>
      </c>
      <c r="AU296" s="24" t="n">
        <v>0</v>
      </c>
      <c r="AV296" s="24" t="n">
        <v>0</v>
      </c>
      <c r="AW296" s="24" t="n">
        <v>0</v>
      </c>
      <c r="AX296" s="24" t="n">
        <v>37.42</v>
      </c>
      <c r="AY296" s="24" t="n">
        <v>0</v>
      </c>
      <c r="AZ296" s="24" t="n">
        <v>0.73</v>
      </c>
      <c r="BA296" s="24" t="n">
        <v>0</v>
      </c>
      <c r="BB296" s="24" t="n">
        <v>0</v>
      </c>
      <c r="BC296" s="24" t="n">
        <v>0.74</v>
      </c>
      <c r="BD296" s="24" t="n">
        <v>0</v>
      </c>
      <c r="BE296" s="24" t="n">
        <v>7.34</v>
      </c>
      <c r="BF296" s="24" t="n">
        <v>25.37</v>
      </c>
      <c r="BG296" s="24" t="n">
        <v>15.03</v>
      </c>
      <c r="BH296" s="24" t="n">
        <v>30.09</v>
      </c>
      <c r="BI296" s="24" t="n">
        <v>0</v>
      </c>
      <c r="BJ296" s="24" t="n">
        <v>0</v>
      </c>
      <c r="BK296" s="24" t="n">
        <v>0</v>
      </c>
      <c r="BL296" s="24" t="n">
        <v>1.7</v>
      </c>
      <c r="BM296" s="24" t="n">
        <v>0</v>
      </c>
      <c r="BN296" s="24" t="n">
        <v>1</v>
      </c>
      <c r="BO296" s="27" t="n">
        <v>1.55</v>
      </c>
      <c r="BP296" s="27" t="n">
        <v>1</v>
      </c>
      <c r="BQ296" s="27" t="n">
        <v>5.74</v>
      </c>
      <c r="BR296" s="27" t="n">
        <v>3.64</v>
      </c>
      <c r="BS296" s="27" t="n">
        <v>0</v>
      </c>
      <c r="BT296" s="27" t="n">
        <v>0</v>
      </c>
      <c r="BU296" s="27" t="n">
        <v>0</v>
      </c>
      <c r="BV296" s="24" t="n">
        <v>0</v>
      </c>
    </row>
    <row r="297" customFormat="false" ht="13.8" hidden="false" customHeight="false" outlineLevel="0" collapsed="false">
      <c r="A297" s="24" t="n">
        <v>2</v>
      </c>
      <c r="B297" s="0" t="n">
        <v>41.1718001368925</v>
      </c>
      <c r="C297" s="0" t="n">
        <v>21.3716632443532</v>
      </c>
      <c r="D297" s="0" t="n">
        <v>8</v>
      </c>
      <c r="E297" s="0" t="n">
        <v>68</v>
      </c>
      <c r="F297" s="0" t="n">
        <v>1.69</v>
      </c>
      <c r="G297" s="0" t="n">
        <v>23.8086901719128</v>
      </c>
      <c r="H297" s="0" t="n">
        <v>0</v>
      </c>
      <c r="I297" s="0" t="n">
        <v>0</v>
      </c>
      <c r="J297" s="26" t="n">
        <v>0</v>
      </c>
      <c r="K297" s="26" t="n">
        <v>1</v>
      </c>
      <c r="L297" s="26" t="n">
        <v>0</v>
      </c>
      <c r="M297" s="26" t="n">
        <v>7</v>
      </c>
      <c r="N297" s="26" t="n">
        <v>0</v>
      </c>
      <c r="O297" s="26" t="n">
        <v>0</v>
      </c>
      <c r="P297" s="26" t="n">
        <v>0</v>
      </c>
      <c r="Q297" s="26" t="n">
        <v>7</v>
      </c>
      <c r="R297" s="26" t="n">
        <v>7</v>
      </c>
      <c r="S297" s="26" t="n">
        <v>0</v>
      </c>
      <c r="T297" s="26" t="n">
        <v>6</v>
      </c>
      <c r="U297" s="15" t="n">
        <f aca="false">AVERAGE(M297:T297)</f>
        <v>3.375</v>
      </c>
      <c r="V297" s="26" t="n">
        <v>5</v>
      </c>
      <c r="W297" s="26" t="n">
        <v>3</v>
      </c>
      <c r="X297" s="26" t="n">
        <v>5</v>
      </c>
      <c r="Y297" s="26" t="n">
        <v>5</v>
      </c>
      <c r="Z297" s="26" t="n">
        <v>4</v>
      </c>
      <c r="AA297" s="26" t="n">
        <v>5</v>
      </c>
      <c r="AB297" s="26" t="n">
        <v>5</v>
      </c>
      <c r="AC297" s="26" t="n">
        <v>5</v>
      </c>
      <c r="AD297" s="26" t="n">
        <v>3</v>
      </c>
      <c r="AE297" s="26" t="n">
        <v>3</v>
      </c>
      <c r="AF297" s="26" t="n">
        <v>3</v>
      </c>
      <c r="AG297" s="26" t="n">
        <v>5</v>
      </c>
      <c r="AH297" s="26" t="n">
        <v>4</v>
      </c>
      <c r="AI297" s="26" t="n">
        <v>3</v>
      </c>
      <c r="AJ297" s="26" t="n">
        <v>4</v>
      </c>
      <c r="AK297" s="26" t="n">
        <v>4</v>
      </c>
      <c r="AL297" s="26" t="n">
        <v>3</v>
      </c>
      <c r="AM297" s="26" t="n">
        <v>4</v>
      </c>
      <c r="AN297" s="26" t="n">
        <v>3</v>
      </c>
      <c r="AO297" s="26" t="n">
        <v>7</v>
      </c>
      <c r="AP297" s="24" t="n">
        <v>38</v>
      </c>
      <c r="AQ297" s="27" t="n">
        <v>85.5</v>
      </c>
      <c r="AR297" s="27" t="n">
        <v>83.4</v>
      </c>
      <c r="AS297" s="27" t="n">
        <v>28.7</v>
      </c>
      <c r="AT297" s="24" t="n">
        <v>61.84</v>
      </c>
      <c r="AU297" s="24" t="n">
        <v>0</v>
      </c>
      <c r="AV297" s="24" t="n">
        <v>0</v>
      </c>
      <c r="AW297" s="24" t="n">
        <v>0</v>
      </c>
      <c r="AX297" s="24" t="n">
        <v>37.42</v>
      </c>
      <c r="AY297" s="24" t="n">
        <v>0</v>
      </c>
      <c r="AZ297" s="24" t="n">
        <v>0.73</v>
      </c>
      <c r="BA297" s="24" t="n">
        <v>0</v>
      </c>
      <c r="BB297" s="24" t="n">
        <v>0</v>
      </c>
      <c r="BC297" s="24" t="n">
        <v>0.74</v>
      </c>
      <c r="BD297" s="24" t="n">
        <v>0</v>
      </c>
      <c r="BE297" s="24" t="n">
        <v>7.34</v>
      </c>
      <c r="BF297" s="24" t="n">
        <v>25.37</v>
      </c>
      <c r="BG297" s="24" t="n">
        <v>15.03</v>
      </c>
      <c r="BH297" s="24" t="n">
        <v>30.09</v>
      </c>
      <c r="BI297" s="24" t="n">
        <v>0</v>
      </c>
      <c r="BJ297" s="24" t="n">
        <v>0</v>
      </c>
      <c r="BK297" s="24" t="n">
        <v>0</v>
      </c>
      <c r="BL297" s="24" t="n">
        <v>1.7</v>
      </c>
      <c r="BM297" s="24" t="n">
        <v>0</v>
      </c>
      <c r="BN297" s="24" t="n">
        <v>1</v>
      </c>
      <c r="BO297" s="27" t="n">
        <v>1.55</v>
      </c>
      <c r="BP297" s="27" t="n">
        <v>1</v>
      </c>
      <c r="BQ297" s="27" t="n">
        <v>5.74</v>
      </c>
      <c r="BR297" s="27" t="n">
        <v>3.64</v>
      </c>
      <c r="BS297" s="27" t="n">
        <v>0</v>
      </c>
      <c r="BT297" s="27" t="n">
        <v>0</v>
      </c>
      <c r="BU297" s="27" t="n">
        <v>0</v>
      </c>
      <c r="BV297" s="24" t="n">
        <v>0</v>
      </c>
    </row>
    <row r="298" customFormat="false" ht="13.8" hidden="false" customHeight="false" outlineLevel="0" collapsed="false">
      <c r="A298" s="0" t="n">
        <v>1</v>
      </c>
      <c r="B298" s="0" t="n">
        <v>31.8713210130048</v>
      </c>
      <c r="C298" s="0" t="n">
        <v>5.00479123887748</v>
      </c>
      <c r="D298" s="0" t="n">
        <v>8</v>
      </c>
      <c r="F298" s="0" t="n">
        <v>1.65</v>
      </c>
      <c r="G298" s="0" t="n">
        <v>0</v>
      </c>
      <c r="H298" s="0" t="n">
        <v>1</v>
      </c>
      <c r="I298" s="0" t="n">
        <v>1</v>
      </c>
      <c r="J298" s="19" t="n">
        <v>1</v>
      </c>
      <c r="K298" s="19" t="n">
        <v>0</v>
      </c>
      <c r="L298" s="19" t="n">
        <v>1</v>
      </c>
      <c r="M298" s="19" t="n">
        <v>0</v>
      </c>
      <c r="N298" s="19" t="n">
        <v>0</v>
      </c>
      <c r="O298" s="19" t="n">
        <v>8</v>
      </c>
      <c r="P298" s="19" t="n">
        <v>0</v>
      </c>
      <c r="Q298" s="19" t="n">
        <v>0</v>
      </c>
      <c r="R298" s="19" t="n">
        <v>0</v>
      </c>
      <c r="S298" s="19" t="n">
        <v>0</v>
      </c>
      <c r="T298" s="19" t="n">
        <v>0</v>
      </c>
      <c r="U298" s="15" t="n">
        <f aca="false">AVERAGE(M298:T298)</f>
        <v>1</v>
      </c>
      <c r="V298" s="19" t="n">
        <v>3</v>
      </c>
      <c r="W298" s="19" t="n">
        <v>2</v>
      </c>
      <c r="X298" s="19" t="n">
        <v>3</v>
      </c>
      <c r="Y298" s="19" t="n">
        <v>5</v>
      </c>
      <c r="Z298" s="19" t="n">
        <v>3</v>
      </c>
      <c r="AA298" s="19" t="n">
        <v>4</v>
      </c>
      <c r="AB298" s="19" t="n">
        <v>3</v>
      </c>
      <c r="AC298" s="19" t="n">
        <v>3</v>
      </c>
      <c r="AD298" s="19" t="n">
        <v>3</v>
      </c>
      <c r="AE298" s="19" t="n">
        <v>4</v>
      </c>
      <c r="AF298" s="19" t="n">
        <v>4</v>
      </c>
      <c r="AG298" s="19" t="n">
        <v>5</v>
      </c>
      <c r="AH298" s="19" t="n">
        <v>3</v>
      </c>
      <c r="AI298" s="19" t="n">
        <v>3</v>
      </c>
      <c r="AJ298" s="19" t="n">
        <v>3</v>
      </c>
      <c r="AK298" s="19" t="n">
        <v>4</v>
      </c>
      <c r="AL298" s="19" t="n">
        <v>4</v>
      </c>
      <c r="AM298" s="19" t="n">
        <v>4</v>
      </c>
      <c r="AN298" s="19" t="n">
        <v>3</v>
      </c>
      <c r="AO298" s="19" t="n">
        <v>5</v>
      </c>
      <c r="AP298" s="0" t="n">
        <v>31</v>
      </c>
      <c r="AQ298" s="16" t="n">
        <v>82.6</v>
      </c>
      <c r="AR298" s="16" t="n">
        <v>83.4</v>
      </c>
      <c r="AS298" s="16" t="n">
        <v>5.7</v>
      </c>
      <c r="AT298" s="0" t="n">
        <v>99.97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7.3</v>
      </c>
      <c r="BF298" s="0" t="n">
        <v>53.74</v>
      </c>
      <c r="BG298" s="0" t="n">
        <v>0</v>
      </c>
      <c r="BH298" s="0" t="n">
        <v>0</v>
      </c>
      <c r="BI298" s="0" t="n">
        <v>0</v>
      </c>
      <c r="BJ298" s="0" t="n">
        <v>17.6</v>
      </c>
      <c r="BK298" s="0" t="n">
        <v>1</v>
      </c>
      <c r="BL298" s="0" t="n">
        <v>2.4</v>
      </c>
      <c r="BM298" s="0" t="n">
        <v>0</v>
      </c>
      <c r="BN298" s="0" t="n">
        <v>1</v>
      </c>
      <c r="BO298" s="16" t="n">
        <v>0</v>
      </c>
      <c r="BP298" s="16" t="n">
        <v>0</v>
      </c>
      <c r="BQ298" s="16" t="n">
        <v>5.21</v>
      </c>
      <c r="BR298" s="16" t="n">
        <v>2.59</v>
      </c>
      <c r="BS298" s="16" t="n">
        <v>0</v>
      </c>
      <c r="BT298" s="16" t="n">
        <v>0</v>
      </c>
      <c r="BU298" s="16" t="n">
        <v>0</v>
      </c>
      <c r="BV298" s="0" t="n">
        <v>0</v>
      </c>
    </row>
    <row r="299" customFormat="false" ht="13.8" hidden="false" customHeight="false" outlineLevel="0" collapsed="false">
      <c r="A299" s="0" t="n">
        <v>2</v>
      </c>
      <c r="B299" s="0" t="n">
        <v>42.1327857631759</v>
      </c>
      <c r="C299" s="0" t="n">
        <v>21.8973305954825</v>
      </c>
      <c r="D299" s="0" t="n">
        <v>8</v>
      </c>
      <c r="E299" s="0" t="n">
        <v>82</v>
      </c>
      <c r="F299" s="0" t="n">
        <v>1.81</v>
      </c>
      <c r="G299" s="0" t="n">
        <v>25.0297609963066</v>
      </c>
      <c r="H299" s="0" t="n">
        <v>0</v>
      </c>
      <c r="I299" s="0" t="n">
        <v>0</v>
      </c>
      <c r="J299" s="19" t="n">
        <v>0</v>
      </c>
      <c r="K299" s="19" t="n">
        <v>1</v>
      </c>
      <c r="L299" s="19" t="n">
        <v>1</v>
      </c>
      <c r="M299" s="19" t="n">
        <v>0</v>
      </c>
      <c r="N299" s="19" t="n">
        <v>0</v>
      </c>
      <c r="O299" s="19" t="n">
        <v>0</v>
      </c>
      <c r="P299" s="19" t="n">
        <v>0</v>
      </c>
      <c r="Q299" s="19" t="n">
        <v>0</v>
      </c>
      <c r="R299" s="19" t="n">
        <v>0</v>
      </c>
      <c r="S299" s="19" t="n">
        <v>0</v>
      </c>
      <c r="T299" s="19" t="n">
        <v>0</v>
      </c>
      <c r="U299" s="15" t="n">
        <f aca="false">AVERAGE(M299:T299)</f>
        <v>0</v>
      </c>
      <c r="V299" s="19" t="n">
        <v>3</v>
      </c>
      <c r="W299" s="19" t="n">
        <v>3</v>
      </c>
      <c r="X299" s="19"/>
      <c r="Y299" s="19" t="n">
        <v>5</v>
      </c>
      <c r="Z299" s="19" t="n">
        <v>5</v>
      </c>
      <c r="AA299" s="19" t="n">
        <v>4</v>
      </c>
      <c r="AB299" s="19" t="n">
        <v>4</v>
      </c>
      <c r="AC299" s="19" t="n">
        <v>5</v>
      </c>
      <c r="AD299" s="19" t="n">
        <v>4</v>
      </c>
      <c r="AE299" s="19" t="n">
        <v>4</v>
      </c>
      <c r="AF299" s="19" t="n">
        <v>3</v>
      </c>
      <c r="AG299" s="19" t="n">
        <v>4</v>
      </c>
      <c r="AH299" s="19" t="n">
        <v>3</v>
      </c>
      <c r="AI299" s="19" t="n">
        <v>4</v>
      </c>
      <c r="AJ299" s="19" t="n">
        <v>3</v>
      </c>
      <c r="AK299" s="19" t="n">
        <v>4</v>
      </c>
      <c r="AL299" s="19" t="n">
        <v>3</v>
      </c>
      <c r="AM299" s="19" t="n">
        <v>4</v>
      </c>
      <c r="AN299" s="19" t="n">
        <v>3</v>
      </c>
      <c r="AO299" s="19" t="n">
        <v>8</v>
      </c>
      <c r="AP299" s="0" t="n">
        <v>31</v>
      </c>
      <c r="AQ299" s="16" t="n">
        <v>82.6</v>
      </c>
      <c r="AR299" s="16" t="n">
        <v>83.4</v>
      </c>
      <c r="AS299" s="16" t="n">
        <v>5.7</v>
      </c>
      <c r="AT299" s="0" t="n">
        <v>99.97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7.3</v>
      </c>
      <c r="BF299" s="0" t="n">
        <v>53.74</v>
      </c>
      <c r="BG299" s="0" t="n">
        <v>0</v>
      </c>
      <c r="BH299" s="0" t="n">
        <v>0</v>
      </c>
      <c r="BI299" s="0" t="n">
        <v>0</v>
      </c>
      <c r="BJ299" s="0" t="n">
        <v>17.6</v>
      </c>
      <c r="BK299" s="0" t="n">
        <v>1</v>
      </c>
      <c r="BL299" s="0" t="n">
        <v>2.4</v>
      </c>
      <c r="BM299" s="0" t="n">
        <v>0</v>
      </c>
      <c r="BN299" s="0" t="n">
        <v>1</v>
      </c>
      <c r="BO299" s="16" t="n">
        <v>0</v>
      </c>
      <c r="BP299" s="16" t="n">
        <v>0</v>
      </c>
      <c r="BQ299" s="16" t="n">
        <v>5.21</v>
      </c>
      <c r="BR299" s="16" t="n">
        <v>2.59</v>
      </c>
      <c r="BS299" s="16" t="n">
        <v>0</v>
      </c>
      <c r="BT299" s="16" t="n">
        <v>0</v>
      </c>
      <c r="BU299" s="16" t="n">
        <v>0</v>
      </c>
      <c r="BV299" s="0" t="n">
        <v>0</v>
      </c>
    </row>
    <row r="300" customFormat="false" ht="13.8" hidden="false" customHeight="false" outlineLevel="0" collapsed="false">
      <c r="A300" s="0" t="n">
        <v>1</v>
      </c>
      <c r="B300" s="0" t="n">
        <v>37.6728268309377</v>
      </c>
      <c r="C300" s="0" t="n">
        <v>6.12457221081451</v>
      </c>
      <c r="D300" s="0" t="n">
        <v>8</v>
      </c>
      <c r="E300" s="0" t="n">
        <v>63</v>
      </c>
      <c r="F300" s="0" t="n">
        <v>1.67</v>
      </c>
      <c r="G300" s="0" t="n">
        <v>22.5895514360501</v>
      </c>
      <c r="H300" s="0" t="n">
        <v>0</v>
      </c>
      <c r="I300" s="0" t="n">
        <v>0</v>
      </c>
      <c r="J300" s="19" t="n">
        <v>1</v>
      </c>
      <c r="K300" s="19" t="n">
        <v>0</v>
      </c>
      <c r="L300" s="19" t="n">
        <v>0</v>
      </c>
      <c r="M300" s="19" t="n">
        <v>6</v>
      </c>
      <c r="N300" s="19" t="n">
        <v>7</v>
      </c>
      <c r="O300" s="19" t="n">
        <v>0</v>
      </c>
      <c r="P300" s="19" t="n">
        <v>0</v>
      </c>
      <c r="Q300" s="19" t="n">
        <v>5</v>
      </c>
      <c r="R300" s="19" t="n">
        <v>0</v>
      </c>
      <c r="S300" s="19" t="n">
        <v>0</v>
      </c>
      <c r="T300" s="19" t="n">
        <v>0</v>
      </c>
      <c r="U300" s="15" t="n">
        <f aca="false">AVERAGE(M300:T300)</f>
        <v>2.25</v>
      </c>
      <c r="V300" s="19" t="n">
        <v>2</v>
      </c>
      <c r="W300" s="19" t="n">
        <v>2</v>
      </c>
      <c r="X300" s="19" t="n">
        <v>4</v>
      </c>
      <c r="Y300" s="19" t="n">
        <v>4</v>
      </c>
      <c r="Z300" s="19" t="n">
        <v>2</v>
      </c>
      <c r="AA300" s="19" t="n">
        <v>2</v>
      </c>
      <c r="AB300" s="19" t="n">
        <v>2</v>
      </c>
      <c r="AC300" s="19" t="n">
        <v>3</v>
      </c>
      <c r="AD300" s="19" t="n">
        <v>2</v>
      </c>
      <c r="AE300" s="19" t="n">
        <v>1</v>
      </c>
      <c r="AF300" s="19" t="n">
        <v>3</v>
      </c>
      <c r="AG300" s="19" t="n">
        <v>4</v>
      </c>
      <c r="AH300" s="19" t="n">
        <v>3</v>
      </c>
      <c r="AI300" s="19" t="n">
        <v>4</v>
      </c>
      <c r="AJ300" s="19" t="n">
        <v>4</v>
      </c>
      <c r="AK300" s="19" t="n">
        <v>4</v>
      </c>
      <c r="AL300" s="19" t="n">
        <v>2</v>
      </c>
      <c r="AM300" s="19" t="n">
        <v>3</v>
      </c>
      <c r="AN300" s="19" t="n">
        <v>3</v>
      </c>
      <c r="AO300" s="19"/>
      <c r="AP300" s="0" t="n">
        <v>38.5</v>
      </c>
      <c r="AQ300" s="16" t="n">
        <v>77.5</v>
      </c>
      <c r="AR300" s="16" t="n">
        <v>83.4</v>
      </c>
      <c r="AS300" s="16" t="n">
        <v>19.1</v>
      </c>
      <c r="AT300" s="0" t="n">
        <v>78.18</v>
      </c>
      <c r="AU300" s="0" t="n">
        <v>0</v>
      </c>
      <c r="AV300" s="0" t="n">
        <v>2.48</v>
      </c>
      <c r="AW300" s="0" t="n">
        <v>0</v>
      </c>
      <c r="AX300" s="0" t="n">
        <v>19.34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4.11</v>
      </c>
      <c r="BG300" s="0" t="n">
        <v>21.82</v>
      </c>
      <c r="BH300" s="0" t="n">
        <v>10.65</v>
      </c>
      <c r="BI300" s="0" t="n">
        <v>0</v>
      </c>
      <c r="BJ300" s="0" t="n">
        <v>16.9</v>
      </c>
      <c r="BK300" s="0" t="n">
        <v>1</v>
      </c>
      <c r="BL300" s="0" t="n">
        <v>0</v>
      </c>
      <c r="BM300" s="0" t="n">
        <v>0</v>
      </c>
      <c r="BN300" s="0" t="n">
        <v>0</v>
      </c>
      <c r="BO300" s="16" t="n">
        <v>0</v>
      </c>
      <c r="BP300" s="16" t="n">
        <v>0</v>
      </c>
      <c r="BQ300" s="16" t="n">
        <v>2.48</v>
      </c>
      <c r="BR300" s="16" t="n">
        <v>2.48</v>
      </c>
      <c r="BS300" s="16" t="n">
        <v>0</v>
      </c>
      <c r="BT300" s="16" t="n">
        <v>0</v>
      </c>
      <c r="BU300" s="16" t="n">
        <v>0</v>
      </c>
      <c r="BV300" s="0" t="n">
        <v>0</v>
      </c>
    </row>
    <row r="301" customFormat="false" ht="13.8" hidden="false" customHeight="false" outlineLevel="0" collapsed="false">
      <c r="A301" s="0" t="n">
        <v>2</v>
      </c>
      <c r="B301" s="0" t="n">
        <v>43.3018480492813</v>
      </c>
      <c r="C301" s="0" t="n">
        <v>0.364134154688569</v>
      </c>
      <c r="D301" s="0" t="n">
        <v>8</v>
      </c>
      <c r="E301" s="0" t="n">
        <v>95</v>
      </c>
      <c r="F301" s="0" t="n">
        <v>1.73</v>
      </c>
      <c r="G301" s="0" t="n">
        <v>31.7417889003976</v>
      </c>
      <c r="H301" s="0" t="n">
        <v>0</v>
      </c>
      <c r="I301" s="0" t="n">
        <v>0</v>
      </c>
      <c r="J301" s="19" t="n">
        <v>0</v>
      </c>
      <c r="K301" s="19" t="n">
        <v>2</v>
      </c>
      <c r="L301" s="19" t="n">
        <v>1</v>
      </c>
      <c r="M301" s="19" t="n">
        <v>0</v>
      </c>
      <c r="N301" s="19" t="n">
        <v>0</v>
      </c>
      <c r="O301" s="19" t="n">
        <v>0</v>
      </c>
      <c r="P301" s="19" t="n">
        <v>0</v>
      </c>
      <c r="Q301" s="19" t="n">
        <v>0</v>
      </c>
      <c r="R301" s="19" t="n">
        <v>0</v>
      </c>
      <c r="S301" s="19" t="n">
        <v>0</v>
      </c>
      <c r="T301" s="19" t="n">
        <v>0</v>
      </c>
      <c r="U301" s="15" t="n">
        <f aca="false">AVERAGE(M301:T301)</f>
        <v>0</v>
      </c>
      <c r="V301" s="19" t="n">
        <v>2</v>
      </c>
      <c r="W301" s="19" t="n">
        <v>1</v>
      </c>
      <c r="X301" s="19" t="n">
        <v>2</v>
      </c>
      <c r="Y301" s="19" t="n">
        <v>5</v>
      </c>
      <c r="Z301" s="19" t="n">
        <v>3</v>
      </c>
      <c r="AA301" s="19" t="n">
        <v>1</v>
      </c>
      <c r="AB301" s="19" t="n">
        <v>2</v>
      </c>
      <c r="AC301" s="19" t="n">
        <v>3</v>
      </c>
      <c r="AD301" s="19" t="n">
        <v>3</v>
      </c>
      <c r="AE301" s="19" t="n">
        <v>4</v>
      </c>
      <c r="AF301" s="19" t="n">
        <v>4</v>
      </c>
      <c r="AG301" s="19" t="n">
        <v>5</v>
      </c>
      <c r="AH301" s="19" t="n">
        <v>3</v>
      </c>
      <c r="AI301" s="19" t="n">
        <v>4</v>
      </c>
      <c r="AJ301" s="19" t="n">
        <v>3</v>
      </c>
      <c r="AK301" s="19" t="n">
        <v>4</v>
      </c>
      <c r="AL301" s="19" t="n">
        <v>3</v>
      </c>
      <c r="AM301" s="19" t="n">
        <v>4</v>
      </c>
      <c r="AN301" s="19" t="n">
        <v>4</v>
      </c>
      <c r="AO301" s="19" t="n">
        <v>10</v>
      </c>
      <c r="AP301" s="0" t="n">
        <v>38.5</v>
      </c>
      <c r="AQ301" s="16" t="n">
        <v>77.5</v>
      </c>
      <c r="AR301" s="16" t="n">
        <v>83.4</v>
      </c>
      <c r="AS301" s="16" t="n">
        <v>19.1</v>
      </c>
      <c r="AT301" s="0" t="n">
        <v>78.18</v>
      </c>
      <c r="AU301" s="0" t="n">
        <v>0</v>
      </c>
      <c r="AV301" s="0" t="n">
        <v>2.48</v>
      </c>
      <c r="AW301" s="0" t="n">
        <v>0</v>
      </c>
      <c r="AX301" s="0" t="n">
        <v>19.34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4.11</v>
      </c>
      <c r="BG301" s="0" t="n">
        <v>21.82</v>
      </c>
      <c r="BH301" s="0" t="n">
        <v>10.65</v>
      </c>
      <c r="BI301" s="0" t="n">
        <v>0</v>
      </c>
      <c r="BJ301" s="0" t="n">
        <v>16.9</v>
      </c>
      <c r="BK301" s="0" t="n">
        <v>1</v>
      </c>
      <c r="BL301" s="0" t="n">
        <v>0</v>
      </c>
      <c r="BM301" s="0" t="n">
        <v>0</v>
      </c>
      <c r="BN301" s="0" t="n">
        <v>0</v>
      </c>
      <c r="BO301" s="16" t="n">
        <v>0</v>
      </c>
      <c r="BP301" s="16" t="n">
        <v>0</v>
      </c>
      <c r="BQ301" s="16" t="n">
        <v>2.48</v>
      </c>
      <c r="BR301" s="16" t="n">
        <v>2.48</v>
      </c>
      <c r="BS301" s="16" t="n">
        <v>0</v>
      </c>
      <c r="BT301" s="16" t="n">
        <v>0</v>
      </c>
      <c r="BU301" s="16" t="n">
        <v>0</v>
      </c>
      <c r="BV301" s="0" t="n">
        <v>0</v>
      </c>
    </row>
    <row r="302" customFormat="false" ht="13.8" hidden="false" customHeight="false" outlineLevel="0" collapsed="false">
      <c r="A302" s="0" t="n">
        <v>1</v>
      </c>
      <c r="B302" s="0" t="n">
        <v>28.7474332648871</v>
      </c>
      <c r="C302" s="0" t="n">
        <v>0.314852840520192</v>
      </c>
      <c r="D302" s="0" t="n">
        <v>8</v>
      </c>
      <c r="E302" s="0" t="n">
        <v>80</v>
      </c>
      <c r="H302" s="0" t="n">
        <v>0</v>
      </c>
      <c r="I302" s="0" t="n">
        <v>0</v>
      </c>
      <c r="J302" s="19" t="n">
        <v>0</v>
      </c>
      <c r="K302" s="19" t="n">
        <v>0</v>
      </c>
      <c r="L302" s="19" t="n">
        <v>1</v>
      </c>
      <c r="M302" s="19" t="n">
        <v>0</v>
      </c>
      <c r="N302" s="19" t="n">
        <v>0</v>
      </c>
      <c r="O302" s="19" t="n">
        <v>0</v>
      </c>
      <c r="P302" s="19" t="n">
        <v>0</v>
      </c>
      <c r="Q302" s="19" t="n">
        <v>0</v>
      </c>
      <c r="R302" s="19" t="n">
        <v>0</v>
      </c>
      <c r="S302" s="19" t="n">
        <v>0</v>
      </c>
      <c r="T302" s="19" t="n">
        <v>0</v>
      </c>
      <c r="U302" s="15" t="n">
        <f aca="false">AVERAGE(M302:T302)</f>
        <v>0</v>
      </c>
      <c r="V302" s="19" t="n">
        <v>1</v>
      </c>
      <c r="W302" s="19" t="n">
        <v>1</v>
      </c>
      <c r="X302" s="19" t="n">
        <v>1</v>
      </c>
      <c r="Y302" s="19" t="n">
        <v>5</v>
      </c>
      <c r="Z302" s="19" t="n">
        <v>1</v>
      </c>
      <c r="AA302" s="19" t="n">
        <v>1</v>
      </c>
      <c r="AB302" s="19" t="n">
        <v>1</v>
      </c>
      <c r="AC302" s="19" t="n">
        <v>2</v>
      </c>
      <c r="AD302" s="19" t="n">
        <v>5</v>
      </c>
      <c r="AE302" s="19" t="n">
        <v>5</v>
      </c>
      <c r="AF302" s="19" t="n">
        <v>5</v>
      </c>
      <c r="AG302" s="19" t="n">
        <v>5</v>
      </c>
      <c r="AH302" s="19" t="n">
        <v>4</v>
      </c>
      <c r="AI302" s="19" t="n">
        <v>5</v>
      </c>
      <c r="AJ302" s="19" t="n">
        <v>5</v>
      </c>
      <c r="AK302" s="19" t="n">
        <v>4</v>
      </c>
      <c r="AL302" s="19" t="n">
        <v>5</v>
      </c>
      <c r="AM302" s="19" t="n">
        <v>5</v>
      </c>
      <c r="AN302" s="19" t="n">
        <v>5</v>
      </c>
      <c r="AO302" s="19" t="n">
        <v>10</v>
      </c>
      <c r="AP302" s="0" t="n">
        <v>31</v>
      </c>
      <c r="AQ302" s="16" t="n">
        <v>82.6</v>
      </c>
      <c r="AR302" s="16" t="n">
        <v>83.4</v>
      </c>
      <c r="AS302" s="16" t="n">
        <v>5.7</v>
      </c>
      <c r="AT302" s="0" t="n">
        <v>99.97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7.3</v>
      </c>
      <c r="BF302" s="0" t="n">
        <v>53.74</v>
      </c>
      <c r="BG302" s="0" t="n">
        <v>0</v>
      </c>
      <c r="BH302" s="0" t="n">
        <v>0</v>
      </c>
      <c r="BI302" s="0" t="n">
        <v>0</v>
      </c>
      <c r="BJ302" s="0" t="n">
        <v>17.6</v>
      </c>
      <c r="BK302" s="0" t="n">
        <v>1</v>
      </c>
      <c r="BL302" s="0" t="n">
        <v>2.4</v>
      </c>
      <c r="BM302" s="0" t="n">
        <v>0</v>
      </c>
      <c r="BN302" s="0" t="n">
        <v>1</v>
      </c>
      <c r="BO302" s="16" t="n">
        <v>0</v>
      </c>
      <c r="BP302" s="16" t="n">
        <v>0</v>
      </c>
      <c r="BQ302" s="16" t="n">
        <v>5.21</v>
      </c>
      <c r="BR302" s="16" t="n">
        <v>2.59</v>
      </c>
      <c r="BS302" s="16" t="n">
        <v>0</v>
      </c>
      <c r="BT302" s="16" t="n">
        <v>0</v>
      </c>
      <c r="BU302" s="16" t="n">
        <v>0</v>
      </c>
      <c r="BV302" s="0" t="n">
        <v>0</v>
      </c>
    </row>
    <row r="303" customFormat="false" ht="13.8" hidden="false" customHeight="false" outlineLevel="0" collapsed="false">
      <c r="A303" s="0" t="n">
        <v>1</v>
      </c>
      <c r="B303" s="0" t="n">
        <v>22.3819301848049</v>
      </c>
      <c r="C303" s="0" t="n">
        <v>0.303901437371663</v>
      </c>
      <c r="D303" s="0" t="n">
        <v>8</v>
      </c>
      <c r="E303" s="0" t="n">
        <v>78</v>
      </c>
      <c r="F303" s="0" t="n">
        <v>1.62</v>
      </c>
      <c r="G303" s="0" t="n">
        <v>29.7210791037951</v>
      </c>
      <c r="H303" s="0" t="n">
        <v>0</v>
      </c>
      <c r="I303" s="0" t="n">
        <v>0</v>
      </c>
      <c r="J303" s="19" t="n">
        <v>0</v>
      </c>
      <c r="K303" s="19" t="n">
        <v>0</v>
      </c>
      <c r="L303" s="19" t="n">
        <v>0</v>
      </c>
      <c r="M303" s="19" t="n">
        <v>3</v>
      </c>
      <c r="N303" s="19" t="n">
        <v>0</v>
      </c>
      <c r="O303" s="19" t="n">
        <v>0</v>
      </c>
      <c r="P303" s="19" t="n">
        <v>0</v>
      </c>
      <c r="Q303" s="19" t="n">
        <v>0</v>
      </c>
      <c r="R303" s="19" t="n">
        <v>0</v>
      </c>
      <c r="S303" s="19" t="n">
        <v>0</v>
      </c>
      <c r="T303" s="19" t="n">
        <v>3</v>
      </c>
      <c r="U303" s="15" t="n">
        <f aca="false">AVERAGE(M303:T303)</f>
        <v>0.75</v>
      </c>
      <c r="V303" s="19" t="n">
        <v>2</v>
      </c>
      <c r="W303" s="19" t="n">
        <v>2</v>
      </c>
      <c r="X303" s="19" t="n">
        <v>3</v>
      </c>
      <c r="Y303" s="19" t="n">
        <v>4</v>
      </c>
      <c r="Z303" s="19" t="n">
        <v>1</v>
      </c>
      <c r="AA303" s="19" t="n">
        <v>1</v>
      </c>
      <c r="AB303" s="19" t="n">
        <v>3</v>
      </c>
      <c r="AC303" s="19" t="n">
        <v>3</v>
      </c>
      <c r="AD303" s="19" t="n">
        <v>4</v>
      </c>
      <c r="AE303" s="19" t="n">
        <v>5</v>
      </c>
      <c r="AF303" s="19" t="n">
        <v>4</v>
      </c>
      <c r="AG303" s="19" t="n">
        <v>4</v>
      </c>
      <c r="AH303" s="19" t="n">
        <v>5</v>
      </c>
      <c r="AI303" s="19" t="n">
        <v>4</v>
      </c>
      <c r="AJ303" s="19" t="n">
        <v>5</v>
      </c>
      <c r="AK303" s="19" t="n">
        <v>4</v>
      </c>
      <c r="AL303" s="19" t="n">
        <v>4</v>
      </c>
      <c r="AM303" s="19" t="n">
        <v>4</v>
      </c>
      <c r="AN303" s="19" t="n">
        <v>4</v>
      </c>
      <c r="AO303" s="19" t="n">
        <v>10</v>
      </c>
      <c r="AP303" s="0" t="n">
        <v>31</v>
      </c>
      <c r="AQ303" s="16" t="n">
        <v>82.6</v>
      </c>
      <c r="AR303" s="16" t="n">
        <v>83.4</v>
      </c>
      <c r="AS303" s="16" t="n">
        <v>5.7</v>
      </c>
      <c r="AT303" s="0" t="n">
        <v>99.97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7.3</v>
      </c>
      <c r="BF303" s="0" t="n">
        <v>53.74</v>
      </c>
      <c r="BG303" s="0" t="n">
        <v>0</v>
      </c>
      <c r="BH303" s="0" t="n">
        <v>0</v>
      </c>
      <c r="BI303" s="0" t="n">
        <v>0</v>
      </c>
      <c r="BJ303" s="0" t="n">
        <v>17.6</v>
      </c>
      <c r="BK303" s="0" t="n">
        <v>1</v>
      </c>
      <c r="BL303" s="0" t="n">
        <v>2.4</v>
      </c>
      <c r="BM303" s="0" t="n">
        <v>0</v>
      </c>
      <c r="BN303" s="0" t="n">
        <v>1</v>
      </c>
      <c r="BO303" s="16" t="n">
        <v>0</v>
      </c>
      <c r="BP303" s="16" t="n">
        <v>0</v>
      </c>
      <c r="BQ303" s="16" t="n">
        <v>5.21</v>
      </c>
      <c r="BR303" s="16" t="n">
        <v>2.59</v>
      </c>
      <c r="BS303" s="16" t="n">
        <v>0</v>
      </c>
      <c r="BT303" s="16" t="n">
        <v>0</v>
      </c>
      <c r="BU303" s="16" t="n">
        <v>0</v>
      </c>
      <c r="BV303" s="0" t="n">
        <v>0</v>
      </c>
    </row>
    <row r="304" customFormat="false" ht="13.8" hidden="false" customHeight="false" outlineLevel="0" collapsed="false">
      <c r="A304" s="0" t="n">
        <v>2</v>
      </c>
      <c r="B304" s="0" t="n">
        <v>25.5934291581109</v>
      </c>
      <c r="C304" s="0" t="n">
        <v>0.314852840520192</v>
      </c>
      <c r="D304" s="0" t="n">
        <v>8</v>
      </c>
      <c r="E304" s="0" t="n">
        <v>66</v>
      </c>
      <c r="F304" s="0" t="n">
        <v>1.7</v>
      </c>
      <c r="G304" s="0" t="n">
        <v>22.8373702422145</v>
      </c>
      <c r="H304" s="0" t="n">
        <v>0</v>
      </c>
      <c r="I304" s="0" t="n">
        <v>0</v>
      </c>
      <c r="J304" s="19" t="n">
        <v>0</v>
      </c>
      <c r="K304" s="19" t="n">
        <v>0</v>
      </c>
      <c r="L304" s="19" t="n">
        <v>1</v>
      </c>
      <c r="M304" s="19" t="n">
        <v>0</v>
      </c>
      <c r="N304" s="19" t="n">
        <v>0</v>
      </c>
      <c r="O304" s="19" t="n">
        <v>0</v>
      </c>
      <c r="P304" s="19" t="n">
        <v>0</v>
      </c>
      <c r="Q304" s="19" t="n">
        <v>0</v>
      </c>
      <c r="R304" s="19" t="n">
        <v>0</v>
      </c>
      <c r="S304" s="19" t="n">
        <v>0</v>
      </c>
      <c r="T304" s="19" t="n">
        <v>0</v>
      </c>
      <c r="U304" s="15" t="n">
        <f aca="false">AVERAGE(M304:T304)</f>
        <v>0</v>
      </c>
      <c r="V304" s="19" t="n">
        <v>2</v>
      </c>
      <c r="W304" s="19" t="n">
        <v>2</v>
      </c>
      <c r="X304" s="19" t="n">
        <v>3</v>
      </c>
      <c r="Y304" s="19" t="n">
        <v>4</v>
      </c>
      <c r="Z304" s="19" t="n">
        <v>3</v>
      </c>
      <c r="AA304" s="19" t="n">
        <v>2</v>
      </c>
      <c r="AB304" s="19" t="n">
        <v>2</v>
      </c>
      <c r="AC304" s="19" t="n">
        <v>4</v>
      </c>
      <c r="AD304" s="19" t="n">
        <v>4</v>
      </c>
      <c r="AE304" s="19" t="n">
        <v>3</v>
      </c>
      <c r="AF304" s="19" t="n">
        <v>4</v>
      </c>
      <c r="AG304" s="19" t="n">
        <v>5</v>
      </c>
      <c r="AH304" s="19" t="n">
        <v>4</v>
      </c>
      <c r="AI304" s="19" t="n">
        <v>4</v>
      </c>
      <c r="AJ304" s="19" t="n">
        <v>4</v>
      </c>
      <c r="AK304" s="19" t="n">
        <v>4</v>
      </c>
      <c r="AL304" s="19" t="n">
        <v>4</v>
      </c>
      <c r="AM304" s="19" t="n">
        <v>4</v>
      </c>
      <c r="AN304" s="19" t="n">
        <v>4</v>
      </c>
      <c r="AO304" s="19" t="n">
        <v>8</v>
      </c>
      <c r="AP304" s="0" t="n">
        <v>38.5</v>
      </c>
      <c r="AQ304" s="16" t="n">
        <v>77.5</v>
      </c>
      <c r="AR304" s="16" t="n">
        <v>83.4</v>
      </c>
      <c r="AS304" s="16" t="n">
        <v>19.1</v>
      </c>
      <c r="AT304" s="0" t="n">
        <v>78.18</v>
      </c>
      <c r="AU304" s="0" t="n">
        <v>0</v>
      </c>
      <c r="AV304" s="0" t="n">
        <v>2.48</v>
      </c>
      <c r="AW304" s="0" t="n">
        <v>0</v>
      </c>
      <c r="AX304" s="0" t="n">
        <v>19.34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4.11</v>
      </c>
      <c r="BG304" s="0" t="n">
        <v>21.82</v>
      </c>
      <c r="BH304" s="0" t="n">
        <v>10.65</v>
      </c>
      <c r="BI304" s="0" t="n">
        <v>0</v>
      </c>
      <c r="BJ304" s="0" t="n">
        <v>16.9</v>
      </c>
      <c r="BK304" s="0" t="n">
        <v>1</v>
      </c>
      <c r="BL304" s="0" t="n">
        <v>0</v>
      </c>
      <c r="BM304" s="0" t="n">
        <v>0</v>
      </c>
      <c r="BN304" s="0" t="n">
        <v>0</v>
      </c>
      <c r="BO304" s="16" t="n">
        <v>0</v>
      </c>
      <c r="BP304" s="16" t="n">
        <v>0</v>
      </c>
      <c r="BQ304" s="16" t="n">
        <v>2.48</v>
      </c>
      <c r="BR304" s="16" t="n">
        <v>2.48</v>
      </c>
      <c r="BS304" s="16" t="n">
        <v>0</v>
      </c>
      <c r="BT304" s="16" t="n">
        <v>0</v>
      </c>
      <c r="BU304" s="16" t="n">
        <v>0</v>
      </c>
      <c r="BV304" s="0" t="n">
        <v>0</v>
      </c>
    </row>
    <row r="305" customFormat="false" ht="13.8" hidden="false" customHeight="false" outlineLevel="0" collapsed="false">
      <c r="A305" s="0" t="n">
        <v>1</v>
      </c>
      <c r="B305" s="0" t="n">
        <v>25.3853524982888</v>
      </c>
      <c r="C305" s="0" t="n">
        <v>0.295687885010267</v>
      </c>
      <c r="D305" s="0" t="n">
        <v>8</v>
      </c>
      <c r="E305" s="0" t="n">
        <v>67</v>
      </c>
      <c r="F305" s="0" t="n">
        <v>1.74</v>
      </c>
      <c r="G305" s="0" t="n">
        <v>22.1297397278372</v>
      </c>
      <c r="H305" s="0" t="n">
        <v>0</v>
      </c>
      <c r="I305" s="0" t="n">
        <v>0</v>
      </c>
      <c r="J305" s="19" t="n">
        <v>0</v>
      </c>
      <c r="K305" s="19" t="n">
        <v>1</v>
      </c>
      <c r="L305" s="19" t="n">
        <v>0</v>
      </c>
      <c r="M305" s="19" t="n">
        <v>0</v>
      </c>
      <c r="N305" s="19" t="n">
        <v>0</v>
      </c>
      <c r="O305" s="19" t="n">
        <v>0</v>
      </c>
      <c r="P305" s="19" t="n">
        <v>0</v>
      </c>
      <c r="Q305" s="19" t="n">
        <v>0</v>
      </c>
      <c r="R305" s="19" t="n">
        <v>0</v>
      </c>
      <c r="S305" s="19" t="n">
        <v>0</v>
      </c>
      <c r="T305" s="19" t="n">
        <v>0</v>
      </c>
      <c r="U305" s="15" t="n">
        <f aca="false">AVERAGE(M305:T305)</f>
        <v>0</v>
      </c>
      <c r="V305" s="19" t="n">
        <v>1</v>
      </c>
      <c r="W305" s="19" t="n">
        <v>1</v>
      </c>
      <c r="X305" s="19" t="n">
        <v>3</v>
      </c>
      <c r="Y305" s="19" t="n">
        <v>5</v>
      </c>
      <c r="Z305" s="19" t="n">
        <v>3</v>
      </c>
      <c r="AA305" s="19" t="n">
        <v>2</v>
      </c>
      <c r="AB305" s="19" t="n">
        <v>1</v>
      </c>
      <c r="AC305" s="19" t="n">
        <v>5</v>
      </c>
      <c r="AD305" s="19" t="n">
        <v>5</v>
      </c>
      <c r="AE305" s="19" t="n">
        <v>5</v>
      </c>
      <c r="AF305" s="19" t="n">
        <v>5</v>
      </c>
      <c r="AG305" s="19" t="n">
        <v>5</v>
      </c>
      <c r="AH305" s="19" t="n">
        <v>5</v>
      </c>
      <c r="AI305" s="19" t="n">
        <v>5</v>
      </c>
      <c r="AJ305" s="19" t="n">
        <v>4</v>
      </c>
      <c r="AK305" s="19" t="n">
        <v>5</v>
      </c>
      <c r="AL305" s="19" t="n">
        <v>5</v>
      </c>
      <c r="AM305" s="19" t="n">
        <v>5</v>
      </c>
      <c r="AN305" s="19" t="n">
        <v>5</v>
      </c>
      <c r="AO305" s="19" t="n">
        <v>9</v>
      </c>
      <c r="AP305" s="0" t="n">
        <v>31</v>
      </c>
      <c r="AQ305" s="16" t="n">
        <v>82.6</v>
      </c>
      <c r="AR305" s="16" t="n">
        <v>83.4</v>
      </c>
      <c r="AS305" s="16" t="n">
        <v>5.7</v>
      </c>
      <c r="AT305" s="0" t="n">
        <v>99.97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7.3</v>
      </c>
      <c r="BF305" s="0" t="n">
        <v>53.74</v>
      </c>
      <c r="BG305" s="0" t="n">
        <v>0</v>
      </c>
      <c r="BH305" s="0" t="n">
        <v>0</v>
      </c>
      <c r="BI305" s="0" t="n">
        <v>0</v>
      </c>
      <c r="BJ305" s="0" t="n">
        <v>17.6</v>
      </c>
      <c r="BK305" s="0" t="n">
        <v>1</v>
      </c>
      <c r="BL305" s="0" t="n">
        <v>2.4</v>
      </c>
      <c r="BM305" s="0" t="n">
        <v>0</v>
      </c>
      <c r="BN305" s="0" t="n">
        <v>1</v>
      </c>
      <c r="BO305" s="16" t="n">
        <v>0</v>
      </c>
      <c r="BP305" s="16" t="n">
        <v>0</v>
      </c>
      <c r="BQ305" s="16" t="n">
        <v>5.21</v>
      </c>
      <c r="BR305" s="16" t="n">
        <v>2.59</v>
      </c>
      <c r="BS305" s="16" t="n">
        <v>0</v>
      </c>
      <c r="BT305" s="16" t="n">
        <v>0</v>
      </c>
      <c r="BU305" s="16" t="n">
        <v>0</v>
      </c>
      <c r="BV305" s="0" t="n">
        <v>0</v>
      </c>
    </row>
    <row r="306" customFormat="false" ht="13.8" hidden="false" customHeight="false" outlineLevel="0" collapsed="false">
      <c r="A306" s="0" t="n">
        <v>2</v>
      </c>
      <c r="B306" s="0" t="n">
        <v>20.1396303901437</v>
      </c>
      <c r="C306" s="0" t="n">
        <v>0.292950034223135</v>
      </c>
      <c r="D306" s="0" t="n">
        <v>8</v>
      </c>
      <c r="E306" s="0" t="n">
        <v>60</v>
      </c>
      <c r="F306" s="0" t="n">
        <v>1.69</v>
      </c>
      <c r="G306" s="0" t="n">
        <v>21.0076677987465</v>
      </c>
      <c r="H306" s="0" t="n">
        <v>0</v>
      </c>
      <c r="I306" s="0" t="n">
        <v>0</v>
      </c>
      <c r="J306" s="19" t="n">
        <v>1</v>
      </c>
      <c r="K306" s="19" t="n">
        <v>2</v>
      </c>
      <c r="L306" s="19" t="n">
        <v>1</v>
      </c>
      <c r="M306" s="19" t="n">
        <v>0</v>
      </c>
      <c r="N306" s="19" t="n">
        <v>0</v>
      </c>
      <c r="O306" s="19" t="n">
        <v>0</v>
      </c>
      <c r="P306" s="19" t="n">
        <v>0</v>
      </c>
      <c r="Q306" s="19" t="n">
        <v>0</v>
      </c>
      <c r="R306" s="19" t="n">
        <v>0</v>
      </c>
      <c r="S306" s="19" t="n">
        <v>7</v>
      </c>
      <c r="T306" s="19" t="n">
        <v>0</v>
      </c>
      <c r="U306" s="15" t="n">
        <f aca="false">AVERAGE(M306:T306)</f>
        <v>0.875</v>
      </c>
      <c r="V306" s="19" t="n">
        <v>1</v>
      </c>
      <c r="W306" s="19" t="n">
        <v>1</v>
      </c>
      <c r="X306" s="19" t="n">
        <v>2</v>
      </c>
      <c r="Y306" s="19" t="n">
        <v>5</v>
      </c>
      <c r="Z306" s="19" t="n">
        <v>1</v>
      </c>
      <c r="AA306" s="19" t="n">
        <v>1</v>
      </c>
      <c r="AB306" s="19" t="n">
        <v>1</v>
      </c>
      <c r="AC306" s="19" t="n">
        <v>3</v>
      </c>
      <c r="AD306" s="19" t="n">
        <v>1</v>
      </c>
      <c r="AE306" s="19" t="n">
        <v>3</v>
      </c>
      <c r="AF306" s="19" t="n">
        <v>5</v>
      </c>
      <c r="AG306" s="19" t="n">
        <v>5</v>
      </c>
      <c r="AH306" s="19" t="n">
        <v>3</v>
      </c>
      <c r="AI306" s="19" t="n">
        <v>5</v>
      </c>
      <c r="AJ306" s="19" t="n">
        <v>5</v>
      </c>
      <c r="AK306" s="19" t="n">
        <v>5</v>
      </c>
      <c r="AL306" s="19" t="n">
        <v>4</v>
      </c>
      <c r="AM306" s="19" t="n">
        <v>4</v>
      </c>
      <c r="AN306" s="19" t="n">
        <v>4</v>
      </c>
      <c r="AO306" s="19" t="n">
        <v>9</v>
      </c>
      <c r="AP306" s="0" t="n">
        <v>38.5</v>
      </c>
      <c r="AQ306" s="16" t="n">
        <v>77.5</v>
      </c>
      <c r="AR306" s="16" t="n">
        <v>83.4</v>
      </c>
      <c r="AS306" s="16" t="n">
        <v>19.1</v>
      </c>
      <c r="AT306" s="0" t="n">
        <v>78.18</v>
      </c>
      <c r="AU306" s="0" t="n">
        <v>0</v>
      </c>
      <c r="AV306" s="0" t="n">
        <v>2.48</v>
      </c>
      <c r="AW306" s="0" t="n">
        <v>0</v>
      </c>
      <c r="AX306" s="0" t="n">
        <v>19.34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4.11</v>
      </c>
      <c r="BG306" s="0" t="n">
        <v>21.82</v>
      </c>
      <c r="BH306" s="0" t="n">
        <v>10.65</v>
      </c>
      <c r="BI306" s="0" t="n">
        <v>0</v>
      </c>
      <c r="BJ306" s="0" t="n">
        <v>16.9</v>
      </c>
      <c r="BK306" s="0" t="n">
        <v>1</v>
      </c>
      <c r="BL306" s="0" t="n">
        <v>0</v>
      </c>
      <c r="BM306" s="0" t="n">
        <v>0</v>
      </c>
      <c r="BN306" s="0" t="n">
        <v>0</v>
      </c>
      <c r="BO306" s="16" t="n">
        <v>0</v>
      </c>
      <c r="BP306" s="16" t="n">
        <v>0</v>
      </c>
      <c r="BQ306" s="16" t="n">
        <v>2.48</v>
      </c>
      <c r="BR306" s="16" t="n">
        <v>2.48</v>
      </c>
      <c r="BS306" s="16" t="n">
        <v>0</v>
      </c>
      <c r="BT306" s="16" t="n">
        <v>0</v>
      </c>
      <c r="BU306" s="16" t="n">
        <v>0</v>
      </c>
      <c r="BV306" s="0" t="n">
        <v>0</v>
      </c>
    </row>
    <row r="307" customFormat="false" ht="13.8" hidden="false" customHeight="false" outlineLevel="0" collapsed="false">
      <c r="A307" s="0" t="n">
        <v>2</v>
      </c>
      <c r="B307" s="0" t="n">
        <v>40.7446954140999</v>
      </c>
      <c r="C307" s="0" t="n">
        <v>0.268309377138946</v>
      </c>
      <c r="D307" s="0" t="n">
        <v>8</v>
      </c>
      <c r="E307" s="0" t="n">
        <v>64</v>
      </c>
      <c r="F307" s="0" t="n">
        <v>1.64</v>
      </c>
      <c r="G307" s="0" t="n">
        <v>23.7953599048186</v>
      </c>
      <c r="H307" s="0" t="n">
        <v>0</v>
      </c>
      <c r="I307" s="0" t="n">
        <v>0</v>
      </c>
      <c r="J307" s="19" t="n">
        <v>0</v>
      </c>
      <c r="K307" s="19" t="n">
        <v>1</v>
      </c>
      <c r="L307" s="19" t="n">
        <v>1</v>
      </c>
      <c r="M307" s="19" t="n">
        <v>0</v>
      </c>
      <c r="N307" s="19" t="n">
        <v>0</v>
      </c>
      <c r="O307" s="19" t="n">
        <v>0</v>
      </c>
      <c r="P307" s="19" t="n">
        <v>0</v>
      </c>
      <c r="Q307" s="19" t="n">
        <v>0</v>
      </c>
      <c r="R307" s="19" t="n">
        <v>0</v>
      </c>
      <c r="S307" s="19" t="n">
        <v>0</v>
      </c>
      <c r="T307" s="19" t="n">
        <v>0</v>
      </c>
      <c r="U307" s="15" t="n">
        <f aca="false">AVERAGE(M307:T307)</f>
        <v>0</v>
      </c>
      <c r="V307" s="19" t="n">
        <v>1</v>
      </c>
      <c r="W307" s="19" t="n">
        <v>1</v>
      </c>
      <c r="X307" s="19" t="n">
        <v>2</v>
      </c>
      <c r="Y307" s="19" t="n">
        <v>4</v>
      </c>
      <c r="Z307" s="19" t="n">
        <v>3</v>
      </c>
      <c r="AA307" s="19" t="n">
        <v>2</v>
      </c>
      <c r="AB307" s="19" t="n">
        <v>4</v>
      </c>
      <c r="AC307" s="19" t="n">
        <v>4</v>
      </c>
      <c r="AD307" s="19" t="n">
        <v>5</v>
      </c>
      <c r="AE307" s="19" t="n">
        <v>4</v>
      </c>
      <c r="AF307" s="19" t="n">
        <v>3</v>
      </c>
      <c r="AG307" s="19" t="n">
        <v>5</v>
      </c>
      <c r="AH307" s="19" t="n">
        <v>3</v>
      </c>
      <c r="AI307" s="19" t="n">
        <v>5</v>
      </c>
      <c r="AJ307" s="19" t="n">
        <v>4</v>
      </c>
      <c r="AK307" s="19" t="n">
        <v>5</v>
      </c>
      <c r="AL307" s="19" t="n">
        <v>4</v>
      </c>
      <c r="AM307" s="19" t="n">
        <v>4</v>
      </c>
      <c r="AN307" s="19" t="n">
        <v>3</v>
      </c>
      <c r="AO307" s="19" t="n">
        <v>8</v>
      </c>
      <c r="AP307" s="0" t="n">
        <v>31</v>
      </c>
      <c r="AQ307" s="16" t="n">
        <v>82.6</v>
      </c>
      <c r="AR307" s="16" t="n">
        <v>83.4</v>
      </c>
      <c r="AS307" s="16" t="n">
        <v>5.7</v>
      </c>
      <c r="AT307" s="0" t="n">
        <v>99.97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7.3</v>
      </c>
      <c r="BF307" s="0" t="n">
        <v>53.74</v>
      </c>
      <c r="BG307" s="0" t="n">
        <v>0</v>
      </c>
      <c r="BH307" s="0" t="n">
        <v>0</v>
      </c>
      <c r="BI307" s="0" t="n">
        <v>0</v>
      </c>
      <c r="BJ307" s="0" t="n">
        <v>17.6</v>
      </c>
      <c r="BK307" s="0" t="n">
        <v>1</v>
      </c>
      <c r="BL307" s="0" t="n">
        <v>2.4</v>
      </c>
      <c r="BM307" s="0" t="n">
        <v>0</v>
      </c>
      <c r="BN307" s="0" t="n">
        <v>1</v>
      </c>
      <c r="BO307" s="16" t="n">
        <v>0</v>
      </c>
      <c r="BP307" s="16" t="n">
        <v>0</v>
      </c>
      <c r="BQ307" s="16" t="n">
        <v>5.21</v>
      </c>
      <c r="BR307" s="16" t="n">
        <v>2.59</v>
      </c>
      <c r="BS307" s="16" t="n">
        <v>0</v>
      </c>
      <c r="BT307" s="16" t="n">
        <v>0</v>
      </c>
      <c r="BU307" s="16" t="n">
        <v>0</v>
      </c>
      <c r="BV307" s="0" t="n">
        <v>0</v>
      </c>
    </row>
    <row r="308" customFormat="false" ht="13.8" hidden="false" customHeight="false" outlineLevel="0" collapsed="false">
      <c r="A308" s="0" t="n">
        <v>2</v>
      </c>
      <c r="B308" s="0" t="n">
        <v>20.8733744010951</v>
      </c>
      <c r="C308" s="0" t="n">
        <v>0.238193018480493</v>
      </c>
      <c r="D308" s="0" t="n">
        <v>8</v>
      </c>
      <c r="E308" s="0" t="n">
        <v>70</v>
      </c>
      <c r="F308" s="0" t="n">
        <v>1.75</v>
      </c>
      <c r="G308" s="0" t="n">
        <v>22.8571428571429</v>
      </c>
      <c r="H308" s="0" t="n">
        <v>0</v>
      </c>
      <c r="I308" s="0" t="n">
        <v>0</v>
      </c>
      <c r="J308" s="19" t="n">
        <v>0</v>
      </c>
      <c r="K308" s="19" t="n">
        <v>2</v>
      </c>
      <c r="L308" s="19" t="n">
        <v>0</v>
      </c>
      <c r="M308" s="19" t="n">
        <v>0</v>
      </c>
      <c r="N308" s="19" t="n">
        <v>0</v>
      </c>
      <c r="O308" s="19" t="n">
        <v>0</v>
      </c>
      <c r="P308" s="19" t="n">
        <v>0</v>
      </c>
      <c r="Q308" s="19" t="n">
        <v>0</v>
      </c>
      <c r="R308" s="19" t="n">
        <v>0</v>
      </c>
      <c r="S308" s="19" t="n">
        <v>0</v>
      </c>
      <c r="T308" s="19" t="n">
        <v>0</v>
      </c>
      <c r="U308" s="15" t="n">
        <f aca="false">AVERAGE(M308:T308)</f>
        <v>0</v>
      </c>
      <c r="V308" s="19" t="n">
        <v>2</v>
      </c>
      <c r="W308" s="19" t="n">
        <v>2</v>
      </c>
      <c r="X308" s="19" t="n">
        <v>2</v>
      </c>
      <c r="Y308" s="19" t="n">
        <v>4</v>
      </c>
      <c r="Z308" s="19" t="n">
        <v>2</v>
      </c>
      <c r="AA308" s="19" t="n">
        <v>1</v>
      </c>
      <c r="AB308" s="19" t="n">
        <v>4</v>
      </c>
      <c r="AC308" s="19" t="n">
        <v>3</v>
      </c>
      <c r="AD308" s="19" t="n">
        <v>4</v>
      </c>
      <c r="AE308" s="19" t="n">
        <v>2</v>
      </c>
      <c r="AF308" s="19" t="n">
        <v>5</v>
      </c>
      <c r="AG308" s="19" t="n">
        <v>4</v>
      </c>
      <c r="AH308" s="19" t="n">
        <v>4</v>
      </c>
      <c r="AI308" s="19" t="n">
        <v>4</v>
      </c>
      <c r="AJ308" s="19" t="n">
        <v>4</v>
      </c>
      <c r="AK308" s="19" t="n">
        <v>4</v>
      </c>
      <c r="AL308" s="19" t="n">
        <v>4</v>
      </c>
      <c r="AM308" s="19" t="n">
        <v>3</v>
      </c>
      <c r="AN308" s="19" t="n">
        <v>4</v>
      </c>
      <c r="AO308" s="19" t="n">
        <v>8</v>
      </c>
      <c r="AP308" s="0" t="n">
        <v>38.5</v>
      </c>
      <c r="AQ308" s="16" t="n">
        <v>77.5</v>
      </c>
      <c r="AR308" s="16" t="n">
        <v>83.4</v>
      </c>
      <c r="AS308" s="16" t="n">
        <v>19.1</v>
      </c>
      <c r="AT308" s="0" t="n">
        <v>78.18</v>
      </c>
      <c r="AU308" s="0" t="n">
        <v>0</v>
      </c>
      <c r="AV308" s="0" t="n">
        <v>2.48</v>
      </c>
      <c r="AW308" s="0" t="n">
        <v>0</v>
      </c>
      <c r="AX308" s="0" t="n">
        <v>19.34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4.11</v>
      </c>
      <c r="BG308" s="0" t="n">
        <v>21.82</v>
      </c>
      <c r="BH308" s="0" t="n">
        <v>10.65</v>
      </c>
      <c r="BI308" s="0" t="n">
        <v>0</v>
      </c>
      <c r="BJ308" s="0" t="n">
        <v>16.9</v>
      </c>
      <c r="BK308" s="0" t="n">
        <v>1</v>
      </c>
      <c r="BL308" s="0" t="n">
        <v>0</v>
      </c>
      <c r="BM308" s="0" t="n">
        <v>0</v>
      </c>
      <c r="BN308" s="0" t="n">
        <v>0</v>
      </c>
      <c r="BO308" s="16" t="n">
        <v>0</v>
      </c>
      <c r="BP308" s="16" t="n">
        <v>0</v>
      </c>
      <c r="BQ308" s="16" t="n">
        <v>2.48</v>
      </c>
      <c r="BR308" s="16" t="n">
        <v>2.48</v>
      </c>
      <c r="BS308" s="16" t="n">
        <v>0</v>
      </c>
      <c r="BT308" s="16" t="n">
        <v>0</v>
      </c>
      <c r="BU308" s="16" t="n">
        <v>0</v>
      </c>
      <c r="BV308" s="0" t="n">
        <v>0</v>
      </c>
    </row>
    <row r="309" customFormat="false" ht="13.8" hidden="false" customHeight="false" outlineLevel="0" collapsed="false">
      <c r="A309" s="0" t="n">
        <v>2</v>
      </c>
      <c r="B309" s="0" t="n">
        <v>32.4845995893224</v>
      </c>
      <c r="C309" s="0" t="n">
        <v>7.12936344969199</v>
      </c>
      <c r="D309" s="0" t="n">
        <v>8</v>
      </c>
      <c r="E309" s="0" t="n">
        <v>67</v>
      </c>
      <c r="F309" s="0" t="n">
        <v>1.73</v>
      </c>
      <c r="G309" s="0" t="n">
        <v>22.3863142771225</v>
      </c>
      <c r="H309" s="0" t="n">
        <v>0</v>
      </c>
      <c r="I309" s="0" t="n">
        <v>0</v>
      </c>
      <c r="J309" s="19" t="n">
        <v>0</v>
      </c>
      <c r="K309" s="19" t="n">
        <v>1</v>
      </c>
      <c r="L309" s="19" t="n">
        <v>0</v>
      </c>
      <c r="M309" s="19" t="n">
        <v>0</v>
      </c>
      <c r="N309" s="19" t="n">
        <v>0</v>
      </c>
      <c r="O309" s="19" t="n">
        <v>0</v>
      </c>
      <c r="P309" s="19" t="n">
        <v>0</v>
      </c>
      <c r="Q309" s="19" t="n">
        <v>0</v>
      </c>
      <c r="R309" s="19" t="n">
        <v>0</v>
      </c>
      <c r="S309" s="19" t="n">
        <v>0</v>
      </c>
      <c r="T309" s="19" t="n">
        <v>0</v>
      </c>
      <c r="U309" s="15" t="n">
        <f aca="false">AVERAGE(M309:T309)</f>
        <v>0</v>
      </c>
      <c r="V309" s="19" t="n">
        <v>3</v>
      </c>
      <c r="W309" s="19" t="n">
        <v>2</v>
      </c>
      <c r="X309" s="19" t="n">
        <v>2</v>
      </c>
      <c r="Y309" s="19" t="n">
        <v>4</v>
      </c>
      <c r="Z309" s="19" t="n">
        <v>3</v>
      </c>
      <c r="AA309" s="19" t="n">
        <v>2</v>
      </c>
      <c r="AB309" s="19" t="n">
        <v>3</v>
      </c>
      <c r="AC309" s="19" t="n">
        <v>3</v>
      </c>
      <c r="AD309" s="19" t="n">
        <v>3</v>
      </c>
      <c r="AE309" s="19" t="n">
        <v>3</v>
      </c>
      <c r="AF309" s="19" t="n">
        <v>4</v>
      </c>
      <c r="AG309" s="19" t="n">
        <v>5</v>
      </c>
      <c r="AH309" s="19" t="n">
        <v>3</v>
      </c>
      <c r="AI309" s="19" t="n">
        <v>3</v>
      </c>
      <c r="AJ309" s="19" t="n">
        <v>4</v>
      </c>
      <c r="AK309" s="19" t="n">
        <v>4</v>
      </c>
      <c r="AL309" s="19" t="n">
        <v>3</v>
      </c>
      <c r="AM309" s="19" t="n">
        <v>3</v>
      </c>
      <c r="AN309" s="19" t="n">
        <v>3</v>
      </c>
      <c r="AO309" s="19" t="n">
        <v>8</v>
      </c>
      <c r="AP309" s="0" t="n">
        <v>37.5</v>
      </c>
      <c r="AQ309" s="16" t="n">
        <v>87.4</v>
      </c>
      <c r="AR309" s="16" t="n">
        <v>80.4</v>
      </c>
      <c r="AS309" s="16" t="n">
        <v>18.5</v>
      </c>
      <c r="AT309" s="0" t="n">
        <v>84.21</v>
      </c>
      <c r="AU309" s="17" t="n">
        <v>0</v>
      </c>
      <c r="AV309" s="0" t="n">
        <v>0</v>
      </c>
      <c r="AW309" s="0" t="n">
        <v>0</v>
      </c>
      <c r="AX309" s="0" t="n">
        <v>15.79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26.71</v>
      </c>
      <c r="BF309" s="0" t="n">
        <v>13.13</v>
      </c>
      <c r="BG309" s="0" t="n">
        <v>49.12</v>
      </c>
      <c r="BH309" s="0" t="n">
        <v>14.67</v>
      </c>
      <c r="BI309" s="0" t="n">
        <v>0</v>
      </c>
      <c r="BJ309" s="0" t="n">
        <v>0</v>
      </c>
      <c r="BK309" s="0" t="n">
        <v>0</v>
      </c>
      <c r="BL309" s="0" t="n">
        <v>1.1</v>
      </c>
      <c r="BM309" s="0" t="n">
        <v>1</v>
      </c>
      <c r="BN309" s="0" t="n">
        <v>0</v>
      </c>
      <c r="BO309" s="16" t="n">
        <v>4.3</v>
      </c>
      <c r="BP309" s="16" t="n">
        <v>1</v>
      </c>
      <c r="BQ309" s="16" t="n">
        <v>10.31</v>
      </c>
      <c r="BR309" s="16" t="n">
        <v>34.85</v>
      </c>
      <c r="BS309" s="16" t="n">
        <v>0</v>
      </c>
      <c r="BT309" s="16" t="n">
        <v>0</v>
      </c>
      <c r="BU309" s="16" t="n">
        <v>0</v>
      </c>
      <c r="BV309" s="0" t="n">
        <v>0</v>
      </c>
    </row>
    <row r="310" customFormat="false" ht="13.8" hidden="false" customHeight="false" outlineLevel="0" collapsed="false">
      <c r="A310" s="0" t="n">
        <v>2</v>
      </c>
      <c r="B310" s="0" t="n">
        <v>40.0465434633813</v>
      </c>
      <c r="C310" s="0" t="n">
        <v>0.153319644079398</v>
      </c>
      <c r="D310" s="0" t="n">
        <v>8</v>
      </c>
      <c r="E310" s="0" t="n">
        <v>68</v>
      </c>
      <c r="F310" s="0" t="n">
        <v>1.71</v>
      </c>
      <c r="G310" s="0" t="n">
        <v>23.2550186382135</v>
      </c>
      <c r="H310" s="0" t="n">
        <v>0</v>
      </c>
      <c r="I310" s="0" t="n">
        <v>0</v>
      </c>
      <c r="J310" s="19" t="n">
        <v>0</v>
      </c>
      <c r="K310" s="19" t="n">
        <v>2</v>
      </c>
      <c r="L310" s="19" t="n">
        <v>1</v>
      </c>
      <c r="M310" s="19" t="n">
        <v>0</v>
      </c>
      <c r="N310" s="19" t="n">
        <v>0</v>
      </c>
      <c r="O310" s="19" t="n">
        <v>0</v>
      </c>
      <c r="P310" s="19" t="n">
        <v>0</v>
      </c>
      <c r="Q310" s="19" t="n">
        <v>0</v>
      </c>
      <c r="R310" s="19" t="n">
        <v>0</v>
      </c>
      <c r="S310" s="19" t="n">
        <v>0</v>
      </c>
      <c r="T310" s="19" t="n">
        <v>0</v>
      </c>
      <c r="U310" s="15" t="n">
        <f aca="false">AVERAGE(M310:T310)</f>
        <v>0</v>
      </c>
      <c r="V310" s="19" t="n">
        <v>1</v>
      </c>
      <c r="W310" s="19" t="n">
        <v>1</v>
      </c>
      <c r="X310" s="19" t="n">
        <v>3</v>
      </c>
      <c r="Y310" s="19" t="n">
        <v>5</v>
      </c>
      <c r="Z310" s="19" t="n">
        <v>1</v>
      </c>
      <c r="AA310" s="19" t="n">
        <v>2</v>
      </c>
      <c r="AB310" s="19" t="n">
        <v>4</v>
      </c>
      <c r="AC310" s="19" t="n">
        <v>5</v>
      </c>
      <c r="AD310" s="19" t="n">
        <v>4</v>
      </c>
      <c r="AE310" s="19" t="n">
        <v>5</v>
      </c>
      <c r="AF310" s="19" t="n">
        <v>5</v>
      </c>
      <c r="AG310" s="19" t="n">
        <v>5</v>
      </c>
      <c r="AH310" s="19" t="n">
        <v>5</v>
      </c>
      <c r="AI310" s="19" t="n">
        <v>5</v>
      </c>
      <c r="AJ310" s="19" t="n">
        <v>5</v>
      </c>
      <c r="AK310" s="19" t="n">
        <v>5</v>
      </c>
      <c r="AL310" s="19" t="n">
        <v>5</v>
      </c>
      <c r="AM310" s="19" t="n">
        <v>5</v>
      </c>
      <c r="AN310" s="19" t="n">
        <v>5</v>
      </c>
      <c r="AO310" s="19" t="n">
        <v>10</v>
      </c>
      <c r="AP310" s="0" t="n">
        <v>33</v>
      </c>
      <c r="AQ310" s="16" t="n">
        <v>71.2</v>
      </c>
      <c r="AR310" s="16" t="n">
        <v>80.4</v>
      </c>
      <c r="AS310" s="16" t="n">
        <v>16.3</v>
      </c>
      <c r="AT310" s="0" t="n">
        <v>83.24</v>
      </c>
      <c r="AU310" s="17" t="n">
        <v>0</v>
      </c>
      <c r="AV310" s="0" t="n">
        <v>0</v>
      </c>
      <c r="AW310" s="0" t="n">
        <v>0</v>
      </c>
      <c r="AX310" s="0" t="n">
        <v>14.14</v>
      </c>
      <c r="AY310" s="0" t="n">
        <v>0</v>
      </c>
      <c r="AZ310" s="0" t="n">
        <v>2.63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2.63</v>
      </c>
      <c r="BF310" s="0" t="n">
        <v>10.16</v>
      </c>
      <c r="BG310" s="0" t="n">
        <v>20.83</v>
      </c>
      <c r="BH310" s="0" t="n">
        <v>24.81</v>
      </c>
      <c r="BI310" s="0" t="n">
        <v>0</v>
      </c>
      <c r="BJ310" s="0" t="n">
        <v>11.2</v>
      </c>
      <c r="BK310" s="0" t="n">
        <v>1</v>
      </c>
      <c r="BL310" s="0" t="n">
        <v>0</v>
      </c>
      <c r="BM310" s="0" t="n">
        <v>0</v>
      </c>
      <c r="BN310" s="0" t="n">
        <v>0</v>
      </c>
      <c r="BO310" s="16" t="n">
        <v>2.71</v>
      </c>
      <c r="BP310" s="16" t="n">
        <v>1</v>
      </c>
      <c r="BQ310" s="16" t="n">
        <v>2.63</v>
      </c>
      <c r="BR310" s="16" t="n">
        <v>2.6</v>
      </c>
      <c r="BS310" s="16" t="n">
        <v>0</v>
      </c>
      <c r="BT310" s="16" t="n">
        <v>0</v>
      </c>
      <c r="BU310" s="16" t="n">
        <v>0</v>
      </c>
      <c r="BV310" s="0" t="n">
        <v>0</v>
      </c>
    </row>
    <row r="311" customFormat="false" ht="13.8" hidden="false" customHeight="false" outlineLevel="0" collapsed="false">
      <c r="A311" s="0" t="n">
        <v>2</v>
      </c>
      <c r="B311" s="0" t="n">
        <v>30.6502395619439</v>
      </c>
      <c r="C311" s="0" t="n">
        <v>7.13483915126626</v>
      </c>
      <c r="D311" s="0" t="n">
        <v>8</v>
      </c>
      <c r="E311" s="0" t="n">
        <v>103</v>
      </c>
      <c r="F311" s="0" t="n">
        <v>1.81</v>
      </c>
      <c r="G311" s="0" t="n">
        <v>31.4398217392631</v>
      </c>
      <c r="H311" s="0" t="n">
        <v>0</v>
      </c>
      <c r="I311" s="0" t="n">
        <v>0</v>
      </c>
      <c r="J311" s="19" t="n">
        <v>0</v>
      </c>
      <c r="K311" s="19" t="n">
        <v>0</v>
      </c>
      <c r="L311" s="19" t="n">
        <v>1</v>
      </c>
      <c r="M311" s="19" t="n">
        <v>0</v>
      </c>
      <c r="N311" s="19" t="n">
        <v>0</v>
      </c>
      <c r="O311" s="19" t="n">
        <v>0</v>
      </c>
      <c r="P311" s="19" t="n">
        <v>0</v>
      </c>
      <c r="Q311" s="19" t="n">
        <v>0</v>
      </c>
      <c r="R311" s="19" t="n">
        <v>0</v>
      </c>
      <c r="S311" s="19" t="n">
        <v>0</v>
      </c>
      <c r="T311" s="19" t="n">
        <v>7</v>
      </c>
      <c r="U311" s="15" t="n">
        <f aca="false">AVERAGE(M311:T311)</f>
        <v>0.875</v>
      </c>
      <c r="V311" s="19" t="n">
        <v>3</v>
      </c>
      <c r="W311" s="19" t="n">
        <v>2</v>
      </c>
      <c r="X311" s="19" t="n">
        <v>3</v>
      </c>
      <c r="Y311" s="19" t="n">
        <v>4</v>
      </c>
      <c r="Z311" s="19" t="n">
        <v>3</v>
      </c>
      <c r="AA311" s="19" t="n">
        <v>2</v>
      </c>
      <c r="AB311" s="19" t="n">
        <v>4</v>
      </c>
      <c r="AC311" s="19" t="n">
        <v>5</v>
      </c>
      <c r="AD311" s="19" t="n">
        <v>3</v>
      </c>
      <c r="AE311" s="19" t="n">
        <v>3</v>
      </c>
      <c r="AF311" s="19" t="n">
        <v>3</v>
      </c>
      <c r="AG311" s="19" t="n">
        <v>4</v>
      </c>
      <c r="AH311" s="19" t="n">
        <v>3</v>
      </c>
      <c r="AI311" s="19" t="n">
        <v>3</v>
      </c>
      <c r="AJ311" s="19" t="n">
        <v>3</v>
      </c>
      <c r="AK311" s="19" t="n">
        <v>5</v>
      </c>
      <c r="AL311" s="19" t="n">
        <v>4</v>
      </c>
      <c r="AM311" s="19" t="n">
        <v>3</v>
      </c>
      <c r="AN311" s="19" t="n">
        <v>4</v>
      </c>
      <c r="AO311" s="19" t="n">
        <v>8</v>
      </c>
      <c r="AP311" s="0" t="n">
        <v>33</v>
      </c>
      <c r="AQ311" s="16" t="n">
        <v>71.2</v>
      </c>
      <c r="AR311" s="16" t="n">
        <v>80.4</v>
      </c>
      <c r="AS311" s="16" t="n">
        <v>16.3</v>
      </c>
      <c r="AT311" s="0" t="n">
        <v>83.24</v>
      </c>
      <c r="AU311" s="17" t="n">
        <v>0</v>
      </c>
      <c r="AV311" s="0" t="n">
        <v>0</v>
      </c>
      <c r="AW311" s="0" t="n">
        <v>0</v>
      </c>
      <c r="AX311" s="0" t="n">
        <v>14.14</v>
      </c>
      <c r="AY311" s="0" t="n">
        <v>0</v>
      </c>
      <c r="AZ311" s="0" t="n">
        <v>2.63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2.63</v>
      </c>
      <c r="BF311" s="0" t="n">
        <v>10.16</v>
      </c>
      <c r="BG311" s="0" t="n">
        <v>20.83</v>
      </c>
      <c r="BH311" s="0" t="n">
        <v>24.81</v>
      </c>
      <c r="BI311" s="0" t="n">
        <v>0</v>
      </c>
      <c r="BJ311" s="0" t="n">
        <v>11.2</v>
      </c>
      <c r="BK311" s="0" t="n">
        <v>1</v>
      </c>
      <c r="BL311" s="0" t="n">
        <v>0</v>
      </c>
      <c r="BM311" s="0" t="n">
        <v>0</v>
      </c>
      <c r="BN311" s="0" t="n">
        <v>0</v>
      </c>
      <c r="BO311" s="16" t="n">
        <v>2.71</v>
      </c>
      <c r="BP311" s="16" t="n">
        <v>1</v>
      </c>
      <c r="BQ311" s="16" t="n">
        <v>2.63</v>
      </c>
      <c r="BR311" s="16" t="n">
        <v>2.6</v>
      </c>
      <c r="BS311" s="16" t="n">
        <v>0</v>
      </c>
      <c r="BT311" s="16" t="n">
        <v>0</v>
      </c>
      <c r="BU311" s="16" t="n">
        <v>0</v>
      </c>
      <c r="BV311" s="0" t="n">
        <v>0</v>
      </c>
    </row>
    <row r="312" customFormat="false" ht="13.8" hidden="false" customHeight="false" outlineLevel="0" collapsed="false">
      <c r="A312" s="0" t="n">
        <v>2</v>
      </c>
      <c r="B312" s="0" t="n">
        <v>30.6310746064339</v>
      </c>
      <c r="C312" s="0" t="n">
        <v>0.295687885010267</v>
      </c>
      <c r="D312" s="0" t="n">
        <v>8</v>
      </c>
      <c r="E312" s="0" t="n">
        <v>72</v>
      </c>
      <c r="F312" s="0" t="n">
        <v>1.74</v>
      </c>
      <c r="G312" s="0" t="n">
        <v>23.7812128418549</v>
      </c>
      <c r="H312" s="0" t="n">
        <v>0</v>
      </c>
      <c r="I312" s="0" t="n">
        <v>0</v>
      </c>
      <c r="J312" s="19" t="n">
        <v>0</v>
      </c>
      <c r="K312" s="19" t="n">
        <v>2</v>
      </c>
      <c r="L312" s="19" t="n">
        <v>0</v>
      </c>
      <c r="M312" s="19" t="n">
        <v>0</v>
      </c>
      <c r="N312" s="19" t="n">
        <v>0</v>
      </c>
      <c r="O312" s="19" t="n">
        <v>0</v>
      </c>
      <c r="P312" s="19" t="n">
        <v>0</v>
      </c>
      <c r="Q312" s="19"/>
      <c r="R312" s="19"/>
      <c r="S312" s="19" t="n">
        <v>0</v>
      </c>
      <c r="T312" s="19" t="n">
        <v>0</v>
      </c>
      <c r="U312" s="15" t="n">
        <f aca="false">AVERAGE(M312:T312)</f>
        <v>0</v>
      </c>
      <c r="V312" s="19" t="n">
        <v>2</v>
      </c>
      <c r="W312" s="19" t="n">
        <v>1</v>
      </c>
      <c r="X312" s="19" t="n">
        <v>4</v>
      </c>
      <c r="Y312" s="19" t="n">
        <v>5</v>
      </c>
      <c r="Z312" s="19" t="n">
        <v>3</v>
      </c>
      <c r="AA312" s="19" t="n">
        <v>4</v>
      </c>
      <c r="AB312" s="19" t="n">
        <v>4</v>
      </c>
      <c r="AC312" s="19" t="n">
        <v>4</v>
      </c>
      <c r="AD312" s="19" t="n">
        <v>4</v>
      </c>
      <c r="AE312" s="19" t="n">
        <v>4</v>
      </c>
      <c r="AF312" s="19" t="n">
        <v>4</v>
      </c>
      <c r="AG312" s="19" t="n">
        <v>5</v>
      </c>
      <c r="AH312" s="19" t="n">
        <v>4</v>
      </c>
      <c r="AI312" s="19" t="n">
        <v>4</v>
      </c>
      <c r="AJ312" s="19" t="n">
        <v>5</v>
      </c>
      <c r="AK312" s="19" t="n">
        <v>5</v>
      </c>
      <c r="AL312" s="19" t="n">
        <v>5</v>
      </c>
      <c r="AM312" s="19" t="n">
        <v>5</v>
      </c>
      <c r="AN312" s="19" t="n">
        <v>4</v>
      </c>
      <c r="AO312" s="19" t="n">
        <v>9</v>
      </c>
      <c r="AP312" s="0" t="n">
        <v>33</v>
      </c>
      <c r="AQ312" s="16" t="n">
        <v>71.2</v>
      </c>
      <c r="AR312" s="16" t="n">
        <v>80.4</v>
      </c>
      <c r="AS312" s="16" t="n">
        <v>16.3</v>
      </c>
      <c r="AT312" s="0" t="n">
        <v>83.24</v>
      </c>
      <c r="AU312" s="17" t="n">
        <v>0</v>
      </c>
      <c r="AV312" s="0" t="n">
        <v>0</v>
      </c>
      <c r="AW312" s="0" t="n">
        <v>0</v>
      </c>
      <c r="AX312" s="0" t="n">
        <v>14.14</v>
      </c>
      <c r="AY312" s="0" t="n">
        <v>0</v>
      </c>
      <c r="AZ312" s="0" t="n">
        <v>2.63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2.63</v>
      </c>
      <c r="BF312" s="0" t="n">
        <v>10.16</v>
      </c>
      <c r="BG312" s="0" t="n">
        <v>20.83</v>
      </c>
      <c r="BH312" s="0" t="n">
        <v>24.81</v>
      </c>
      <c r="BI312" s="0" t="n">
        <v>0</v>
      </c>
      <c r="BJ312" s="0" t="n">
        <v>11.2</v>
      </c>
      <c r="BK312" s="0" t="n">
        <v>1</v>
      </c>
      <c r="BL312" s="0" t="n">
        <v>0</v>
      </c>
      <c r="BM312" s="0" t="n">
        <v>0</v>
      </c>
      <c r="BN312" s="0" t="n">
        <v>0</v>
      </c>
      <c r="BO312" s="16" t="n">
        <v>2.71</v>
      </c>
      <c r="BP312" s="16" t="n">
        <v>1</v>
      </c>
      <c r="BQ312" s="16" t="n">
        <v>2.63</v>
      </c>
      <c r="BR312" s="16" t="n">
        <v>2.6</v>
      </c>
      <c r="BS312" s="16" t="n">
        <v>0</v>
      </c>
      <c r="BT312" s="16" t="n">
        <v>0</v>
      </c>
      <c r="BU312" s="16" t="n">
        <v>0</v>
      </c>
      <c r="BV312" s="0" t="n">
        <v>0</v>
      </c>
    </row>
    <row r="313" customFormat="false" ht="13.8" hidden="false" customHeight="false" outlineLevel="0" collapsed="false">
      <c r="A313" s="0" t="n">
        <v>2</v>
      </c>
      <c r="B313" s="0" t="n">
        <v>31.1348391512663</v>
      </c>
      <c r="C313" s="0" t="n">
        <v>0.249144421629021</v>
      </c>
      <c r="D313" s="0" t="n">
        <v>8</v>
      </c>
      <c r="E313" s="0" t="n">
        <v>70</v>
      </c>
      <c r="F313" s="0" t="n">
        <v>1.7</v>
      </c>
      <c r="G313" s="0" t="n">
        <v>24.2214532871972</v>
      </c>
      <c r="H313" s="0" t="n">
        <v>0</v>
      </c>
      <c r="I313" s="0" t="n">
        <v>0</v>
      </c>
      <c r="J313" s="19" t="n">
        <v>0</v>
      </c>
      <c r="K313" s="19" t="n">
        <v>1</v>
      </c>
      <c r="L313" s="19" t="n">
        <v>0</v>
      </c>
      <c r="M313" s="19" t="n">
        <v>0</v>
      </c>
      <c r="N313" s="19" t="n">
        <v>0</v>
      </c>
      <c r="O313" s="19" t="n">
        <v>0</v>
      </c>
      <c r="P313" s="19" t="n">
        <v>0</v>
      </c>
      <c r="Q313" s="19" t="n">
        <v>0</v>
      </c>
      <c r="R313" s="19" t="n">
        <v>0</v>
      </c>
      <c r="S313" s="19" t="n">
        <v>0</v>
      </c>
      <c r="T313" s="19" t="n">
        <v>0</v>
      </c>
      <c r="U313" s="15" t="n">
        <f aca="false">AVERAGE(M313:T313)</f>
        <v>0</v>
      </c>
      <c r="V313" s="19" t="n">
        <v>2</v>
      </c>
      <c r="W313" s="19" t="n">
        <v>3</v>
      </c>
      <c r="X313" s="19" t="n">
        <v>3</v>
      </c>
      <c r="Y313" s="19" t="n">
        <v>3</v>
      </c>
      <c r="Z313" s="19" t="n">
        <v>2</v>
      </c>
      <c r="AA313" s="19" t="n">
        <v>2</v>
      </c>
      <c r="AB313" s="19" t="n">
        <v>2</v>
      </c>
      <c r="AC313" s="19" t="n">
        <v>3</v>
      </c>
      <c r="AD313" s="19" t="n">
        <v>3</v>
      </c>
      <c r="AE313" s="19" t="n">
        <v>3</v>
      </c>
      <c r="AF313" s="19" t="n">
        <v>3</v>
      </c>
      <c r="AG313" s="19" t="n">
        <v>4</v>
      </c>
      <c r="AH313" s="19" t="n">
        <v>4</v>
      </c>
      <c r="AI313" s="19" t="n">
        <v>4</v>
      </c>
      <c r="AJ313" s="19" t="n">
        <v>5</v>
      </c>
      <c r="AK313" s="19" t="n">
        <v>5</v>
      </c>
      <c r="AL313" s="19" t="n">
        <v>4</v>
      </c>
      <c r="AM313" s="19" t="n">
        <v>4</v>
      </c>
      <c r="AN313" s="19" t="n">
        <v>4</v>
      </c>
      <c r="AO313" s="19" t="n">
        <v>10</v>
      </c>
      <c r="AP313" s="0" t="n">
        <v>33</v>
      </c>
      <c r="AQ313" s="16" t="n">
        <v>71.2</v>
      </c>
      <c r="AR313" s="16" t="n">
        <v>80.4</v>
      </c>
      <c r="AS313" s="16" t="n">
        <v>16.3</v>
      </c>
      <c r="AT313" s="0" t="n">
        <v>83.24</v>
      </c>
      <c r="AU313" s="17" t="n">
        <v>0</v>
      </c>
      <c r="AV313" s="0" t="n">
        <v>0</v>
      </c>
      <c r="AW313" s="0" t="n">
        <v>0</v>
      </c>
      <c r="AX313" s="0" t="n">
        <v>14.14</v>
      </c>
      <c r="AY313" s="0" t="n">
        <v>0</v>
      </c>
      <c r="AZ313" s="0" t="n">
        <v>2.63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2.63</v>
      </c>
      <c r="BF313" s="0" t="n">
        <v>10.16</v>
      </c>
      <c r="BG313" s="0" t="n">
        <v>20.83</v>
      </c>
      <c r="BH313" s="0" t="n">
        <v>24.81</v>
      </c>
      <c r="BI313" s="0" t="n">
        <v>0</v>
      </c>
      <c r="BJ313" s="0" t="n">
        <v>11.2</v>
      </c>
      <c r="BK313" s="0" t="n">
        <v>1</v>
      </c>
      <c r="BL313" s="0" t="n">
        <v>0</v>
      </c>
      <c r="BM313" s="0" t="n">
        <v>0</v>
      </c>
      <c r="BN313" s="0" t="n">
        <v>0</v>
      </c>
      <c r="BO313" s="16" t="n">
        <v>2.71</v>
      </c>
      <c r="BP313" s="16" t="n">
        <v>1</v>
      </c>
      <c r="BQ313" s="16" t="n">
        <v>2.63</v>
      </c>
      <c r="BR313" s="16" t="n">
        <v>2.6</v>
      </c>
      <c r="BS313" s="16" t="n">
        <v>0</v>
      </c>
      <c r="BT313" s="16" t="n">
        <v>0</v>
      </c>
      <c r="BU313" s="16" t="n">
        <v>0</v>
      </c>
      <c r="BV313" s="0" t="n">
        <v>0</v>
      </c>
    </row>
    <row r="314" customFormat="false" ht="13.8" hidden="false" customHeight="false" outlineLevel="0" collapsed="false">
      <c r="A314" s="0" t="n">
        <v>1</v>
      </c>
      <c r="B314" s="0" t="n">
        <v>38.2669404517454</v>
      </c>
      <c r="C314" s="0" t="n">
        <v>0.353182751540041</v>
      </c>
      <c r="D314" s="0" t="n">
        <v>8</v>
      </c>
      <c r="E314" s="0" t="n">
        <v>55</v>
      </c>
      <c r="F314" s="0" t="n">
        <v>1.62</v>
      </c>
      <c r="G314" s="0" t="n">
        <v>20.9571711629325</v>
      </c>
      <c r="H314" s="0" t="n">
        <v>0</v>
      </c>
      <c r="I314" s="0" t="n">
        <v>0</v>
      </c>
      <c r="J314" s="19" t="n">
        <v>0</v>
      </c>
      <c r="K314" s="19" t="n">
        <v>2</v>
      </c>
      <c r="L314" s="19" t="n">
        <v>0</v>
      </c>
      <c r="M314" s="19" t="n">
        <v>0</v>
      </c>
      <c r="N314" s="19" t="n">
        <v>0</v>
      </c>
      <c r="O314" s="19" t="n">
        <v>0</v>
      </c>
      <c r="P314" s="19" t="n">
        <v>0</v>
      </c>
      <c r="Q314" s="19" t="n">
        <v>0</v>
      </c>
      <c r="R314" s="19" t="n">
        <v>0</v>
      </c>
      <c r="S314" s="19" t="n">
        <v>0</v>
      </c>
      <c r="T314" s="19" t="n">
        <v>0</v>
      </c>
      <c r="U314" s="15" t="n">
        <f aca="false">AVERAGE(M314:T314)</f>
        <v>0</v>
      </c>
      <c r="V314" s="19" t="n">
        <v>1</v>
      </c>
      <c r="W314" s="19" t="n">
        <v>2</v>
      </c>
      <c r="X314" s="19" t="n">
        <v>3</v>
      </c>
      <c r="Y314" s="19" t="n">
        <v>3</v>
      </c>
      <c r="Z314" s="19" t="n">
        <v>3</v>
      </c>
      <c r="AA314" s="19" t="n">
        <v>3</v>
      </c>
      <c r="AB314" s="19" t="n">
        <v>3</v>
      </c>
      <c r="AC314" s="19" t="n">
        <v>5</v>
      </c>
      <c r="AD314" s="19" t="n">
        <v>5</v>
      </c>
      <c r="AE314" s="19" t="n">
        <v>5</v>
      </c>
      <c r="AF314" s="19" t="n">
        <v>5</v>
      </c>
      <c r="AG314" s="19" t="n">
        <v>5</v>
      </c>
      <c r="AH314" s="19" t="n">
        <v>5</v>
      </c>
      <c r="AI314" s="19" t="n">
        <v>5</v>
      </c>
      <c r="AJ314" s="19" t="n">
        <v>3</v>
      </c>
      <c r="AK314" s="19" t="n">
        <v>5</v>
      </c>
      <c r="AL314" s="19" t="n">
        <v>5</v>
      </c>
      <c r="AM314" s="19" t="n">
        <v>5</v>
      </c>
      <c r="AN314" s="19" t="n">
        <v>5</v>
      </c>
      <c r="AO314" s="19" t="n">
        <v>9</v>
      </c>
      <c r="AP314" s="0" t="n">
        <v>33</v>
      </c>
      <c r="AQ314" s="16" t="n">
        <v>71.2</v>
      </c>
      <c r="AR314" s="16" t="n">
        <v>80.4</v>
      </c>
      <c r="AS314" s="16" t="n">
        <v>16.3</v>
      </c>
      <c r="AT314" s="0" t="n">
        <v>83.24</v>
      </c>
      <c r="AU314" s="17" t="n">
        <v>0</v>
      </c>
      <c r="AV314" s="0" t="n">
        <v>0</v>
      </c>
      <c r="AW314" s="0" t="n">
        <v>0</v>
      </c>
      <c r="AX314" s="0" t="n">
        <v>14.14</v>
      </c>
      <c r="AY314" s="0" t="n">
        <v>0</v>
      </c>
      <c r="AZ314" s="0" t="n">
        <v>2.63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2.63</v>
      </c>
      <c r="BF314" s="0" t="n">
        <v>10.16</v>
      </c>
      <c r="BG314" s="0" t="n">
        <v>20.83</v>
      </c>
      <c r="BH314" s="0" t="n">
        <v>24.81</v>
      </c>
      <c r="BI314" s="0" t="n">
        <v>0</v>
      </c>
      <c r="BJ314" s="0" t="n">
        <v>11.2</v>
      </c>
      <c r="BK314" s="0" t="n">
        <v>1</v>
      </c>
      <c r="BL314" s="0" t="n">
        <v>0</v>
      </c>
      <c r="BM314" s="0" t="n">
        <v>0</v>
      </c>
      <c r="BN314" s="0" t="n">
        <v>0</v>
      </c>
      <c r="BO314" s="16" t="n">
        <v>2.71</v>
      </c>
      <c r="BP314" s="16" t="n">
        <v>1</v>
      </c>
      <c r="BQ314" s="16" t="n">
        <v>2.63</v>
      </c>
      <c r="BR314" s="16" t="n">
        <v>2.6</v>
      </c>
      <c r="BS314" s="16" t="n">
        <v>0</v>
      </c>
      <c r="BT314" s="16" t="n">
        <v>0</v>
      </c>
      <c r="BU314" s="16" t="n">
        <v>0</v>
      </c>
      <c r="BV314" s="0" t="n">
        <v>0</v>
      </c>
    </row>
    <row r="315" customFormat="false" ht="13.8" hidden="false" customHeight="false" outlineLevel="0" collapsed="false">
      <c r="A315" s="0" t="n">
        <v>1</v>
      </c>
      <c r="B315" s="0" t="n">
        <v>19.6221765913758</v>
      </c>
      <c r="C315" s="0" t="n">
        <v>0.314852840520192</v>
      </c>
      <c r="D315" s="0" t="n">
        <v>8</v>
      </c>
      <c r="E315" s="0" t="n">
        <v>45</v>
      </c>
      <c r="F315" s="0" t="n">
        <v>1.56</v>
      </c>
      <c r="G315" s="0" t="n">
        <v>18.491124260355</v>
      </c>
      <c r="H315" s="0" t="n">
        <v>0</v>
      </c>
      <c r="I315" s="0" t="n">
        <v>0</v>
      </c>
      <c r="J315" s="19" t="n">
        <v>0</v>
      </c>
      <c r="K315" s="19" t="n">
        <v>0</v>
      </c>
      <c r="L315" s="19" t="n">
        <v>1</v>
      </c>
      <c r="M315" s="19" t="n">
        <v>0</v>
      </c>
      <c r="N315" s="19" t="n">
        <v>0</v>
      </c>
      <c r="O315" s="19" t="n">
        <v>0</v>
      </c>
      <c r="P315" s="19" t="n">
        <v>0</v>
      </c>
      <c r="Q315" s="19" t="n">
        <v>0</v>
      </c>
      <c r="R315" s="19" t="n">
        <v>0</v>
      </c>
      <c r="S315" s="19" t="n">
        <v>0</v>
      </c>
      <c r="T315" s="19" t="n">
        <v>0</v>
      </c>
      <c r="U315" s="15" t="n">
        <f aca="false">AVERAGE(M315:T315)</f>
        <v>0</v>
      </c>
      <c r="V315" s="19" t="n">
        <v>1</v>
      </c>
      <c r="W315" s="19" t="n">
        <v>1</v>
      </c>
      <c r="X315" s="19" t="n">
        <v>1</v>
      </c>
      <c r="Y315" s="19" t="n">
        <v>2</v>
      </c>
      <c r="Z315" s="19" t="n">
        <v>1</v>
      </c>
      <c r="AA315" s="19" t="n">
        <v>1</v>
      </c>
      <c r="AB315" s="19" t="n">
        <v>1</v>
      </c>
      <c r="AC315" s="19" t="n">
        <v>2</v>
      </c>
      <c r="AD315" s="19" t="n">
        <v>4</v>
      </c>
      <c r="AE315" s="19" t="n">
        <v>5</v>
      </c>
      <c r="AF315" s="19" t="n">
        <v>5</v>
      </c>
      <c r="AG315" s="19" t="n">
        <v>5</v>
      </c>
      <c r="AH315" s="19" t="n">
        <v>4</v>
      </c>
      <c r="AI315" s="19" t="n">
        <v>5</v>
      </c>
      <c r="AJ315" s="19" t="n">
        <v>5</v>
      </c>
      <c r="AK315" s="19" t="n">
        <v>5</v>
      </c>
      <c r="AL315" s="19" t="n">
        <v>5</v>
      </c>
      <c r="AM315" s="19" t="n">
        <v>5</v>
      </c>
      <c r="AN315" s="19" t="n">
        <v>5</v>
      </c>
      <c r="AO315" s="19" t="n">
        <v>10</v>
      </c>
      <c r="AP315" s="0" t="n">
        <v>48</v>
      </c>
      <c r="AQ315" s="16" t="n">
        <v>69.7</v>
      </c>
      <c r="AR315" s="16" t="n">
        <v>80.4</v>
      </c>
      <c r="AS315" s="16" t="n">
        <v>44.5</v>
      </c>
      <c r="AT315" s="0" t="n">
        <v>13.55</v>
      </c>
      <c r="AU315" s="17" t="n">
        <v>0</v>
      </c>
      <c r="AV315" s="0" t="n">
        <v>0</v>
      </c>
      <c r="AW315" s="0" t="n">
        <v>0</v>
      </c>
      <c r="AX315" s="0" t="n">
        <v>0.1</v>
      </c>
      <c r="AY315" s="0" t="n">
        <v>0</v>
      </c>
      <c r="AZ315" s="0" t="n">
        <v>86.34</v>
      </c>
      <c r="BA315" s="0" t="n">
        <v>13.26</v>
      </c>
      <c r="BB315" s="0" t="n">
        <v>28.53</v>
      </c>
      <c r="BC315" s="0" t="n">
        <v>0</v>
      </c>
      <c r="BD315" s="0" t="n">
        <v>0</v>
      </c>
      <c r="BE315" s="0" t="n">
        <v>0.78</v>
      </c>
      <c r="BF315" s="0" t="n">
        <v>3.48</v>
      </c>
      <c r="BG315" s="0" t="n">
        <v>11.45</v>
      </c>
      <c r="BH315" s="0" t="n">
        <v>6.85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16" t="n">
        <v>0.75</v>
      </c>
      <c r="BP315" s="16" t="n">
        <v>1</v>
      </c>
      <c r="BQ315" s="16" t="n">
        <v>2.66</v>
      </c>
      <c r="BR315" s="16" t="n">
        <v>2.64</v>
      </c>
      <c r="BS315" s="16" t="n">
        <v>0</v>
      </c>
      <c r="BT315" s="16" t="n">
        <v>0</v>
      </c>
      <c r="BU315" s="16" t="n">
        <v>0</v>
      </c>
      <c r="BV315" s="0" t="n">
        <v>0</v>
      </c>
    </row>
    <row r="316" customFormat="false" ht="13.8" hidden="false" customHeight="false" outlineLevel="0" collapsed="false">
      <c r="A316" s="0" t="n">
        <v>2</v>
      </c>
      <c r="B316" s="0" t="n">
        <v>23.6824093086927</v>
      </c>
      <c r="C316" s="0" t="n">
        <v>0.257357973990418</v>
      </c>
      <c r="D316" s="0" t="n">
        <v>8</v>
      </c>
      <c r="E316" s="0" t="n">
        <v>70</v>
      </c>
      <c r="F316" s="0" t="n">
        <v>1.83</v>
      </c>
      <c r="G316" s="0" t="n">
        <v>20.9023858580429</v>
      </c>
      <c r="H316" s="0" t="n">
        <v>0</v>
      </c>
      <c r="I316" s="0" t="n">
        <v>0</v>
      </c>
      <c r="J316" s="19" t="n">
        <v>0</v>
      </c>
      <c r="K316" s="19" t="n">
        <v>2</v>
      </c>
      <c r="L316" s="19" t="n">
        <v>1</v>
      </c>
      <c r="M316" s="19" t="n">
        <v>0</v>
      </c>
      <c r="N316" s="19" t="n">
        <v>0</v>
      </c>
      <c r="O316" s="19" t="n">
        <v>0</v>
      </c>
      <c r="P316" s="19" t="n">
        <v>0</v>
      </c>
      <c r="Q316" s="19" t="n">
        <v>0</v>
      </c>
      <c r="R316" s="19" t="n">
        <v>0</v>
      </c>
      <c r="S316" s="19" t="n">
        <v>0</v>
      </c>
      <c r="T316" s="19" t="n">
        <v>0</v>
      </c>
      <c r="U316" s="15" t="n">
        <f aca="false">AVERAGE(M316:T316)</f>
        <v>0</v>
      </c>
      <c r="V316" s="19" t="n">
        <v>1</v>
      </c>
      <c r="W316" s="19" t="n">
        <v>2</v>
      </c>
      <c r="X316" s="19" t="n">
        <v>2</v>
      </c>
      <c r="Y316" s="19" t="n">
        <v>4</v>
      </c>
      <c r="Z316" s="19" t="n">
        <v>2</v>
      </c>
      <c r="AA316" s="19" t="n">
        <v>2</v>
      </c>
      <c r="AB316" s="19" t="n">
        <v>3</v>
      </c>
      <c r="AC316" s="19" t="n">
        <v>4</v>
      </c>
      <c r="AD316" s="19" t="n">
        <v>5</v>
      </c>
      <c r="AE316" s="19" t="n">
        <v>4</v>
      </c>
      <c r="AF316" s="19" t="n">
        <v>4</v>
      </c>
      <c r="AG316" s="19" t="n">
        <v>4</v>
      </c>
      <c r="AH316" s="19" t="n">
        <v>3</v>
      </c>
      <c r="AI316" s="19" t="n">
        <v>4</v>
      </c>
      <c r="AJ316" s="19" t="n">
        <v>5</v>
      </c>
      <c r="AK316" s="19" t="n">
        <v>5</v>
      </c>
      <c r="AL316" s="19" t="n">
        <v>5</v>
      </c>
      <c r="AM316" s="19" t="n">
        <v>5</v>
      </c>
      <c r="AN316" s="19" t="n">
        <v>4</v>
      </c>
      <c r="AO316" s="19" t="n">
        <v>8</v>
      </c>
      <c r="AP316" s="0" t="n">
        <v>40</v>
      </c>
      <c r="AQ316" s="16" t="n">
        <v>79.7</v>
      </c>
      <c r="AR316" s="16" t="n">
        <v>80.4</v>
      </c>
      <c r="AS316" s="16" t="n">
        <v>11.2</v>
      </c>
      <c r="AT316" s="0" t="n">
        <v>91.23</v>
      </c>
      <c r="AU316" s="17" t="n">
        <v>0</v>
      </c>
      <c r="AV316" s="0" t="n">
        <v>0</v>
      </c>
      <c r="AW316" s="0" t="n">
        <v>0</v>
      </c>
      <c r="AX316" s="0" t="n">
        <v>8.77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18.64</v>
      </c>
      <c r="BG316" s="0" t="n">
        <v>42.82</v>
      </c>
      <c r="BH316" s="0" t="n">
        <v>4.61</v>
      </c>
      <c r="BI316" s="0" t="n">
        <v>0</v>
      </c>
      <c r="BJ316" s="0" t="n">
        <v>0</v>
      </c>
      <c r="BK316" s="0" t="n">
        <v>0</v>
      </c>
      <c r="BL316" s="0" t="n">
        <v>23.2</v>
      </c>
      <c r="BM316" s="0" t="n">
        <v>1</v>
      </c>
      <c r="BN316" s="0" t="n">
        <v>0</v>
      </c>
      <c r="BO316" s="16" t="n">
        <v>1.52</v>
      </c>
      <c r="BP316" s="16" t="n">
        <v>1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0.06</v>
      </c>
      <c r="BV316" s="0" t="n">
        <v>0</v>
      </c>
    </row>
    <row r="317" customFormat="false" ht="13.8" hidden="false" customHeight="false" outlineLevel="0" collapsed="false">
      <c r="A317" s="0" t="n">
        <v>2</v>
      </c>
      <c r="B317" s="0" t="n">
        <v>31.0143737166324</v>
      </c>
      <c r="C317" s="0" t="n">
        <v>0.306639288158795</v>
      </c>
      <c r="D317" s="0" t="n">
        <v>8</v>
      </c>
      <c r="E317" s="0" t="n">
        <v>80</v>
      </c>
      <c r="F317" s="0" t="n">
        <v>1.75</v>
      </c>
      <c r="G317" s="0" t="n">
        <v>26.1224489795918</v>
      </c>
      <c r="H317" s="0" t="n">
        <v>0</v>
      </c>
      <c r="I317" s="0" t="n">
        <v>0</v>
      </c>
      <c r="J317" s="19" t="n">
        <v>0</v>
      </c>
      <c r="K317" s="19" t="n">
        <v>1</v>
      </c>
      <c r="L317" s="19" t="n">
        <v>0</v>
      </c>
      <c r="M317" s="19" t="n">
        <v>0</v>
      </c>
      <c r="N317" s="19" t="n">
        <v>0</v>
      </c>
      <c r="O317" s="19"/>
      <c r="P317" s="19"/>
      <c r="Q317" s="19" t="n">
        <v>0</v>
      </c>
      <c r="R317" s="19" t="n">
        <v>0</v>
      </c>
      <c r="S317" s="19" t="n">
        <v>0</v>
      </c>
      <c r="T317" s="19" t="n">
        <v>0</v>
      </c>
      <c r="U317" s="15" t="n">
        <f aca="false">AVERAGE(M317:T317)</f>
        <v>0</v>
      </c>
      <c r="V317" s="19" t="n">
        <v>2</v>
      </c>
      <c r="W317" s="19" t="n">
        <v>1</v>
      </c>
      <c r="X317" s="19" t="n">
        <v>3</v>
      </c>
      <c r="Y317" s="19" t="n">
        <v>5</v>
      </c>
      <c r="Z317" s="19" t="n">
        <v>2</v>
      </c>
      <c r="AA317" s="19" t="n">
        <v>1</v>
      </c>
      <c r="AB317" s="19" t="n">
        <v>3</v>
      </c>
      <c r="AC317" s="19" t="n">
        <v>3</v>
      </c>
      <c r="AD317" s="19" t="n">
        <v>4</v>
      </c>
      <c r="AE317" s="19" t="n">
        <v>5</v>
      </c>
      <c r="AF317" s="19" t="n">
        <v>5</v>
      </c>
      <c r="AG317" s="19" t="n">
        <v>4</v>
      </c>
      <c r="AH317" s="19" t="n">
        <v>4</v>
      </c>
      <c r="AI317" s="19" t="n">
        <v>5</v>
      </c>
      <c r="AJ317" s="19" t="n">
        <v>5</v>
      </c>
      <c r="AK317" s="19" t="n">
        <v>5</v>
      </c>
      <c r="AL317" s="19" t="n">
        <v>5</v>
      </c>
      <c r="AM317" s="19" t="n">
        <v>5</v>
      </c>
      <c r="AN317" s="19" t="n">
        <v>5</v>
      </c>
      <c r="AO317" s="19" t="n">
        <v>9</v>
      </c>
      <c r="AP317" s="0" t="n">
        <v>33</v>
      </c>
      <c r="AQ317" s="16" t="n">
        <v>71.2</v>
      </c>
      <c r="AR317" s="16" t="n">
        <v>80.4</v>
      </c>
      <c r="AS317" s="16" t="n">
        <v>16.3</v>
      </c>
      <c r="AT317" s="0" t="n">
        <v>83.24</v>
      </c>
      <c r="AU317" s="17" t="n">
        <v>0</v>
      </c>
      <c r="AV317" s="0" t="n">
        <v>0</v>
      </c>
      <c r="AW317" s="0" t="n">
        <v>0</v>
      </c>
      <c r="AX317" s="0" t="n">
        <v>14.14</v>
      </c>
      <c r="AY317" s="0" t="n">
        <v>0</v>
      </c>
      <c r="AZ317" s="0" t="n">
        <v>2.63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2.63</v>
      </c>
      <c r="BF317" s="0" t="n">
        <v>10.16</v>
      </c>
      <c r="BG317" s="0" t="n">
        <v>20.83</v>
      </c>
      <c r="BH317" s="0" t="n">
        <v>24.81</v>
      </c>
      <c r="BI317" s="0" t="n">
        <v>0</v>
      </c>
      <c r="BJ317" s="0" t="n">
        <v>11.2</v>
      </c>
      <c r="BK317" s="0" t="n">
        <v>1</v>
      </c>
      <c r="BL317" s="0" t="n">
        <v>0</v>
      </c>
      <c r="BM317" s="0" t="n">
        <v>0</v>
      </c>
      <c r="BN317" s="0" t="n">
        <v>0</v>
      </c>
      <c r="BO317" s="16" t="n">
        <v>2.71</v>
      </c>
      <c r="BP317" s="16" t="n">
        <v>1</v>
      </c>
      <c r="BQ317" s="16" t="n">
        <v>2.63</v>
      </c>
      <c r="BR317" s="16" t="n">
        <v>2.6</v>
      </c>
      <c r="BS317" s="16" t="n">
        <v>0</v>
      </c>
      <c r="BT317" s="16" t="n">
        <v>0</v>
      </c>
      <c r="BU317" s="16" t="n">
        <v>0</v>
      </c>
      <c r="BV317" s="0" t="n">
        <v>0</v>
      </c>
    </row>
    <row r="318" customFormat="false" ht="13.8" hidden="false" customHeight="false" outlineLevel="0" collapsed="false">
      <c r="A318" s="0" t="n">
        <v>1</v>
      </c>
      <c r="B318" s="0" t="n">
        <v>45.3689253935661</v>
      </c>
      <c r="C318" s="0" t="n">
        <v>5.93292265571526</v>
      </c>
      <c r="D318" s="0" t="n">
        <v>8</v>
      </c>
      <c r="E318" s="0" t="n">
        <v>80</v>
      </c>
      <c r="F318" s="0" t="n">
        <v>1.77</v>
      </c>
      <c r="G318" s="0" t="n">
        <v>25.5354463915222</v>
      </c>
      <c r="H318" s="0" t="n">
        <v>1</v>
      </c>
      <c r="I318" s="0" t="n">
        <v>1</v>
      </c>
      <c r="J318" s="19" t="n">
        <v>0</v>
      </c>
      <c r="K318" s="19" t="n">
        <v>0</v>
      </c>
      <c r="L318" s="19" t="n">
        <v>0</v>
      </c>
      <c r="M318" s="19" t="n">
        <v>0</v>
      </c>
      <c r="N318" s="19" t="n">
        <v>9</v>
      </c>
      <c r="O318" s="19" t="n">
        <v>0</v>
      </c>
      <c r="P318" s="19" t="n">
        <v>0</v>
      </c>
      <c r="Q318" s="19" t="n">
        <v>6</v>
      </c>
      <c r="R318" s="19" t="n">
        <v>6</v>
      </c>
      <c r="S318" s="19" t="n">
        <v>0</v>
      </c>
      <c r="T318" s="19" t="n">
        <v>0</v>
      </c>
      <c r="U318" s="15" t="n">
        <f aca="false">AVERAGE(M318:T318)</f>
        <v>2.625</v>
      </c>
      <c r="V318" s="19" t="n">
        <v>3</v>
      </c>
      <c r="W318" s="19" t="n">
        <v>3</v>
      </c>
      <c r="X318" s="19" t="n">
        <v>5</v>
      </c>
      <c r="Y318" s="19" t="n">
        <v>5</v>
      </c>
      <c r="Z318" s="19" t="n">
        <v>2</v>
      </c>
      <c r="AA318" s="19" t="n">
        <v>4</v>
      </c>
      <c r="AB318" s="19" t="n">
        <v>3</v>
      </c>
      <c r="AC318" s="19" t="n">
        <v>5</v>
      </c>
      <c r="AD318" s="19" t="n">
        <v>3</v>
      </c>
      <c r="AE318" s="19" t="n">
        <v>4</v>
      </c>
      <c r="AF318" s="19" t="n">
        <v>4</v>
      </c>
      <c r="AG318" s="19" t="n">
        <v>5</v>
      </c>
      <c r="AH318" s="19" t="n">
        <v>2</v>
      </c>
      <c r="AI318" s="19" t="n">
        <v>4</v>
      </c>
      <c r="AJ318" s="19" t="n">
        <v>5</v>
      </c>
      <c r="AK318" s="19" t="n">
        <v>5</v>
      </c>
      <c r="AL318" s="19" t="n">
        <v>4</v>
      </c>
      <c r="AM318" s="19" t="n">
        <v>5</v>
      </c>
      <c r="AN318" s="19" t="n">
        <v>5</v>
      </c>
      <c r="AO318" s="19" t="n">
        <v>9</v>
      </c>
      <c r="AP318" s="0" t="n">
        <v>33</v>
      </c>
      <c r="AQ318" s="16" t="n">
        <v>71.2</v>
      </c>
      <c r="AR318" s="16" t="n">
        <v>80.4</v>
      </c>
      <c r="AS318" s="16" t="n">
        <v>16.3</v>
      </c>
      <c r="AT318" s="0" t="n">
        <v>83.24</v>
      </c>
      <c r="AU318" s="17" t="n">
        <v>0</v>
      </c>
      <c r="AV318" s="0" t="n">
        <v>0</v>
      </c>
      <c r="AW318" s="0" t="n">
        <v>0</v>
      </c>
      <c r="AX318" s="0" t="n">
        <v>14.14</v>
      </c>
      <c r="AY318" s="0" t="n">
        <v>0</v>
      </c>
      <c r="AZ318" s="0" t="n">
        <v>2.63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2.63</v>
      </c>
      <c r="BF318" s="0" t="n">
        <v>10.16</v>
      </c>
      <c r="BG318" s="0" t="n">
        <v>20.83</v>
      </c>
      <c r="BH318" s="0" t="n">
        <v>24.81</v>
      </c>
      <c r="BI318" s="0" t="n">
        <v>0</v>
      </c>
      <c r="BJ318" s="0" t="n">
        <v>11.2</v>
      </c>
      <c r="BK318" s="0" t="n">
        <v>1</v>
      </c>
      <c r="BL318" s="0" t="n">
        <v>0</v>
      </c>
      <c r="BM318" s="0" t="n">
        <v>0</v>
      </c>
      <c r="BN318" s="0" t="n">
        <v>0</v>
      </c>
      <c r="BO318" s="16" t="n">
        <v>2.71</v>
      </c>
      <c r="BP318" s="16" t="n">
        <v>1</v>
      </c>
      <c r="BQ318" s="16" t="n">
        <v>2.63</v>
      </c>
      <c r="BR318" s="16" t="n">
        <v>2.6</v>
      </c>
      <c r="BS318" s="16" t="n">
        <v>0</v>
      </c>
      <c r="BT318" s="16" t="n">
        <v>0</v>
      </c>
      <c r="BU318" s="16" t="n">
        <v>0</v>
      </c>
      <c r="BV318" s="0" t="n">
        <v>0</v>
      </c>
    </row>
    <row r="319" customFormat="false" ht="13.8" hidden="false" customHeight="false" outlineLevel="0" collapsed="false">
      <c r="A319" s="0" t="n">
        <v>2</v>
      </c>
      <c r="B319" s="0" t="n">
        <v>22.3682409308693</v>
      </c>
      <c r="C319" s="0" t="n">
        <v>0.284736481861739</v>
      </c>
      <c r="D319" s="0" t="n">
        <v>8</v>
      </c>
      <c r="E319" s="0" t="n">
        <v>75</v>
      </c>
      <c r="F319" s="0" t="n">
        <v>1.75</v>
      </c>
      <c r="G319" s="0" t="n">
        <v>24.4897959183673</v>
      </c>
      <c r="H319" s="0" t="n">
        <v>0</v>
      </c>
      <c r="I319" s="0" t="n">
        <v>0</v>
      </c>
      <c r="J319" s="19"/>
      <c r="K319" s="19" t="n">
        <v>1</v>
      </c>
      <c r="L319" s="19" t="n">
        <v>0</v>
      </c>
      <c r="M319" s="19" t="n">
        <v>0</v>
      </c>
      <c r="N319" s="19" t="n">
        <v>0</v>
      </c>
      <c r="O319" s="19" t="n">
        <v>0</v>
      </c>
      <c r="P319" s="19" t="n">
        <v>0</v>
      </c>
      <c r="Q319" s="19" t="n">
        <v>7</v>
      </c>
      <c r="R319" s="19" t="n">
        <v>3</v>
      </c>
      <c r="S319" s="19" t="n">
        <v>0</v>
      </c>
      <c r="T319" s="19" t="n">
        <v>0</v>
      </c>
      <c r="U319" s="15" t="n">
        <f aca="false">AVERAGE(M319:T319)</f>
        <v>1.25</v>
      </c>
      <c r="V319" s="19" t="n">
        <v>2</v>
      </c>
      <c r="W319" s="19" t="n">
        <v>3</v>
      </c>
      <c r="X319" s="19" t="n">
        <v>3</v>
      </c>
      <c r="Y319" s="19" t="n">
        <v>4</v>
      </c>
      <c r="Z319" s="19" t="n">
        <v>3</v>
      </c>
      <c r="AA319" s="19" t="n">
        <v>2</v>
      </c>
      <c r="AB319" s="19" t="n">
        <v>3</v>
      </c>
      <c r="AC319" s="19" t="n">
        <v>3</v>
      </c>
      <c r="AD319" s="19" t="n">
        <v>4</v>
      </c>
      <c r="AE319" s="19" t="n">
        <v>4</v>
      </c>
      <c r="AF319" s="19" t="n">
        <v>4</v>
      </c>
      <c r="AG319" s="19" t="n">
        <v>5</v>
      </c>
      <c r="AH319" s="19" t="n">
        <v>3</v>
      </c>
      <c r="AI319" s="19" t="n">
        <v>4</v>
      </c>
      <c r="AJ319" s="19" t="n">
        <v>5</v>
      </c>
      <c r="AK319" s="19" t="n">
        <v>5</v>
      </c>
      <c r="AL319" s="19" t="n">
        <v>4</v>
      </c>
      <c r="AM319" s="19" t="n">
        <v>5</v>
      </c>
      <c r="AN319" s="19" t="n">
        <v>5</v>
      </c>
      <c r="AO319" s="19" t="n">
        <v>10</v>
      </c>
      <c r="AP319" s="0" t="n">
        <v>33</v>
      </c>
      <c r="AQ319" s="16" t="n">
        <v>71.2</v>
      </c>
      <c r="AR319" s="16" t="n">
        <v>80.4</v>
      </c>
      <c r="AS319" s="16" t="n">
        <v>16.3</v>
      </c>
      <c r="AT319" s="0" t="n">
        <v>83.24</v>
      </c>
      <c r="AU319" s="17" t="n">
        <v>0</v>
      </c>
      <c r="AV319" s="0" t="n">
        <v>0</v>
      </c>
      <c r="AW319" s="0" t="n">
        <v>0</v>
      </c>
      <c r="AX319" s="0" t="n">
        <v>14.14</v>
      </c>
      <c r="AY319" s="0" t="n">
        <v>0</v>
      </c>
      <c r="AZ319" s="0" t="n">
        <v>2.63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2.63</v>
      </c>
      <c r="BF319" s="0" t="n">
        <v>10.16</v>
      </c>
      <c r="BG319" s="0" t="n">
        <v>20.83</v>
      </c>
      <c r="BH319" s="0" t="n">
        <v>24.81</v>
      </c>
      <c r="BI319" s="0" t="n">
        <v>0</v>
      </c>
      <c r="BJ319" s="0" t="n">
        <v>11.2</v>
      </c>
      <c r="BK319" s="0" t="n">
        <v>1</v>
      </c>
      <c r="BL319" s="0" t="n">
        <v>0</v>
      </c>
      <c r="BM319" s="0" t="n">
        <v>0</v>
      </c>
      <c r="BN319" s="0" t="n">
        <v>0</v>
      </c>
      <c r="BO319" s="16" t="n">
        <v>2.71</v>
      </c>
      <c r="BP319" s="16" t="n">
        <v>1</v>
      </c>
      <c r="BQ319" s="16" t="n">
        <v>2.63</v>
      </c>
      <c r="BR319" s="16" t="n">
        <v>2.6</v>
      </c>
      <c r="BS319" s="16" t="n">
        <v>0</v>
      </c>
      <c r="BT319" s="16" t="n">
        <v>0</v>
      </c>
      <c r="BU319" s="16" t="n">
        <v>0</v>
      </c>
      <c r="BV319" s="0" t="n">
        <v>0</v>
      </c>
    </row>
    <row r="320" customFormat="false" ht="13.8" hidden="false" customHeight="false" outlineLevel="0" collapsed="false">
      <c r="A320" s="0" t="n">
        <v>2</v>
      </c>
      <c r="B320" s="0" t="n">
        <v>26.8829568788501</v>
      </c>
      <c r="C320" s="0" t="n">
        <v>0.290212183436003</v>
      </c>
      <c r="D320" s="0" t="n">
        <v>8</v>
      </c>
      <c r="E320" s="0" t="n">
        <v>69</v>
      </c>
      <c r="F320" s="0" t="n">
        <v>1.74</v>
      </c>
      <c r="G320" s="0" t="n">
        <v>22.7903289734443</v>
      </c>
      <c r="H320" s="0" t="n">
        <v>0</v>
      </c>
      <c r="I320" s="0" t="n">
        <v>0</v>
      </c>
      <c r="J320" s="19" t="n">
        <v>0</v>
      </c>
      <c r="K320" s="19" t="n">
        <v>2</v>
      </c>
      <c r="L320" s="19" t="n">
        <v>1</v>
      </c>
      <c r="M320" s="19" t="n">
        <v>0</v>
      </c>
      <c r="N320" s="19" t="n">
        <v>0</v>
      </c>
      <c r="O320" s="19" t="n">
        <v>0</v>
      </c>
      <c r="P320" s="19" t="n">
        <v>0</v>
      </c>
      <c r="Q320" s="19" t="n">
        <v>0</v>
      </c>
      <c r="R320" s="19" t="n">
        <v>0</v>
      </c>
      <c r="S320" s="19" t="n">
        <v>0</v>
      </c>
      <c r="T320" s="19" t="n">
        <v>0</v>
      </c>
      <c r="U320" s="15" t="n">
        <f aca="false">AVERAGE(M320:T320)</f>
        <v>0</v>
      </c>
      <c r="V320" s="19" t="n">
        <v>1</v>
      </c>
      <c r="W320" s="19" t="n">
        <v>2</v>
      </c>
      <c r="X320" s="19" t="n">
        <v>3</v>
      </c>
      <c r="Y320" s="19" t="n">
        <v>5</v>
      </c>
      <c r="Z320" s="19" t="n">
        <v>2</v>
      </c>
      <c r="AA320" s="19" t="n">
        <v>2</v>
      </c>
      <c r="AB320" s="19" t="n">
        <v>5</v>
      </c>
      <c r="AC320" s="19" t="n">
        <v>4</v>
      </c>
      <c r="AD320" s="19" t="n">
        <v>4</v>
      </c>
      <c r="AE320" s="19" t="n">
        <v>5</v>
      </c>
      <c r="AF320" s="19" t="n">
        <v>5</v>
      </c>
      <c r="AG320" s="19" t="n">
        <v>5</v>
      </c>
      <c r="AH320" s="19" t="n">
        <v>5</v>
      </c>
      <c r="AI320" s="19" t="n">
        <v>5</v>
      </c>
      <c r="AJ320" s="19" t="n">
        <v>4</v>
      </c>
      <c r="AK320" s="19" t="n">
        <v>5</v>
      </c>
      <c r="AL320" s="19" t="n">
        <v>5</v>
      </c>
      <c r="AM320" s="19" t="n">
        <v>5</v>
      </c>
      <c r="AN320" s="19" t="n">
        <v>5</v>
      </c>
      <c r="AO320" s="19" t="n">
        <v>10</v>
      </c>
      <c r="AP320" s="0" t="n">
        <v>33</v>
      </c>
      <c r="AQ320" s="16" t="n">
        <v>71.2</v>
      </c>
      <c r="AR320" s="16" t="n">
        <v>80.4</v>
      </c>
      <c r="AS320" s="16" t="n">
        <v>16.3</v>
      </c>
      <c r="AT320" s="0" t="n">
        <v>83.24</v>
      </c>
      <c r="AU320" s="17" t="n">
        <v>0</v>
      </c>
      <c r="AV320" s="0" t="n">
        <v>0</v>
      </c>
      <c r="AW320" s="0" t="n">
        <v>0</v>
      </c>
      <c r="AX320" s="0" t="n">
        <v>14.14</v>
      </c>
      <c r="AY320" s="0" t="n">
        <v>0</v>
      </c>
      <c r="AZ320" s="0" t="n">
        <v>2.63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2.63</v>
      </c>
      <c r="BF320" s="0" t="n">
        <v>10.16</v>
      </c>
      <c r="BG320" s="0" t="n">
        <v>20.83</v>
      </c>
      <c r="BH320" s="0" t="n">
        <v>24.81</v>
      </c>
      <c r="BI320" s="0" t="n">
        <v>0</v>
      </c>
      <c r="BJ320" s="0" t="n">
        <v>11.2</v>
      </c>
      <c r="BK320" s="0" t="n">
        <v>1</v>
      </c>
      <c r="BL320" s="0" t="n">
        <v>0</v>
      </c>
      <c r="BM320" s="0" t="n">
        <v>0</v>
      </c>
      <c r="BN320" s="0" t="n">
        <v>0</v>
      </c>
      <c r="BO320" s="16" t="n">
        <v>2.71</v>
      </c>
      <c r="BP320" s="16" t="n">
        <v>1</v>
      </c>
      <c r="BQ320" s="16" t="n">
        <v>2.63</v>
      </c>
      <c r="BR320" s="16" t="n">
        <v>2.6</v>
      </c>
      <c r="BS320" s="16" t="n">
        <v>0</v>
      </c>
      <c r="BT320" s="16" t="n">
        <v>0</v>
      </c>
      <c r="BU320" s="16" t="n">
        <v>0</v>
      </c>
      <c r="BV320" s="0" t="n">
        <v>0</v>
      </c>
    </row>
    <row r="321" customFormat="false" ht="13.8" hidden="false" customHeight="false" outlineLevel="0" collapsed="false">
      <c r="A321" s="0" t="n">
        <v>2</v>
      </c>
      <c r="B321" s="0" t="n">
        <v>27.7672826830938</v>
      </c>
      <c r="C321" s="0" t="n">
        <v>0.317590691307324</v>
      </c>
      <c r="D321" s="0" t="n">
        <v>4</v>
      </c>
      <c r="E321" s="0" t="n">
        <v>125</v>
      </c>
      <c r="F321" s="0" t="n">
        <v>1.87</v>
      </c>
      <c r="G321" s="0" t="n">
        <v>35.7459464096771</v>
      </c>
      <c r="H321" s="0" t="n">
        <v>0</v>
      </c>
      <c r="I321" s="0" t="n">
        <v>0</v>
      </c>
      <c r="J321" s="19" t="n">
        <v>0</v>
      </c>
      <c r="K321" s="19" t="n">
        <v>1</v>
      </c>
      <c r="L321" s="19" t="n">
        <v>0</v>
      </c>
      <c r="M321" s="19" t="n">
        <v>0</v>
      </c>
      <c r="N321" s="19" t="n">
        <v>0</v>
      </c>
      <c r="O321" s="19" t="n">
        <v>0</v>
      </c>
      <c r="P321" s="19" t="n">
        <v>0</v>
      </c>
      <c r="Q321" s="19" t="n">
        <v>0</v>
      </c>
      <c r="R321" s="19" t="n">
        <v>0</v>
      </c>
      <c r="S321" s="19" t="n">
        <v>0</v>
      </c>
      <c r="T321" s="19" t="n">
        <v>0</v>
      </c>
      <c r="U321" s="15" t="n">
        <f aca="false">AVERAGE(M321:T321)</f>
        <v>0</v>
      </c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0" t="n">
        <v>33</v>
      </c>
      <c r="AQ321" s="16" t="n">
        <v>71.2</v>
      </c>
      <c r="AR321" s="16" t="n">
        <v>80.4</v>
      </c>
      <c r="AS321" s="16" t="n">
        <v>16.3</v>
      </c>
      <c r="AT321" s="0" t="n">
        <v>83.24</v>
      </c>
      <c r="AU321" s="17" t="n">
        <v>0</v>
      </c>
      <c r="AV321" s="0" t="n">
        <v>0</v>
      </c>
      <c r="AW321" s="0" t="n">
        <v>0</v>
      </c>
      <c r="AX321" s="0" t="n">
        <v>14.14</v>
      </c>
      <c r="AY321" s="0" t="n">
        <v>0</v>
      </c>
      <c r="AZ321" s="0" t="n">
        <v>2.63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2.63</v>
      </c>
      <c r="BF321" s="0" t="n">
        <v>10.16</v>
      </c>
      <c r="BG321" s="0" t="n">
        <v>20.83</v>
      </c>
      <c r="BH321" s="0" t="n">
        <v>24.81</v>
      </c>
      <c r="BI321" s="0" t="n">
        <v>0</v>
      </c>
      <c r="BJ321" s="0" t="n">
        <v>11.2</v>
      </c>
      <c r="BK321" s="0" t="n">
        <v>1</v>
      </c>
      <c r="BL321" s="0" t="n">
        <v>0</v>
      </c>
      <c r="BM321" s="0" t="n">
        <v>0</v>
      </c>
      <c r="BN321" s="0" t="n">
        <v>0</v>
      </c>
      <c r="BO321" s="16" t="n">
        <v>2.71</v>
      </c>
      <c r="BP321" s="16" t="n">
        <v>1</v>
      </c>
      <c r="BQ321" s="16" t="n">
        <v>2.63</v>
      </c>
      <c r="BR321" s="16" t="n">
        <v>2.6</v>
      </c>
      <c r="BS321" s="16" t="n">
        <v>0</v>
      </c>
      <c r="BT321" s="16" t="n">
        <v>0</v>
      </c>
      <c r="BU321" s="16" t="n">
        <v>0</v>
      </c>
      <c r="BV321" s="0" t="n">
        <v>0</v>
      </c>
    </row>
    <row r="322" customFormat="false" ht="13.8" hidden="false" customHeight="false" outlineLevel="0" collapsed="false">
      <c r="A322" s="0" t="n">
        <v>2</v>
      </c>
      <c r="B322" s="0" t="n">
        <v>28.4873374401095</v>
      </c>
      <c r="C322" s="0" t="n">
        <v>6.10540725530459</v>
      </c>
      <c r="D322" s="0" t="n">
        <v>8</v>
      </c>
      <c r="E322" s="0" t="n">
        <v>65.7</v>
      </c>
      <c r="F322" s="0" t="n">
        <v>1.7</v>
      </c>
      <c r="G322" s="0" t="n">
        <v>22.7335640138408</v>
      </c>
      <c r="H322" s="0" t="n">
        <v>0</v>
      </c>
      <c r="I322" s="0" t="n">
        <v>0</v>
      </c>
      <c r="J322" s="19" t="n">
        <v>0</v>
      </c>
      <c r="K322" s="19" t="n">
        <v>1</v>
      </c>
      <c r="L322" s="19" t="n">
        <v>0</v>
      </c>
      <c r="M322" s="19" t="n">
        <v>0</v>
      </c>
      <c r="N322" s="19" t="n">
        <v>0</v>
      </c>
      <c r="O322" s="19" t="n">
        <v>0</v>
      </c>
      <c r="P322" s="19" t="n">
        <v>0</v>
      </c>
      <c r="Q322" s="19" t="n">
        <v>0</v>
      </c>
      <c r="R322" s="19" t="n">
        <v>0</v>
      </c>
      <c r="S322" s="19" t="n">
        <v>0</v>
      </c>
      <c r="T322" s="19" t="n">
        <v>0</v>
      </c>
      <c r="U322" s="15" t="n">
        <f aca="false">AVERAGE(M322:T322)</f>
        <v>0</v>
      </c>
      <c r="V322" s="19" t="n">
        <v>3</v>
      </c>
      <c r="W322" s="19" t="n">
        <v>3</v>
      </c>
      <c r="X322" s="19" t="n">
        <v>3</v>
      </c>
      <c r="Y322" s="19" t="n">
        <v>4</v>
      </c>
      <c r="Z322" s="19" t="n">
        <v>2</v>
      </c>
      <c r="AA322" s="19" t="n">
        <v>2</v>
      </c>
      <c r="AB322" s="19" t="n">
        <v>2</v>
      </c>
      <c r="AC322" s="19" t="n">
        <v>4</v>
      </c>
      <c r="AD322" s="19" t="n">
        <v>2</v>
      </c>
      <c r="AE322" s="19" t="n">
        <v>2</v>
      </c>
      <c r="AF322" s="19" t="n">
        <v>4</v>
      </c>
      <c r="AG322" s="19" t="n">
        <v>4</v>
      </c>
      <c r="AH322" s="19" t="n">
        <v>4</v>
      </c>
      <c r="AI322" s="19" t="n">
        <v>4</v>
      </c>
      <c r="AJ322" s="19" t="n">
        <v>4</v>
      </c>
      <c r="AK322" s="19" t="n">
        <v>4</v>
      </c>
      <c r="AL322" s="19" t="n">
        <v>4</v>
      </c>
      <c r="AM322" s="19" t="n">
        <v>4</v>
      </c>
      <c r="AN322" s="19" t="n">
        <v>4</v>
      </c>
      <c r="AO322" s="19" t="n">
        <v>8</v>
      </c>
      <c r="AP322" s="0" t="n">
        <v>21.5</v>
      </c>
      <c r="AQ322" s="16" t="n">
        <v>54.9</v>
      </c>
      <c r="AR322" s="16" t="n">
        <v>80.4</v>
      </c>
      <c r="AS322" s="16" t="n">
        <v>17.9</v>
      </c>
      <c r="AT322" s="0" t="n">
        <v>90.61</v>
      </c>
      <c r="AU322" s="17" t="n">
        <v>0</v>
      </c>
      <c r="AV322" s="0" t="n">
        <v>0</v>
      </c>
      <c r="AW322" s="0" t="n">
        <v>2.45</v>
      </c>
      <c r="AX322" s="0" t="n">
        <v>6.94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12.16</v>
      </c>
      <c r="BF322" s="0" t="n">
        <v>24.45</v>
      </c>
      <c r="BG322" s="0" t="n">
        <v>4.8</v>
      </c>
      <c r="BH322" s="0" t="n">
        <v>5.11</v>
      </c>
      <c r="BI322" s="0" t="n">
        <v>0</v>
      </c>
      <c r="BJ322" s="0" t="n">
        <v>0</v>
      </c>
      <c r="BK322" s="0" t="n">
        <v>0</v>
      </c>
      <c r="BL322" s="0" t="n">
        <v>2.9</v>
      </c>
      <c r="BM322" s="0" t="n">
        <v>1</v>
      </c>
      <c r="BN322" s="0" t="n">
        <v>1</v>
      </c>
      <c r="BO322" s="16" t="n">
        <v>0</v>
      </c>
      <c r="BP322" s="16" t="n">
        <v>0</v>
      </c>
      <c r="BQ322" s="16" t="n">
        <v>0.67</v>
      </c>
      <c r="BR322" s="16" t="n">
        <v>0.65</v>
      </c>
      <c r="BS322" s="16" t="n">
        <v>0</v>
      </c>
      <c r="BT322" s="16" t="n">
        <v>0</v>
      </c>
      <c r="BU322" s="16" t="n">
        <v>0</v>
      </c>
      <c r="BV322" s="0" t="n">
        <v>0</v>
      </c>
    </row>
    <row r="323" customFormat="false" ht="13.8" hidden="false" customHeight="false" outlineLevel="0" collapsed="false">
      <c r="A323" s="24" t="n">
        <v>2</v>
      </c>
      <c r="B323" s="0" t="n">
        <v>39.4852840520192</v>
      </c>
      <c r="C323" s="0" t="n">
        <v>6.05612594113621</v>
      </c>
      <c r="D323" s="0" t="n">
        <v>8</v>
      </c>
      <c r="E323" s="0" t="n">
        <v>75</v>
      </c>
      <c r="F323" s="0" t="n">
        <v>1.97</v>
      </c>
      <c r="G323" s="0" t="n">
        <v>19.3254142080445</v>
      </c>
      <c r="H323" s="0" t="n">
        <v>0</v>
      </c>
      <c r="I323" s="0" t="n">
        <v>0</v>
      </c>
      <c r="J323" s="26" t="n">
        <v>1</v>
      </c>
      <c r="K323" s="26" t="n">
        <v>1</v>
      </c>
      <c r="L323" s="26" t="n">
        <v>1</v>
      </c>
      <c r="M323" s="19" t="n">
        <v>0</v>
      </c>
      <c r="N323" s="26" t="n">
        <v>0</v>
      </c>
      <c r="O323" s="19" t="n">
        <v>0</v>
      </c>
      <c r="P323" s="19" t="n">
        <v>0</v>
      </c>
      <c r="Q323" s="26" t="n">
        <v>0</v>
      </c>
      <c r="R323" s="26" t="n">
        <v>0</v>
      </c>
      <c r="S323" s="26" t="n">
        <v>0</v>
      </c>
      <c r="T323" s="26"/>
      <c r="U323" s="15" t="n">
        <f aca="false">AVERAGE(M323:T323)</f>
        <v>0</v>
      </c>
      <c r="V323" s="26" t="n">
        <v>3</v>
      </c>
      <c r="W323" s="26" t="n">
        <v>2</v>
      </c>
      <c r="X323" s="26" t="n">
        <v>3</v>
      </c>
      <c r="Y323" s="26" t="n">
        <v>5</v>
      </c>
      <c r="Z323" s="26" t="n">
        <v>1</v>
      </c>
      <c r="AA323" s="26" t="n">
        <v>4</v>
      </c>
      <c r="AB323" s="26" t="n">
        <v>3</v>
      </c>
      <c r="AC323" s="26" t="n">
        <v>4</v>
      </c>
      <c r="AD323" s="26" t="n">
        <v>4</v>
      </c>
      <c r="AE323" s="26" t="n">
        <v>3</v>
      </c>
      <c r="AF323" s="26" t="n">
        <v>3</v>
      </c>
      <c r="AG323" s="26" t="n">
        <v>5</v>
      </c>
      <c r="AH323" s="26" t="n">
        <v>3</v>
      </c>
      <c r="AI323" s="26" t="n">
        <v>4</v>
      </c>
      <c r="AJ323" s="26" t="n">
        <v>4</v>
      </c>
      <c r="AK323" s="26" t="n">
        <v>5</v>
      </c>
      <c r="AL323" s="26" t="n">
        <v>5</v>
      </c>
      <c r="AM323" s="26" t="n">
        <v>5</v>
      </c>
      <c r="AN323" s="26" t="n">
        <v>5</v>
      </c>
      <c r="AO323" s="26" t="n">
        <v>10</v>
      </c>
      <c r="AP323" s="24" t="n">
        <v>77.5</v>
      </c>
      <c r="AQ323" s="27" t="n">
        <v>87.4</v>
      </c>
      <c r="AR323" s="27" t="n">
        <v>80.4</v>
      </c>
      <c r="AS323" s="27" t="n">
        <v>53.5</v>
      </c>
      <c r="AT323" s="24" t="n">
        <v>51.28</v>
      </c>
      <c r="AU323" s="29" t="n">
        <v>0</v>
      </c>
      <c r="AV323" s="24" t="n">
        <v>27.27</v>
      </c>
      <c r="AW323" s="24" t="n">
        <v>21.22</v>
      </c>
      <c r="AX323" s="24" t="n">
        <v>0</v>
      </c>
      <c r="AY323" s="24" t="n">
        <v>0</v>
      </c>
      <c r="AZ323" s="24" t="n">
        <v>0</v>
      </c>
      <c r="BA323" s="24" t="n">
        <v>0</v>
      </c>
      <c r="BB323" s="24" t="n">
        <v>0</v>
      </c>
      <c r="BC323" s="24" t="n">
        <v>0</v>
      </c>
      <c r="BD323" s="24" t="n">
        <v>0</v>
      </c>
      <c r="BE323" s="24" t="n">
        <v>0</v>
      </c>
      <c r="BF323" s="24" t="n">
        <v>5.93</v>
      </c>
      <c r="BG323" s="24" t="n">
        <v>4.61</v>
      </c>
      <c r="BH323" s="24" t="n">
        <v>5.38</v>
      </c>
      <c r="BI323" s="24" t="n">
        <v>0</v>
      </c>
      <c r="BJ323" s="24" t="n">
        <v>15.4</v>
      </c>
      <c r="BK323" s="24" t="n">
        <v>1</v>
      </c>
      <c r="BL323" s="24" t="n">
        <v>6.7</v>
      </c>
      <c r="BM323" s="24" t="n">
        <v>1</v>
      </c>
      <c r="BN323" s="24" t="n">
        <v>1</v>
      </c>
      <c r="BO323" s="27" t="n">
        <v>0</v>
      </c>
      <c r="BP323" s="27" t="n">
        <v>0</v>
      </c>
      <c r="BQ323" s="27" t="n">
        <v>0</v>
      </c>
      <c r="BR323" s="27" t="n">
        <v>0</v>
      </c>
      <c r="BS323" s="27" t="n">
        <v>0</v>
      </c>
      <c r="BT323" s="27" t="n">
        <v>0</v>
      </c>
      <c r="BU323" s="27" t="n">
        <v>0</v>
      </c>
      <c r="BV323" s="24" t="n">
        <v>0</v>
      </c>
    </row>
    <row r="324" customFormat="false" ht="13.8" hidden="false" customHeight="false" outlineLevel="0" collapsed="false">
      <c r="A324" s="24" t="n">
        <v>2</v>
      </c>
      <c r="B324" s="0" t="n">
        <v>23.006160164271</v>
      </c>
      <c r="C324" s="0" t="n">
        <v>0.32580424366872</v>
      </c>
      <c r="D324" s="0" t="n">
        <v>8</v>
      </c>
      <c r="E324" s="0" t="n">
        <v>52</v>
      </c>
      <c r="F324" s="0" t="n">
        <v>1.68</v>
      </c>
      <c r="G324" s="0" t="n">
        <v>18.4240362811791</v>
      </c>
      <c r="H324" s="0" t="n">
        <v>0</v>
      </c>
      <c r="I324" s="0" t="n">
        <v>0</v>
      </c>
      <c r="J324" s="26" t="n">
        <v>0</v>
      </c>
      <c r="K324" s="26" t="n">
        <v>0</v>
      </c>
      <c r="L324" s="26" t="n">
        <v>1</v>
      </c>
      <c r="M324" s="19" t="n">
        <v>0</v>
      </c>
      <c r="N324" s="26" t="n">
        <v>0</v>
      </c>
      <c r="O324" s="19" t="n">
        <v>0</v>
      </c>
      <c r="P324" s="19" t="n">
        <v>0</v>
      </c>
      <c r="Q324" s="26" t="n">
        <v>0</v>
      </c>
      <c r="R324" s="26" t="n">
        <v>0</v>
      </c>
      <c r="S324" s="26" t="n">
        <v>0</v>
      </c>
      <c r="T324" s="26" t="n">
        <v>0</v>
      </c>
      <c r="U324" s="15" t="n">
        <f aca="false">AVERAGE(M324:T324)</f>
        <v>0</v>
      </c>
      <c r="V324" s="26" t="n">
        <v>1</v>
      </c>
      <c r="W324" s="26" t="n">
        <v>1</v>
      </c>
      <c r="X324" s="26" t="n">
        <v>3</v>
      </c>
      <c r="Y324" s="26" t="n">
        <v>4</v>
      </c>
      <c r="Z324" s="26" t="n">
        <v>1</v>
      </c>
      <c r="AA324" s="26" t="n">
        <v>5</v>
      </c>
      <c r="AB324" s="26" t="n">
        <v>5</v>
      </c>
      <c r="AC324" s="26" t="n">
        <v>5</v>
      </c>
      <c r="AD324" s="26" t="n">
        <v>5</v>
      </c>
      <c r="AE324" s="26" t="n">
        <v>5</v>
      </c>
      <c r="AF324" s="26" t="n">
        <v>5</v>
      </c>
      <c r="AG324" s="26" t="n">
        <v>5</v>
      </c>
      <c r="AH324" s="26" t="n">
        <v>3</v>
      </c>
      <c r="AI324" s="26" t="n">
        <v>3</v>
      </c>
      <c r="AJ324" s="26" t="n">
        <v>2</v>
      </c>
      <c r="AK324" s="26" t="n">
        <v>4</v>
      </c>
      <c r="AL324" s="26" t="n">
        <v>5</v>
      </c>
      <c r="AM324" s="26" t="n">
        <v>5</v>
      </c>
      <c r="AN324" s="26" t="n">
        <v>5</v>
      </c>
      <c r="AO324" s="26" t="n">
        <v>10</v>
      </c>
      <c r="AP324" s="24" t="n">
        <v>61.5</v>
      </c>
      <c r="AQ324" s="27" t="n">
        <v>83.5</v>
      </c>
      <c r="AR324" s="27" t="n">
        <v>80.4</v>
      </c>
      <c r="AS324" s="27" t="n">
        <v>56.1</v>
      </c>
      <c r="AT324" s="24" t="n">
        <v>51.73</v>
      </c>
      <c r="AU324" s="29" t="n">
        <v>0</v>
      </c>
      <c r="AV324" s="24" t="n">
        <v>30.08</v>
      </c>
      <c r="AW324" s="24" t="n">
        <v>18.19</v>
      </c>
      <c r="AX324" s="24" t="n">
        <v>0</v>
      </c>
      <c r="AY324" s="24" t="n">
        <v>0</v>
      </c>
      <c r="AZ324" s="24" t="n">
        <v>0</v>
      </c>
      <c r="BA324" s="24" t="n">
        <v>0</v>
      </c>
      <c r="BB324" s="24" t="n">
        <v>0</v>
      </c>
      <c r="BC324" s="24" t="n">
        <v>0</v>
      </c>
      <c r="BD324" s="24" t="n">
        <v>0</v>
      </c>
      <c r="BE324" s="24" t="n">
        <v>0</v>
      </c>
      <c r="BF324" s="24" t="n">
        <v>0.3</v>
      </c>
      <c r="BG324" s="24" t="n">
        <v>27.59</v>
      </c>
      <c r="BH324" s="24" t="n">
        <v>0</v>
      </c>
      <c r="BI324" s="24" t="n">
        <v>0</v>
      </c>
      <c r="BJ324" s="24" t="n">
        <v>0</v>
      </c>
      <c r="BK324" s="24" t="n">
        <v>0</v>
      </c>
      <c r="BL324" s="24" t="n">
        <v>0</v>
      </c>
      <c r="BM324" s="24" t="n">
        <v>0</v>
      </c>
      <c r="BN324" s="24" t="n">
        <v>0</v>
      </c>
      <c r="BO324" s="27" t="n">
        <v>1.96</v>
      </c>
      <c r="BP324" s="27" t="n">
        <v>1</v>
      </c>
      <c r="BQ324" s="27" t="n">
        <v>0.94</v>
      </c>
      <c r="BR324" s="27" t="n">
        <v>0.94</v>
      </c>
      <c r="BS324" s="27" t="n">
        <v>0</v>
      </c>
      <c r="BT324" s="27" t="n">
        <v>0</v>
      </c>
      <c r="BU324" s="27" t="n">
        <v>0</v>
      </c>
      <c r="BV324" s="24" t="n">
        <v>0</v>
      </c>
    </row>
    <row r="325" customFormat="false" ht="13.8" hidden="false" customHeight="false" outlineLevel="0" collapsed="false">
      <c r="A325" s="24" t="n">
        <v>2</v>
      </c>
      <c r="B325" s="0" t="n">
        <v>34.7214236824093</v>
      </c>
      <c r="C325" s="0" t="n">
        <v>0.276522929500342</v>
      </c>
      <c r="D325" s="0" t="n">
        <v>8</v>
      </c>
      <c r="E325" s="0" t="n">
        <v>84</v>
      </c>
      <c r="F325" s="0" t="n">
        <v>1.81</v>
      </c>
      <c r="G325" s="0" t="n">
        <v>25.6402429718263</v>
      </c>
      <c r="H325" s="0" t="n">
        <v>0</v>
      </c>
      <c r="I325" s="0" t="n">
        <v>0</v>
      </c>
      <c r="J325" s="26" t="n">
        <v>0</v>
      </c>
      <c r="K325" s="26" t="n">
        <v>0</v>
      </c>
      <c r="L325" s="26" t="n">
        <v>0</v>
      </c>
      <c r="M325" s="19" t="n">
        <v>0</v>
      </c>
      <c r="N325" s="26"/>
      <c r="O325" s="19" t="n">
        <v>0</v>
      </c>
      <c r="P325" s="19" t="n">
        <v>0</v>
      </c>
      <c r="Q325" s="26" t="n">
        <v>0</v>
      </c>
      <c r="R325" s="26" t="n">
        <v>0</v>
      </c>
      <c r="S325" s="26" t="n">
        <v>0</v>
      </c>
      <c r="T325" s="26" t="n">
        <v>0</v>
      </c>
      <c r="U325" s="15" t="n">
        <f aca="false">AVERAGE(M325:T325)</f>
        <v>0</v>
      </c>
      <c r="V325" s="26" t="n">
        <v>1</v>
      </c>
      <c r="W325" s="26" t="n">
        <v>2</v>
      </c>
      <c r="X325" s="26" t="n">
        <v>2</v>
      </c>
      <c r="Y325" s="26" t="n">
        <v>4</v>
      </c>
      <c r="Z325" s="26" t="n">
        <v>2</v>
      </c>
      <c r="AA325" s="26" t="n">
        <v>1</v>
      </c>
      <c r="AB325" s="26" t="n">
        <v>1</v>
      </c>
      <c r="AC325" s="26" t="n">
        <v>4</v>
      </c>
      <c r="AD325" s="26" t="n">
        <v>5</v>
      </c>
      <c r="AE325" s="26" t="n">
        <v>5</v>
      </c>
      <c r="AF325" s="26" t="n">
        <v>5</v>
      </c>
      <c r="AG325" s="26" t="n">
        <v>5</v>
      </c>
      <c r="AH325" s="26" t="n">
        <v>2</v>
      </c>
      <c r="AI325" s="26" t="n">
        <v>4</v>
      </c>
      <c r="AJ325" s="26" t="n">
        <v>4</v>
      </c>
      <c r="AK325" s="26" t="n">
        <v>4</v>
      </c>
      <c r="AL325" s="26" t="n">
        <v>4</v>
      </c>
      <c r="AM325" s="26" t="n">
        <v>4</v>
      </c>
      <c r="AN325" s="26" t="n">
        <v>4</v>
      </c>
      <c r="AO325" s="26" t="n">
        <v>8</v>
      </c>
      <c r="AP325" s="24" t="n">
        <v>70</v>
      </c>
      <c r="AQ325" s="27" t="n">
        <v>79.8</v>
      </c>
      <c r="AR325" s="27" t="n">
        <v>80.4</v>
      </c>
      <c r="AS325" s="27" t="n">
        <v>62.1</v>
      </c>
      <c r="AT325" s="24" t="n">
        <v>39.51</v>
      </c>
      <c r="AU325" s="29" t="n">
        <v>0</v>
      </c>
      <c r="AV325" s="24" t="n">
        <v>47.45</v>
      </c>
      <c r="AW325" s="24" t="n">
        <v>13.05</v>
      </c>
      <c r="AX325" s="24" t="n">
        <v>0</v>
      </c>
      <c r="AY325" s="24" t="n">
        <v>0</v>
      </c>
      <c r="AZ325" s="24" t="n">
        <v>0</v>
      </c>
      <c r="BA325" s="24" t="n">
        <v>0</v>
      </c>
      <c r="BB325" s="24" t="n">
        <v>0</v>
      </c>
      <c r="BC325" s="24" t="n">
        <v>0</v>
      </c>
      <c r="BD325" s="24" t="n">
        <v>0</v>
      </c>
      <c r="BE325" s="24" t="n">
        <v>0</v>
      </c>
      <c r="BF325" s="24" t="n">
        <v>0</v>
      </c>
      <c r="BG325" s="24" t="n">
        <v>30.76</v>
      </c>
      <c r="BH325" s="24" t="n">
        <v>14.19</v>
      </c>
      <c r="BI325" s="24" t="n">
        <v>0</v>
      </c>
      <c r="BJ325" s="24" t="n">
        <v>0</v>
      </c>
      <c r="BK325" s="24" t="n">
        <v>0</v>
      </c>
      <c r="BL325" s="24" t="n">
        <v>0.3</v>
      </c>
      <c r="BM325" s="24" t="n">
        <v>1</v>
      </c>
      <c r="BN325" s="24" t="n">
        <v>0</v>
      </c>
      <c r="BO325" s="27" t="n">
        <v>0.63</v>
      </c>
      <c r="BP325" s="27" t="n">
        <v>1</v>
      </c>
      <c r="BQ325" s="27" t="n">
        <v>3.55</v>
      </c>
      <c r="BR325" s="27" t="n">
        <v>4.46</v>
      </c>
      <c r="BS325" s="27" t="n">
        <v>0</v>
      </c>
      <c r="BT325" s="27" t="n">
        <v>0</v>
      </c>
      <c r="BU325" s="27" t="n">
        <v>0</v>
      </c>
      <c r="BV325" s="24" t="n">
        <v>0</v>
      </c>
    </row>
    <row r="326" customFormat="false" ht="13.8" hidden="false" customHeight="false" outlineLevel="0" collapsed="false">
      <c r="A326" s="24" t="n">
        <v>2</v>
      </c>
      <c r="B326" s="0" t="n">
        <v>31.2251882272416</v>
      </c>
      <c r="C326" s="0" t="n">
        <v>6.54893908281999</v>
      </c>
      <c r="D326" s="0" t="n">
        <v>8</v>
      </c>
      <c r="E326" s="0" t="n">
        <v>68</v>
      </c>
      <c r="F326" s="0" t="n">
        <v>1.77</v>
      </c>
      <c r="G326" s="0" t="n">
        <v>21.7051294327939</v>
      </c>
      <c r="H326" s="0" t="n">
        <v>0</v>
      </c>
      <c r="I326" s="0" t="n">
        <v>0</v>
      </c>
      <c r="J326" s="26" t="n">
        <v>0</v>
      </c>
      <c r="K326" s="26" t="n">
        <v>2</v>
      </c>
      <c r="L326" s="26" t="n">
        <v>0</v>
      </c>
      <c r="M326" s="19" t="n">
        <v>0</v>
      </c>
      <c r="N326" s="26" t="n">
        <v>4</v>
      </c>
      <c r="O326" s="19" t="n">
        <v>0</v>
      </c>
      <c r="P326" s="19" t="n">
        <v>0</v>
      </c>
      <c r="Q326" s="26" t="n">
        <v>2</v>
      </c>
      <c r="R326" s="26" t="n">
        <v>2</v>
      </c>
      <c r="S326" s="26" t="n">
        <v>0</v>
      </c>
      <c r="T326" s="26" t="n">
        <v>0</v>
      </c>
      <c r="U326" s="15" t="n">
        <f aca="false">AVERAGE(M326:T326)</f>
        <v>1</v>
      </c>
      <c r="V326" s="26" t="n">
        <v>4</v>
      </c>
      <c r="W326" s="26" t="n">
        <v>2</v>
      </c>
      <c r="X326" s="26" t="n">
        <v>3</v>
      </c>
      <c r="Y326" s="26" t="n">
        <v>3</v>
      </c>
      <c r="Z326" s="26" t="n">
        <v>2</v>
      </c>
      <c r="AA326" s="26" t="n">
        <v>1</v>
      </c>
      <c r="AB326" s="26" t="n">
        <v>3</v>
      </c>
      <c r="AC326" s="26" t="n">
        <v>2</v>
      </c>
      <c r="AD326" s="26" t="n">
        <v>1</v>
      </c>
      <c r="AE326" s="26" t="n">
        <v>2</v>
      </c>
      <c r="AF326" s="26" t="n">
        <v>2</v>
      </c>
      <c r="AG326" s="26" t="n">
        <v>3</v>
      </c>
      <c r="AH326" s="26" t="n">
        <v>1</v>
      </c>
      <c r="AI326" s="26" t="n">
        <v>2</v>
      </c>
      <c r="AJ326" s="26" t="n">
        <v>3</v>
      </c>
      <c r="AK326" s="26" t="n">
        <v>2</v>
      </c>
      <c r="AL326" s="26" t="n">
        <v>3</v>
      </c>
      <c r="AM326" s="26" t="n">
        <v>3</v>
      </c>
      <c r="AN326" s="26" t="n">
        <v>3</v>
      </c>
      <c r="AO326" s="26" t="n">
        <v>8</v>
      </c>
      <c r="AP326" s="24" t="n">
        <v>70</v>
      </c>
      <c r="AQ326" s="27" t="n">
        <v>79.8</v>
      </c>
      <c r="AR326" s="27" t="n">
        <v>80.4</v>
      </c>
      <c r="AS326" s="27" t="n">
        <v>62.1</v>
      </c>
      <c r="AT326" s="24" t="n">
        <v>39.51</v>
      </c>
      <c r="AU326" s="29" t="n">
        <v>0</v>
      </c>
      <c r="AV326" s="24" t="n">
        <v>47.45</v>
      </c>
      <c r="AW326" s="24" t="n">
        <v>13.05</v>
      </c>
      <c r="AX326" s="24" t="n">
        <v>0</v>
      </c>
      <c r="AY326" s="24" t="n">
        <v>0</v>
      </c>
      <c r="AZ326" s="24" t="n">
        <v>0</v>
      </c>
      <c r="BA326" s="24" t="n">
        <v>0</v>
      </c>
      <c r="BB326" s="24" t="n">
        <v>0</v>
      </c>
      <c r="BC326" s="24" t="n">
        <v>0</v>
      </c>
      <c r="BD326" s="24" t="n">
        <v>0</v>
      </c>
      <c r="BE326" s="24" t="n">
        <v>0</v>
      </c>
      <c r="BF326" s="24" t="n">
        <v>0</v>
      </c>
      <c r="BG326" s="24" t="n">
        <v>30.76</v>
      </c>
      <c r="BH326" s="24" t="n">
        <v>14.19</v>
      </c>
      <c r="BI326" s="24" t="n">
        <v>0</v>
      </c>
      <c r="BJ326" s="24" t="n">
        <v>0</v>
      </c>
      <c r="BK326" s="24" t="n">
        <v>0</v>
      </c>
      <c r="BL326" s="24" t="n">
        <v>0.3</v>
      </c>
      <c r="BM326" s="24" t="n">
        <v>1</v>
      </c>
      <c r="BN326" s="24" t="n">
        <v>0</v>
      </c>
      <c r="BO326" s="27" t="n">
        <v>0.63</v>
      </c>
      <c r="BP326" s="27" t="n">
        <v>1</v>
      </c>
      <c r="BQ326" s="27" t="n">
        <v>3.55</v>
      </c>
      <c r="BR326" s="27" t="n">
        <v>4.46</v>
      </c>
      <c r="BS326" s="27" t="n">
        <v>0</v>
      </c>
      <c r="BT326" s="27" t="n">
        <v>0</v>
      </c>
      <c r="BU326" s="27" t="n">
        <v>0</v>
      </c>
      <c r="BV326" s="24" t="n">
        <v>0</v>
      </c>
    </row>
    <row r="327" customFormat="false" ht="13.8" hidden="false" customHeight="false" outlineLevel="0" collapsed="false">
      <c r="A327" s="24" t="n">
        <v>1</v>
      </c>
      <c r="B327" s="0" t="n">
        <v>-0.199863107460643</v>
      </c>
      <c r="C327" s="0" t="n">
        <v>0.284736481861739</v>
      </c>
      <c r="D327" s="0" t="n">
        <v>8</v>
      </c>
      <c r="E327" s="0" t="n">
        <v>63</v>
      </c>
      <c r="F327" s="0" t="n">
        <v>1.67</v>
      </c>
      <c r="G327" s="0" t="n">
        <v>22.5895514360501</v>
      </c>
      <c r="H327" s="0" t="n">
        <v>0</v>
      </c>
      <c r="I327" s="0" t="n">
        <v>0</v>
      </c>
      <c r="J327" s="26" t="n">
        <v>0</v>
      </c>
      <c r="K327" s="26" t="n">
        <v>0</v>
      </c>
      <c r="L327" s="26" t="n">
        <v>0</v>
      </c>
      <c r="M327" s="19" t="n">
        <v>0</v>
      </c>
      <c r="N327" s="26" t="n">
        <v>0</v>
      </c>
      <c r="O327" s="19" t="n">
        <v>0</v>
      </c>
      <c r="P327" s="19" t="n">
        <v>0</v>
      </c>
      <c r="Q327" s="26" t="n">
        <v>0</v>
      </c>
      <c r="R327" s="26" t="n">
        <v>0</v>
      </c>
      <c r="S327" s="26" t="n">
        <v>0</v>
      </c>
      <c r="T327" s="26" t="n">
        <v>0</v>
      </c>
      <c r="U327" s="15" t="n">
        <f aca="false">AVERAGE(M327:T327)</f>
        <v>0</v>
      </c>
      <c r="V327" s="26" t="n">
        <v>2</v>
      </c>
      <c r="W327" s="26" t="n">
        <v>1</v>
      </c>
      <c r="X327" s="26" t="n">
        <v>2</v>
      </c>
      <c r="Y327" s="26" t="n">
        <v>4</v>
      </c>
      <c r="Z327" s="26" t="n">
        <v>2</v>
      </c>
      <c r="AA327" s="26" t="n">
        <v>2</v>
      </c>
      <c r="AB327" s="26" t="n">
        <v>3</v>
      </c>
      <c r="AC327" s="26" t="n">
        <v>3</v>
      </c>
      <c r="AD327" s="26" t="n">
        <v>4</v>
      </c>
      <c r="AE327" s="26" t="n">
        <v>5</v>
      </c>
      <c r="AF327" s="26" t="n">
        <v>4</v>
      </c>
      <c r="AG327" s="26" t="n">
        <v>4</v>
      </c>
      <c r="AH327" s="26" t="n">
        <v>5</v>
      </c>
      <c r="AI327" s="26" t="n">
        <v>2</v>
      </c>
      <c r="AJ327" s="26" t="n">
        <v>5</v>
      </c>
      <c r="AK327" s="26" t="n">
        <v>4</v>
      </c>
      <c r="AL327" s="26" t="n">
        <v>4</v>
      </c>
      <c r="AM327" s="26" t="n">
        <v>4</v>
      </c>
      <c r="AN327" s="26" t="n">
        <v>4</v>
      </c>
      <c r="AO327" s="26" t="n">
        <v>9</v>
      </c>
      <c r="AP327" s="24" t="n">
        <v>70</v>
      </c>
      <c r="AQ327" s="27" t="n">
        <v>79.8</v>
      </c>
      <c r="AR327" s="27" t="n">
        <v>80.4</v>
      </c>
      <c r="AS327" s="27" t="n">
        <v>62.1</v>
      </c>
      <c r="AT327" s="24" t="n">
        <v>39.51</v>
      </c>
      <c r="AU327" s="29" t="n">
        <v>0</v>
      </c>
      <c r="AV327" s="24" t="n">
        <v>47.45</v>
      </c>
      <c r="AW327" s="24" t="n">
        <v>13.05</v>
      </c>
      <c r="AX327" s="24" t="n">
        <v>0</v>
      </c>
      <c r="AY327" s="24" t="n">
        <v>0</v>
      </c>
      <c r="AZ327" s="24" t="n">
        <v>0</v>
      </c>
      <c r="BA327" s="24" t="n">
        <v>0</v>
      </c>
      <c r="BB327" s="24" t="n">
        <v>0</v>
      </c>
      <c r="BC327" s="24" t="n">
        <v>0</v>
      </c>
      <c r="BD327" s="24" t="n">
        <v>0</v>
      </c>
      <c r="BE327" s="24" t="n">
        <v>0</v>
      </c>
      <c r="BF327" s="24" t="n">
        <v>0</v>
      </c>
      <c r="BG327" s="24" t="n">
        <v>30.76</v>
      </c>
      <c r="BH327" s="24" t="n">
        <v>14.19</v>
      </c>
      <c r="BI327" s="24" t="n">
        <v>0</v>
      </c>
      <c r="BJ327" s="24" t="n">
        <v>0</v>
      </c>
      <c r="BK327" s="24" t="n">
        <v>0</v>
      </c>
      <c r="BL327" s="24" t="n">
        <v>0.3</v>
      </c>
      <c r="BM327" s="24" t="n">
        <v>1</v>
      </c>
      <c r="BN327" s="24" t="n">
        <v>0</v>
      </c>
      <c r="BO327" s="27" t="n">
        <v>0.63</v>
      </c>
      <c r="BP327" s="27" t="n">
        <v>1</v>
      </c>
      <c r="BQ327" s="27" t="n">
        <v>3.55</v>
      </c>
      <c r="BR327" s="27" t="n">
        <v>4.46</v>
      </c>
      <c r="BS327" s="27" t="n">
        <v>0</v>
      </c>
      <c r="BT327" s="27" t="n">
        <v>0</v>
      </c>
      <c r="BU327" s="27" t="n">
        <v>0</v>
      </c>
      <c r="BV327" s="24" t="n">
        <v>0</v>
      </c>
    </row>
    <row r="328" customFormat="false" ht="13.8" hidden="false" customHeight="false" outlineLevel="0" collapsed="false">
      <c r="A328" s="24" t="n">
        <v>2</v>
      </c>
      <c r="B328" s="0" t="n">
        <v>21.9876796714579</v>
      </c>
      <c r="C328" s="0" t="n">
        <v>0.249144421629021</v>
      </c>
      <c r="D328" s="0" t="n">
        <v>8</v>
      </c>
      <c r="E328" s="0" t="n">
        <v>65</v>
      </c>
      <c r="F328" s="0" t="n">
        <v>1.72</v>
      </c>
      <c r="G328" s="0" t="n">
        <v>21.9713358572201</v>
      </c>
      <c r="H328" s="0" t="n">
        <v>0</v>
      </c>
      <c r="I328" s="0" t="n">
        <v>0</v>
      </c>
      <c r="J328" s="26" t="n">
        <v>0</v>
      </c>
      <c r="K328" s="26" t="n">
        <v>2</v>
      </c>
      <c r="L328" s="26" t="n">
        <v>1</v>
      </c>
      <c r="M328" s="19" t="n">
        <v>0</v>
      </c>
      <c r="N328" s="26" t="n">
        <v>0</v>
      </c>
      <c r="O328" s="19" t="n">
        <v>0</v>
      </c>
      <c r="P328" s="19" t="n">
        <v>0</v>
      </c>
      <c r="Q328" s="26" t="n">
        <v>0</v>
      </c>
      <c r="R328" s="26" t="n">
        <v>0</v>
      </c>
      <c r="S328" s="26" t="n">
        <v>0</v>
      </c>
      <c r="T328" s="26" t="n">
        <v>0</v>
      </c>
      <c r="U328" s="15" t="n">
        <f aca="false">AVERAGE(M328:T328)</f>
        <v>0</v>
      </c>
      <c r="V328" s="26" t="n">
        <v>2</v>
      </c>
      <c r="W328" s="26" t="n">
        <v>1</v>
      </c>
      <c r="X328" s="26" t="n">
        <v>2</v>
      </c>
      <c r="Y328" s="26" t="n">
        <v>3</v>
      </c>
      <c r="Z328" s="26" t="n">
        <v>2</v>
      </c>
      <c r="AA328" s="26" t="n">
        <v>2</v>
      </c>
      <c r="AB328" s="26" t="n">
        <v>3</v>
      </c>
      <c r="AC328" s="26" t="n">
        <v>3</v>
      </c>
      <c r="AD328" s="26" t="n">
        <v>4</v>
      </c>
      <c r="AE328" s="26" t="n">
        <v>4</v>
      </c>
      <c r="AF328" s="26" t="n">
        <v>4</v>
      </c>
      <c r="AG328" s="26" t="n">
        <v>4</v>
      </c>
      <c r="AH328" s="26" t="n">
        <v>3</v>
      </c>
      <c r="AI328" s="26" t="n">
        <v>4</v>
      </c>
      <c r="AJ328" s="26" t="n">
        <v>3</v>
      </c>
      <c r="AK328" s="26" t="n">
        <v>4</v>
      </c>
      <c r="AL328" s="26" t="n">
        <v>3</v>
      </c>
      <c r="AM328" s="26" t="n">
        <v>4</v>
      </c>
      <c r="AN328" s="26" t="n">
        <v>4</v>
      </c>
      <c r="AO328" s="26" t="n">
        <v>8</v>
      </c>
      <c r="AP328" s="24" t="n">
        <v>70</v>
      </c>
      <c r="AQ328" s="27" t="n">
        <v>79.8</v>
      </c>
      <c r="AR328" s="27" t="n">
        <v>80.4</v>
      </c>
      <c r="AS328" s="27" t="n">
        <v>62.1</v>
      </c>
      <c r="AT328" s="24" t="n">
        <v>39.51</v>
      </c>
      <c r="AU328" s="29" t="n">
        <v>0</v>
      </c>
      <c r="AV328" s="24" t="n">
        <v>47.45</v>
      </c>
      <c r="AW328" s="24" t="n">
        <v>13.05</v>
      </c>
      <c r="AX328" s="24" t="n">
        <v>0</v>
      </c>
      <c r="AY328" s="24" t="n">
        <v>0</v>
      </c>
      <c r="AZ328" s="24" t="n">
        <v>0</v>
      </c>
      <c r="BA328" s="24" t="n">
        <v>0</v>
      </c>
      <c r="BB328" s="24" t="n">
        <v>0</v>
      </c>
      <c r="BC328" s="24" t="n">
        <v>0</v>
      </c>
      <c r="BD328" s="24" t="n">
        <v>0</v>
      </c>
      <c r="BE328" s="24" t="n">
        <v>0</v>
      </c>
      <c r="BF328" s="24" t="n">
        <v>0</v>
      </c>
      <c r="BG328" s="24" t="n">
        <v>30.76</v>
      </c>
      <c r="BH328" s="24" t="n">
        <v>14.19</v>
      </c>
      <c r="BI328" s="24" t="n">
        <v>0</v>
      </c>
      <c r="BJ328" s="24" t="n">
        <v>0</v>
      </c>
      <c r="BK328" s="24" t="n">
        <v>0</v>
      </c>
      <c r="BL328" s="24" t="n">
        <v>0.3</v>
      </c>
      <c r="BM328" s="24" t="n">
        <v>1</v>
      </c>
      <c r="BN328" s="24" t="n">
        <v>0</v>
      </c>
      <c r="BO328" s="27" t="n">
        <v>0.63</v>
      </c>
      <c r="BP328" s="27" t="n">
        <v>1</v>
      </c>
      <c r="BQ328" s="27" t="n">
        <v>3.55</v>
      </c>
      <c r="BR328" s="27" t="n">
        <v>4.46</v>
      </c>
      <c r="BS328" s="27" t="n">
        <v>0</v>
      </c>
      <c r="BT328" s="27" t="n">
        <v>0</v>
      </c>
      <c r="BU328" s="27" t="n">
        <v>0</v>
      </c>
      <c r="BV328" s="24" t="n">
        <v>0</v>
      </c>
    </row>
    <row r="329" customFormat="false" ht="13.8" hidden="false" customHeight="false" outlineLevel="0" collapsed="false">
      <c r="A329" s="0" t="n">
        <v>2</v>
      </c>
      <c r="B329" s="0" t="n">
        <v>31.9315537303217</v>
      </c>
      <c r="C329" s="0" t="n">
        <v>10.1738535249829</v>
      </c>
      <c r="D329" s="0" t="s">
        <v>913</v>
      </c>
      <c r="E329" s="0" t="n">
        <v>67</v>
      </c>
      <c r="F329" s="0" t="n">
        <v>1.73</v>
      </c>
      <c r="G329" s="0" t="n">
        <v>22.3863142771225</v>
      </c>
      <c r="H329" s="0" t="n">
        <v>0</v>
      </c>
      <c r="I329" s="0" t="n">
        <v>0</v>
      </c>
      <c r="J329" s="19" t="n">
        <v>0</v>
      </c>
      <c r="K329" s="19" t="n">
        <v>1</v>
      </c>
      <c r="L329" s="19" t="n">
        <v>0</v>
      </c>
      <c r="M329" s="19" t="n">
        <v>0</v>
      </c>
      <c r="N329" s="19" t="n">
        <v>3</v>
      </c>
      <c r="O329" s="19" t="n">
        <v>0</v>
      </c>
      <c r="P329" s="19" t="n">
        <v>0</v>
      </c>
      <c r="Q329" s="19" t="n">
        <v>5</v>
      </c>
      <c r="R329" s="19" t="n">
        <v>4</v>
      </c>
      <c r="S329" s="19" t="n">
        <v>0</v>
      </c>
      <c r="T329" s="19" t="n">
        <v>2</v>
      </c>
      <c r="U329" s="15" t="n">
        <f aca="false">AVERAGE(M329:T329)</f>
        <v>1.75</v>
      </c>
      <c r="V329" s="19" t="n">
        <v>4</v>
      </c>
      <c r="W329" s="19" t="n">
        <v>3</v>
      </c>
      <c r="X329" s="19" t="n">
        <v>5</v>
      </c>
      <c r="Y329" s="19" t="n">
        <v>5</v>
      </c>
      <c r="Z329" s="19" t="n">
        <v>2</v>
      </c>
      <c r="AA329" s="19" t="n">
        <v>5</v>
      </c>
      <c r="AB329" s="19" t="n">
        <v>1</v>
      </c>
      <c r="AC329" s="19" t="n">
        <v>2</v>
      </c>
      <c r="AD329" s="19" t="n">
        <v>1</v>
      </c>
      <c r="AE329" s="19" t="n">
        <v>1</v>
      </c>
      <c r="AF329" s="19" t="n">
        <v>3</v>
      </c>
      <c r="AG329" s="19" t="n">
        <v>3</v>
      </c>
      <c r="AH329" s="19" t="n">
        <v>3</v>
      </c>
      <c r="AI329" s="19" t="n">
        <v>3</v>
      </c>
      <c r="AJ329" s="19" t="n">
        <v>5</v>
      </c>
      <c r="AK329" s="19" t="n">
        <v>4</v>
      </c>
      <c r="AL329" s="19" t="n">
        <v>4</v>
      </c>
      <c r="AM329" s="19" t="n">
        <v>3</v>
      </c>
      <c r="AN329" s="19" t="n">
        <v>1</v>
      </c>
      <c r="AO329" s="19" t="n">
        <v>9</v>
      </c>
      <c r="AP329" s="0" t="n">
        <v>33</v>
      </c>
      <c r="AQ329" s="16" t="n">
        <v>71.2</v>
      </c>
      <c r="AR329" s="16" t="n">
        <v>80.4</v>
      </c>
      <c r="AS329" s="16" t="n">
        <v>16.3</v>
      </c>
      <c r="AT329" s="0" t="n">
        <v>83.24</v>
      </c>
      <c r="AU329" s="17" t="n">
        <v>0</v>
      </c>
      <c r="AV329" s="0" t="n">
        <v>0</v>
      </c>
      <c r="AW329" s="0" t="n">
        <v>0</v>
      </c>
      <c r="AX329" s="0" t="n">
        <v>14.14</v>
      </c>
      <c r="AY329" s="0" t="n">
        <v>0</v>
      </c>
      <c r="AZ329" s="0" t="n">
        <v>2.63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2.63</v>
      </c>
      <c r="BF329" s="0" t="n">
        <v>10.16</v>
      </c>
      <c r="BG329" s="0" t="n">
        <v>20.83</v>
      </c>
      <c r="BH329" s="0" t="n">
        <v>24.81</v>
      </c>
      <c r="BI329" s="0" t="n">
        <v>0</v>
      </c>
      <c r="BJ329" s="0" t="n">
        <v>11.2</v>
      </c>
      <c r="BK329" s="0" t="n">
        <v>1</v>
      </c>
      <c r="BL329" s="0" t="n">
        <v>0</v>
      </c>
      <c r="BM329" s="0" t="n">
        <v>0</v>
      </c>
      <c r="BN329" s="0" t="n">
        <v>0</v>
      </c>
      <c r="BO329" s="16" t="n">
        <v>2.71</v>
      </c>
      <c r="BP329" s="16" t="n">
        <v>1</v>
      </c>
      <c r="BQ329" s="16" t="n">
        <v>2.63</v>
      </c>
      <c r="BR329" s="16" t="n">
        <v>2.6</v>
      </c>
      <c r="BS329" s="16" t="n">
        <v>0</v>
      </c>
      <c r="BT329" s="16" t="n">
        <v>0</v>
      </c>
      <c r="BU329" s="16" t="n">
        <v>0</v>
      </c>
      <c r="BV329" s="0" t="n">
        <v>0</v>
      </c>
    </row>
    <row r="330" customFormat="false" ht="13.8" hidden="false" customHeight="false" outlineLevel="0" collapsed="false">
      <c r="A330" s="0" t="n">
        <v>2</v>
      </c>
      <c r="B330" s="0" t="n">
        <v>31.7672826830938</v>
      </c>
      <c r="C330" s="0" t="n">
        <v>6.17385352498289</v>
      </c>
      <c r="D330" s="0" t="s">
        <v>913</v>
      </c>
      <c r="E330" s="0" t="n">
        <v>92</v>
      </c>
      <c r="F330" s="0" t="n">
        <v>1.87</v>
      </c>
      <c r="G330" s="0" t="n">
        <v>26.3090165575224</v>
      </c>
      <c r="H330" s="0" t="n">
        <v>0</v>
      </c>
      <c r="I330" s="0" t="n">
        <v>0</v>
      </c>
      <c r="J330" s="19" t="n">
        <v>1</v>
      </c>
      <c r="K330" s="19" t="n">
        <v>0</v>
      </c>
      <c r="L330" s="19" t="n">
        <v>1</v>
      </c>
      <c r="M330" s="19" t="n">
        <v>0</v>
      </c>
      <c r="N330" s="19" t="n">
        <v>0</v>
      </c>
      <c r="O330" s="19" t="n">
        <v>0</v>
      </c>
      <c r="P330" s="19" t="n">
        <v>0</v>
      </c>
      <c r="Q330" s="19" t="n">
        <v>0</v>
      </c>
      <c r="R330" s="19" t="n">
        <v>0</v>
      </c>
      <c r="S330" s="19" t="n">
        <v>0</v>
      </c>
      <c r="T330" s="19" t="n">
        <v>0</v>
      </c>
      <c r="U330" s="15" t="n">
        <f aca="false">AVERAGE(M330:T330)</f>
        <v>0</v>
      </c>
      <c r="V330" s="19" t="n">
        <v>4</v>
      </c>
      <c r="W330" s="19" t="n">
        <v>1</v>
      </c>
      <c r="X330" s="19" t="n">
        <v>3</v>
      </c>
      <c r="Y330" s="19" t="n">
        <v>5</v>
      </c>
      <c r="Z330" s="19" t="n">
        <v>3</v>
      </c>
      <c r="AA330" s="19" t="n">
        <v>4</v>
      </c>
      <c r="AB330" s="19" t="n">
        <v>3</v>
      </c>
      <c r="AC330" s="19" t="n">
        <v>5</v>
      </c>
      <c r="AD330" s="19" t="n">
        <v>5</v>
      </c>
      <c r="AE330" s="19"/>
      <c r="AF330" s="19" t="n">
        <v>4</v>
      </c>
      <c r="AG330" s="19" t="n">
        <v>5</v>
      </c>
      <c r="AH330" s="19" t="n">
        <v>3</v>
      </c>
      <c r="AI330" s="19" t="n">
        <v>3</v>
      </c>
      <c r="AJ330" s="19" t="n">
        <v>4</v>
      </c>
      <c r="AK330" s="19" t="n">
        <v>4</v>
      </c>
      <c r="AL330" s="19" t="n">
        <v>3</v>
      </c>
      <c r="AM330" s="19" t="n">
        <v>3</v>
      </c>
      <c r="AN330" s="19" t="n">
        <v>3</v>
      </c>
      <c r="AO330" s="19" t="n">
        <v>10</v>
      </c>
      <c r="AP330" s="0" t="n">
        <v>33.5</v>
      </c>
      <c r="AQ330" s="16" t="n">
        <v>91.5</v>
      </c>
      <c r="AR330" s="16" t="n">
        <v>80.4</v>
      </c>
      <c r="AS330" s="16" t="n">
        <v>20</v>
      </c>
      <c r="AT330" s="0" t="n">
        <v>84.58</v>
      </c>
      <c r="AU330" s="17" t="n">
        <v>0</v>
      </c>
      <c r="AV330" s="0" t="n">
        <v>15.42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13.79</v>
      </c>
      <c r="BG330" s="0" t="n">
        <v>2.67</v>
      </c>
      <c r="BH330" s="0" t="n">
        <v>11.54</v>
      </c>
      <c r="BI330" s="0" t="n">
        <v>0</v>
      </c>
      <c r="BJ330" s="0" t="n">
        <v>12.3</v>
      </c>
      <c r="BK330" s="0" t="n">
        <v>2</v>
      </c>
      <c r="BL330" s="0" t="n">
        <v>0</v>
      </c>
      <c r="BM330" s="0" t="n">
        <v>1</v>
      </c>
      <c r="BN330" s="0" t="n">
        <v>0</v>
      </c>
      <c r="BO330" s="16" t="n">
        <v>0.25</v>
      </c>
      <c r="BP330" s="16" t="n">
        <v>1</v>
      </c>
      <c r="BQ330" s="16" t="n">
        <v>0.55</v>
      </c>
      <c r="BR330" s="16" t="n">
        <v>0.55</v>
      </c>
      <c r="BS330" s="16" t="n">
        <v>0</v>
      </c>
      <c r="BT330" s="16" t="n">
        <v>0</v>
      </c>
      <c r="BU330" s="16" t="n">
        <v>0</v>
      </c>
      <c r="BV330" s="0" t="n">
        <v>0</v>
      </c>
    </row>
    <row r="331" customFormat="false" ht="13.8" hidden="false" customHeight="false" outlineLevel="0" collapsed="false">
      <c r="A331" s="0" t="n">
        <v>2</v>
      </c>
      <c r="B331" s="0" t="n">
        <v>45.1033538672142</v>
      </c>
      <c r="C331" s="0" t="n">
        <v>22.299794661191</v>
      </c>
      <c r="D331" s="0" t="n">
        <v>4</v>
      </c>
      <c r="E331" s="0" t="n">
        <v>93</v>
      </c>
      <c r="F331" s="0" t="n">
        <v>1.78</v>
      </c>
      <c r="G331" s="0" t="n">
        <v>29.3523545006944</v>
      </c>
      <c r="H331" s="0" t="n">
        <v>1</v>
      </c>
      <c r="I331" s="0" t="n">
        <v>1</v>
      </c>
      <c r="J331" s="19" t="n">
        <v>1</v>
      </c>
      <c r="K331" s="19" t="n">
        <v>0</v>
      </c>
      <c r="L331" s="19" t="n">
        <v>0</v>
      </c>
      <c r="M331" s="19" t="n">
        <v>0</v>
      </c>
      <c r="N331" s="19" t="n">
        <v>0</v>
      </c>
      <c r="O331" s="19" t="n">
        <v>0</v>
      </c>
      <c r="P331" s="19" t="n">
        <v>0</v>
      </c>
      <c r="Q331" s="19" t="n">
        <v>0</v>
      </c>
      <c r="R331" s="19" t="n">
        <v>0</v>
      </c>
      <c r="S331" s="19" t="n">
        <v>0</v>
      </c>
      <c r="T331" s="19" t="n">
        <v>0</v>
      </c>
      <c r="U331" s="15" t="n">
        <f aca="false">AVERAGE(M331:T331)</f>
        <v>0</v>
      </c>
      <c r="V331" s="19" t="n">
        <v>4</v>
      </c>
      <c r="W331" s="19" t="n">
        <v>2</v>
      </c>
      <c r="X331" s="19" t="n">
        <v>5</v>
      </c>
      <c r="Y331" s="19" t="n">
        <v>5</v>
      </c>
      <c r="Z331" s="19" t="n">
        <v>2</v>
      </c>
      <c r="AA331" s="19" t="n">
        <v>4</v>
      </c>
      <c r="AB331" s="19" t="n">
        <v>3</v>
      </c>
      <c r="AC331" s="19" t="n">
        <v>4</v>
      </c>
      <c r="AD331" s="19" t="n">
        <v>2</v>
      </c>
      <c r="AE331" s="19" t="n">
        <v>4</v>
      </c>
      <c r="AF331" s="19" t="n">
        <v>5</v>
      </c>
      <c r="AG331" s="19" t="n">
        <v>5</v>
      </c>
      <c r="AH331" s="19" t="n">
        <v>4</v>
      </c>
      <c r="AI331" s="19" t="n">
        <v>4</v>
      </c>
      <c r="AJ331" s="19" t="n">
        <v>3</v>
      </c>
      <c r="AK331" s="19" t="n">
        <v>5</v>
      </c>
      <c r="AL331" s="19" t="n">
        <v>4</v>
      </c>
      <c r="AM331" s="19" t="n">
        <v>4</v>
      </c>
      <c r="AN331" s="19" t="n">
        <v>4</v>
      </c>
      <c r="AO331" s="19" t="n">
        <v>5</v>
      </c>
      <c r="AP331" s="0" t="n">
        <v>33.5</v>
      </c>
      <c r="AQ331" s="16" t="n">
        <v>91.5</v>
      </c>
      <c r="AR331" s="16" t="n">
        <v>80.4</v>
      </c>
      <c r="AS331" s="16" t="n">
        <v>20</v>
      </c>
      <c r="AT331" s="0" t="n">
        <v>84.58</v>
      </c>
      <c r="AU331" s="17" t="n">
        <v>0</v>
      </c>
      <c r="AV331" s="0" t="n">
        <v>15.42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13.79</v>
      </c>
      <c r="BG331" s="0" t="n">
        <v>2.67</v>
      </c>
      <c r="BH331" s="0" t="n">
        <v>11.54</v>
      </c>
      <c r="BI331" s="0" t="n">
        <v>0</v>
      </c>
      <c r="BJ331" s="0" t="n">
        <v>12.3</v>
      </c>
      <c r="BK331" s="0" t="n">
        <v>2</v>
      </c>
      <c r="BL331" s="0" t="n">
        <v>0</v>
      </c>
      <c r="BM331" s="0" t="n">
        <v>1</v>
      </c>
      <c r="BN331" s="0" t="n">
        <v>0</v>
      </c>
      <c r="BO331" s="16" t="n">
        <v>0.25</v>
      </c>
      <c r="BP331" s="16" t="n">
        <v>1</v>
      </c>
      <c r="BQ331" s="16" t="n">
        <v>0.55</v>
      </c>
      <c r="BR331" s="16" t="n">
        <v>0.55</v>
      </c>
      <c r="BS331" s="16" t="n">
        <v>0</v>
      </c>
      <c r="BT331" s="16" t="n">
        <v>0</v>
      </c>
      <c r="BU331" s="16" t="n">
        <v>0</v>
      </c>
      <c r="BV331" s="0" t="n">
        <v>0</v>
      </c>
    </row>
    <row r="332" customFormat="false" ht="13.8" hidden="false" customHeight="false" outlineLevel="0" collapsed="false">
      <c r="A332" s="0" t="n">
        <v>2</v>
      </c>
      <c r="B332" s="0" t="n">
        <v>19.8986995208761</v>
      </c>
      <c r="C332" s="0" t="n">
        <v>0.295687885010267</v>
      </c>
      <c r="D332" s="0" t="n">
        <v>4</v>
      </c>
      <c r="E332" s="0" t="n">
        <v>75</v>
      </c>
      <c r="F332" s="0" t="n">
        <v>1.85</v>
      </c>
      <c r="G332" s="0" t="n">
        <v>21.9138056975895</v>
      </c>
      <c r="H332" s="0" t="n">
        <v>0</v>
      </c>
      <c r="I332" s="0" t="n">
        <v>0</v>
      </c>
      <c r="J332" s="19" t="n">
        <v>0</v>
      </c>
      <c r="K332" s="19" t="n">
        <v>2</v>
      </c>
      <c r="L332" s="19" t="n">
        <v>1</v>
      </c>
      <c r="M332" s="19" t="n">
        <v>0</v>
      </c>
      <c r="N332" s="19" t="n">
        <v>0</v>
      </c>
      <c r="O332" s="19" t="n">
        <v>0</v>
      </c>
      <c r="P332" s="19" t="n">
        <v>0</v>
      </c>
      <c r="Q332" s="19" t="n">
        <v>0</v>
      </c>
      <c r="R332" s="19" t="n">
        <v>0</v>
      </c>
      <c r="S332" s="19" t="n">
        <v>0</v>
      </c>
      <c r="T332" s="19" t="n">
        <v>0</v>
      </c>
      <c r="U332" s="15" t="n">
        <f aca="false">AVERAGE(M332:T332)</f>
        <v>0</v>
      </c>
      <c r="V332" s="19" t="n">
        <v>2</v>
      </c>
      <c r="W332" s="19"/>
      <c r="X332" s="19" t="n">
        <v>3</v>
      </c>
      <c r="Y332" s="19" t="n">
        <v>5</v>
      </c>
      <c r="Z332" s="19" t="n">
        <v>3</v>
      </c>
      <c r="AA332" s="19" t="n">
        <v>1</v>
      </c>
      <c r="AB332" s="19" t="n">
        <v>2</v>
      </c>
      <c r="AC332" s="19" t="n">
        <v>3</v>
      </c>
      <c r="AD332" s="19" t="n">
        <v>4</v>
      </c>
      <c r="AE332" s="19" t="n">
        <v>4</v>
      </c>
      <c r="AF332" s="19" t="n">
        <v>5</v>
      </c>
      <c r="AG332" s="19" t="n">
        <v>5</v>
      </c>
      <c r="AH332" s="19" t="n">
        <v>3</v>
      </c>
      <c r="AI332" s="19" t="n">
        <v>4</v>
      </c>
      <c r="AJ332" s="19" t="n">
        <v>5</v>
      </c>
      <c r="AK332" s="19" t="n">
        <v>5</v>
      </c>
      <c r="AL332" s="19" t="n">
        <v>4</v>
      </c>
      <c r="AM332" s="19" t="n">
        <v>4</v>
      </c>
      <c r="AN332" s="19" t="n">
        <v>4</v>
      </c>
      <c r="AO332" s="19" t="n">
        <v>9</v>
      </c>
      <c r="AP332" s="0" t="n">
        <v>33.5</v>
      </c>
      <c r="AQ332" s="16" t="n">
        <v>91.5</v>
      </c>
      <c r="AR332" s="16" t="n">
        <v>80.4</v>
      </c>
      <c r="AS332" s="16" t="n">
        <v>20</v>
      </c>
      <c r="AT332" s="0" t="n">
        <v>84.58</v>
      </c>
      <c r="AU332" s="17" t="n">
        <v>0</v>
      </c>
      <c r="AV332" s="0" t="n">
        <v>15.42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13.79</v>
      </c>
      <c r="BG332" s="0" t="n">
        <v>2.67</v>
      </c>
      <c r="BH332" s="0" t="n">
        <v>11.54</v>
      </c>
      <c r="BI332" s="0" t="n">
        <v>0</v>
      </c>
      <c r="BJ332" s="0" t="n">
        <v>12.3</v>
      </c>
      <c r="BK332" s="0" t="n">
        <v>2</v>
      </c>
      <c r="BL332" s="0" t="n">
        <v>0</v>
      </c>
      <c r="BM332" s="0" t="n">
        <v>1</v>
      </c>
      <c r="BN332" s="0" t="n">
        <v>0</v>
      </c>
      <c r="BO332" s="16" t="n">
        <v>0.25</v>
      </c>
      <c r="BP332" s="16" t="n">
        <v>1</v>
      </c>
      <c r="BQ332" s="16" t="n">
        <v>0.55</v>
      </c>
      <c r="BR332" s="16" t="n">
        <v>0.55</v>
      </c>
      <c r="BS332" s="16" t="n">
        <v>0</v>
      </c>
      <c r="BT332" s="16" t="n">
        <v>0</v>
      </c>
      <c r="BU332" s="16" t="n">
        <v>0</v>
      </c>
      <c r="BV332" s="0" t="n">
        <v>0</v>
      </c>
    </row>
    <row r="333" customFormat="false" ht="13.8" hidden="false" customHeight="false" outlineLevel="0" collapsed="false">
      <c r="A333" s="0" t="n">
        <v>1</v>
      </c>
      <c r="B333" s="0" t="n">
        <v>26.009582477755</v>
      </c>
      <c r="C333" s="0" t="n">
        <v>0.31211498973306</v>
      </c>
      <c r="D333" s="0" t="s">
        <v>913</v>
      </c>
      <c r="E333" s="0" t="n">
        <v>45</v>
      </c>
      <c r="F333" s="0" t="n">
        <v>1.55</v>
      </c>
      <c r="G333" s="0" t="n">
        <v>18.7304890738814</v>
      </c>
      <c r="H333" s="0" t="n">
        <v>0</v>
      </c>
      <c r="I333" s="0" t="n">
        <v>0</v>
      </c>
      <c r="J333" s="19" t="n">
        <v>0</v>
      </c>
      <c r="K333" s="19" t="n">
        <v>0</v>
      </c>
      <c r="L333" s="19" t="n">
        <v>0</v>
      </c>
      <c r="M333" s="19" t="n">
        <v>0</v>
      </c>
      <c r="N333" s="19" t="n">
        <v>0</v>
      </c>
      <c r="O333" s="19" t="n">
        <v>0</v>
      </c>
      <c r="P333" s="19" t="n">
        <v>0</v>
      </c>
      <c r="Q333" s="19" t="n">
        <v>0</v>
      </c>
      <c r="R333" s="19" t="n">
        <v>0</v>
      </c>
      <c r="S333" s="19" t="n">
        <v>0</v>
      </c>
      <c r="T333" s="19" t="n">
        <v>0</v>
      </c>
      <c r="U333" s="15" t="n">
        <f aca="false">AVERAGE(M333:T333)</f>
        <v>0</v>
      </c>
      <c r="V333" s="19" t="n">
        <v>1</v>
      </c>
      <c r="W333" s="19" t="n">
        <v>1</v>
      </c>
      <c r="X333" s="19" t="n">
        <v>2</v>
      </c>
      <c r="Y333" s="19" t="n">
        <v>5</v>
      </c>
      <c r="Z333" s="19" t="n">
        <v>1</v>
      </c>
      <c r="AA333" s="19" t="n">
        <v>1</v>
      </c>
      <c r="AB333" s="19" t="n">
        <v>4</v>
      </c>
      <c r="AC333" s="19" t="n">
        <v>5</v>
      </c>
      <c r="AD333" s="19" t="n">
        <v>5</v>
      </c>
      <c r="AE333" s="19" t="n">
        <v>5</v>
      </c>
      <c r="AF333" s="19" t="n">
        <v>5</v>
      </c>
      <c r="AG333" s="19" t="n">
        <v>5</v>
      </c>
      <c r="AH333" s="19" t="n">
        <v>4</v>
      </c>
      <c r="AI333" s="19" t="n">
        <v>5</v>
      </c>
      <c r="AJ333" s="19" t="n">
        <v>5</v>
      </c>
      <c r="AK333" s="19" t="n">
        <v>5</v>
      </c>
      <c r="AL333" s="19" t="n">
        <v>5</v>
      </c>
      <c r="AM333" s="19" t="n">
        <v>5</v>
      </c>
      <c r="AN333" s="19" t="n">
        <v>5</v>
      </c>
      <c r="AO333" s="19" t="n">
        <v>8</v>
      </c>
      <c r="AP333" s="0" t="n">
        <v>39.5</v>
      </c>
      <c r="AQ333" s="16" t="n">
        <v>60.8</v>
      </c>
      <c r="AR333" s="16" t="n">
        <v>80.4</v>
      </c>
      <c r="AS333" s="16" t="n">
        <v>22.9</v>
      </c>
      <c r="AT333" s="0" t="n">
        <v>67.01</v>
      </c>
      <c r="AU333" s="0" t="n">
        <v>11.71</v>
      </c>
      <c r="AV333" s="0" t="n">
        <v>16.61</v>
      </c>
      <c r="AW333" s="0" t="n">
        <v>0</v>
      </c>
      <c r="AX333" s="0" t="n">
        <v>4.67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20.9</v>
      </c>
      <c r="BG333" s="0" t="n">
        <v>25.23</v>
      </c>
      <c r="BH333" s="0" t="n">
        <v>0.58</v>
      </c>
      <c r="BI333" s="0" t="n">
        <v>0</v>
      </c>
      <c r="BJ333" s="0" t="n">
        <v>0</v>
      </c>
      <c r="BK333" s="0" t="n">
        <v>0</v>
      </c>
      <c r="BL333" s="0" t="n">
        <v>2</v>
      </c>
      <c r="BM333" s="0" t="n">
        <v>1</v>
      </c>
      <c r="BN333" s="0" t="n">
        <v>0</v>
      </c>
      <c r="BO333" s="16" t="n">
        <v>3.66</v>
      </c>
      <c r="BP333" s="16" t="n">
        <v>1</v>
      </c>
      <c r="BQ333" s="16" t="n">
        <v>10.05</v>
      </c>
      <c r="BR333" s="16" t="n">
        <v>27.11</v>
      </c>
      <c r="BS333" s="16" t="n">
        <v>0</v>
      </c>
      <c r="BT333" s="16" t="n">
        <v>0</v>
      </c>
      <c r="BU333" s="16" t="n">
        <v>0</v>
      </c>
      <c r="BV333" s="0" t="n">
        <v>0</v>
      </c>
    </row>
    <row r="334" customFormat="false" ht="13.8" hidden="false" customHeight="false" outlineLevel="0" collapsed="false">
      <c r="A334" s="0" t="n">
        <v>2</v>
      </c>
      <c r="B334" s="0" t="n">
        <v>28.1259411362081</v>
      </c>
      <c r="C334" s="0" t="n">
        <v>0.372347707049966</v>
      </c>
      <c r="D334" s="0" t="n">
        <v>4</v>
      </c>
      <c r="E334" s="0" t="n">
        <v>85</v>
      </c>
      <c r="F334" s="0" t="n">
        <v>1.96</v>
      </c>
      <c r="G334" s="0" t="n">
        <v>22.1261974177426</v>
      </c>
      <c r="H334" s="0" t="n">
        <v>0</v>
      </c>
      <c r="I334" s="0" t="n">
        <v>0</v>
      </c>
      <c r="J334" s="19" t="n">
        <v>0</v>
      </c>
      <c r="K334" s="19" t="n">
        <v>1</v>
      </c>
      <c r="L334" s="19" t="n">
        <v>1</v>
      </c>
      <c r="M334" s="19" t="n">
        <v>0</v>
      </c>
      <c r="N334" s="19" t="n">
        <v>0</v>
      </c>
      <c r="O334" s="19" t="n">
        <v>0</v>
      </c>
      <c r="P334" s="19" t="n">
        <v>0</v>
      </c>
      <c r="Q334" s="19" t="n">
        <v>0</v>
      </c>
      <c r="R334" s="19" t="n">
        <v>0</v>
      </c>
      <c r="S334" s="19" t="n">
        <v>0</v>
      </c>
      <c r="T334" s="19" t="n">
        <v>5</v>
      </c>
      <c r="U334" s="15" t="n">
        <f aca="false">AVERAGE(M334:T334)</f>
        <v>0.625</v>
      </c>
      <c r="V334" s="19" t="n">
        <v>2</v>
      </c>
      <c r="W334" s="19" t="n">
        <v>2</v>
      </c>
      <c r="X334" s="19" t="n">
        <v>3</v>
      </c>
      <c r="Y334" s="19" t="n">
        <v>5</v>
      </c>
      <c r="Z334" s="19" t="n">
        <v>3</v>
      </c>
      <c r="AA334" s="19" t="n">
        <v>3</v>
      </c>
      <c r="AB334" s="19" t="n">
        <v>4</v>
      </c>
      <c r="AC334" s="19" t="n">
        <v>3</v>
      </c>
      <c r="AD334" s="19" t="n">
        <v>4</v>
      </c>
      <c r="AE334" s="19" t="n">
        <v>3</v>
      </c>
      <c r="AF334" s="19" t="n">
        <v>4</v>
      </c>
      <c r="AG334" s="19" t="n">
        <v>5</v>
      </c>
      <c r="AH334" s="19" t="n">
        <v>4</v>
      </c>
      <c r="AI334" s="19" t="n">
        <v>5</v>
      </c>
      <c r="AJ334" s="19" t="n">
        <v>5</v>
      </c>
      <c r="AK334" s="19" t="n">
        <v>5</v>
      </c>
      <c r="AL334" s="19" t="n">
        <v>4</v>
      </c>
      <c r="AM334" s="19" t="n">
        <v>4</v>
      </c>
      <c r="AN334" s="19" t="n">
        <v>4</v>
      </c>
      <c r="AO334" s="19" t="n">
        <v>8</v>
      </c>
      <c r="AP334" s="0" t="n">
        <v>33.5</v>
      </c>
      <c r="AQ334" s="16" t="n">
        <v>91.5</v>
      </c>
      <c r="AR334" s="16" t="n">
        <v>80.4</v>
      </c>
      <c r="AS334" s="16" t="n">
        <v>20</v>
      </c>
      <c r="AT334" s="0" t="n">
        <v>84.58</v>
      </c>
      <c r="AU334" s="17" t="n">
        <v>0</v>
      </c>
      <c r="AV334" s="0" t="n">
        <v>15.42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13.79</v>
      </c>
      <c r="BG334" s="0" t="n">
        <v>2.67</v>
      </c>
      <c r="BH334" s="0" t="n">
        <v>11.54</v>
      </c>
      <c r="BI334" s="0" t="n">
        <v>0</v>
      </c>
      <c r="BJ334" s="0" t="n">
        <v>12.3</v>
      </c>
      <c r="BK334" s="0" t="n">
        <v>2</v>
      </c>
      <c r="BL334" s="0" t="n">
        <v>0</v>
      </c>
      <c r="BM334" s="0" t="n">
        <v>1</v>
      </c>
      <c r="BN334" s="0" t="n">
        <v>0</v>
      </c>
      <c r="BO334" s="16" t="n">
        <v>0.25</v>
      </c>
      <c r="BP334" s="16" t="n">
        <v>1</v>
      </c>
      <c r="BQ334" s="16" t="n">
        <v>0.55</v>
      </c>
      <c r="BR334" s="16" t="n">
        <v>0.55</v>
      </c>
      <c r="BS334" s="16" t="n">
        <v>0</v>
      </c>
      <c r="BT334" s="16" t="n">
        <v>0</v>
      </c>
      <c r="BU334" s="16" t="n">
        <v>0</v>
      </c>
      <c r="BV334" s="0" t="n">
        <v>0</v>
      </c>
    </row>
    <row r="335" customFormat="false" ht="13.8" hidden="false" customHeight="false" outlineLevel="0" collapsed="false">
      <c r="A335" s="0" t="n">
        <v>2</v>
      </c>
      <c r="B335" s="0" t="n">
        <v>25.9657768651608</v>
      </c>
      <c r="C335" s="0" t="n">
        <v>0.350444900752909</v>
      </c>
      <c r="D335" s="0" t="n">
        <v>4</v>
      </c>
      <c r="E335" s="0" t="n">
        <v>91</v>
      </c>
      <c r="F335" s="0" t="n">
        <v>1.7</v>
      </c>
      <c r="G335" s="0" t="n">
        <v>31.4878892733564</v>
      </c>
      <c r="H335" s="0" t="n">
        <v>0</v>
      </c>
      <c r="I335" s="0" t="n">
        <v>0</v>
      </c>
      <c r="J335" s="19" t="n">
        <v>1</v>
      </c>
      <c r="K335" s="19" t="n">
        <v>0</v>
      </c>
      <c r="L335" s="19" t="n">
        <v>0</v>
      </c>
      <c r="M335" s="19" t="n">
        <v>0</v>
      </c>
      <c r="N335" s="19" t="n">
        <v>0</v>
      </c>
      <c r="O335" s="19" t="n">
        <v>0</v>
      </c>
      <c r="P335" s="19" t="n">
        <v>0</v>
      </c>
      <c r="Q335" s="19" t="n">
        <v>0</v>
      </c>
      <c r="R335" s="19" t="n">
        <v>0</v>
      </c>
      <c r="S335" s="19" t="n">
        <v>0</v>
      </c>
      <c r="T335" s="19" t="n">
        <v>1</v>
      </c>
      <c r="U335" s="15" t="n">
        <f aca="false">AVERAGE(M335:T335)</f>
        <v>0.125</v>
      </c>
      <c r="V335" s="19" t="n">
        <v>1</v>
      </c>
      <c r="W335" s="19" t="n">
        <v>2</v>
      </c>
      <c r="X335" s="19" t="n">
        <v>2</v>
      </c>
      <c r="Y335" s="19" t="n">
        <v>5</v>
      </c>
      <c r="Z335" s="19" t="n">
        <v>2</v>
      </c>
      <c r="AA335" s="19" t="n">
        <v>1</v>
      </c>
      <c r="AB335" s="19" t="n">
        <v>3</v>
      </c>
      <c r="AC335" s="19" t="n">
        <v>3</v>
      </c>
      <c r="AD335" s="19" t="n">
        <v>5</v>
      </c>
      <c r="AE335" s="19" t="n">
        <v>4</v>
      </c>
      <c r="AF335" s="19" t="n">
        <v>5</v>
      </c>
      <c r="AG335" s="19" t="n">
        <v>5</v>
      </c>
      <c r="AH335" s="19" t="n">
        <v>5</v>
      </c>
      <c r="AI335" s="19" t="n">
        <v>4</v>
      </c>
      <c r="AJ335" s="19" t="n">
        <v>5</v>
      </c>
      <c r="AK335" s="19" t="n">
        <v>5</v>
      </c>
      <c r="AL335" s="19"/>
      <c r="AM335" s="19"/>
      <c r="AN335" s="19"/>
      <c r="AO335" s="19"/>
      <c r="AP335" s="0" t="n">
        <v>33.5</v>
      </c>
      <c r="AQ335" s="16" t="n">
        <v>91.5</v>
      </c>
      <c r="AR335" s="16" t="n">
        <v>80.4</v>
      </c>
      <c r="AS335" s="16" t="n">
        <v>20</v>
      </c>
      <c r="AT335" s="0" t="n">
        <v>84.58</v>
      </c>
      <c r="AU335" s="17" t="n">
        <v>0</v>
      </c>
      <c r="AV335" s="0" t="n">
        <v>15.42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13.79</v>
      </c>
      <c r="BG335" s="0" t="n">
        <v>2.67</v>
      </c>
      <c r="BH335" s="0" t="n">
        <v>11.54</v>
      </c>
      <c r="BI335" s="0" t="n">
        <v>0</v>
      </c>
      <c r="BJ335" s="0" t="n">
        <v>12.3</v>
      </c>
      <c r="BK335" s="0" t="n">
        <v>2</v>
      </c>
      <c r="BL335" s="0" t="n">
        <v>0</v>
      </c>
      <c r="BM335" s="0" t="n">
        <v>1</v>
      </c>
      <c r="BN335" s="0" t="n">
        <v>0</v>
      </c>
      <c r="BO335" s="16" t="n">
        <v>0.25</v>
      </c>
      <c r="BP335" s="16" t="n">
        <v>1</v>
      </c>
      <c r="BQ335" s="16" t="n">
        <v>0.55</v>
      </c>
      <c r="BR335" s="16" t="n">
        <v>0.55</v>
      </c>
      <c r="BS335" s="16" t="n">
        <v>0</v>
      </c>
      <c r="BT335" s="16" t="n">
        <v>0</v>
      </c>
      <c r="BU335" s="16" t="n">
        <v>0</v>
      </c>
      <c r="BV335" s="0" t="n">
        <v>0</v>
      </c>
    </row>
    <row r="336" customFormat="false" ht="13.8" hidden="false" customHeight="false" outlineLevel="0" collapsed="false">
      <c r="A336" s="0" t="n">
        <v>2</v>
      </c>
      <c r="B336" s="0" t="n">
        <v>31.4907597535934</v>
      </c>
      <c r="C336" s="0" t="n">
        <v>6.04517453798768</v>
      </c>
      <c r="D336" s="0" t="n">
        <v>4</v>
      </c>
      <c r="E336" s="0" t="n">
        <v>72</v>
      </c>
      <c r="F336" s="0" t="n">
        <v>1.75</v>
      </c>
      <c r="G336" s="0" t="n">
        <v>23.5102040816327</v>
      </c>
      <c r="H336" s="0" t="n">
        <v>0</v>
      </c>
      <c r="I336" s="0" t="n">
        <v>0</v>
      </c>
      <c r="J336" s="19" t="n">
        <v>0</v>
      </c>
      <c r="K336" s="19" t="n">
        <v>2</v>
      </c>
      <c r="L336" s="19" t="n">
        <v>0</v>
      </c>
      <c r="M336" s="19" t="n">
        <v>0</v>
      </c>
      <c r="N336" s="19" t="n">
        <v>0</v>
      </c>
      <c r="O336" s="19" t="n">
        <v>0</v>
      </c>
      <c r="P336" s="19" t="n">
        <v>0</v>
      </c>
      <c r="Q336" s="19" t="n">
        <v>0</v>
      </c>
      <c r="R336" s="19" t="n">
        <v>0</v>
      </c>
      <c r="S336" s="19" t="n">
        <v>0</v>
      </c>
      <c r="T336" s="19" t="n">
        <v>0</v>
      </c>
      <c r="U336" s="15" t="n">
        <f aca="false">AVERAGE(M336:T336)</f>
        <v>0</v>
      </c>
      <c r="V336" s="19" t="n">
        <v>3</v>
      </c>
      <c r="W336" s="19"/>
      <c r="X336" s="19" t="n">
        <v>3</v>
      </c>
      <c r="Y336" s="19" t="n">
        <v>5</v>
      </c>
      <c r="Z336" s="19" t="n">
        <v>2</v>
      </c>
      <c r="AA336" s="19" t="n">
        <v>3</v>
      </c>
      <c r="AB336" s="19" t="n">
        <v>2</v>
      </c>
      <c r="AC336" s="19" t="n">
        <v>3</v>
      </c>
      <c r="AD336" s="19" t="n">
        <v>3</v>
      </c>
      <c r="AE336" s="19" t="n">
        <v>4</v>
      </c>
      <c r="AF336" s="19"/>
      <c r="AG336" s="19" t="n">
        <v>5</v>
      </c>
      <c r="AH336" s="19" t="n">
        <v>3</v>
      </c>
      <c r="AI336" s="19" t="n">
        <v>3</v>
      </c>
      <c r="AJ336" s="19" t="n">
        <v>4</v>
      </c>
      <c r="AK336" s="19" t="n">
        <v>5</v>
      </c>
      <c r="AL336" s="19" t="n">
        <v>3</v>
      </c>
      <c r="AM336" s="19" t="n">
        <v>4</v>
      </c>
      <c r="AN336" s="19" t="n">
        <v>3</v>
      </c>
      <c r="AO336" s="19" t="n">
        <v>9</v>
      </c>
      <c r="AP336" s="0" t="n">
        <v>33.5</v>
      </c>
      <c r="AQ336" s="16" t="n">
        <v>91.5</v>
      </c>
      <c r="AR336" s="16" t="n">
        <v>80.4</v>
      </c>
      <c r="AS336" s="16" t="n">
        <v>20</v>
      </c>
      <c r="AT336" s="0" t="n">
        <v>84.58</v>
      </c>
      <c r="AU336" s="17" t="n">
        <v>0</v>
      </c>
      <c r="AV336" s="0" t="n">
        <v>15.42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13.79</v>
      </c>
      <c r="BG336" s="0" t="n">
        <v>2.67</v>
      </c>
      <c r="BH336" s="0" t="n">
        <v>11.54</v>
      </c>
      <c r="BI336" s="0" t="n">
        <v>0</v>
      </c>
      <c r="BJ336" s="0" t="n">
        <v>12.3</v>
      </c>
      <c r="BK336" s="0" t="n">
        <v>2</v>
      </c>
      <c r="BL336" s="0" t="n">
        <v>0</v>
      </c>
      <c r="BM336" s="0" t="n">
        <v>1</v>
      </c>
      <c r="BN336" s="0" t="n">
        <v>0</v>
      </c>
      <c r="BO336" s="16" t="n">
        <v>0.25</v>
      </c>
      <c r="BP336" s="16" t="n">
        <v>1</v>
      </c>
      <c r="BQ336" s="16" t="n">
        <v>0.55</v>
      </c>
      <c r="BR336" s="16" t="n">
        <v>0.55</v>
      </c>
      <c r="BS336" s="16" t="n">
        <v>0</v>
      </c>
      <c r="BT336" s="16" t="n">
        <v>0</v>
      </c>
      <c r="BU336" s="16" t="n">
        <v>0</v>
      </c>
      <c r="BV336" s="0" t="n">
        <v>0</v>
      </c>
    </row>
    <row r="337" customFormat="false" ht="13.8" hidden="false" customHeight="false" outlineLevel="0" collapsed="false">
      <c r="A337" s="0" t="n">
        <v>2</v>
      </c>
      <c r="B337" s="0" t="n">
        <v>28.1505817932923</v>
      </c>
      <c r="C337" s="0" t="n">
        <v>0.0136892539356605</v>
      </c>
      <c r="D337" s="0" t="s">
        <v>913</v>
      </c>
      <c r="E337" s="0" t="n">
        <v>71</v>
      </c>
      <c r="F337" s="0" t="n">
        <v>1.72</v>
      </c>
      <c r="G337" s="0" t="n">
        <v>23.9994591671174</v>
      </c>
      <c r="H337" s="0" t="n">
        <v>0</v>
      </c>
      <c r="I337" s="0" t="n">
        <v>0</v>
      </c>
      <c r="J337" s="19" t="n">
        <v>0</v>
      </c>
      <c r="K337" s="19" t="n">
        <v>0</v>
      </c>
      <c r="L337" s="19" t="n">
        <v>1</v>
      </c>
      <c r="M337" s="19" t="n">
        <v>0</v>
      </c>
      <c r="N337" s="19" t="n">
        <v>0</v>
      </c>
      <c r="O337" s="19" t="n">
        <v>0</v>
      </c>
      <c r="P337" s="19" t="n">
        <v>0</v>
      </c>
      <c r="Q337" s="19"/>
      <c r="R337" s="19"/>
      <c r="S337" s="19" t="n">
        <v>0</v>
      </c>
      <c r="T337" s="19" t="n">
        <v>0</v>
      </c>
      <c r="U337" s="15" t="n">
        <f aca="false">AVERAGE(M337:T337)</f>
        <v>0</v>
      </c>
      <c r="V337" s="19" t="n">
        <v>2</v>
      </c>
      <c r="W337" s="19" t="n">
        <v>2</v>
      </c>
      <c r="X337" s="19" t="n">
        <v>4</v>
      </c>
      <c r="Y337" s="19" t="n">
        <v>5</v>
      </c>
      <c r="Z337" s="19" t="n">
        <v>1</v>
      </c>
      <c r="AA337" s="19" t="n">
        <v>2</v>
      </c>
      <c r="AB337" s="19" t="n">
        <v>3</v>
      </c>
      <c r="AC337" s="19" t="n">
        <v>4</v>
      </c>
      <c r="AD337" s="19" t="n">
        <v>5</v>
      </c>
      <c r="AE337" s="19" t="n">
        <v>5</v>
      </c>
      <c r="AF337" s="19" t="n">
        <v>5</v>
      </c>
      <c r="AG337" s="19" t="n">
        <v>5</v>
      </c>
      <c r="AH337" s="19" t="n">
        <v>5</v>
      </c>
      <c r="AI337" s="19" t="n">
        <v>5</v>
      </c>
      <c r="AJ337" s="19" t="n">
        <v>5</v>
      </c>
      <c r="AK337" s="19" t="n">
        <v>5</v>
      </c>
      <c r="AL337" s="19" t="n">
        <v>5</v>
      </c>
      <c r="AM337" s="19" t="n">
        <v>5</v>
      </c>
      <c r="AN337" s="19" t="n">
        <v>5</v>
      </c>
      <c r="AO337" s="19" t="n">
        <v>10</v>
      </c>
      <c r="AP337" s="0" t="n">
        <v>33.5</v>
      </c>
      <c r="AQ337" s="16" t="n">
        <v>91.5</v>
      </c>
      <c r="AR337" s="16" t="n">
        <v>80.4</v>
      </c>
      <c r="AS337" s="16" t="n">
        <v>20</v>
      </c>
      <c r="AT337" s="0" t="n">
        <v>84.58</v>
      </c>
      <c r="AU337" s="17" t="n">
        <v>0</v>
      </c>
      <c r="AV337" s="0" t="n">
        <v>15.42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13.79</v>
      </c>
      <c r="BG337" s="0" t="n">
        <v>2.67</v>
      </c>
      <c r="BH337" s="0" t="n">
        <v>11.54</v>
      </c>
      <c r="BI337" s="0" t="n">
        <v>0</v>
      </c>
      <c r="BJ337" s="0" t="n">
        <v>12.3</v>
      </c>
      <c r="BK337" s="0" t="n">
        <v>2</v>
      </c>
      <c r="BL337" s="0" t="n">
        <v>0</v>
      </c>
      <c r="BM337" s="0" t="n">
        <v>1</v>
      </c>
      <c r="BN337" s="0" t="n">
        <v>0</v>
      </c>
      <c r="BO337" s="16" t="n">
        <v>0.25</v>
      </c>
      <c r="BP337" s="16" t="n">
        <v>1</v>
      </c>
      <c r="BQ337" s="16" t="n">
        <v>0.55</v>
      </c>
      <c r="BR337" s="16" t="n">
        <v>0.55</v>
      </c>
      <c r="BS337" s="16" t="n">
        <v>0</v>
      </c>
      <c r="BT337" s="16" t="n">
        <v>0</v>
      </c>
      <c r="BU337" s="16" t="n">
        <v>0</v>
      </c>
      <c r="BV337" s="0" t="n">
        <v>0</v>
      </c>
    </row>
    <row r="338" customFormat="false" ht="13.8" hidden="false" customHeight="false" outlineLevel="0" collapsed="false">
      <c r="A338" s="0" t="n">
        <v>2</v>
      </c>
      <c r="B338" s="0" t="n">
        <v>28.1642710472279</v>
      </c>
      <c r="C338" s="0" t="n">
        <v>0.323066392881588</v>
      </c>
      <c r="D338" s="0" t="n">
        <v>4</v>
      </c>
      <c r="E338" s="0" t="n">
        <v>82</v>
      </c>
      <c r="F338" s="0" t="n">
        <v>1.79</v>
      </c>
      <c r="G338" s="0" t="n">
        <v>25.5922099809619</v>
      </c>
      <c r="H338" s="0" t="n">
        <v>0</v>
      </c>
      <c r="I338" s="0" t="n">
        <v>0</v>
      </c>
      <c r="J338" s="19" t="n">
        <v>0</v>
      </c>
      <c r="K338" s="19" t="n">
        <v>0</v>
      </c>
      <c r="L338" s="19" t="n">
        <v>0</v>
      </c>
      <c r="M338" s="19" t="n">
        <v>0</v>
      </c>
      <c r="N338" s="19" t="n">
        <v>0</v>
      </c>
      <c r="O338" s="19" t="n">
        <v>0</v>
      </c>
      <c r="P338" s="19" t="n">
        <v>0</v>
      </c>
      <c r="Q338" s="19" t="n">
        <v>0</v>
      </c>
      <c r="R338" s="19" t="n">
        <v>0</v>
      </c>
      <c r="S338" s="19" t="n">
        <v>0</v>
      </c>
      <c r="T338" s="19" t="n">
        <v>0</v>
      </c>
      <c r="U338" s="15" t="n">
        <f aca="false">AVERAGE(M338:T338)</f>
        <v>0</v>
      </c>
      <c r="V338" s="19" t="n">
        <v>2</v>
      </c>
      <c r="W338" s="19" t="n">
        <v>1</v>
      </c>
      <c r="X338" s="19" t="n">
        <v>4</v>
      </c>
      <c r="Y338" s="19" t="n">
        <v>5</v>
      </c>
      <c r="Z338" s="19" t="n">
        <v>1</v>
      </c>
      <c r="AA338" s="19" t="n">
        <v>1</v>
      </c>
      <c r="AB338" s="19" t="n">
        <v>4</v>
      </c>
      <c r="AC338" s="19" t="n">
        <v>4</v>
      </c>
      <c r="AD338" s="19" t="n">
        <v>5</v>
      </c>
      <c r="AE338" s="19" t="n">
        <v>5</v>
      </c>
      <c r="AF338" s="19" t="n">
        <v>4</v>
      </c>
      <c r="AG338" s="19" t="n">
        <v>4</v>
      </c>
      <c r="AH338" s="19" t="n">
        <v>5</v>
      </c>
      <c r="AI338" s="19" t="n">
        <v>5</v>
      </c>
      <c r="AJ338" s="19" t="n">
        <v>5</v>
      </c>
      <c r="AK338" s="19" t="n">
        <v>5</v>
      </c>
      <c r="AL338" s="19" t="n">
        <v>4</v>
      </c>
      <c r="AM338" s="19" t="n">
        <v>4</v>
      </c>
      <c r="AN338" s="19" t="n">
        <v>4</v>
      </c>
      <c r="AO338" s="19" t="n">
        <v>8</v>
      </c>
      <c r="AP338" s="0" t="n">
        <v>33.5</v>
      </c>
      <c r="AQ338" s="16" t="n">
        <v>91.5</v>
      </c>
      <c r="AR338" s="16" t="n">
        <v>80.4</v>
      </c>
      <c r="AS338" s="16" t="n">
        <v>20</v>
      </c>
      <c r="AT338" s="0" t="n">
        <v>84.58</v>
      </c>
      <c r="AU338" s="17" t="n">
        <v>0</v>
      </c>
      <c r="AV338" s="0" t="n">
        <v>15.42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13.79</v>
      </c>
      <c r="BG338" s="0" t="n">
        <v>2.67</v>
      </c>
      <c r="BH338" s="0" t="n">
        <v>11.54</v>
      </c>
      <c r="BI338" s="0" t="n">
        <v>0</v>
      </c>
      <c r="BJ338" s="0" t="n">
        <v>12.3</v>
      </c>
      <c r="BK338" s="0" t="n">
        <v>2</v>
      </c>
      <c r="BL338" s="0" t="n">
        <v>0</v>
      </c>
      <c r="BM338" s="0" t="n">
        <v>1</v>
      </c>
      <c r="BN338" s="0" t="n">
        <v>0</v>
      </c>
      <c r="BO338" s="16" t="n">
        <v>0.25</v>
      </c>
      <c r="BP338" s="16" t="n">
        <v>1</v>
      </c>
      <c r="BQ338" s="16" t="n">
        <v>0.55</v>
      </c>
      <c r="BR338" s="16" t="n">
        <v>0.55</v>
      </c>
      <c r="BS338" s="16" t="n">
        <v>0</v>
      </c>
      <c r="BT338" s="16" t="n">
        <v>0</v>
      </c>
      <c r="BU338" s="16" t="n">
        <v>0</v>
      </c>
      <c r="BV338" s="0" t="n">
        <v>0</v>
      </c>
    </row>
    <row r="339" customFormat="false" ht="13.8" hidden="false" customHeight="false" outlineLevel="0" collapsed="false">
      <c r="A339" s="0" t="n">
        <v>1</v>
      </c>
      <c r="B339" s="0" t="n">
        <v>20.2765229295003</v>
      </c>
      <c r="C339" s="0" t="n">
        <v>0.388774811772758</v>
      </c>
      <c r="D339" s="0" t="s">
        <v>913</v>
      </c>
      <c r="E339" s="0" t="n">
        <v>60</v>
      </c>
      <c r="F339" s="0" t="n">
        <v>1.7</v>
      </c>
      <c r="G339" s="0" t="n">
        <v>20.7612456747405</v>
      </c>
      <c r="H339" s="0" t="n">
        <v>0</v>
      </c>
      <c r="I339" s="0" t="n">
        <v>0</v>
      </c>
      <c r="J339" s="19" t="n">
        <v>0</v>
      </c>
      <c r="K339" s="19" t="n">
        <v>0</v>
      </c>
      <c r="L339" s="19" t="n">
        <v>1</v>
      </c>
      <c r="M339" s="19" t="n">
        <v>0</v>
      </c>
      <c r="N339" s="19" t="n">
        <v>0</v>
      </c>
      <c r="O339" s="19" t="n">
        <v>0</v>
      </c>
      <c r="P339" s="19" t="n">
        <v>0</v>
      </c>
      <c r="Q339" s="19" t="n">
        <v>0</v>
      </c>
      <c r="R339" s="19" t="n">
        <v>0</v>
      </c>
      <c r="S339" s="19" t="n">
        <v>0</v>
      </c>
      <c r="T339" s="19" t="n">
        <v>0</v>
      </c>
      <c r="U339" s="15" t="n">
        <f aca="false">AVERAGE(M339:T339)</f>
        <v>0</v>
      </c>
      <c r="V339" s="19" t="n">
        <v>1</v>
      </c>
      <c r="W339" s="19" t="n">
        <v>1</v>
      </c>
      <c r="X339" s="19" t="n">
        <v>1</v>
      </c>
      <c r="Y339" s="19" t="n">
        <v>2</v>
      </c>
      <c r="Z339" s="19" t="n">
        <v>1</v>
      </c>
      <c r="AA339" s="19" t="n">
        <v>1</v>
      </c>
      <c r="AB339" s="19" t="n">
        <v>1</v>
      </c>
      <c r="AC339" s="19" t="n">
        <v>1</v>
      </c>
      <c r="AD339" s="19" t="n">
        <v>3</v>
      </c>
      <c r="AE339" s="19" t="n">
        <v>5</v>
      </c>
      <c r="AF339" s="19" t="n">
        <v>5</v>
      </c>
      <c r="AG339" s="19" t="n">
        <v>5</v>
      </c>
      <c r="AH339" s="19" t="n">
        <v>4</v>
      </c>
      <c r="AI339" s="19" t="n">
        <v>5</v>
      </c>
      <c r="AJ339" s="19" t="n">
        <v>5</v>
      </c>
      <c r="AK339" s="19" t="n">
        <v>5</v>
      </c>
      <c r="AL339" s="19" t="n">
        <v>4</v>
      </c>
      <c r="AM339" s="19" t="n">
        <v>4</v>
      </c>
      <c r="AN339" s="19" t="n">
        <v>4</v>
      </c>
      <c r="AO339" s="19" t="n">
        <v>8</v>
      </c>
      <c r="AP339" s="0" t="n">
        <v>33.5</v>
      </c>
      <c r="AQ339" s="16" t="n">
        <v>91.5</v>
      </c>
      <c r="AR339" s="16" t="n">
        <v>80.4</v>
      </c>
      <c r="AS339" s="16" t="n">
        <v>20</v>
      </c>
      <c r="AT339" s="0" t="n">
        <v>84.58</v>
      </c>
      <c r="AU339" s="17" t="n">
        <v>0</v>
      </c>
      <c r="AV339" s="0" t="n">
        <v>15.42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13.79</v>
      </c>
      <c r="BG339" s="0" t="n">
        <v>2.67</v>
      </c>
      <c r="BH339" s="0" t="n">
        <v>11.54</v>
      </c>
      <c r="BI339" s="0" t="n">
        <v>0</v>
      </c>
      <c r="BJ339" s="0" t="n">
        <v>12.3</v>
      </c>
      <c r="BK339" s="0" t="n">
        <v>2</v>
      </c>
      <c r="BL339" s="0" t="n">
        <v>0</v>
      </c>
      <c r="BM339" s="0" t="n">
        <v>1</v>
      </c>
      <c r="BN339" s="0" t="n">
        <v>0</v>
      </c>
      <c r="BO339" s="16" t="n">
        <v>0.25</v>
      </c>
      <c r="BP339" s="16" t="n">
        <v>1</v>
      </c>
      <c r="BQ339" s="16" t="n">
        <v>0.55</v>
      </c>
      <c r="BR339" s="16" t="n">
        <v>0.55</v>
      </c>
      <c r="BS339" s="16" t="n">
        <v>0</v>
      </c>
      <c r="BT339" s="16" t="n">
        <v>0</v>
      </c>
      <c r="BU339" s="16" t="n">
        <v>0</v>
      </c>
      <c r="BV339" s="0" t="n">
        <v>0</v>
      </c>
    </row>
    <row r="340" customFormat="false" ht="13.8" hidden="false" customHeight="false" outlineLevel="0" collapsed="false">
      <c r="A340" s="0" t="n">
        <v>2</v>
      </c>
      <c r="B340" s="0" t="n">
        <v>47.0308008213552</v>
      </c>
      <c r="C340" s="0" t="n">
        <v>6.61738535249829</v>
      </c>
      <c r="D340" s="0" t="n">
        <v>4</v>
      </c>
      <c r="E340" s="0" t="n">
        <v>90</v>
      </c>
      <c r="F340" s="0" t="n">
        <v>1.78</v>
      </c>
      <c r="G340" s="0" t="n">
        <v>28.4055043555107</v>
      </c>
      <c r="H340" s="0" t="n">
        <v>0</v>
      </c>
      <c r="I340" s="0" t="n">
        <v>0</v>
      </c>
      <c r="J340" s="19" t="n">
        <v>0</v>
      </c>
      <c r="K340" s="19" t="n">
        <v>1</v>
      </c>
      <c r="L340" s="19" t="n">
        <v>0</v>
      </c>
      <c r="M340" s="19" t="n">
        <v>0</v>
      </c>
      <c r="N340" s="19" t="n">
        <v>0</v>
      </c>
      <c r="O340" s="19" t="n">
        <v>0</v>
      </c>
      <c r="P340" s="19" t="n">
        <v>0</v>
      </c>
      <c r="Q340" s="19" t="n">
        <v>0</v>
      </c>
      <c r="R340" s="19" t="n">
        <v>4</v>
      </c>
      <c r="S340" s="19" t="n">
        <v>0</v>
      </c>
      <c r="T340" s="19" t="n">
        <v>0</v>
      </c>
      <c r="U340" s="15" t="n">
        <f aca="false">AVERAGE(M340:T340)</f>
        <v>0.5</v>
      </c>
      <c r="V340" s="19" t="n">
        <v>2</v>
      </c>
      <c r="W340" s="19"/>
      <c r="X340" s="19" t="n">
        <v>5</v>
      </c>
      <c r="Y340" s="19" t="n">
        <v>5</v>
      </c>
      <c r="Z340" s="19" t="n">
        <v>1</v>
      </c>
      <c r="AA340" s="19" t="n">
        <v>1</v>
      </c>
      <c r="AB340" s="19" t="n">
        <v>1</v>
      </c>
      <c r="AC340" s="19" t="n">
        <v>4</v>
      </c>
      <c r="AD340" s="19" t="n">
        <v>5</v>
      </c>
      <c r="AE340" s="19" t="n">
        <v>2</v>
      </c>
      <c r="AF340" s="19" t="n">
        <v>4</v>
      </c>
      <c r="AG340" s="19" t="n">
        <v>4</v>
      </c>
      <c r="AH340" s="19" t="n">
        <v>3</v>
      </c>
      <c r="AI340" s="19" t="n">
        <v>3</v>
      </c>
      <c r="AJ340" s="19" t="n">
        <v>4</v>
      </c>
      <c r="AK340" s="19" t="n">
        <v>5</v>
      </c>
      <c r="AL340" s="19" t="n">
        <v>4</v>
      </c>
      <c r="AM340" s="19" t="n">
        <v>3</v>
      </c>
      <c r="AN340" s="19" t="n">
        <v>4</v>
      </c>
      <c r="AO340" s="19" t="n">
        <v>10</v>
      </c>
      <c r="AP340" s="0" t="n">
        <v>33.5</v>
      </c>
      <c r="AQ340" s="16" t="n">
        <v>91.5</v>
      </c>
      <c r="AR340" s="16" t="n">
        <v>80.4</v>
      </c>
      <c r="AS340" s="16" t="n">
        <v>20</v>
      </c>
      <c r="AT340" s="0" t="n">
        <v>84.58</v>
      </c>
      <c r="AU340" s="17" t="n">
        <v>0</v>
      </c>
      <c r="AV340" s="0" t="n">
        <v>15.42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13.79</v>
      </c>
      <c r="BG340" s="0" t="n">
        <v>2.67</v>
      </c>
      <c r="BH340" s="0" t="n">
        <v>11.54</v>
      </c>
      <c r="BI340" s="0" t="n">
        <v>0</v>
      </c>
      <c r="BJ340" s="0" t="n">
        <v>12.3</v>
      </c>
      <c r="BK340" s="0" t="n">
        <v>2</v>
      </c>
      <c r="BL340" s="0" t="n">
        <v>0</v>
      </c>
      <c r="BM340" s="0" t="n">
        <v>1</v>
      </c>
      <c r="BN340" s="0" t="n">
        <v>0</v>
      </c>
      <c r="BO340" s="16" t="n">
        <v>0.25</v>
      </c>
      <c r="BP340" s="16" t="n">
        <v>1</v>
      </c>
      <c r="BQ340" s="16" t="n">
        <v>0.55</v>
      </c>
      <c r="BR340" s="16" t="n">
        <v>0.55</v>
      </c>
      <c r="BS340" s="16" t="n">
        <v>0</v>
      </c>
      <c r="BT340" s="16" t="n">
        <v>0</v>
      </c>
      <c r="BU340" s="16" t="n">
        <v>0</v>
      </c>
      <c r="BV340" s="0" t="n">
        <v>0</v>
      </c>
    </row>
    <row r="341" customFormat="false" ht="13.8" hidden="false" customHeight="false" outlineLevel="0" collapsed="false">
      <c r="A341" s="0" t="n">
        <v>2</v>
      </c>
      <c r="B341" s="0" t="n">
        <v>32.2245037645448</v>
      </c>
      <c r="C341" s="0" t="n">
        <v>0.334017796030116</v>
      </c>
      <c r="D341" s="0" t="n">
        <v>8</v>
      </c>
      <c r="E341" s="0" t="n">
        <v>90</v>
      </c>
      <c r="F341" s="0" t="n">
        <v>1.77</v>
      </c>
      <c r="G341" s="0" t="n">
        <v>28.7273771904625</v>
      </c>
      <c r="H341" s="0" t="n">
        <v>0</v>
      </c>
      <c r="I341" s="0" t="n">
        <v>0</v>
      </c>
      <c r="J341" s="19" t="n">
        <v>0</v>
      </c>
      <c r="K341" s="19" t="n">
        <v>2</v>
      </c>
      <c r="L341" s="19" t="n">
        <v>0</v>
      </c>
      <c r="M341" s="19"/>
      <c r="N341" s="19" t="n">
        <v>0</v>
      </c>
      <c r="O341" s="19" t="n">
        <v>0</v>
      </c>
      <c r="P341" s="19" t="n">
        <v>0</v>
      </c>
      <c r="Q341" s="19" t="n">
        <v>5</v>
      </c>
      <c r="R341" s="19" t="n">
        <v>5</v>
      </c>
      <c r="S341" s="19" t="n">
        <v>0</v>
      </c>
      <c r="T341" s="19" t="n">
        <v>5</v>
      </c>
      <c r="U341" s="15" t="n">
        <f aca="false">AVERAGE(M341:T341)</f>
        <v>2.14285714285714</v>
      </c>
      <c r="V341" s="19" t="n">
        <v>3</v>
      </c>
      <c r="W341" s="19" t="n">
        <v>2</v>
      </c>
      <c r="X341" s="19" t="n">
        <v>3</v>
      </c>
      <c r="Y341" s="19" t="n">
        <v>5</v>
      </c>
      <c r="Z341" s="19" t="n">
        <v>3</v>
      </c>
      <c r="AA341" s="19" t="n">
        <v>5</v>
      </c>
      <c r="AB341" s="19" t="n">
        <v>5</v>
      </c>
      <c r="AC341" s="19" t="n">
        <v>4</v>
      </c>
      <c r="AD341" s="19" t="n">
        <v>3</v>
      </c>
      <c r="AE341" s="19" t="n">
        <v>4</v>
      </c>
      <c r="AF341" s="19" t="n">
        <v>4</v>
      </c>
      <c r="AG341" s="19" t="n">
        <v>4</v>
      </c>
      <c r="AH341" s="19" t="n">
        <v>4</v>
      </c>
      <c r="AI341" s="19" t="n">
        <v>4</v>
      </c>
      <c r="AJ341" s="19" t="n">
        <v>4</v>
      </c>
      <c r="AK341" s="19" t="n">
        <v>4</v>
      </c>
      <c r="AL341" s="19" t="n">
        <v>4</v>
      </c>
      <c r="AM341" s="19" t="n">
        <v>4</v>
      </c>
      <c r="AN341" s="19" t="n">
        <v>3</v>
      </c>
      <c r="AO341" s="19" t="n">
        <v>10</v>
      </c>
      <c r="AP341" s="0" t="n">
        <v>64</v>
      </c>
      <c r="AQ341" s="16" t="n">
        <v>74.3</v>
      </c>
      <c r="AR341" s="16" t="n">
        <v>81</v>
      </c>
      <c r="AS341" s="16" t="n">
        <v>58.5</v>
      </c>
      <c r="AT341" s="0" t="n">
        <v>49.17</v>
      </c>
      <c r="AU341" s="0" t="n">
        <v>0</v>
      </c>
      <c r="AV341" s="0" t="n">
        <v>34.45</v>
      </c>
      <c r="AW341" s="0" t="n">
        <v>16.22</v>
      </c>
      <c r="AX341" s="0" t="n">
        <v>0.16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2.52</v>
      </c>
      <c r="BH341" s="0" t="n">
        <v>9.18</v>
      </c>
      <c r="BI341" s="0" t="n">
        <v>0</v>
      </c>
      <c r="BJ341" s="0" t="n">
        <v>0</v>
      </c>
      <c r="BK341" s="0" t="n">
        <v>0</v>
      </c>
      <c r="BL341" s="0" t="n">
        <v>0.3</v>
      </c>
      <c r="BM341" s="0" t="n">
        <v>1</v>
      </c>
      <c r="BN341" s="0" t="n">
        <v>0</v>
      </c>
      <c r="BO341" s="16" t="n">
        <v>2.89</v>
      </c>
      <c r="BP341" s="16" t="n">
        <v>1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0" t="n">
        <v>0</v>
      </c>
    </row>
    <row r="342" customFormat="false" ht="13.8" hidden="false" customHeight="false" outlineLevel="0" collapsed="false">
      <c r="A342" s="0" t="n">
        <v>1</v>
      </c>
      <c r="B342" s="0" t="n">
        <v>26.507871321013</v>
      </c>
      <c r="C342" s="0" t="n">
        <v>0.375085557837098</v>
      </c>
      <c r="D342" s="0" t="s">
        <v>913</v>
      </c>
      <c r="E342" s="0" t="n">
        <v>55</v>
      </c>
      <c r="F342" s="0" t="n">
        <v>1.63</v>
      </c>
      <c r="G342" s="0" t="n">
        <v>20.7008167413151</v>
      </c>
      <c r="H342" s="0" t="n">
        <v>0</v>
      </c>
      <c r="I342" s="0" t="n">
        <v>0</v>
      </c>
      <c r="J342" s="19" t="n">
        <v>0</v>
      </c>
      <c r="K342" s="19" t="n">
        <v>0</v>
      </c>
      <c r="L342" s="19" t="n">
        <v>1</v>
      </c>
      <c r="M342" s="19" t="n">
        <v>0</v>
      </c>
      <c r="N342" s="19" t="n">
        <v>0</v>
      </c>
      <c r="O342" s="19" t="n">
        <v>0</v>
      </c>
      <c r="P342" s="19" t="n">
        <v>0</v>
      </c>
      <c r="Q342" s="19" t="n">
        <v>0</v>
      </c>
      <c r="R342" s="19" t="n">
        <v>0</v>
      </c>
      <c r="S342" s="19" t="n">
        <v>0</v>
      </c>
      <c r="T342" s="19" t="n">
        <v>0</v>
      </c>
      <c r="U342" s="15" t="n">
        <f aca="false">AVERAGE(M342:T342)</f>
        <v>0</v>
      </c>
      <c r="V342" s="19" t="n">
        <v>1</v>
      </c>
      <c r="W342" s="19" t="n">
        <v>1</v>
      </c>
      <c r="X342" s="19" t="n">
        <v>2</v>
      </c>
      <c r="Y342" s="19" t="n">
        <v>4</v>
      </c>
      <c r="Z342" s="19" t="n">
        <v>3</v>
      </c>
      <c r="AA342" s="19" t="n">
        <v>3</v>
      </c>
      <c r="AB342" s="19" t="n">
        <v>3</v>
      </c>
      <c r="AC342" s="19" t="n">
        <v>3</v>
      </c>
      <c r="AD342" s="19" t="n">
        <v>5</v>
      </c>
      <c r="AE342" s="19" t="n">
        <v>5</v>
      </c>
      <c r="AF342" s="19" t="n">
        <v>5</v>
      </c>
      <c r="AG342" s="19" t="n">
        <v>5</v>
      </c>
      <c r="AH342" s="19" t="n">
        <v>3</v>
      </c>
      <c r="AI342" s="19" t="n">
        <v>5</v>
      </c>
      <c r="AJ342" s="19" t="n">
        <v>5</v>
      </c>
      <c r="AK342" s="19" t="n">
        <v>5</v>
      </c>
      <c r="AL342" s="19" t="n">
        <v>4</v>
      </c>
      <c r="AM342" s="19" t="n">
        <v>5</v>
      </c>
      <c r="AN342" s="19" t="n">
        <v>5</v>
      </c>
      <c r="AO342" s="19" t="n">
        <v>8</v>
      </c>
      <c r="AP342" s="0" t="n">
        <v>40</v>
      </c>
      <c r="AQ342" s="16" t="n">
        <v>84.9</v>
      </c>
      <c r="AR342" s="16" t="n">
        <v>81</v>
      </c>
      <c r="AS342" s="16" t="n">
        <v>13.2</v>
      </c>
      <c r="AT342" s="0" t="n">
        <v>93.04</v>
      </c>
      <c r="AU342" s="0" t="n">
        <v>0</v>
      </c>
      <c r="AV342" s="0" t="n">
        <v>0</v>
      </c>
      <c r="AW342" s="0" t="n">
        <v>3.59</v>
      </c>
      <c r="AX342" s="0" t="n">
        <v>3.38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1.7</v>
      </c>
      <c r="BF342" s="0" t="n">
        <v>3.97</v>
      </c>
      <c r="BG342" s="0" t="n">
        <v>39.76</v>
      </c>
      <c r="BH342" s="0" t="n">
        <v>0.13</v>
      </c>
      <c r="BI342" s="0" t="n">
        <v>0</v>
      </c>
      <c r="BJ342" s="0" t="n">
        <v>0</v>
      </c>
      <c r="BK342" s="0" t="n">
        <v>0</v>
      </c>
      <c r="BL342" s="0" t="n">
        <v>15.9</v>
      </c>
      <c r="BM342" s="0" t="n">
        <v>1</v>
      </c>
      <c r="BN342" s="0" t="n">
        <v>1</v>
      </c>
      <c r="BO342" s="16" t="n">
        <v>1.48</v>
      </c>
      <c r="BP342" s="16" t="n">
        <v>1</v>
      </c>
      <c r="BQ342" s="16" t="n">
        <v>7.34</v>
      </c>
      <c r="BR342" s="16" t="n">
        <v>5.01</v>
      </c>
      <c r="BS342" s="16" t="n">
        <v>0</v>
      </c>
      <c r="BT342" s="16" t="n">
        <v>0</v>
      </c>
      <c r="BU342" s="16" t="n">
        <v>0</v>
      </c>
      <c r="BV342" s="0" t="n">
        <v>0</v>
      </c>
    </row>
    <row r="343" customFormat="false" ht="13.8" hidden="false" customHeight="false" outlineLevel="0" collapsed="false">
      <c r="A343" s="0" t="n">
        <v>1</v>
      </c>
      <c r="B343" s="0" t="n">
        <v>31.6413415468857</v>
      </c>
      <c r="C343" s="0" t="n">
        <v>0.375085557837098</v>
      </c>
      <c r="D343" s="0" t="s">
        <v>913</v>
      </c>
      <c r="E343" s="0" t="n">
        <v>61</v>
      </c>
      <c r="F343" s="0" t="n">
        <v>1.67</v>
      </c>
      <c r="G343" s="0" t="n">
        <v>21.8724228190326</v>
      </c>
      <c r="H343" s="0" t="n">
        <v>0</v>
      </c>
      <c r="I343" s="0" t="n">
        <v>0</v>
      </c>
      <c r="J343" s="19" t="n">
        <v>0</v>
      </c>
      <c r="K343" s="19" t="n">
        <v>1</v>
      </c>
      <c r="L343" s="19" t="n">
        <v>0</v>
      </c>
      <c r="M343" s="19" t="n">
        <v>0</v>
      </c>
      <c r="N343" s="19" t="n">
        <v>0</v>
      </c>
      <c r="O343" s="19" t="n">
        <v>0</v>
      </c>
      <c r="P343" s="19" t="n">
        <v>0</v>
      </c>
      <c r="Q343" s="19" t="n">
        <v>0</v>
      </c>
      <c r="R343" s="19" t="n">
        <v>0</v>
      </c>
      <c r="S343" s="19" t="n">
        <v>0</v>
      </c>
      <c r="T343" s="19" t="n">
        <v>0</v>
      </c>
      <c r="U343" s="15" t="n">
        <f aca="false">AVERAGE(M343:T343)</f>
        <v>0</v>
      </c>
      <c r="V343" s="19" t="n">
        <v>1</v>
      </c>
      <c r="W343" s="19" t="n">
        <v>1</v>
      </c>
      <c r="X343" s="19" t="n">
        <v>1</v>
      </c>
      <c r="Y343" s="19" t="n">
        <v>5</v>
      </c>
      <c r="Z343" s="19" t="n">
        <v>5</v>
      </c>
      <c r="AA343" s="19" t="n">
        <v>5</v>
      </c>
      <c r="AB343" s="19" t="n">
        <v>5</v>
      </c>
      <c r="AC343" s="19" t="n">
        <v>5</v>
      </c>
      <c r="AD343" s="19" t="n">
        <v>5</v>
      </c>
      <c r="AE343" s="19" t="n">
        <v>5</v>
      </c>
      <c r="AF343" s="19" t="n">
        <v>5</v>
      </c>
      <c r="AG343" s="19" t="n">
        <v>5</v>
      </c>
      <c r="AH343" s="19" t="n">
        <v>5</v>
      </c>
      <c r="AI343" s="19" t="n">
        <v>5</v>
      </c>
      <c r="AJ343" s="19" t="n">
        <v>5</v>
      </c>
      <c r="AK343" s="19" t="n">
        <v>5</v>
      </c>
      <c r="AL343" s="19" t="n">
        <v>5</v>
      </c>
      <c r="AM343" s="19" t="n">
        <v>5</v>
      </c>
      <c r="AN343" s="19" t="n">
        <v>5</v>
      </c>
      <c r="AO343" s="19" t="n">
        <v>10</v>
      </c>
      <c r="AP343" s="0" t="n">
        <v>40</v>
      </c>
      <c r="AQ343" s="16" t="n">
        <v>84.9</v>
      </c>
      <c r="AR343" s="16" t="n">
        <v>81</v>
      </c>
      <c r="AS343" s="16" t="n">
        <v>13.2</v>
      </c>
      <c r="AT343" s="0" t="n">
        <v>93.04</v>
      </c>
      <c r="AU343" s="0" t="n">
        <v>0</v>
      </c>
      <c r="AV343" s="0" t="n">
        <v>0</v>
      </c>
      <c r="AW343" s="0" t="n">
        <v>3.59</v>
      </c>
      <c r="AX343" s="0" t="n">
        <v>3.38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1.7</v>
      </c>
      <c r="BF343" s="0" t="n">
        <v>3.97</v>
      </c>
      <c r="BG343" s="0" t="n">
        <v>39.76</v>
      </c>
      <c r="BH343" s="0" t="n">
        <v>0.13</v>
      </c>
      <c r="BI343" s="0" t="n">
        <v>0</v>
      </c>
      <c r="BJ343" s="0" t="n">
        <v>0</v>
      </c>
      <c r="BK343" s="0" t="n">
        <v>0</v>
      </c>
      <c r="BL343" s="0" t="n">
        <v>15.9</v>
      </c>
      <c r="BM343" s="0" t="n">
        <v>1</v>
      </c>
      <c r="BN343" s="0" t="n">
        <v>1</v>
      </c>
      <c r="BO343" s="16" t="n">
        <v>1.48</v>
      </c>
      <c r="BP343" s="16" t="n">
        <v>1</v>
      </c>
      <c r="BQ343" s="16" t="n">
        <v>7.34</v>
      </c>
      <c r="BR343" s="16" t="n">
        <v>5.01</v>
      </c>
      <c r="BS343" s="16" t="n">
        <v>0</v>
      </c>
      <c r="BT343" s="16" t="n">
        <v>0</v>
      </c>
      <c r="BU343" s="16" t="n">
        <v>0</v>
      </c>
      <c r="BV343" s="0" t="n">
        <v>0</v>
      </c>
    </row>
    <row r="344" customFormat="false" ht="13.8" hidden="false" customHeight="false" outlineLevel="0" collapsed="false">
      <c r="A344" s="0" t="n">
        <v>2</v>
      </c>
      <c r="B344" s="0" t="n">
        <v>35.2908966461328</v>
      </c>
      <c r="C344" s="0" t="n">
        <v>0.123203285420945</v>
      </c>
      <c r="D344" s="0" t="n">
        <v>4</v>
      </c>
      <c r="E344" s="0" t="n">
        <v>81</v>
      </c>
      <c r="F344" s="0" t="n">
        <v>1.82</v>
      </c>
      <c r="G344" s="0" t="n">
        <v>24.4535684096124</v>
      </c>
      <c r="H344" s="0" t="n">
        <v>0</v>
      </c>
      <c r="I344" s="0" t="n">
        <v>0</v>
      </c>
      <c r="J344" s="19" t="n">
        <v>0</v>
      </c>
      <c r="K344" s="19" t="n">
        <v>2</v>
      </c>
      <c r="L344" s="19" t="n">
        <v>0</v>
      </c>
      <c r="M344" s="19" t="n">
        <v>0</v>
      </c>
      <c r="N344" s="19" t="n">
        <v>0</v>
      </c>
      <c r="O344" s="19" t="n">
        <v>0</v>
      </c>
      <c r="P344" s="19" t="n">
        <v>0</v>
      </c>
      <c r="Q344" s="19" t="n">
        <v>5</v>
      </c>
      <c r="R344" s="19" t="n">
        <v>0</v>
      </c>
      <c r="S344" s="19" t="n">
        <v>0</v>
      </c>
      <c r="T344" s="19" t="n">
        <v>0</v>
      </c>
      <c r="U344" s="15" t="n">
        <f aca="false">AVERAGE(M344:T344)</f>
        <v>0.625</v>
      </c>
      <c r="V344" s="19" t="n">
        <v>3</v>
      </c>
      <c r="W344" s="19" t="n">
        <v>3</v>
      </c>
      <c r="X344" s="19" t="n">
        <v>4</v>
      </c>
      <c r="Y344" s="19" t="n">
        <v>5</v>
      </c>
      <c r="Z344" s="19" t="n">
        <v>3</v>
      </c>
      <c r="AA344" s="19" t="n">
        <v>4</v>
      </c>
      <c r="AB344" s="19" t="n">
        <v>3</v>
      </c>
      <c r="AC344" s="19" t="n">
        <v>3</v>
      </c>
      <c r="AD344" s="19" t="n">
        <v>3</v>
      </c>
      <c r="AE344" s="19" t="n">
        <v>3</v>
      </c>
      <c r="AF344" s="19" t="n">
        <v>4</v>
      </c>
      <c r="AG344" s="19" t="n">
        <v>4</v>
      </c>
      <c r="AH344" s="19" t="n">
        <v>3</v>
      </c>
      <c r="AI344" s="19" t="n">
        <v>2</v>
      </c>
      <c r="AJ344" s="19" t="n">
        <v>4</v>
      </c>
      <c r="AK344" s="19" t="n">
        <v>4</v>
      </c>
      <c r="AL344" s="19" t="n">
        <v>3</v>
      </c>
      <c r="AM344" s="19" t="n">
        <v>2</v>
      </c>
      <c r="AN344" s="19" t="n">
        <v>3</v>
      </c>
      <c r="AO344" s="19" t="n">
        <v>9</v>
      </c>
      <c r="AP344" s="0" t="n">
        <v>17.5</v>
      </c>
      <c r="AQ344" s="16" t="n">
        <v>81.9</v>
      </c>
      <c r="AR344" s="16" t="n">
        <v>80.4</v>
      </c>
      <c r="AS344" s="16" t="n">
        <v>12.5</v>
      </c>
      <c r="AT344" s="0" t="n">
        <v>85.79</v>
      </c>
      <c r="AU344" s="0"/>
      <c r="AV344" s="0" t="n">
        <v>10.02</v>
      </c>
      <c r="AW344" s="0" t="n">
        <v>0</v>
      </c>
      <c r="AX344" s="0" t="n">
        <v>0</v>
      </c>
      <c r="AY344" s="0" t="n">
        <v>0</v>
      </c>
      <c r="AZ344" s="0" t="n">
        <v>4.19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53.51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16" t="n">
        <v>3.38</v>
      </c>
      <c r="BP344" s="16" t="n">
        <v>1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0" t="n">
        <v>0</v>
      </c>
    </row>
    <row r="345" customFormat="false" ht="13.8" hidden="false" customHeight="false" outlineLevel="0" collapsed="false">
      <c r="A345" s="0" t="n">
        <v>2</v>
      </c>
      <c r="B345" s="0" t="n">
        <v>48.1615331964408</v>
      </c>
      <c r="C345" s="0" t="n">
        <v>15.6605065023956</v>
      </c>
      <c r="D345" s="0" t="n">
        <v>8</v>
      </c>
      <c r="E345" s="0" t="n">
        <v>86</v>
      </c>
      <c r="F345" s="0" t="n">
        <v>1.72</v>
      </c>
      <c r="G345" s="0" t="n">
        <v>29.0697674418605</v>
      </c>
      <c r="H345" s="0" t="n">
        <v>0</v>
      </c>
      <c r="I345" s="0" t="n">
        <v>0</v>
      </c>
      <c r="J345" s="19" t="n">
        <v>1</v>
      </c>
      <c r="K345" s="19" t="n">
        <v>3</v>
      </c>
      <c r="L345" s="19" t="n">
        <v>0</v>
      </c>
      <c r="M345" s="19" t="n">
        <v>6</v>
      </c>
      <c r="N345" s="19" t="n">
        <v>6</v>
      </c>
      <c r="O345" s="19" t="n">
        <v>4</v>
      </c>
      <c r="P345" s="19" t="n">
        <v>0</v>
      </c>
      <c r="Q345" s="19" t="n">
        <v>6</v>
      </c>
      <c r="R345" s="19" t="n">
        <v>0</v>
      </c>
      <c r="S345" s="19" t="n">
        <v>0</v>
      </c>
      <c r="T345" s="19" t="n">
        <v>4</v>
      </c>
      <c r="U345" s="15" t="n">
        <f aca="false">AVERAGE(M345:T345)</f>
        <v>3.25</v>
      </c>
      <c r="V345" s="19" t="n">
        <v>4</v>
      </c>
      <c r="W345" s="19" t="n">
        <v>4</v>
      </c>
      <c r="X345" s="19" t="n">
        <v>4</v>
      </c>
      <c r="Y345" s="19" t="n">
        <v>5</v>
      </c>
      <c r="Z345" s="19" t="n">
        <v>4</v>
      </c>
      <c r="AA345" s="19" t="n">
        <v>4</v>
      </c>
      <c r="AB345" s="19" t="n">
        <v>5</v>
      </c>
      <c r="AC345" s="19" t="n">
        <v>5</v>
      </c>
      <c r="AD345" s="19" t="n">
        <v>3</v>
      </c>
      <c r="AE345" s="19" t="n">
        <v>1</v>
      </c>
      <c r="AF345" s="19" t="n">
        <v>3</v>
      </c>
      <c r="AG345" s="19" t="n">
        <v>5</v>
      </c>
      <c r="AH345" s="19" t="n">
        <v>3</v>
      </c>
      <c r="AI345" s="19" t="n">
        <v>3</v>
      </c>
      <c r="AJ345" s="19" t="n">
        <v>3</v>
      </c>
      <c r="AK345" s="19" t="n">
        <v>4</v>
      </c>
      <c r="AL345" s="19" t="n">
        <v>3</v>
      </c>
      <c r="AM345" s="19" t="n">
        <v>3</v>
      </c>
      <c r="AN345" s="19" t="n">
        <v>3</v>
      </c>
      <c r="AO345" s="19" t="n">
        <v>6</v>
      </c>
      <c r="AP345" s="0" t="n">
        <v>70.5</v>
      </c>
      <c r="AQ345" s="16" t="n">
        <v>88.2</v>
      </c>
      <c r="AR345" s="16" t="n">
        <v>80.4</v>
      </c>
      <c r="AS345" s="16" t="n">
        <v>36.3</v>
      </c>
      <c r="AT345" s="0" t="n">
        <v>72.69</v>
      </c>
      <c r="AU345" s="17" t="n">
        <v>0</v>
      </c>
      <c r="AV345" s="0" t="n">
        <v>10.32</v>
      </c>
      <c r="AW345" s="0" t="n">
        <v>16.99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36.66</v>
      </c>
      <c r="BG345" s="0" t="n">
        <v>7.54</v>
      </c>
      <c r="BH345" s="0" t="n">
        <v>10.32</v>
      </c>
      <c r="BI345" s="0" t="n">
        <v>0</v>
      </c>
      <c r="BJ345" s="0" t="n">
        <v>0</v>
      </c>
      <c r="BK345" s="0" t="n">
        <v>0</v>
      </c>
      <c r="BL345" s="0" t="n">
        <v>21.2</v>
      </c>
      <c r="BM345" s="0" t="n">
        <v>1</v>
      </c>
      <c r="BN345" s="0" t="n">
        <v>0</v>
      </c>
      <c r="BO345" s="16" t="n">
        <v>11.58</v>
      </c>
      <c r="BP345" s="16" t="n">
        <v>1</v>
      </c>
      <c r="BQ345" s="16" t="n">
        <v>0.27</v>
      </c>
      <c r="BR345" s="16" t="n">
        <v>0.27</v>
      </c>
      <c r="BS345" s="16" t="n">
        <v>0</v>
      </c>
      <c r="BT345" s="16" t="n">
        <v>0</v>
      </c>
      <c r="BU345" s="16" t="n">
        <v>0</v>
      </c>
      <c r="BV345" s="0" t="n">
        <v>0</v>
      </c>
    </row>
    <row r="346" customFormat="false" ht="13.8" hidden="false" customHeight="false" outlineLevel="0" collapsed="false">
      <c r="A346" s="0" t="n">
        <v>1</v>
      </c>
      <c r="B346" s="0" t="n">
        <v>46.6009582477755</v>
      </c>
      <c r="C346" s="0" t="n">
        <v>6.09445585215606</v>
      </c>
      <c r="D346" s="0" t="s">
        <v>913</v>
      </c>
      <c r="E346" s="0" t="n">
        <v>75</v>
      </c>
      <c r="F346" s="0" t="n">
        <v>1.71</v>
      </c>
      <c r="G346" s="0" t="n">
        <v>25.6489176156766</v>
      </c>
      <c r="H346" s="0" t="n">
        <v>0</v>
      </c>
      <c r="I346" s="0" t="n">
        <v>0</v>
      </c>
      <c r="J346" s="19" t="n">
        <v>1</v>
      </c>
      <c r="K346" s="19" t="n">
        <v>0</v>
      </c>
      <c r="L346" s="19" t="n">
        <v>0</v>
      </c>
      <c r="M346" s="19" t="n">
        <v>0</v>
      </c>
      <c r="N346" s="19" t="n">
        <v>7</v>
      </c>
      <c r="O346" s="19" t="n">
        <v>7</v>
      </c>
      <c r="P346" s="19" t="n">
        <v>0</v>
      </c>
      <c r="Q346" s="19" t="n">
        <v>0</v>
      </c>
      <c r="R346" s="19" t="n">
        <v>0</v>
      </c>
      <c r="S346" s="19" t="n">
        <v>0</v>
      </c>
      <c r="T346" s="19" t="n">
        <v>0</v>
      </c>
      <c r="U346" s="15" t="n">
        <f aca="false">AVERAGE(M346:T346)</f>
        <v>1.75</v>
      </c>
      <c r="V346" s="19" t="n">
        <v>3</v>
      </c>
      <c r="W346" s="19" t="n">
        <v>2</v>
      </c>
      <c r="X346" s="19" t="n">
        <v>5</v>
      </c>
      <c r="Y346" s="19" t="n">
        <v>5</v>
      </c>
      <c r="Z346" s="19" t="n">
        <v>3</v>
      </c>
      <c r="AA346" s="19" t="n">
        <v>4</v>
      </c>
      <c r="AB346" s="19" t="n">
        <v>2</v>
      </c>
      <c r="AC346" s="19" t="n">
        <v>3</v>
      </c>
      <c r="AD346" s="19" t="n">
        <v>3</v>
      </c>
      <c r="AE346" s="19" t="n">
        <v>3</v>
      </c>
      <c r="AF346" s="19" t="n">
        <v>4</v>
      </c>
      <c r="AG346" s="19" t="n">
        <v>4</v>
      </c>
      <c r="AH346" s="19" t="n">
        <v>3</v>
      </c>
      <c r="AI346" s="19" t="n">
        <v>4</v>
      </c>
      <c r="AJ346" s="19" t="n">
        <v>4</v>
      </c>
      <c r="AK346" s="19" t="n">
        <v>5</v>
      </c>
      <c r="AL346" s="19" t="n">
        <v>3</v>
      </c>
      <c r="AM346" s="19" t="n">
        <v>4</v>
      </c>
      <c r="AN346" s="19" t="n">
        <v>3</v>
      </c>
      <c r="AO346" s="19" t="n">
        <v>8</v>
      </c>
      <c r="AP346" s="24" t="n">
        <v>43</v>
      </c>
      <c r="AQ346" s="27" t="n">
        <v>91.8</v>
      </c>
      <c r="AR346" s="27" t="n">
        <v>83.4</v>
      </c>
      <c r="AS346" s="27" t="n">
        <v>25.8</v>
      </c>
      <c r="AT346" s="24" t="n">
        <v>68.3</v>
      </c>
      <c r="AU346" s="24" t="n">
        <v>0</v>
      </c>
      <c r="AV346" s="24" t="n">
        <v>0</v>
      </c>
      <c r="AW346" s="24" t="n">
        <v>0</v>
      </c>
      <c r="AX346" s="24" t="n">
        <v>31.54</v>
      </c>
      <c r="AY346" s="24" t="n">
        <v>0</v>
      </c>
      <c r="AZ346" s="24" t="n">
        <v>0</v>
      </c>
      <c r="BA346" s="24" t="n">
        <v>0</v>
      </c>
      <c r="BB346" s="24" t="n">
        <v>0</v>
      </c>
      <c r="BC346" s="24" t="n">
        <v>0</v>
      </c>
      <c r="BD346" s="24" t="n">
        <v>0</v>
      </c>
      <c r="BE346" s="24" t="n">
        <v>48.27</v>
      </c>
      <c r="BF346" s="24" t="n">
        <v>58.3</v>
      </c>
      <c r="BG346" s="24" t="n">
        <v>1.34</v>
      </c>
      <c r="BH346" s="24" t="n">
        <v>0</v>
      </c>
      <c r="BI346" s="24" t="n">
        <v>0.16</v>
      </c>
      <c r="BJ346" s="24" t="n">
        <v>0</v>
      </c>
      <c r="BK346" s="24" t="n">
        <v>0</v>
      </c>
      <c r="BL346" s="24" t="n">
        <v>11</v>
      </c>
      <c r="BM346" s="24" t="n">
        <v>1</v>
      </c>
      <c r="BN346" s="24" t="n">
        <v>1</v>
      </c>
      <c r="BO346" s="27" t="n">
        <v>2.45</v>
      </c>
      <c r="BP346" s="27" t="n">
        <v>1</v>
      </c>
      <c r="BQ346" s="27" t="n">
        <v>3.68</v>
      </c>
      <c r="BR346" s="27" t="n">
        <v>1.63</v>
      </c>
      <c r="BS346" s="27" t="n">
        <v>0</v>
      </c>
      <c r="BT346" s="27" t="n">
        <v>0</v>
      </c>
      <c r="BU346" s="27" t="n">
        <v>0</v>
      </c>
      <c r="BV346" s="24" t="n">
        <v>0</v>
      </c>
    </row>
    <row r="347" customFormat="false" ht="13.8" hidden="false" customHeight="false" outlineLevel="0" collapsed="false">
      <c r="A347" s="0" t="n">
        <v>2</v>
      </c>
      <c r="B347" s="0" t="n">
        <v>21.9219712525667</v>
      </c>
      <c r="C347" s="0" t="n">
        <v>0.353182751540041</v>
      </c>
      <c r="D347" s="0" t="s">
        <v>913</v>
      </c>
      <c r="E347" s="0" t="n">
        <v>65</v>
      </c>
      <c r="F347" s="0" t="n">
        <v>1.74</v>
      </c>
      <c r="G347" s="0" t="n">
        <v>21.4691504822301</v>
      </c>
      <c r="H347" s="0" t="n">
        <v>0</v>
      </c>
      <c r="I347" s="0" t="n">
        <v>0</v>
      </c>
      <c r="J347" s="19" t="n">
        <v>0</v>
      </c>
      <c r="K347" s="19" t="n">
        <v>0</v>
      </c>
      <c r="L347" s="19" t="n">
        <v>1</v>
      </c>
      <c r="M347" s="19" t="n">
        <v>0</v>
      </c>
      <c r="N347" s="19" t="n">
        <v>0</v>
      </c>
      <c r="O347" s="19" t="n">
        <v>0</v>
      </c>
      <c r="P347" s="19" t="n">
        <v>0</v>
      </c>
      <c r="Q347" s="19" t="n">
        <v>0</v>
      </c>
      <c r="R347" s="19" t="n">
        <v>0</v>
      </c>
      <c r="S347" s="19" t="n">
        <v>0</v>
      </c>
      <c r="T347" s="19" t="n">
        <v>0</v>
      </c>
      <c r="U347" s="15" t="n">
        <f aca="false">AVERAGE(M347:T347)</f>
        <v>0</v>
      </c>
      <c r="V347" s="19" t="n">
        <v>2</v>
      </c>
      <c r="W347" s="19" t="n">
        <v>2</v>
      </c>
      <c r="X347" s="19" t="n">
        <v>4</v>
      </c>
      <c r="Y347" s="19" t="n">
        <v>5</v>
      </c>
      <c r="Z347" s="19" t="n">
        <v>2</v>
      </c>
      <c r="AA347" s="19" t="n">
        <v>1</v>
      </c>
      <c r="AB347" s="19" t="n">
        <v>4</v>
      </c>
      <c r="AC347" s="19" t="n">
        <v>3</v>
      </c>
      <c r="AD347" s="19" t="n">
        <v>5</v>
      </c>
      <c r="AE347" s="19" t="n">
        <v>3</v>
      </c>
      <c r="AF347" s="19" t="n">
        <v>3</v>
      </c>
      <c r="AG347" s="19" t="n">
        <v>5</v>
      </c>
      <c r="AH347" s="19" t="n">
        <v>3</v>
      </c>
      <c r="AI347" s="19" t="n">
        <v>3</v>
      </c>
      <c r="AJ347" s="19" t="n">
        <v>4</v>
      </c>
      <c r="AK347" s="19" t="n">
        <v>4</v>
      </c>
      <c r="AL347" s="19" t="n">
        <v>4</v>
      </c>
      <c r="AM347" s="19" t="n">
        <v>4</v>
      </c>
      <c r="AN347" s="19" t="n">
        <v>4</v>
      </c>
      <c r="AO347" s="19" t="n">
        <v>8</v>
      </c>
      <c r="AP347" s="24" t="n">
        <v>46</v>
      </c>
      <c r="AQ347" s="27" t="n">
        <v>101.6</v>
      </c>
      <c r="AR347" s="27" t="n">
        <v>83.4</v>
      </c>
      <c r="AS347" s="27" t="n">
        <v>27.8</v>
      </c>
      <c r="AT347" s="24" t="n">
        <v>66.04</v>
      </c>
      <c r="AU347" s="24" t="n">
        <v>0</v>
      </c>
      <c r="AV347" s="24" t="n">
        <v>0</v>
      </c>
      <c r="AW347" s="24" t="n">
        <v>0</v>
      </c>
      <c r="AX347" s="24" t="n">
        <v>35.15</v>
      </c>
      <c r="AY347" s="24" t="n">
        <v>0</v>
      </c>
      <c r="AZ347" s="24" t="n">
        <v>0</v>
      </c>
      <c r="BA347" s="24" t="n">
        <v>0</v>
      </c>
      <c r="BB347" s="24" t="n">
        <v>0</v>
      </c>
      <c r="BC347" s="24" t="n">
        <v>0</v>
      </c>
      <c r="BD347" s="24" t="n">
        <v>0</v>
      </c>
      <c r="BE347" s="24" t="n">
        <v>43.27</v>
      </c>
      <c r="BF347" s="24" t="n">
        <v>65.02</v>
      </c>
      <c r="BG347" s="24" t="n">
        <v>6.59</v>
      </c>
      <c r="BH347" s="24" t="n">
        <v>0.88</v>
      </c>
      <c r="BI347" s="24" t="n">
        <v>0.16</v>
      </c>
      <c r="BJ347" s="24" t="n">
        <v>0</v>
      </c>
      <c r="BK347" s="24" t="n">
        <v>0</v>
      </c>
      <c r="BL347" s="24" t="n">
        <v>14.9</v>
      </c>
      <c r="BM347" s="24" t="n">
        <v>1</v>
      </c>
      <c r="BN347" s="24" t="n">
        <v>1</v>
      </c>
      <c r="BO347" s="27" t="n">
        <v>2.05</v>
      </c>
      <c r="BP347" s="27" t="n">
        <v>1</v>
      </c>
      <c r="BQ347" s="27" t="n">
        <v>0.86</v>
      </c>
      <c r="BR347" s="27" t="n">
        <v>0.85</v>
      </c>
      <c r="BS347" s="27" t="n">
        <v>0</v>
      </c>
      <c r="BT347" s="27" t="n">
        <v>0</v>
      </c>
      <c r="BU347" s="27" t="n">
        <v>0</v>
      </c>
      <c r="BV347" s="24" t="n">
        <v>0</v>
      </c>
    </row>
    <row r="348" customFormat="false" ht="13.8" hidden="false" customHeight="false" outlineLevel="0" collapsed="false">
      <c r="A348" s="0" t="n">
        <v>2</v>
      </c>
      <c r="B348" s="0" t="n">
        <v>28.8158795345654</v>
      </c>
      <c r="C348" s="0" t="n">
        <v>0.309377138945927</v>
      </c>
      <c r="D348" s="0" t="s">
        <v>913</v>
      </c>
      <c r="E348" s="0" t="n">
        <v>72</v>
      </c>
      <c r="F348" s="0" t="n">
        <v>1.83</v>
      </c>
      <c r="G348" s="0" t="n">
        <v>21.4995968825585</v>
      </c>
      <c r="H348" s="0" t="n">
        <v>0</v>
      </c>
      <c r="I348" s="0" t="n">
        <v>0</v>
      </c>
      <c r="J348" s="19" t="n">
        <v>0</v>
      </c>
      <c r="K348" s="19" t="n">
        <v>0</v>
      </c>
      <c r="L348" s="19" t="n">
        <v>1</v>
      </c>
      <c r="M348" s="19" t="n">
        <v>0</v>
      </c>
      <c r="N348" s="19" t="n">
        <v>0</v>
      </c>
      <c r="O348" s="19" t="n">
        <v>0</v>
      </c>
      <c r="P348" s="19" t="n">
        <v>0</v>
      </c>
      <c r="Q348" s="19" t="n">
        <v>0</v>
      </c>
      <c r="R348" s="19" t="n">
        <v>0</v>
      </c>
      <c r="S348" s="19" t="n">
        <v>0</v>
      </c>
      <c r="T348" s="19" t="n">
        <v>0</v>
      </c>
      <c r="U348" s="15" t="n">
        <f aca="false">AVERAGE(M348:T348)</f>
        <v>0</v>
      </c>
      <c r="V348" s="19" t="n">
        <v>2</v>
      </c>
      <c r="W348" s="19" t="n">
        <v>2</v>
      </c>
      <c r="X348" s="19" t="n">
        <v>4</v>
      </c>
      <c r="Y348" s="19" t="n">
        <v>4</v>
      </c>
      <c r="Z348" s="19" t="n">
        <v>2</v>
      </c>
      <c r="AA348" s="19" t="n">
        <v>2</v>
      </c>
      <c r="AB348" s="19" t="n">
        <v>3</v>
      </c>
      <c r="AC348" s="19" t="n">
        <v>3</v>
      </c>
      <c r="AD348" s="19" t="n">
        <v>3</v>
      </c>
      <c r="AE348" s="19" t="n">
        <v>3</v>
      </c>
      <c r="AF348" s="19" t="n">
        <v>4</v>
      </c>
      <c r="AG348" s="19" t="n">
        <v>5</v>
      </c>
      <c r="AH348" s="19" t="n">
        <v>3</v>
      </c>
      <c r="AI348" s="19" t="n">
        <v>5</v>
      </c>
      <c r="AJ348" s="19" t="n">
        <v>3</v>
      </c>
      <c r="AK348" s="19" t="n">
        <v>5</v>
      </c>
      <c r="AL348" s="19" t="n">
        <v>3</v>
      </c>
      <c r="AM348" s="19" t="n">
        <v>4</v>
      </c>
      <c r="AN348" s="19" t="n">
        <v>3</v>
      </c>
      <c r="AO348" s="19" t="n">
        <v>8</v>
      </c>
      <c r="AP348" s="24" t="n">
        <v>46</v>
      </c>
      <c r="AQ348" s="27" t="n">
        <v>101.6</v>
      </c>
      <c r="AR348" s="27" t="n">
        <v>83.4</v>
      </c>
      <c r="AS348" s="27" t="n">
        <v>27.8</v>
      </c>
      <c r="AT348" s="24" t="n">
        <v>66.04</v>
      </c>
      <c r="AU348" s="24" t="n">
        <v>0</v>
      </c>
      <c r="AV348" s="24" t="n">
        <v>0</v>
      </c>
      <c r="AW348" s="24" t="n">
        <v>0</v>
      </c>
      <c r="AX348" s="24" t="n">
        <v>35.15</v>
      </c>
      <c r="AY348" s="24" t="n">
        <v>0</v>
      </c>
      <c r="AZ348" s="24" t="n">
        <v>0</v>
      </c>
      <c r="BA348" s="24" t="n">
        <v>0</v>
      </c>
      <c r="BB348" s="24" t="n">
        <v>0</v>
      </c>
      <c r="BC348" s="24" t="n">
        <v>0</v>
      </c>
      <c r="BD348" s="24" t="n">
        <v>0</v>
      </c>
      <c r="BE348" s="24" t="n">
        <v>43.27</v>
      </c>
      <c r="BF348" s="24" t="n">
        <v>65.02</v>
      </c>
      <c r="BG348" s="24" t="n">
        <v>6.59</v>
      </c>
      <c r="BH348" s="24" t="n">
        <v>0.88</v>
      </c>
      <c r="BI348" s="24" t="n">
        <v>0.16</v>
      </c>
      <c r="BJ348" s="24" t="n">
        <v>0</v>
      </c>
      <c r="BK348" s="24" t="n">
        <v>0</v>
      </c>
      <c r="BL348" s="24" t="n">
        <v>14.9</v>
      </c>
      <c r="BM348" s="24" t="n">
        <v>1</v>
      </c>
      <c r="BN348" s="24" t="n">
        <v>1</v>
      </c>
      <c r="BO348" s="27" t="n">
        <v>2.05</v>
      </c>
      <c r="BP348" s="27" t="n">
        <v>1</v>
      </c>
      <c r="BQ348" s="27" t="n">
        <v>0.86</v>
      </c>
      <c r="BR348" s="27" t="n">
        <v>0.85</v>
      </c>
      <c r="BS348" s="27" t="n">
        <v>0</v>
      </c>
      <c r="BT348" s="27" t="n">
        <v>0</v>
      </c>
      <c r="BU348" s="27" t="n">
        <v>0</v>
      </c>
      <c r="BV348" s="24" t="n">
        <v>0</v>
      </c>
    </row>
    <row r="349" customFormat="false" ht="13.8" hidden="false" customHeight="false" outlineLevel="0" collapsed="false">
      <c r="A349" s="0" t="n">
        <v>2</v>
      </c>
      <c r="B349" s="0" t="n">
        <v>49.5222450376455</v>
      </c>
      <c r="C349" s="0" t="n">
        <v>6.09445585215606</v>
      </c>
      <c r="D349" s="0" t="s">
        <v>913</v>
      </c>
      <c r="E349" s="0" t="n">
        <v>74</v>
      </c>
      <c r="F349" s="0" t="n">
        <v>1.72</v>
      </c>
      <c r="G349" s="0" t="n">
        <v>25.013520822066</v>
      </c>
      <c r="H349" s="0" t="n">
        <v>0</v>
      </c>
      <c r="I349" s="0" t="n">
        <v>0</v>
      </c>
      <c r="J349" s="19" t="n">
        <v>0</v>
      </c>
      <c r="K349" s="19"/>
      <c r="L349" s="19" t="n">
        <v>1</v>
      </c>
      <c r="M349" s="19"/>
      <c r="N349" s="19"/>
      <c r="O349" s="19"/>
      <c r="P349" s="19"/>
      <c r="Q349" s="19"/>
      <c r="R349" s="19"/>
      <c r="S349" s="19"/>
      <c r="T349" s="19"/>
      <c r="U349" s="15"/>
      <c r="V349" s="19" t="n">
        <v>3</v>
      </c>
      <c r="W349" s="19" t="n">
        <v>3</v>
      </c>
      <c r="X349" s="19" t="n">
        <v>4</v>
      </c>
      <c r="Y349" s="19" t="n">
        <v>5</v>
      </c>
      <c r="Z349" s="19" t="n">
        <v>3</v>
      </c>
      <c r="AA349" s="19" t="n">
        <v>5</v>
      </c>
      <c r="AB349" s="19" t="n">
        <v>4</v>
      </c>
      <c r="AC349" s="19" t="n">
        <v>5</v>
      </c>
      <c r="AD349" s="19" t="n">
        <v>5</v>
      </c>
      <c r="AE349" s="19" t="n">
        <v>4</v>
      </c>
      <c r="AF349" s="19" t="n">
        <v>3</v>
      </c>
      <c r="AG349" s="19" t="n">
        <v>5</v>
      </c>
      <c r="AH349" s="19" t="n">
        <v>5</v>
      </c>
      <c r="AI349" s="19" t="n">
        <v>5</v>
      </c>
      <c r="AJ349" s="19" t="n">
        <v>5</v>
      </c>
      <c r="AK349" s="19" t="n">
        <v>5</v>
      </c>
      <c r="AL349" s="19" t="n">
        <v>5</v>
      </c>
      <c r="AM349" s="19" t="n">
        <v>4</v>
      </c>
      <c r="AN349" s="19" t="n">
        <v>5</v>
      </c>
      <c r="AO349" s="19" t="n">
        <v>10</v>
      </c>
      <c r="AP349" s="24" t="n">
        <v>43</v>
      </c>
      <c r="AQ349" s="27" t="n">
        <v>91.8</v>
      </c>
      <c r="AR349" s="27" t="n">
        <v>83.4</v>
      </c>
      <c r="AS349" s="27" t="n">
        <v>25.8</v>
      </c>
      <c r="AT349" s="24" t="n">
        <v>68.3</v>
      </c>
      <c r="AU349" s="24" t="n">
        <v>0</v>
      </c>
      <c r="AV349" s="24" t="n">
        <v>0</v>
      </c>
      <c r="AW349" s="24" t="n">
        <v>0</v>
      </c>
      <c r="AX349" s="24" t="n">
        <v>31.54</v>
      </c>
      <c r="AY349" s="24" t="n">
        <v>0</v>
      </c>
      <c r="AZ349" s="24" t="n">
        <v>0</v>
      </c>
      <c r="BA349" s="24" t="n">
        <v>0</v>
      </c>
      <c r="BB349" s="24" t="n">
        <v>0</v>
      </c>
      <c r="BC349" s="24" t="n">
        <v>0</v>
      </c>
      <c r="BD349" s="24" t="n">
        <v>0</v>
      </c>
      <c r="BE349" s="24" t="n">
        <v>48.27</v>
      </c>
      <c r="BF349" s="24" t="n">
        <v>58.3</v>
      </c>
      <c r="BG349" s="24" t="n">
        <v>1.34</v>
      </c>
      <c r="BH349" s="24" t="n">
        <v>0</v>
      </c>
      <c r="BI349" s="24" t="n">
        <v>0.16</v>
      </c>
      <c r="BJ349" s="24" t="n">
        <v>0</v>
      </c>
      <c r="BK349" s="24" t="n">
        <v>0</v>
      </c>
      <c r="BL349" s="24" t="n">
        <v>11</v>
      </c>
      <c r="BM349" s="24" t="n">
        <v>1</v>
      </c>
      <c r="BN349" s="24" t="n">
        <v>1</v>
      </c>
      <c r="BO349" s="27" t="n">
        <v>2.45</v>
      </c>
      <c r="BP349" s="27" t="n">
        <v>1</v>
      </c>
      <c r="BQ349" s="27" t="n">
        <v>3.68</v>
      </c>
      <c r="BR349" s="27" t="n">
        <v>1.63</v>
      </c>
      <c r="BS349" s="27" t="n">
        <v>0</v>
      </c>
      <c r="BT349" s="27" t="n">
        <v>0</v>
      </c>
      <c r="BU349" s="27" t="n">
        <v>0</v>
      </c>
      <c r="BV349" s="24" t="n">
        <v>0</v>
      </c>
    </row>
    <row r="350" customFormat="false" ht="13.8" hidden="false" customHeight="false" outlineLevel="0" collapsed="false">
      <c r="A350" s="0" t="n">
        <v>2</v>
      </c>
      <c r="B350" s="0" t="n">
        <v>21.5687885010267</v>
      </c>
      <c r="C350" s="0" t="n">
        <v>0.342231348391513</v>
      </c>
      <c r="D350" s="0" t="s">
        <v>913</v>
      </c>
      <c r="E350" s="0" t="n">
        <v>75</v>
      </c>
      <c r="F350" s="0" t="n">
        <v>1.82</v>
      </c>
      <c r="G350" s="0" t="n">
        <v>22.6421929718633</v>
      </c>
      <c r="H350" s="0" t="n">
        <v>0</v>
      </c>
      <c r="I350" s="0" t="n">
        <v>0</v>
      </c>
      <c r="J350" s="19" t="n">
        <v>0</v>
      </c>
      <c r="K350" s="19" t="n">
        <v>3</v>
      </c>
      <c r="L350" s="19" t="n">
        <v>1</v>
      </c>
      <c r="M350" s="19" t="n">
        <v>0</v>
      </c>
      <c r="N350" s="19" t="n">
        <v>0</v>
      </c>
      <c r="O350" s="19" t="n">
        <v>0</v>
      </c>
      <c r="P350" s="19" t="n">
        <v>0</v>
      </c>
      <c r="Q350" s="19" t="n">
        <v>0</v>
      </c>
      <c r="R350" s="19" t="n">
        <v>0</v>
      </c>
      <c r="S350" s="19" t="n">
        <v>0</v>
      </c>
      <c r="T350" s="19" t="n">
        <v>0</v>
      </c>
      <c r="U350" s="15" t="n">
        <f aca="false">AVERAGE(M350:T350)</f>
        <v>0</v>
      </c>
      <c r="V350" s="19" t="n">
        <v>1</v>
      </c>
      <c r="W350" s="19" t="n">
        <v>2</v>
      </c>
      <c r="X350" s="19" t="n">
        <v>3</v>
      </c>
      <c r="Y350" s="19" t="n">
        <v>5</v>
      </c>
      <c r="Z350" s="19" t="n">
        <v>1</v>
      </c>
      <c r="AA350" s="19" t="n">
        <v>1</v>
      </c>
      <c r="AB350" s="19" t="n">
        <v>2</v>
      </c>
      <c r="AC350" s="19" t="n">
        <v>4</v>
      </c>
      <c r="AD350" s="19" t="n">
        <v>2</v>
      </c>
      <c r="AE350" s="19" t="n">
        <v>5</v>
      </c>
      <c r="AF350" s="19" t="n">
        <v>5</v>
      </c>
      <c r="AG350" s="19" t="n">
        <v>5</v>
      </c>
      <c r="AH350" s="19" t="n">
        <v>4</v>
      </c>
      <c r="AI350" s="19" t="n">
        <v>5</v>
      </c>
      <c r="AJ350" s="19" t="n">
        <v>5</v>
      </c>
      <c r="AK350" s="19" t="n">
        <v>5</v>
      </c>
      <c r="AL350" s="19" t="n">
        <v>5</v>
      </c>
      <c r="AM350" s="19" t="n">
        <v>5</v>
      </c>
      <c r="AN350" s="19" t="n">
        <v>5</v>
      </c>
      <c r="AO350" s="19" t="n">
        <v>8</v>
      </c>
      <c r="AP350" s="24" t="n">
        <v>43</v>
      </c>
      <c r="AQ350" s="27" t="n">
        <v>91.8</v>
      </c>
      <c r="AR350" s="27" t="n">
        <v>83.4</v>
      </c>
      <c r="AS350" s="27" t="n">
        <v>25.8</v>
      </c>
      <c r="AT350" s="24" t="n">
        <v>68.3</v>
      </c>
      <c r="AU350" s="24" t="n">
        <v>0</v>
      </c>
      <c r="AV350" s="24" t="n">
        <v>0</v>
      </c>
      <c r="AW350" s="24" t="n">
        <v>0</v>
      </c>
      <c r="AX350" s="24" t="n">
        <v>31.54</v>
      </c>
      <c r="AY350" s="24" t="n">
        <v>0</v>
      </c>
      <c r="AZ350" s="24" t="n">
        <v>0</v>
      </c>
      <c r="BA350" s="24" t="n">
        <v>0</v>
      </c>
      <c r="BB350" s="24" t="n">
        <v>0</v>
      </c>
      <c r="BC350" s="24" t="n">
        <v>0</v>
      </c>
      <c r="BD350" s="24" t="n">
        <v>0</v>
      </c>
      <c r="BE350" s="24" t="n">
        <v>48.27</v>
      </c>
      <c r="BF350" s="24" t="n">
        <v>58.3</v>
      </c>
      <c r="BG350" s="24" t="n">
        <v>1.34</v>
      </c>
      <c r="BH350" s="24" t="n">
        <v>0</v>
      </c>
      <c r="BI350" s="24" t="n">
        <v>0.16</v>
      </c>
      <c r="BJ350" s="24" t="n">
        <v>0</v>
      </c>
      <c r="BK350" s="24" t="n">
        <v>0</v>
      </c>
      <c r="BL350" s="24" t="n">
        <v>11</v>
      </c>
      <c r="BM350" s="24" t="n">
        <v>1</v>
      </c>
      <c r="BN350" s="24" t="n">
        <v>1</v>
      </c>
      <c r="BO350" s="27" t="n">
        <v>2.45</v>
      </c>
      <c r="BP350" s="27" t="n">
        <v>1</v>
      </c>
      <c r="BQ350" s="27" t="n">
        <v>3.68</v>
      </c>
      <c r="BR350" s="27" t="n">
        <v>1.63</v>
      </c>
      <c r="BS350" s="27" t="n">
        <v>0</v>
      </c>
      <c r="BT350" s="27" t="n">
        <v>0</v>
      </c>
      <c r="BU350" s="27" t="n">
        <v>0</v>
      </c>
      <c r="BV350" s="24" t="n">
        <v>0</v>
      </c>
    </row>
    <row r="351" customFormat="false" ht="13.8" hidden="false" customHeight="false" outlineLevel="0" collapsed="false">
      <c r="A351" s="0" t="n">
        <v>2</v>
      </c>
      <c r="B351" s="0" t="n">
        <v>25.305954825462</v>
      </c>
      <c r="C351" s="0" t="n">
        <v>0.353182751540041</v>
      </c>
      <c r="D351" s="0" t="s">
        <v>913</v>
      </c>
      <c r="E351" s="0" t="n">
        <v>70</v>
      </c>
      <c r="F351" s="0" t="n">
        <v>1.71</v>
      </c>
      <c r="G351" s="0" t="n">
        <v>23.9389897746315</v>
      </c>
      <c r="H351" s="0" t="n">
        <v>0</v>
      </c>
      <c r="I351" s="0" t="n">
        <v>0</v>
      </c>
      <c r="J351" s="19" t="n">
        <v>1</v>
      </c>
      <c r="K351" s="19" t="n">
        <v>3</v>
      </c>
      <c r="L351" s="19" t="n">
        <v>1</v>
      </c>
      <c r="M351" s="19" t="n">
        <v>0</v>
      </c>
      <c r="N351" s="19" t="n">
        <v>0</v>
      </c>
      <c r="O351" s="19" t="n">
        <v>0</v>
      </c>
      <c r="P351" s="19" t="n">
        <v>0</v>
      </c>
      <c r="Q351" s="19" t="n">
        <v>0</v>
      </c>
      <c r="R351" s="19" t="n">
        <v>0</v>
      </c>
      <c r="S351" s="19" t="n">
        <v>5</v>
      </c>
      <c r="T351" s="19" t="n">
        <v>9</v>
      </c>
      <c r="U351" s="15" t="n">
        <f aca="false">AVERAGE(M351:T351)</f>
        <v>1.75</v>
      </c>
      <c r="V351" s="19" t="n">
        <v>3</v>
      </c>
      <c r="W351" s="19" t="n">
        <v>2</v>
      </c>
      <c r="X351" s="19" t="n">
        <v>4</v>
      </c>
      <c r="Y351" s="19" t="n">
        <v>4</v>
      </c>
      <c r="Z351" s="19" t="n">
        <v>3</v>
      </c>
      <c r="AA351" s="19" t="n">
        <v>4</v>
      </c>
      <c r="AB351" s="19" t="n">
        <v>4</v>
      </c>
      <c r="AC351" s="19" t="n">
        <v>3</v>
      </c>
      <c r="AD351" s="19" t="n">
        <v>1</v>
      </c>
      <c r="AE351" s="19" t="n">
        <v>3</v>
      </c>
      <c r="AF351" s="19" t="n">
        <v>3</v>
      </c>
      <c r="AG351" s="19" t="n">
        <v>4</v>
      </c>
      <c r="AH351" s="19" t="n">
        <v>4</v>
      </c>
      <c r="AI351" s="19" t="n">
        <v>3</v>
      </c>
      <c r="AJ351" s="19" t="n">
        <v>4</v>
      </c>
      <c r="AK351" s="19" t="n">
        <v>5</v>
      </c>
      <c r="AL351" s="19" t="n">
        <v>4</v>
      </c>
      <c r="AM351" s="19" t="n">
        <v>4</v>
      </c>
      <c r="AN351" s="19" t="n">
        <v>2</v>
      </c>
      <c r="AO351" s="19" t="n">
        <v>7</v>
      </c>
      <c r="AP351" s="24" t="n">
        <v>43</v>
      </c>
      <c r="AQ351" s="27" t="n">
        <v>91.8</v>
      </c>
      <c r="AR351" s="27" t="n">
        <v>83.4</v>
      </c>
      <c r="AS351" s="27" t="n">
        <v>25.8</v>
      </c>
      <c r="AT351" s="24" t="n">
        <v>68.3</v>
      </c>
      <c r="AU351" s="24" t="n">
        <v>0</v>
      </c>
      <c r="AV351" s="24" t="n">
        <v>0</v>
      </c>
      <c r="AW351" s="24" t="n">
        <v>0</v>
      </c>
      <c r="AX351" s="24" t="n">
        <v>31.54</v>
      </c>
      <c r="AY351" s="24" t="n">
        <v>0</v>
      </c>
      <c r="AZ351" s="24" t="n">
        <v>0</v>
      </c>
      <c r="BA351" s="24" t="n">
        <v>0</v>
      </c>
      <c r="BB351" s="24" t="n">
        <v>0</v>
      </c>
      <c r="BC351" s="24" t="n">
        <v>0</v>
      </c>
      <c r="BD351" s="24" t="n">
        <v>0</v>
      </c>
      <c r="BE351" s="24" t="n">
        <v>48.27</v>
      </c>
      <c r="BF351" s="24" t="n">
        <v>58.3</v>
      </c>
      <c r="BG351" s="24" t="n">
        <v>1.34</v>
      </c>
      <c r="BH351" s="24" t="n">
        <v>0</v>
      </c>
      <c r="BI351" s="24" t="n">
        <v>0.16</v>
      </c>
      <c r="BJ351" s="24" t="n">
        <v>0</v>
      </c>
      <c r="BK351" s="24" t="n">
        <v>0</v>
      </c>
      <c r="BL351" s="24" t="n">
        <v>11</v>
      </c>
      <c r="BM351" s="24" t="n">
        <v>1</v>
      </c>
      <c r="BN351" s="24" t="n">
        <v>1</v>
      </c>
      <c r="BO351" s="27" t="n">
        <v>2.45</v>
      </c>
      <c r="BP351" s="27" t="n">
        <v>1</v>
      </c>
      <c r="BQ351" s="27" t="n">
        <v>3.68</v>
      </c>
      <c r="BR351" s="27" t="n">
        <v>1.63</v>
      </c>
      <c r="BS351" s="27" t="n">
        <v>0</v>
      </c>
      <c r="BT351" s="27" t="n">
        <v>0</v>
      </c>
      <c r="BU351" s="27" t="n">
        <v>0</v>
      </c>
      <c r="BV351" s="24" t="n">
        <v>0</v>
      </c>
    </row>
    <row r="352" customFormat="false" ht="13.8" hidden="false" customHeight="false" outlineLevel="0" collapsed="false">
      <c r="A352" s="0" t="n">
        <v>2</v>
      </c>
      <c r="B352" s="0" t="n">
        <v>23.0390143737166</v>
      </c>
      <c r="C352" s="0" t="n">
        <v>0.353182751540041</v>
      </c>
      <c r="D352" s="0" t="s">
        <v>913</v>
      </c>
      <c r="E352" s="0" t="n">
        <v>78</v>
      </c>
      <c r="F352" s="0" t="n">
        <v>1.79</v>
      </c>
      <c r="G352" s="0" t="n">
        <v>24.3438094940857</v>
      </c>
      <c r="H352" s="0" t="n">
        <v>0</v>
      </c>
      <c r="I352" s="0" t="n">
        <v>0</v>
      </c>
      <c r="J352" s="19" t="n">
        <v>0</v>
      </c>
      <c r="K352" s="19"/>
      <c r="L352" s="19" t="n">
        <v>1</v>
      </c>
      <c r="M352" s="19"/>
      <c r="N352" s="19"/>
      <c r="O352" s="19"/>
      <c r="P352" s="19"/>
      <c r="Q352" s="19"/>
      <c r="R352" s="19"/>
      <c r="S352" s="19"/>
      <c r="T352" s="19"/>
      <c r="U352" s="15"/>
      <c r="V352" s="19" t="n">
        <v>1</v>
      </c>
      <c r="W352" s="19" t="n">
        <v>2</v>
      </c>
      <c r="X352" s="19" t="n">
        <v>3</v>
      </c>
      <c r="Y352" s="19" t="n">
        <v>5</v>
      </c>
      <c r="Z352" s="19" t="n">
        <v>3</v>
      </c>
      <c r="AA352" s="19" t="n">
        <v>3</v>
      </c>
      <c r="AB352" s="19" t="n">
        <v>3</v>
      </c>
      <c r="AC352" s="19" t="n">
        <v>3</v>
      </c>
      <c r="AD352" s="19" t="n">
        <v>5</v>
      </c>
      <c r="AE352" s="19" t="n">
        <v>3</v>
      </c>
      <c r="AF352" s="19" t="n">
        <v>5</v>
      </c>
      <c r="AG352" s="19" t="n">
        <v>3</v>
      </c>
      <c r="AH352" s="19" t="n">
        <v>3</v>
      </c>
      <c r="AI352" s="19" t="n">
        <v>3</v>
      </c>
      <c r="AJ352" s="19" t="n">
        <v>3</v>
      </c>
      <c r="AK352" s="19" t="n">
        <v>3</v>
      </c>
      <c r="AL352" s="19" t="n">
        <v>3</v>
      </c>
      <c r="AM352" s="19" t="n">
        <v>3</v>
      </c>
      <c r="AN352" s="19" t="n">
        <v>3</v>
      </c>
      <c r="AO352" s="19" t="n">
        <v>8</v>
      </c>
      <c r="AP352" s="24" t="n">
        <v>43</v>
      </c>
      <c r="AQ352" s="27" t="n">
        <v>91.8</v>
      </c>
      <c r="AR352" s="27" t="n">
        <v>83.4</v>
      </c>
      <c r="AS352" s="27" t="n">
        <v>25.8</v>
      </c>
      <c r="AT352" s="24" t="n">
        <v>68.3</v>
      </c>
      <c r="AU352" s="24" t="n">
        <v>0</v>
      </c>
      <c r="AV352" s="24" t="n">
        <v>0</v>
      </c>
      <c r="AW352" s="24" t="n">
        <v>0</v>
      </c>
      <c r="AX352" s="24" t="n">
        <v>31.54</v>
      </c>
      <c r="AY352" s="24" t="n">
        <v>0</v>
      </c>
      <c r="AZ352" s="24" t="n">
        <v>0</v>
      </c>
      <c r="BA352" s="24" t="n">
        <v>0</v>
      </c>
      <c r="BB352" s="24" t="n">
        <v>0</v>
      </c>
      <c r="BC352" s="24" t="n">
        <v>0</v>
      </c>
      <c r="BD352" s="24" t="n">
        <v>0</v>
      </c>
      <c r="BE352" s="24" t="n">
        <v>48.27</v>
      </c>
      <c r="BF352" s="24" t="n">
        <v>58.3</v>
      </c>
      <c r="BG352" s="24" t="n">
        <v>1.34</v>
      </c>
      <c r="BH352" s="24" t="n">
        <v>0</v>
      </c>
      <c r="BI352" s="24" t="n">
        <v>0.16</v>
      </c>
      <c r="BJ352" s="24" t="n">
        <v>0</v>
      </c>
      <c r="BK352" s="24" t="n">
        <v>0</v>
      </c>
      <c r="BL352" s="24" t="n">
        <v>11</v>
      </c>
      <c r="BM352" s="24" t="n">
        <v>1</v>
      </c>
      <c r="BN352" s="24" t="n">
        <v>1</v>
      </c>
      <c r="BO352" s="27" t="n">
        <v>2.45</v>
      </c>
      <c r="BP352" s="27" t="n">
        <v>1</v>
      </c>
      <c r="BQ352" s="27" t="n">
        <v>3.68</v>
      </c>
      <c r="BR352" s="27" t="n">
        <v>1.63</v>
      </c>
      <c r="BS352" s="27" t="n">
        <v>0</v>
      </c>
      <c r="BT352" s="27" t="n">
        <v>0</v>
      </c>
      <c r="BU352" s="27" t="n">
        <v>0</v>
      </c>
      <c r="BV352" s="24" t="n">
        <v>0</v>
      </c>
    </row>
    <row r="353" customFormat="false" ht="13.8" hidden="false" customHeight="false" outlineLevel="0" collapsed="false">
      <c r="A353" s="0" t="n">
        <v>2</v>
      </c>
      <c r="B353" s="0" t="n">
        <v>45.0020533880903</v>
      </c>
      <c r="C353" s="0" t="n">
        <v>22.2888432580424</v>
      </c>
      <c r="D353" s="0" t="s">
        <v>913</v>
      </c>
      <c r="E353" s="0" t="n">
        <v>69</v>
      </c>
      <c r="F353" s="0" t="n">
        <v>1.79</v>
      </c>
      <c r="G353" s="0" t="n">
        <v>21.5349083986143</v>
      </c>
      <c r="H353" s="0" t="n">
        <v>0</v>
      </c>
      <c r="I353" s="0" t="n">
        <v>0</v>
      </c>
      <c r="J353" s="19" t="n">
        <v>0</v>
      </c>
      <c r="K353" s="19" t="n">
        <v>0</v>
      </c>
      <c r="L353" s="19" t="n">
        <v>1</v>
      </c>
      <c r="M353" s="19" t="n">
        <v>6</v>
      </c>
      <c r="N353" s="19" t="n">
        <v>0</v>
      </c>
      <c r="O353" s="19" t="n">
        <v>0</v>
      </c>
      <c r="P353" s="19" t="n">
        <v>0</v>
      </c>
      <c r="Q353" s="19" t="n">
        <v>7</v>
      </c>
      <c r="R353" s="19" t="n">
        <v>7</v>
      </c>
      <c r="S353" s="19" t="n">
        <v>0</v>
      </c>
      <c r="T353" s="19" t="n">
        <v>8</v>
      </c>
      <c r="U353" s="15" t="n">
        <f aca="false">AVERAGE(M353:T353)</f>
        <v>3.5</v>
      </c>
      <c r="V353" s="19" t="n">
        <v>4</v>
      </c>
      <c r="W353" s="19" t="n">
        <v>5</v>
      </c>
      <c r="X353" s="19" t="n">
        <v>4</v>
      </c>
      <c r="Y353" s="19" t="n">
        <v>5</v>
      </c>
      <c r="Z353" s="19" t="n">
        <v>4</v>
      </c>
      <c r="AA353" s="19" t="n">
        <v>4</v>
      </c>
      <c r="AB353" s="19" t="n">
        <v>5</v>
      </c>
      <c r="AC353" s="19" t="n">
        <v>4</v>
      </c>
      <c r="AD353" s="19" t="n">
        <v>2</v>
      </c>
      <c r="AE353" s="19" t="n">
        <v>1</v>
      </c>
      <c r="AF353" s="19" t="n">
        <v>1</v>
      </c>
      <c r="AG353" s="19" t="n">
        <v>5</v>
      </c>
      <c r="AH353" s="19" t="n">
        <v>1</v>
      </c>
      <c r="AI353" s="19" t="n">
        <v>1</v>
      </c>
      <c r="AJ353" s="19" t="n">
        <v>4</v>
      </c>
      <c r="AK353" s="19" t="n">
        <v>4</v>
      </c>
      <c r="AL353" s="19" t="n">
        <v>3</v>
      </c>
      <c r="AM353" s="19" t="n">
        <v>3</v>
      </c>
      <c r="AN353" s="19" t="n">
        <v>3</v>
      </c>
      <c r="AO353" s="19" t="n">
        <v>8</v>
      </c>
      <c r="AP353" s="24" t="n">
        <v>43</v>
      </c>
      <c r="AQ353" s="27" t="n">
        <v>91.8</v>
      </c>
      <c r="AR353" s="27" t="n">
        <v>83.4</v>
      </c>
      <c r="AS353" s="27" t="n">
        <v>25.8</v>
      </c>
      <c r="AT353" s="24" t="n">
        <v>68.3</v>
      </c>
      <c r="AU353" s="24" t="n">
        <v>0</v>
      </c>
      <c r="AV353" s="24" t="n">
        <v>0</v>
      </c>
      <c r="AW353" s="24" t="n">
        <v>0</v>
      </c>
      <c r="AX353" s="24" t="n">
        <v>31.54</v>
      </c>
      <c r="AY353" s="24" t="n">
        <v>0</v>
      </c>
      <c r="AZ353" s="24" t="n">
        <v>0</v>
      </c>
      <c r="BA353" s="24" t="n">
        <v>0</v>
      </c>
      <c r="BB353" s="24" t="n">
        <v>0</v>
      </c>
      <c r="BC353" s="24" t="n">
        <v>0</v>
      </c>
      <c r="BD353" s="24" t="n">
        <v>0</v>
      </c>
      <c r="BE353" s="24" t="n">
        <v>48.27</v>
      </c>
      <c r="BF353" s="24" t="n">
        <v>58.3</v>
      </c>
      <c r="BG353" s="24" t="n">
        <v>1.34</v>
      </c>
      <c r="BH353" s="24" t="n">
        <v>0</v>
      </c>
      <c r="BI353" s="24" t="n">
        <v>0.16</v>
      </c>
      <c r="BJ353" s="24" t="n">
        <v>0</v>
      </c>
      <c r="BK353" s="24" t="n">
        <v>0</v>
      </c>
      <c r="BL353" s="24" t="n">
        <v>11</v>
      </c>
      <c r="BM353" s="24" t="n">
        <v>1</v>
      </c>
      <c r="BN353" s="24" t="n">
        <v>1</v>
      </c>
      <c r="BO353" s="27" t="n">
        <v>2.45</v>
      </c>
      <c r="BP353" s="27" t="n">
        <v>1</v>
      </c>
      <c r="BQ353" s="27" t="n">
        <v>3.68</v>
      </c>
      <c r="BR353" s="27" t="n">
        <v>1.63</v>
      </c>
      <c r="BS353" s="27" t="n">
        <v>0</v>
      </c>
      <c r="BT353" s="27" t="n">
        <v>0</v>
      </c>
      <c r="BU353" s="27" t="n">
        <v>0</v>
      </c>
      <c r="BV353" s="24" t="n">
        <v>0</v>
      </c>
    </row>
    <row r="354" customFormat="false" ht="13.8" hidden="false" customHeight="false" outlineLevel="0" collapsed="false">
      <c r="A354" s="24" t="n">
        <v>2</v>
      </c>
      <c r="B354" s="0" t="n">
        <v>21.5222450376454</v>
      </c>
      <c r="C354" s="0" t="n">
        <v>0.383299110198494</v>
      </c>
      <c r="D354" s="0" t="s">
        <v>913</v>
      </c>
      <c r="E354" s="0" t="n">
        <v>90</v>
      </c>
      <c r="F354" s="0" t="n">
        <v>1.9</v>
      </c>
      <c r="G354" s="0" t="n">
        <v>24.9307479224377</v>
      </c>
      <c r="H354" s="0" t="n">
        <v>0</v>
      </c>
      <c r="I354" s="0" t="n">
        <v>0</v>
      </c>
      <c r="J354" s="26" t="n">
        <v>0</v>
      </c>
      <c r="K354" s="26" t="n">
        <v>0</v>
      </c>
      <c r="L354" s="26" t="n">
        <v>1</v>
      </c>
      <c r="M354" s="26" t="n">
        <v>0</v>
      </c>
      <c r="N354" s="26" t="n">
        <v>0</v>
      </c>
      <c r="O354" s="26" t="n">
        <v>0</v>
      </c>
      <c r="P354" s="26" t="n">
        <v>0</v>
      </c>
      <c r="Q354" s="26" t="n">
        <v>0</v>
      </c>
      <c r="R354" s="26" t="n">
        <v>0</v>
      </c>
      <c r="S354" s="26" t="n">
        <v>0</v>
      </c>
      <c r="T354" s="26" t="n">
        <v>0</v>
      </c>
      <c r="U354" s="15" t="n">
        <f aca="false">AVERAGE(M354:T354)</f>
        <v>0</v>
      </c>
      <c r="V354" s="26" t="n">
        <v>2</v>
      </c>
      <c r="W354" s="26" t="n">
        <v>2</v>
      </c>
      <c r="X354" s="26" t="n">
        <v>4</v>
      </c>
      <c r="Y354" s="26" t="n">
        <v>2</v>
      </c>
      <c r="Z354" s="26" t="n">
        <v>2</v>
      </c>
      <c r="AA354" s="26" t="n">
        <v>1</v>
      </c>
      <c r="AB354" s="26" t="n">
        <v>3</v>
      </c>
      <c r="AC354" s="26" t="n">
        <v>3</v>
      </c>
      <c r="AD354" s="26" t="n">
        <v>2</v>
      </c>
      <c r="AE354" s="26" t="n">
        <v>5</v>
      </c>
      <c r="AF354" s="26" t="n">
        <v>4</v>
      </c>
      <c r="AG354" s="26" t="n">
        <v>5</v>
      </c>
      <c r="AH354" s="26" t="n">
        <v>4</v>
      </c>
      <c r="AI354" s="26" t="n">
        <v>5</v>
      </c>
      <c r="AJ354" s="26" t="n">
        <v>4</v>
      </c>
      <c r="AK354" s="26" t="n">
        <v>5</v>
      </c>
      <c r="AL354" s="26" t="n">
        <v>5</v>
      </c>
      <c r="AM354" s="26" t="n">
        <v>5</v>
      </c>
      <c r="AN354" s="26" t="n">
        <v>5</v>
      </c>
      <c r="AO354" s="26" t="n">
        <v>9</v>
      </c>
      <c r="AP354" s="24" t="n">
        <v>43</v>
      </c>
      <c r="AQ354" s="27" t="n">
        <v>91.8</v>
      </c>
      <c r="AR354" s="27" t="n">
        <v>83.4</v>
      </c>
      <c r="AS354" s="27" t="n">
        <v>25.8</v>
      </c>
      <c r="AT354" s="24" t="n">
        <v>68.3</v>
      </c>
      <c r="AU354" s="24" t="n">
        <v>0</v>
      </c>
      <c r="AV354" s="24" t="n">
        <v>0</v>
      </c>
      <c r="AW354" s="24" t="n">
        <v>0</v>
      </c>
      <c r="AX354" s="24" t="n">
        <v>31.54</v>
      </c>
      <c r="AY354" s="24" t="n">
        <v>0</v>
      </c>
      <c r="AZ354" s="24" t="n">
        <v>0</v>
      </c>
      <c r="BA354" s="24" t="n">
        <v>0</v>
      </c>
      <c r="BB354" s="24" t="n">
        <v>0</v>
      </c>
      <c r="BC354" s="24" t="n">
        <v>0</v>
      </c>
      <c r="BD354" s="24" t="n">
        <v>0</v>
      </c>
      <c r="BE354" s="24" t="n">
        <v>48.27</v>
      </c>
      <c r="BF354" s="24" t="n">
        <v>58.3</v>
      </c>
      <c r="BG354" s="24" t="n">
        <v>1.34</v>
      </c>
      <c r="BH354" s="24" t="n">
        <v>0</v>
      </c>
      <c r="BI354" s="24" t="n">
        <v>0.16</v>
      </c>
      <c r="BJ354" s="24" t="n">
        <v>0</v>
      </c>
      <c r="BK354" s="24" t="n">
        <v>0</v>
      </c>
      <c r="BL354" s="24" t="n">
        <v>11</v>
      </c>
      <c r="BM354" s="24" t="n">
        <v>1</v>
      </c>
      <c r="BN354" s="24" t="n">
        <v>1</v>
      </c>
      <c r="BO354" s="27" t="n">
        <v>2.45</v>
      </c>
      <c r="BP354" s="27" t="n">
        <v>1</v>
      </c>
      <c r="BQ354" s="27" t="n">
        <v>3.68</v>
      </c>
      <c r="BR354" s="27" t="n">
        <v>1.63</v>
      </c>
      <c r="BS354" s="27" t="n">
        <v>0</v>
      </c>
      <c r="BT354" s="27" t="n">
        <v>0</v>
      </c>
      <c r="BU354" s="27" t="n">
        <v>0</v>
      </c>
      <c r="BV354" s="24" t="n">
        <v>0</v>
      </c>
    </row>
    <row r="355" customFormat="false" ht="13.8" hidden="false" customHeight="false" outlineLevel="0" collapsed="false">
      <c r="A355" s="0" t="n">
        <v>2</v>
      </c>
      <c r="B355" s="0" t="n">
        <v>23.9726214921287</v>
      </c>
      <c r="C355" s="0" t="n">
        <v>0.342231348391513</v>
      </c>
      <c r="D355" s="0" t="s">
        <v>913</v>
      </c>
      <c r="E355" s="0" t="n">
        <v>77</v>
      </c>
      <c r="F355" s="0" t="n">
        <v>1.78</v>
      </c>
      <c r="G355" s="0" t="n">
        <v>24.3024870597147</v>
      </c>
      <c r="H355" s="0" t="n">
        <v>0</v>
      </c>
      <c r="I355" s="0" t="n">
        <v>0</v>
      </c>
      <c r="J355" s="19" t="n">
        <v>0</v>
      </c>
      <c r="K355" s="19" t="n">
        <v>0</v>
      </c>
      <c r="L355" s="19" t="n">
        <v>0</v>
      </c>
      <c r="M355" s="19" t="n">
        <v>0</v>
      </c>
      <c r="N355" s="19" t="n">
        <v>0</v>
      </c>
      <c r="O355" s="19" t="n">
        <v>0</v>
      </c>
      <c r="P355" s="19" t="n">
        <v>0</v>
      </c>
      <c r="Q355" s="19" t="n">
        <v>0</v>
      </c>
      <c r="R355" s="19" t="n">
        <v>0</v>
      </c>
      <c r="S355" s="19" t="n">
        <v>0</v>
      </c>
      <c r="T355" s="19" t="n">
        <v>0</v>
      </c>
      <c r="U355" s="15" t="n">
        <f aca="false">AVERAGE(M355:T355)</f>
        <v>0</v>
      </c>
      <c r="V355" s="19" t="n">
        <v>1</v>
      </c>
      <c r="W355" s="19" t="n">
        <v>2</v>
      </c>
      <c r="X355" s="19" t="n">
        <v>3</v>
      </c>
      <c r="Y355" s="19" t="n">
        <v>5</v>
      </c>
      <c r="Z355" s="19" t="n">
        <v>3</v>
      </c>
      <c r="AA355" s="19" t="n">
        <v>3</v>
      </c>
      <c r="AB355" s="19" t="n">
        <v>3</v>
      </c>
      <c r="AC355" s="19" t="n">
        <v>5</v>
      </c>
      <c r="AD355" s="19" t="n">
        <v>3</v>
      </c>
      <c r="AE355" s="19" t="n">
        <v>3</v>
      </c>
      <c r="AF355" s="19" t="n">
        <v>5</v>
      </c>
      <c r="AG355" s="19" t="n">
        <v>5</v>
      </c>
      <c r="AH355" s="19" t="n">
        <v>5</v>
      </c>
      <c r="AI355" s="19" t="n">
        <v>5</v>
      </c>
      <c r="AJ355" s="19" t="n">
        <v>5</v>
      </c>
      <c r="AK355" s="19" t="n">
        <v>5</v>
      </c>
      <c r="AL355" s="19" t="n">
        <v>5</v>
      </c>
      <c r="AM355" s="19" t="n">
        <v>5</v>
      </c>
      <c r="AN355" s="19" t="n">
        <v>5</v>
      </c>
      <c r="AO355" s="19"/>
      <c r="AP355" s="24" t="n">
        <v>43</v>
      </c>
      <c r="AQ355" s="27" t="n">
        <v>91.8</v>
      </c>
      <c r="AR355" s="27" t="n">
        <v>83.4</v>
      </c>
      <c r="AS355" s="27" t="n">
        <v>25.8</v>
      </c>
      <c r="AT355" s="24" t="n">
        <v>68.3</v>
      </c>
      <c r="AU355" s="24" t="n">
        <v>0</v>
      </c>
      <c r="AV355" s="24" t="n">
        <v>0</v>
      </c>
      <c r="AW355" s="24" t="n">
        <v>0</v>
      </c>
      <c r="AX355" s="24" t="n">
        <v>31.54</v>
      </c>
      <c r="AY355" s="24" t="n">
        <v>0</v>
      </c>
      <c r="AZ355" s="24" t="n">
        <v>0</v>
      </c>
      <c r="BA355" s="24" t="n">
        <v>0</v>
      </c>
      <c r="BB355" s="24" t="n">
        <v>0</v>
      </c>
      <c r="BC355" s="24" t="n">
        <v>0</v>
      </c>
      <c r="BD355" s="24" t="n">
        <v>0</v>
      </c>
      <c r="BE355" s="24" t="n">
        <v>48.27</v>
      </c>
      <c r="BF355" s="24" t="n">
        <v>58.3</v>
      </c>
      <c r="BG355" s="24" t="n">
        <v>1.34</v>
      </c>
      <c r="BH355" s="24" t="n">
        <v>0</v>
      </c>
      <c r="BI355" s="24" t="n">
        <v>0.16</v>
      </c>
      <c r="BJ355" s="24" t="n">
        <v>0</v>
      </c>
      <c r="BK355" s="24" t="n">
        <v>0</v>
      </c>
      <c r="BL355" s="24" t="n">
        <v>11</v>
      </c>
      <c r="BM355" s="24" t="n">
        <v>1</v>
      </c>
      <c r="BN355" s="24" t="n">
        <v>1</v>
      </c>
      <c r="BO355" s="27" t="n">
        <v>2.45</v>
      </c>
      <c r="BP355" s="27" t="n">
        <v>1</v>
      </c>
      <c r="BQ355" s="27" t="n">
        <v>3.68</v>
      </c>
      <c r="BR355" s="27" t="n">
        <v>1.63</v>
      </c>
      <c r="BS355" s="27" t="n">
        <v>0</v>
      </c>
      <c r="BT355" s="27" t="n">
        <v>0</v>
      </c>
      <c r="BU355" s="27" t="n">
        <v>0</v>
      </c>
      <c r="BV355" s="2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2017-01-02T09:13:00Z</dcterms:created>
  <dc:creator>Frodo</dc:creator>
  <dc:language>en-US</dc:language>
  <cp:lastModifiedBy>Ana Assunção</cp:lastModifiedBy>
  <cp:lastPrinted>2017-09-15T06:57:44Z</cp:lastPrinted>
  <dcterms:modified xsi:type="dcterms:W3CDTF">2018-06-06T15:36:31Z</dcterms:modified>
  <cp:revision>0</cp:revision>
</cp:coreProperties>
</file>